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/>
  <bookViews>
    <workbookView xWindow="285" yWindow="75" windowWidth="28020" windowHeight="12090" tabRatio="814"/>
  </bookViews>
  <sheets>
    <sheet name="Cover page" sheetId="1" r:id="rId1"/>
    <sheet name="Contents" sheetId="4" r:id="rId2"/>
    <sheet name="PTRM &amp; RFM input" sheetId="83" r:id="rId3"/>
    <sheet name="Forecast summary" sheetId="65" r:id="rId4"/>
    <sheet name="General assumptions" sheetId="5" r:id="rId5"/>
    <sheet name="AMP inputs" sheetId="112" r:id="rId6"/>
    <sheet name="Capex forecast - 3001" sheetId="6" r:id="rId7"/>
    <sheet name="Capex forecast - 3002" sheetId="12" r:id="rId8"/>
    <sheet name="Capex forecast - 3003" sheetId="14" r:id="rId9"/>
    <sheet name="Capex forecast - 3004" sheetId="15" r:id="rId10"/>
    <sheet name="Capex forecast - 3005" sheetId="16" r:id="rId11"/>
    <sheet name="Capex forecast - 3006" sheetId="17" r:id="rId12"/>
    <sheet name="Capex forecast - 3007" sheetId="24" r:id="rId13"/>
    <sheet name="Capex forecast - 3008" sheetId="25" r:id="rId14"/>
    <sheet name="Capex forecast - 3009" sheetId="28" r:id="rId15"/>
    <sheet name="Capex forecast - 3010" sheetId="29" r:id="rId16"/>
    <sheet name="Capex forecast - 3011" sheetId="30" r:id="rId17"/>
    <sheet name="Capex forecast - 3012" sheetId="31" r:id="rId18"/>
    <sheet name="Capex forecast - 3013" sheetId="32" r:id="rId19"/>
    <sheet name="Capex forecast - 3014" sheetId="33" r:id="rId20"/>
    <sheet name="Capex forecast - 3015" sheetId="34" r:id="rId21"/>
    <sheet name="Capex forecast - 3016" sheetId="35" r:id="rId22"/>
    <sheet name="Capex forecast - 3017" sheetId="37" r:id="rId23"/>
    <sheet name="Capex forecast - 3018" sheetId="38" r:id="rId24"/>
    <sheet name="Capex forecast - 3019" sheetId="40" r:id="rId25"/>
    <sheet name="Capex forecast - 3020" sheetId="41" r:id="rId26"/>
    <sheet name="Capex forecast - 3021" sheetId="43" r:id="rId27"/>
    <sheet name="Capex forecast - 3022" sheetId="44" r:id="rId28"/>
    <sheet name="Capex forecast - 3023" sheetId="45" r:id="rId29"/>
    <sheet name="Capex forecast - 3024" sheetId="46" r:id="rId30"/>
    <sheet name="Capex forecast - 3025" sheetId="47" r:id="rId31"/>
    <sheet name="Capex forecast - IT" sheetId="20" r:id="rId32"/>
    <sheet name="Capex forecast - other non-IT" sheetId="48" r:id="rId33"/>
    <sheet name="Capex forecast - work code" sheetId="50" r:id="rId34"/>
    <sheet name="Capex forecast - RAB" sheetId="54" r:id="rId35"/>
    <sheet name="Capex forecast - driver" sheetId="55" r:id="rId36"/>
    <sheet name="Capex forecast - tax" sheetId="56" r:id="rId37"/>
    <sheet name="Capex forecast - input type" sheetId="111" r:id="rId38"/>
    <sheet name="Overheads forecast" sheetId="19" r:id="rId39"/>
    <sheet name="Labour price forecast" sheetId="103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_xlnm._FilterDatabase" hidden="1">[1]DataAct!#REF!</definedName>
    <definedName name="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">'[2]Lookup|Tables'!$G$12</definedName>
    <definedName name="AAD_Reg_Categories">'[3]Input|Assumptions'!$C$135:$C$155</definedName>
    <definedName name="AAM_PL_Include" localSheetId="5">IF(CB_AAM_PL_Include=TRUE,1,0)</definedName>
    <definedName name="AAM_PL_Include" localSheetId="37">IF(CB_AAM_PL_Include=TRUE,1,0)</definedName>
    <definedName name="AAM_PL_Include" localSheetId="39">IF(CB_AAM_PL_Include=TRUE,1,0)</definedName>
    <definedName name="AAM_PL_Include">IF(CB_AAM_PL_Include=TRUE,1,0)</definedName>
    <definedName name="abc" localSheetId="5">#REF!</definedName>
    <definedName name="abc" localSheetId="37">#REF!</definedName>
    <definedName name="abc" localSheetId="39">#REF!</definedName>
    <definedName name="abc">#REF!</definedName>
    <definedName name="Act_Cat" localSheetId="5">#REF!</definedName>
    <definedName name="Act_Cat" localSheetId="37">#REF!</definedName>
    <definedName name="Act_Cat" localSheetId="39">#REF!</definedName>
    <definedName name="Act_Cat">#REF!</definedName>
    <definedName name="Act_Co" localSheetId="5">#REF!</definedName>
    <definedName name="Act_Co" localSheetId="37">#REF!</definedName>
    <definedName name="Act_Co" localSheetId="39">#REF!</definedName>
    <definedName name="Act_Co">#REF!</definedName>
    <definedName name="Act_M0" localSheetId="5">#REF!</definedName>
    <definedName name="Act_M0" localSheetId="37">#REF!</definedName>
    <definedName name="Act_M0" localSheetId="39">#REF!</definedName>
    <definedName name="Act_M0">#REF!</definedName>
    <definedName name="ACT_PL_Include" localSheetId="5">IF(CB_ACT_PL_Include=TRUE,1,0)</definedName>
    <definedName name="ACT_PL_Include" localSheetId="37">IF(CB_ACT_PL_Include=TRUE,1,0)</definedName>
    <definedName name="ACT_PL_Include" localSheetId="39">IF(CB_ACT_PL_Include=TRUE,1,0)</definedName>
    <definedName name="ACT_PL_Include">IF(CB_ACT_PL_Include=TRUE,1,0)</definedName>
    <definedName name="Actuals">'[4]Lookup|Tables'!$G$26</definedName>
    <definedName name="adasdfa345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gaergfa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j_CFS_Rec" localSheetId="5">[5]TB_Adj_FA!#REF!</definedName>
    <definedName name="Adj_CFS_Rec" localSheetId="37">[5]TB_Adj_FA!#REF!</definedName>
    <definedName name="Adj_CFS_Rec" localSheetId="39">[5]TB_Adj_FA!#REF!</definedName>
    <definedName name="Adj_CFS_Rec">[5]TB_Adj_FA!#REF!</definedName>
    <definedName name="AGL_PL_Include" localSheetId="5">IF(CB_AGL_PL_Include=TRUE,1,0)</definedName>
    <definedName name="AGL_PL_Include" localSheetId="37">IF(CB_AGL_PL_Include=TRUE,1,0)</definedName>
    <definedName name="AGL_PL_Include" localSheetId="39">IF(CB_AGL_PL_Include=TRUE,1,0)</definedName>
    <definedName name="AGL_PL_Include">IF(CB_AGL_PL_Include=TRUE,1,0)</definedName>
    <definedName name="anscount">1</definedName>
    <definedName name="ari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00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5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6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7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5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7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8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6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767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psdhfr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3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656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gbg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g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g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sdg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set_class">'[6]Capex input'!$W$109:$W$115</definedName>
    <definedName name="Asset1" localSheetId="5">'[7]4. RAB'!#REF!</definedName>
    <definedName name="Asset1" localSheetId="37">'[7]4. RAB'!#REF!</definedName>
    <definedName name="Asset1" localSheetId="39">'[7]4. RAB'!#REF!</definedName>
    <definedName name="Asset1">'[7]4. RAB'!#REF!</definedName>
    <definedName name="Asset10" localSheetId="5">'[7]4. RAB'!#REF!</definedName>
    <definedName name="Asset10" localSheetId="37">'[7]4. RAB'!#REF!</definedName>
    <definedName name="Asset10" localSheetId="39">'[7]4. RAB'!#REF!</definedName>
    <definedName name="Asset10">'[7]4. RAB'!#REF!</definedName>
    <definedName name="Asset11" localSheetId="5">'[7]4. RAB'!#REF!</definedName>
    <definedName name="Asset11" localSheetId="37">'[7]4. RAB'!#REF!</definedName>
    <definedName name="Asset11" localSheetId="39">'[7]4. RAB'!#REF!</definedName>
    <definedName name="Asset11">'[7]4. RAB'!#REF!</definedName>
    <definedName name="asset11a" localSheetId="5">#REF!</definedName>
    <definedName name="asset11a" localSheetId="37">#REF!</definedName>
    <definedName name="asset11a" localSheetId="39">#REF!</definedName>
    <definedName name="asset11a">#REF!</definedName>
    <definedName name="Asset12" localSheetId="5">'[7]4. RAB'!#REF!</definedName>
    <definedName name="Asset12" localSheetId="37">'[7]4. RAB'!#REF!</definedName>
    <definedName name="Asset12" localSheetId="39">'[7]4. RAB'!#REF!</definedName>
    <definedName name="Asset12">'[7]4. RAB'!#REF!</definedName>
    <definedName name="Asset13" localSheetId="5">'[7]4. RAB'!#REF!</definedName>
    <definedName name="Asset13" localSheetId="37">'[7]4. RAB'!#REF!</definedName>
    <definedName name="Asset13" localSheetId="39">'[7]4. RAB'!#REF!</definedName>
    <definedName name="Asset13">'[7]4. RAB'!#REF!</definedName>
    <definedName name="Asset14" localSheetId="5">'[7]4. RAB'!#REF!</definedName>
    <definedName name="Asset14" localSheetId="37">'[7]4. RAB'!#REF!</definedName>
    <definedName name="Asset14" localSheetId="39">'[7]4. RAB'!#REF!</definedName>
    <definedName name="Asset14">'[7]4. RAB'!#REF!</definedName>
    <definedName name="Asset15" localSheetId="5">'[7]4. RAB'!#REF!</definedName>
    <definedName name="Asset15" localSheetId="37">'[7]4. RAB'!#REF!</definedName>
    <definedName name="Asset15" localSheetId="39">'[7]4. RAB'!#REF!</definedName>
    <definedName name="Asset15">'[7]4. RAB'!#REF!</definedName>
    <definedName name="Asset16" localSheetId="5">'[7]4. RAB'!#REF!</definedName>
    <definedName name="Asset16" localSheetId="37">'[7]4. RAB'!#REF!</definedName>
    <definedName name="Asset16" localSheetId="39">'[7]4. RAB'!#REF!</definedName>
    <definedName name="Asset16">'[7]4. RAB'!#REF!</definedName>
    <definedName name="Asset17" localSheetId="5">'[7]4. RAB'!#REF!</definedName>
    <definedName name="Asset17" localSheetId="37">'[7]4. RAB'!#REF!</definedName>
    <definedName name="Asset17" localSheetId="39">'[7]4. RAB'!#REF!</definedName>
    <definedName name="Asset17">'[7]4. RAB'!#REF!</definedName>
    <definedName name="Asset18" localSheetId="5">'[7]4. RAB'!#REF!</definedName>
    <definedName name="Asset18" localSheetId="37">'[7]4. RAB'!#REF!</definedName>
    <definedName name="Asset18" localSheetId="39">'[7]4. RAB'!#REF!</definedName>
    <definedName name="Asset18">'[7]4. RAB'!#REF!</definedName>
    <definedName name="Asset19" localSheetId="5">'[7]4. RAB'!#REF!</definedName>
    <definedName name="Asset19" localSheetId="37">'[7]4. RAB'!#REF!</definedName>
    <definedName name="Asset19" localSheetId="39">'[7]4. RAB'!#REF!</definedName>
    <definedName name="Asset19">'[7]4. RAB'!#REF!</definedName>
    <definedName name="Asset2" localSheetId="5">'[7]4. RAB'!#REF!</definedName>
    <definedName name="Asset2" localSheetId="37">'[7]4. RAB'!#REF!</definedName>
    <definedName name="Asset2" localSheetId="39">'[7]4. RAB'!#REF!</definedName>
    <definedName name="Asset2">'[7]4. RAB'!#REF!</definedName>
    <definedName name="Asset20" localSheetId="5">'[7]4. RAB'!#REF!</definedName>
    <definedName name="Asset20" localSheetId="37">'[7]4. RAB'!#REF!</definedName>
    <definedName name="Asset20" localSheetId="39">'[7]4. RAB'!#REF!</definedName>
    <definedName name="Asset20">'[7]4. RAB'!#REF!</definedName>
    <definedName name="Asset3" localSheetId="5">'[7]4. RAB'!#REF!</definedName>
    <definedName name="Asset3" localSheetId="37">'[7]4. RAB'!#REF!</definedName>
    <definedName name="Asset3" localSheetId="39">'[7]4. RAB'!#REF!</definedName>
    <definedName name="Asset3">'[7]4. RAB'!#REF!</definedName>
    <definedName name="Asset4" localSheetId="5">'[7]4. RAB'!#REF!</definedName>
    <definedName name="Asset4" localSheetId="37">'[7]4. RAB'!#REF!</definedName>
    <definedName name="Asset4" localSheetId="39">'[7]4. RAB'!#REF!</definedName>
    <definedName name="Asset4">'[7]4. RAB'!#REF!</definedName>
    <definedName name="Asset5" localSheetId="5">'[7]4. RAB'!#REF!</definedName>
    <definedName name="Asset5" localSheetId="37">'[7]4. RAB'!#REF!</definedName>
    <definedName name="Asset5" localSheetId="39">'[7]4. RAB'!#REF!</definedName>
    <definedName name="Asset5">'[7]4. RAB'!#REF!</definedName>
    <definedName name="Asset6" localSheetId="5">'[7]4. RAB'!#REF!</definedName>
    <definedName name="Asset6" localSheetId="37">'[7]4. RAB'!#REF!</definedName>
    <definedName name="Asset6" localSheetId="39">'[7]4. RAB'!#REF!</definedName>
    <definedName name="Asset6">'[7]4. RAB'!#REF!</definedName>
    <definedName name="Asset7" localSheetId="5">'[7]4. RAB'!#REF!</definedName>
    <definedName name="Asset7" localSheetId="37">'[7]4. RAB'!#REF!</definedName>
    <definedName name="Asset7" localSheetId="39">'[7]4. RAB'!#REF!</definedName>
    <definedName name="Asset7">'[7]4. RAB'!#REF!</definedName>
    <definedName name="Asset8" localSheetId="5">'[7]4. RAB'!#REF!</definedName>
    <definedName name="Asset8" localSheetId="37">'[7]4. RAB'!#REF!</definedName>
    <definedName name="Asset8" localSheetId="39">'[7]4. RAB'!#REF!</definedName>
    <definedName name="Asset8">'[7]4. RAB'!#REF!</definedName>
    <definedName name="Asset9" localSheetId="5">'[7]4. RAB'!#REF!</definedName>
    <definedName name="Asset9" localSheetId="37">'[7]4. RAB'!#REF!</definedName>
    <definedName name="Asset9" localSheetId="39">'[7]4. RAB'!#REF!</definedName>
    <definedName name="Asset9">'[7]4. RAB'!#REF!</definedName>
    <definedName name="assset1" localSheetId="5">#REF!</definedName>
    <definedName name="assset1" localSheetId="37">#REF!</definedName>
    <definedName name="assset1" localSheetId="39">#REF!</definedName>
    <definedName name="assset1">#REF!</definedName>
    <definedName name="assset10" localSheetId="5">#REF!</definedName>
    <definedName name="assset10" localSheetId="37">#REF!</definedName>
    <definedName name="assset10" localSheetId="39">#REF!</definedName>
    <definedName name="assset10">#REF!</definedName>
    <definedName name="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Base_Year">'[3]Input|Assumptions'!$G$10</definedName>
    <definedName name="Bench">[8]Economic_LU!$D$12:$D$13</definedName>
    <definedName name="Bus_Name">[8]Economic_LU!$D$25:$D$28</definedName>
    <definedName name="Cap_Cat">[9]Capex_BL!$D$9:$D$33</definedName>
    <definedName name="Cap_Co">[9]Capex_BL!$F$9:$F$33</definedName>
    <definedName name="Cap_GR">[9]Capex_BL!$G$9:$G$33</definedName>
    <definedName name="Cap_Group">[9]Capex_BL!$E$9:$E$33</definedName>
    <definedName name="CB_SGAAP_Misposting" localSheetId="5">[5]SGAAP_BS_FO!#REF!</definedName>
    <definedName name="CB_SGAAP_Misposting" localSheetId="37">[5]SGAAP_BS_FO!#REF!</definedName>
    <definedName name="CB_SGAAP_Misposting" localSheetId="39">[5]SGAAP_BS_FO!#REF!</definedName>
    <definedName name="CB_SGAAP_Misposting">[5]SGAAP_BS_FO!#REF!</definedName>
    <definedName name="Check">'[3]Lookup|Tables'!$G$58</definedName>
    <definedName name="Cost_of_Debt" localSheetId="5">[10]GA_BA!#REF!</definedName>
    <definedName name="Cost_of_Debt" localSheetId="37">[10]GA_BA!#REF!</definedName>
    <definedName name="Cost_of_Debt" localSheetId="39">[10]GA_BA!#REF!</definedName>
    <definedName name="Cost_of_Debt">[10]GA_BA!#REF!</definedName>
    <definedName name="cpi" localSheetId="5">[10]GA_BA!#REF!</definedName>
    <definedName name="cpi" localSheetId="37">[10]GA_BA!#REF!</definedName>
    <definedName name="cpi" localSheetId="39">[10]GA_BA!#REF!</definedName>
    <definedName name="cpi">[10]GA_BA!#REF!</definedName>
    <definedName name="CPI_Year">[9]Inflation_Fcast_FA!$J$28:$AO$28</definedName>
    <definedName name="cp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CRCP_span">CONCATENATE([11]!CRCP_y1, " to ",[11]!CRCP_y5)</definedName>
    <definedName name="CRCP_y1">'[12]AGN business details'!$C$38</definedName>
    <definedName name="CRCP_y2">'[12]AGN business details'!$D$38</definedName>
    <definedName name="CRCP_y3">'[12]AGN business details'!$E$38</definedName>
    <definedName name="CRCP_y4">'[12]AGN business details'!$F$38</definedName>
    <definedName name="CRCP_y5">'[12]AGN business details'!$G$38</definedName>
    <definedName name="CRCP_y6">'[12]AGN business details'!$H$38</definedName>
    <definedName name="Current_Period">[13]GA_BA!$I$10</definedName>
    <definedName name="CurrentPeriod">[9]Date_BA!$I$13</definedName>
    <definedName name="datonelist">OFFSET( [14]Data!$A$1,0,0,COUNTA([14]Data!$L$1:$L$65536),96)</definedName>
    <definedName name="dfg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ist_IT_Cap_Elec">[9]Gen_Ass_BA!$H$9</definedName>
    <definedName name="Dist_IT_Cap_Gas">[9]Gen_Ass_BA!$H$10</definedName>
    <definedName name="dms_ABN_List">'[12]AGN business details'!$K$27:$K$48</definedName>
    <definedName name="dms_AGN_Assets">'[12]18 - Tax depreciation'!$B$19:$B$25</definedName>
    <definedName name="dms_DollarReal">'[12]AGN business details'!$C$55</definedName>
    <definedName name="dms_DollarRealPrev_y5">'[12]AGN business details'!$C$56</definedName>
    <definedName name="dms_ESCALATOR_rows">#REF!</definedName>
    <definedName name="dms_Model">'[12]AGN business details'!$C$49</definedName>
    <definedName name="dms_RPT">'[12]AGN business details'!$C$48</definedName>
    <definedName name="dms_TradingName">'[12]AGN business details'!$C$14</definedName>
    <definedName name="dms_TradingName_List">'[12]AGN business details'!$J$27:$J$48</definedName>
    <definedName name="dms_UnitofMeasure">#REF!</definedName>
    <definedName name="DNSP">[15]Outcomes!$B$2</definedName>
    <definedName name="dollars">'[4]Lookup|Tables'!$G$10</definedName>
    <definedName name="Drivers">[16]GAAR_Lookups!$B$29:$B$34</definedName>
    <definedName name="Elec_Cat">[8]Economic_LU!$D$33:$D$39</definedName>
    <definedName name="Err_Chk_1_Hdg" hidden="1">"Transmission - NPAT (TM1 Balance)"</definedName>
    <definedName name="Err_Chk_10_Hdg" hidden="1">"Transmission P0"</definedName>
    <definedName name="Err_Chk_11_Hdg" hidden="1">[17]T_Reg_Opex_BA!$E$85</definedName>
    <definedName name="Err_Chk_12_Hdg" hidden="1">[17]T_Reg_Opex_BA!$E$86</definedName>
    <definedName name="Err_Chk_13_Hdg" hidden="1">"Electricity Distribution P0"</definedName>
    <definedName name="Err_Chk_14_Hdg" hidden="1">"Gas Distribution P0"</definedName>
    <definedName name="Err_Chk_15_Hdg" hidden="1">"CFV - D / T Balance"</definedName>
    <definedName name="Err_Chk_16_Hdg" hidden="1">"Transmission - NPAT"</definedName>
    <definedName name="Err_Chk_17_Hdg" hidden="1">"Transmission - Balance Sheet"</definedName>
    <definedName name="Err_Chk_18_Hdg" hidden="1">"Transmission - Balance Sheet (Retained Earnings)"</definedName>
    <definedName name="Err_Chk_19_Hdg" hidden="1">"Transmission CFS - Direct - Movement"</definedName>
    <definedName name="Err_Chk_2_Hdg" hidden="1">"Distribution - Balance Sheet"</definedName>
    <definedName name="Err_Chk_20_Hdg" hidden="1">"Transmission CFS - Direct - Balance"</definedName>
    <definedName name="Err_Chk_21_Hdg" hidden="1">"Transmission CFS - Indirect - Movement"</definedName>
    <definedName name="Err_Chk_22_Hdg" hidden="1">"Transmission CFS - Indirect - Balance"</definedName>
    <definedName name="Err_Chk_23_Hdg" hidden="1">"Transmission CFS - Indirect - Operating"</definedName>
    <definedName name="Err_Chk_24_Hdg" hidden="1">"Transmission CFS - Indirect - Investing"</definedName>
    <definedName name="Err_Chk_25_Hdg" hidden="1">"Transmission CFS - Indirect - Financing"</definedName>
    <definedName name="Err_Chk_26_Hdg" hidden="1">"Distribution - NPAT"</definedName>
    <definedName name="Err_Chk_27_Hdg" hidden="1">"Distribution - NPAT (TM1 Balance)"</definedName>
    <definedName name="Err_Chk_28_Hdg" hidden="1">"Distribution - Balance Sheet (Retained Earnings)"</definedName>
    <definedName name="Err_Chk_29_Hdg" hidden="1">"Distribution CFS - Direct - Movement"</definedName>
    <definedName name="Err_Chk_3_Hdg" hidden="1">"Consolidation Eliminations"</definedName>
    <definedName name="Err_Chk_30_Hdg" hidden="1">"Distribution CFS - Direct - Balance"</definedName>
    <definedName name="Err_Chk_31_Hdg" hidden="1">"Distribution CFS - Indirect - Movement"</definedName>
    <definedName name="Err_Chk_32_Hdg" hidden="1">"Distribution CFS - Indirect - Balance"</definedName>
    <definedName name="Err_Chk_33_Hdg" hidden="1">"Distribution CFS - Indirect - Operating"</definedName>
    <definedName name="Err_Chk_34_Hdg" hidden="1">"Distribution CFS - Indirect - Investing"</definedName>
    <definedName name="Err_Chk_35_Hdg" hidden="1">"Distribution CFS - Indirect - Financing"</definedName>
    <definedName name="Err_Chk_36_Hdg" hidden="1">"SP Finance Trust - NPAT"</definedName>
    <definedName name="Err_Chk_37_Hdg" hidden="1">"SP Finance Trust - NPAT (TM1 Balance)"</definedName>
    <definedName name="Err_Chk_38_Hdg" hidden="1">"SP Finance Trust - Balance Sheet"</definedName>
    <definedName name="Err_Chk_39_Hdg" hidden="1">"SP Finance Trust - Balance Sheet (Retained Earnings)"</definedName>
    <definedName name="Err_Chk_4_Hdg" hidden="1">"SP AusNet (Monthly) - Balance Sheet"</definedName>
    <definedName name="Err_Chk_40_Hdg" hidden="1">"SP Finance Trust CFS - Direct - Movement"</definedName>
    <definedName name="Err_Chk_41_Hdg" hidden="1">"SP Finance Trust CFS - Direct - Balance"</definedName>
    <definedName name="Err_Chk_42_Hdg" hidden="1">"SP Finance Trust CFS -Indirect - Movement"</definedName>
    <definedName name="Err_Chk_43_Hdg" hidden="1">"SP Finance Trust CFS -Indirect - Balance"</definedName>
    <definedName name="Err_Chk_44_Hdg" hidden="1">"SP Finance Trust CFS -Indirect - Operating"</definedName>
    <definedName name="Err_Chk_45_Hdg" hidden="1">"SP Finance Trust CFS -Indirect - Investing"</definedName>
    <definedName name="Err_Chk_46_Hdg" hidden="1">"SP Finance Trust CFS -Indirect - Financing"</definedName>
    <definedName name="Err_Chk_47_Hdg" hidden="1">"SP AusNet Balance Sheet Eliminations"</definedName>
    <definedName name="Err_Chk_48_Hdg" hidden="1">"SP AusNet (Monthly) - Balance Sheet (Retained Earnings)"</definedName>
    <definedName name="Err_Chk_49_Hdg" hidden="1">"SP AusNet (Monthly) - NPAT"</definedName>
    <definedName name="Err_Chk_5_Hdg" hidden="1">"SGAAP Adjustments - Balance Sheet"</definedName>
    <definedName name="Err_Chk_50_Hdg" hidden="1">"SP AusNet (Monthly) - NPAT (TM1 Balance)"</definedName>
    <definedName name="Err_Chk_51_Hdg" hidden="1">"SP AusNet (Monthly) CSF - Direct - Movement"</definedName>
    <definedName name="Err_Chk_52_Hdg" hidden="1">"SP AusNet (Monthly) CSF - Direct - Balance"</definedName>
    <definedName name="Err_Chk_53_Hdg" hidden="1">"SP AusNet (Monthly) CSF - Indirect - Movement"</definedName>
    <definedName name="Err_Chk_54_Hdg" hidden="1">"SP AusNet (Monthly) CSF - Indirect - Balance"</definedName>
    <definedName name="Err_Chk_55_Hdg" hidden="1">"SP AusNet (Monthly) CSF - Indirect - Operating"</definedName>
    <definedName name="Err_Chk_56_Hdg" hidden="1">"SP AusNet (Monthly) CSF - Indirect - Investing"</definedName>
    <definedName name="Err_Chk_57_Hdg" hidden="1">"SP AusNet (Monthly) CSF - Indirect - Financing"</definedName>
    <definedName name="Err_Chk_58_Hdg" hidden="1">"Transmission - Cost of Debt"</definedName>
    <definedName name="Err_Chk_59_Hdg" hidden="1">"Distribution - Cost of Debt"</definedName>
    <definedName name="Err_Chk_6_Hdg" hidden="1">"SGAAP Adjustments - Balance Sheet (Retained Earnings)"</definedName>
    <definedName name="Err_Chk_60_Hdg" hidden="1">"SP AusNet  - Cost of debt"</definedName>
    <definedName name="Err_Chk_61_Hdg" hidden="1">"SP AusNet (Annual) - NPAT (TM1 Balance)"</definedName>
    <definedName name="Err_Chk_62_Hdg" hidden="1">"SP AusNet (Annual) - Balance Sheet"</definedName>
    <definedName name="Err_Chk_63_Hdg" hidden="1">"SP AusNet (Annual) - Balance Sheet (Retained Earnings)"</definedName>
    <definedName name="Err_Chk_64_Hdg" hidden="1">"SP AusNet (Annual) CFS - Direct - Movement"</definedName>
    <definedName name="Err_Chk_65_Hdg" hidden="1">"SP AusNet (Annual) CFS - Direct - Balance"</definedName>
    <definedName name="Err_Chk_66_Hdg" hidden="1">"SP AusNet (Annual) CFS - Indirect - Movement"</definedName>
    <definedName name="Err_Chk_67_Hdg" hidden="1">"SP AusNet (Annual) CFS - Indirect - Balance"</definedName>
    <definedName name="Err_Chk_68_Hdg" hidden="1">"SP AusNet (Annual) CFS - Indirect - Operating"</definedName>
    <definedName name="Err_Chk_69_Hdg" hidden="1">"SP AusNet (Annual) CFS - Indirect - Investing"</definedName>
    <definedName name="Err_Chk_7_Hdg" hidden="1">"DTA / DTL - Transmission"</definedName>
    <definedName name="Err_Chk_70_Hdg" hidden="1">"SP AusNet (Annual) CFS - Indirect - Financing"</definedName>
    <definedName name="Err_Chk_71_Hdg" hidden="1">"SGAAP (Monthly) - NPAT"</definedName>
    <definedName name="Err_Chk_72_Hdg" hidden="1">"SGAAP (Monthly) - NPAT (TM1 Balance)"</definedName>
    <definedName name="Err_Chk_73_Hdg" hidden="1">"SGAAP (Monthly) - Balance Sheet"</definedName>
    <definedName name="Err_Chk_74_Hdg" hidden="1">"SGAAP (Monthly) - Balance Sheet (Retained Earnings)"</definedName>
    <definedName name="Err_Chk_75_Hdg" hidden="1">"SGAAP (Annual) - NPAT"</definedName>
    <definedName name="Err_Chk_76_Hdg" hidden="1">"SGAAP (Annual) - NPAT (TM1 Balance)"</definedName>
    <definedName name="Err_Chk_77_Hdg" hidden="1">"SGAAP (Annual) - Balance Sheet"</definedName>
    <definedName name="Err_Chk_78_Hdg" hidden="1">"SGAAP (Annual) - Balance Sheet (Retained Earnings)"</definedName>
    <definedName name="Err_Chk_8_Hdg" hidden="1">"DTA / DTL - Distribution"</definedName>
    <definedName name="Err_Chk_9_Hdg" hidden="1">"SP AusNet (Annual) - NPAT"</definedName>
    <definedName name="EssLatest">"Jan1998"</definedName>
    <definedName name="factor">'[4]Lookup|Tables'!$G$17</definedName>
    <definedName name="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cst_yrs" localSheetId="5">[10]GA_BA!#REF!</definedName>
    <definedName name="fcst_yrs" localSheetId="37">[10]GA_BA!#REF!</definedName>
    <definedName name="fcst_yrs" localSheetId="39">[10]GA_BA!#REF!</definedName>
    <definedName name="fcst_yrs">[10]GA_BA!#REF!</definedName>
    <definedName name="FinYr_CPI_Factor">[9]Inflation_Fcast_FA!$J$36:$AO$36</definedName>
    <definedName name="FinYr_CPI_Index">[17]Inflation_Fcast_FA!$J$19:$BN$19</definedName>
    <definedName name="First_Year_Forecast">'[3]Input|Assumptions'!$G$11</definedName>
    <definedName name="FRCP">'[12]AGN business details'!$C$35:$G$35</definedName>
    <definedName name="FRCP_span">CONCATENATE(FRCP_y1, " to ", FRCP_y5)</definedName>
    <definedName name="FRCP_y1">'[12]AGN business details'!$C$35</definedName>
    <definedName name="FRCP_y2">'[12]AGN business details'!$D$35</definedName>
    <definedName name="FRCP_y3">'[12]AGN business details'!$E$35</definedName>
    <definedName name="FRCP_y4">'[12]AGN business details'!$F$35</definedName>
    <definedName name="FRCP_y5">'[12]AGN business details'!$G$35</definedName>
    <definedName name="FY15Budget">[18]Capex!$E$10:$E$20</definedName>
    <definedName name="Gamma" localSheetId="5">[10]GA_BA!#REF!</definedName>
    <definedName name="Gamma" localSheetId="37">[10]GA_BA!#REF!</definedName>
    <definedName name="Gamma" localSheetId="39">[10]GA_BA!#REF!</definedName>
    <definedName name="Gamma">[10]GA_BA!#REF!</definedName>
    <definedName name="Gas_Reg_Cost_Debt_Real_Future" localSheetId="5">#REF!</definedName>
    <definedName name="Gas_Reg_Cost_Debt_Real_Future" localSheetId="37">#REF!</definedName>
    <definedName name="Gas_Reg_Cost_Debt_Real_Future" localSheetId="39">#REF!</definedName>
    <definedName name="Gas_Reg_Cost_Debt_Real_Future">#REF!</definedName>
    <definedName name="Gas_Reg_Cost_Equity_Real_Future" localSheetId="5">#REF!</definedName>
    <definedName name="Gas_Reg_Cost_Equity_Real_Future" localSheetId="37">#REF!</definedName>
    <definedName name="Gas_Reg_Cost_Equity_Real_Future" localSheetId="39">#REF!</definedName>
    <definedName name="Gas_Reg_Cost_Equity_Real_Future">#REF!</definedName>
    <definedName name="Gas_Reg_Gearing_Future" localSheetId="5">#REF!</definedName>
    <definedName name="Gas_Reg_Gearing_Future" localSheetId="37">#REF!</definedName>
    <definedName name="Gas_Reg_Gearing_Future" localSheetId="39">#REF!</definedName>
    <definedName name="Gas_Reg_Gearing_Future">#REF!</definedName>
    <definedName name="HL_Sheet_Main_6" localSheetId="5" hidden="1">#REF!</definedName>
    <definedName name="HL_Sheet_Main_6" localSheetId="37" hidden="1">#REF!</definedName>
    <definedName name="HL_Sheet_Main_6" localSheetId="39" hidden="1">#REF!</definedName>
    <definedName name="HL_Sheet_Main_6" hidden="1">#REF!</definedName>
    <definedName name="index">[13]Lookup_LU!$N$40</definedName>
    <definedName name="InputRange">'[19]Scale escalation (2.8)'!$AA$26:$AA$32</definedName>
    <definedName name="IT_Overhead">[10]GA_BA!$I$69</definedName>
    <definedName name="Jai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kms">'[4]Lookup|Tables'!$G$23</definedName>
    <definedName name="l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g_Yrs" localSheetId="5">[10]GA_BA!#REF!</definedName>
    <definedName name="Lag_Yrs" localSheetId="37">[10]GA_BA!#REF!</definedName>
    <definedName name="Lag_Yrs" localSheetId="39">[10]GA_BA!#REF!</definedName>
    <definedName name="Lag_Yrs">[10]GA_BA!#REF!</definedName>
    <definedName name="Last_Mth_Per">[9]Date_BA!$I$20</definedName>
    <definedName name="leverage" localSheetId="5">[10]GA_BA!#REF!</definedName>
    <definedName name="leverage" localSheetId="37">[10]GA_BA!#REF!</definedName>
    <definedName name="leverage" localSheetId="39">[10]GA_BA!#REF!</definedName>
    <definedName name="leverage">[10]GA_BA!#REF!</definedName>
    <definedName name="limcount" hidden="1">2</definedName>
    <definedName name="LU_Cap_Code">[9]Capex_BL!$C$9:$C$33</definedName>
    <definedName name="LU_Opex_Cat">[17]Capex_BL!$D$40:$D$48</definedName>
    <definedName name="MenuList1">"List Box 3"</definedName>
    <definedName name="Million">[10]GA_BA!$I$13</definedName>
    <definedName name="millions">'[4]Lookup|Tables'!$G$12</definedName>
    <definedName name="Model_Name">[10]Cover!$C$10</definedName>
    <definedName name="Model_Start_Date">[9]Date_BA!$I$18</definedName>
    <definedName name="No_of_cust" localSheetId="5">#REF!</definedName>
    <definedName name="No_of_cust" localSheetId="37">#REF!</definedName>
    <definedName name="No_of_cust" localSheetId="39">#REF!</definedName>
    <definedName name="No_of_cust">#REF!</definedName>
    <definedName name="Nominal">'[4]Input|Escalators'!$C$25</definedName>
    <definedName name="Nominal_Reg_WACC" localSheetId="5">[10]GA_BA!#REF!</definedName>
    <definedName name="Nominal_Reg_WACC" localSheetId="37">[10]GA_BA!#REF!</definedName>
    <definedName name="Nominal_Reg_WACC" localSheetId="39">[10]GA_BA!#REF!</definedName>
    <definedName name="Nominal_Reg_WACC">[10]GA_BA!#REF!</definedName>
    <definedName name="Nominal_to_Real">'[4]Input|Escalators'!$C$29:$C$35</definedName>
    <definedName name="Nominal_to_Real_RY">'[3]Calc|Inflation Indexes'!$C$39:$C$50</definedName>
    <definedName name="NSW_PL_Include" localSheetId="5">IF(CB_NSW_PL_Include=TRUE,1,0)</definedName>
    <definedName name="NSW_PL_Include" localSheetId="37">IF(CB_NSW_PL_Include=TRUE,1,0)</definedName>
    <definedName name="NSW_PL_Include" localSheetId="39">IF(CB_NSW_PL_Include=TRUE,1,0)</definedName>
    <definedName name="NSW_PL_Include">IF(CB_NSW_PL_Include=TRUE,1,0)</definedName>
    <definedName name="number">'[4]Lookup|Tables'!$G$16</definedName>
    <definedName name="NvsASD">"V2003-01-31"</definedName>
    <definedName name="NvsAutoDrillOk">"VY"</definedName>
    <definedName name="NvsElapsedTime">0.000584374996833503</definedName>
    <definedName name="NvsEndTime">37659.4044688657</definedName>
    <definedName name="NvsInstSpec">"%,FBUSINESS_UNIT,TSEGMENT_STRUCTURE,NMERCH ENRGY BUSINESS"</definedName>
    <definedName name="NvsLayoutType">"M3"</definedName>
    <definedName name="NvsNplSpec">"%,X,RZF..,CZF.."</definedName>
    <definedName name="NvsPanelEffdt">"V2000-01-01"</definedName>
    <definedName name="NvsPanelSetid">"VSHARE"</definedName>
    <definedName name="NvsReqBU">"VSE07"</definedName>
    <definedName name="NvsReqBUOnly">"VN"</definedName>
    <definedName name="NvsTransLed">"VN"</definedName>
    <definedName name="NvsTreeASD">"V2003-01-31"</definedName>
    <definedName name="NvsValTbl.ACCOUNT">"GL_ACCOUNT_TBL"</definedName>
    <definedName name="NvsValTbl.AFFILIATE">"BUS_UNIT_TBL_FS"</definedName>
    <definedName name="NvsValTbl.BUSINESS_UNIT">"BUS_UNIT_TBL_GL"</definedName>
    <definedName name="NvsValTbl.CURRENCY_CD">"CURRENCY_CD_TBL"</definedName>
    <definedName name="NvsValTbl.DEPTID">"DEPARTMENT_TBL"</definedName>
    <definedName name="NvsValTbl.PROJECT_ID">"PROJECT"</definedName>
    <definedName name="NvsValTbl.TU_EC">"TU_EC_TBL"</definedName>
    <definedName name="NvsValTbl.TU_LOCATION">"TU_LOC_TBL"</definedName>
    <definedName name="OHFY15">'[20]4.Connections market expansn'!$K$16</definedName>
    <definedName name="OHFY16">'[20]4.Connections market expansn'!$L$16</definedName>
    <definedName name="Ok">'[3]Lookup|Tables'!$G$57</definedName>
    <definedName name="Opex_CPI_Year">[17]Date_BA!$I$18</definedName>
    <definedName name="Opex_Eff_YR" localSheetId="5">#REF!</definedName>
    <definedName name="Opex_Eff_YR" localSheetId="37">#REF!</definedName>
    <definedName name="Opex_Eff_YR" localSheetId="39">#REF!</definedName>
    <definedName name="Opex_Eff_YR">#REF!</definedName>
    <definedName name="Opex_Efficiency" localSheetId="5">#REF!</definedName>
    <definedName name="Opex_Efficiency" localSheetId="37">#REF!</definedName>
    <definedName name="Opex_Efficiency" localSheetId="39">#REF!</definedName>
    <definedName name="Opex_Efficiency">#REF!</definedName>
    <definedName name="opex_loading" localSheetId="5">[10]GA_BA!#REF!</definedName>
    <definedName name="opex_loading" localSheetId="37">[10]GA_BA!#REF!</definedName>
    <definedName name="opex_loading" localSheetId="39">[10]GA_BA!#REF!</definedName>
    <definedName name="opex_loading">[10]GA_BA!#REF!</definedName>
    <definedName name="option">'[3]Lookup|Tables'!$G$29</definedName>
    <definedName name="percent">'[4]Lookup|Tables'!$G$14</definedName>
    <definedName name="Pipelines_PL_Include" localSheetId="5">IF(CB_Pipelines_PL_Include=TRUE,1,0)</definedName>
    <definedName name="Pipelines_PL_Include" localSheetId="37">IF(CB_Pipelines_PL_Include=TRUE,1,0)</definedName>
    <definedName name="Pipelines_PL_Include" localSheetId="39">IF(CB_Pipelines_PL_Include=TRUE,1,0)</definedName>
    <definedName name="Pipelines_PL_Include">IF(CB_Pipelines_PL_Include=TRUE,1,0)</definedName>
    <definedName name="PRCP">'[12]AGN business details'!$C$41:$G$41</definedName>
    <definedName name="PRCP_y1">'[12]AGN business details'!$C$41</definedName>
    <definedName name="PRCP_y2">'[12]AGN business details'!$D$41</definedName>
    <definedName name="PRCP_y3">'[12]AGN business details'!$E$41</definedName>
    <definedName name="PRCP_y4">'[12]AGN business details'!$F$41</definedName>
    <definedName name="PRCP_y5">'[12]AGN business details'!$G$41</definedName>
    <definedName name="_xlnm.Print_Titles" localSheetId="5">#REF!</definedName>
    <definedName name="_xlnm.Print_Titles" localSheetId="37">#REF!</definedName>
    <definedName name="_xlnm.Print_Titles" localSheetId="39">#REF!</definedName>
    <definedName name="_xlnm.Print_Titles">#REF!</definedName>
    <definedName name="Project_Cases">'[3]Lookup|Tables'!$G$44:$G$46</definedName>
    <definedName name="Project_Nature">'[3]Lookup|Tables'!$G$49:$G$54</definedName>
    <definedName name="RCP_1to5">"2015-16 to 2019-20"</definedName>
    <definedName name="Real_Base">'[3]Lookup|Tables'!$G$37</definedName>
    <definedName name="Real_Period">[10]GA_BA!$I$11</definedName>
    <definedName name="Real_Reg_WACC" localSheetId="5">[10]GA_BA!#REF!</definedName>
    <definedName name="Real_Reg_WACC" localSheetId="37">[10]GA_BA!#REF!</definedName>
    <definedName name="Real_Reg_WACC" localSheetId="39">[10]GA_BA!#REF!</definedName>
    <definedName name="Real_Reg_WACC">[10]GA_BA!#REF!</definedName>
    <definedName name="Real_to_Nominal">'[4]Input|Escalators'!$C$19:$C$25</definedName>
    <definedName name="Real_to_Nominal_RY">'[3]Calc|Inflation Indexes'!$C$24:$C$35</definedName>
    <definedName name="Real_Year">'[3]Input|Assumptions'!$G$12</definedName>
    <definedName name="Recover">[21]Macro1!$A$52</definedName>
    <definedName name="Rf">[22]Input!$G$187</definedName>
    <definedName name="SAPCrosstab4" localSheetId="5">#REF!</definedName>
    <definedName name="SAPCrosstab4" localSheetId="37">#REF!</definedName>
    <definedName name="SAPCrosstab4">#REF!</definedName>
    <definedName name="sbv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af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rdf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elect" localSheetId="5">#REF!</definedName>
    <definedName name="Select" localSheetId="37">#REF!</definedName>
    <definedName name="Select" localSheetId="39">#REF!</definedName>
    <definedName name="Select">#REF!</definedName>
    <definedName name="sencount" hidden="1">2</definedName>
    <definedName name="service_life" localSheetId="5">[10]GA_BA!#REF!</definedName>
    <definedName name="service_life" localSheetId="37">[10]GA_BA!#REF!</definedName>
    <definedName name="service_life" localSheetId="39">[10]GA_BA!#REF!</definedName>
    <definedName name="service_life">[10]GA_BA!#REF!</definedName>
    <definedName name="SGAAP_Cat" localSheetId="5">[5]TB_Act_FA!#REF!</definedName>
    <definedName name="SGAAP_Cat" localSheetId="37">[5]TB_Act_FA!#REF!</definedName>
    <definedName name="SGAAP_Cat" localSheetId="39">[5]TB_Act_FA!#REF!</definedName>
    <definedName name="SGAAP_Cat">[5]TB_Act_FA!#REF!</definedName>
    <definedName name="SheetHeader">'[12]AGN business details'!$B$1</definedName>
    <definedName name="Start_Period">[10]GA_BA!$I$8</definedName>
    <definedName name="TableName">"Dummy"</definedName>
    <definedName name="tax_rate" localSheetId="5">[10]GA_BA!#REF!</definedName>
    <definedName name="tax_rate" localSheetId="37">[10]GA_BA!#REF!</definedName>
    <definedName name="tax_rate" localSheetId="39">[10]GA_BA!#REF!</definedName>
    <definedName name="tax_rate">[10]GA_BA!#REF!</definedName>
    <definedName name="thousands">'[3]Lookup|Tables'!$G$11</definedName>
    <definedName name="TJ">'[4]Lookup|Tables'!$G$20</definedName>
    <definedName name="TM1REBUILDOPTION">1</definedName>
    <definedName name="TOOLBAR_NAME">"Auto1_Tools"</definedName>
    <definedName name="UED_PL_Include" localSheetId="5">IF(CB_UED_PL_Include=TRUE,1,0)</definedName>
    <definedName name="UED_PL_Include" localSheetId="37">IF(CB_UED_PL_Include=TRUE,1,0)</definedName>
    <definedName name="UED_PL_Include" localSheetId="39">IF(CB_UED_PL_Include=TRUE,1,0)</definedName>
    <definedName name="UED_PL_Include">IF(CB_UED_PL_Include=TRUE,1,0)</definedName>
    <definedName name="vCube" hidden="1">#REF!</definedName>
    <definedName name="vFormulas" hidden="1">#REF!</definedName>
    <definedName name="vGetRange" hidden="1">#REF!</definedName>
    <definedName name="VicHub_PL_Include" localSheetId="5">IF(CB_VicHub_PL_Include=TRUE,1,0)</definedName>
    <definedName name="VicHub_PL_Include" localSheetId="37">IF(CB_VicHub_PL_Include=TRUE,1,0)</definedName>
    <definedName name="VicHub_PL_Include" localSheetId="39">IF(CB_VicHub_PL_Include=TRUE,1,0)</definedName>
    <definedName name="VicHub_PL_Include">IF(CB_VicHub_PL_Include=TRUE,1,0)</definedName>
    <definedName name="vPasteBackFrom" hidden="1">#REF!</definedName>
    <definedName name="vPasteBackTo" hidden="1">#REF!</definedName>
    <definedName name="vProjectEntry" hidden="1">#REF!</definedName>
    <definedName name="vProjectPaste" hidden="1">#REF!</definedName>
    <definedName name="vSendStatus" hidden="1">#REF!</definedName>
    <definedName name="vServer" hidden="1">#REF!</definedName>
    <definedName name="Wages_CPI_Index">[17]Inflation_Fcast_FA!$J$39:$BN$39</definedName>
    <definedName name="wrn.Print._.Summary.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Summary.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TEST." hidden="1">{#N/A,#N/A,FALSE,"MGH income-Support";#N/A,#N/A,FALSE,"MGN balance sheet-Support"}</definedName>
    <definedName name="wrn.UEG._.Operating._.Report.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report.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YE_Mth_No">[9]Date_BA!$I$8</definedName>
    <definedName name="YE_Mth_Number">[10]GA_BA!$I$9</definedName>
    <definedName name="YEAR">[15]Outcomes!$B$3</definedName>
    <definedName name="Yr_Fcast_Amts">[9]Date_BA!$I$16</definedName>
    <definedName name="Z_194E5B9A_53B1_414D_85B4_862268EA3FD8_.wvu.Cols" hidden="1">#REF!,#REF!</definedName>
    <definedName name="Z_457C99E0_B489_11D4_9586_D18A69491E44_.wvu.FilterData" hidden="1">[1]DataAct!#REF!</definedName>
    <definedName name="Z_4A79B72B_DC22_4363_885C_85183B73F539_.wvu.Cols" hidden="1">'[23]Inputs II'!$D$1:$F$65536,'[23]Inputs II'!$G$1:$I$65536</definedName>
    <definedName name="Z_6664BF98_58A8_4AA7_B274_16B63D099514_.wvu.PrintTitles" hidden="1">#REF!</definedName>
    <definedName name="Z_6664BF98_58A8_4AA7_B274_16B63D099514_.wvu.Rows" hidden="1">#REF!</definedName>
    <definedName name="Z_7BA556F5_54D8_11D5_A01A_F3F642D11487_.wvu.PrintTitles" hidden="1">#REF!</definedName>
    <definedName name="Z_82A713E0_6943_11D4_BE9F_0010A4B0D9C7_.wvu.Cols" hidden="1">#REF!</definedName>
    <definedName name="Z_82A713E0_6943_11D4_BE9F_0010A4B0D9C7_.wvu.Rows" hidden="1">#REF!,#REF!</definedName>
    <definedName name="Z_86D17A40_67AF_11D4_BE9F_0010A4C47286_.wvu.FilterData" hidden="1">[1]DataAct!#REF!</definedName>
    <definedName name="Z_86D17A4F_67AF_11D4_BE9F_0010A4C47286_.wvu.FilterData" hidden="1">[1]DataAct!#REF!</definedName>
    <definedName name="Z_954171C1_B0CF_11D4_9586_C4C4470EA652_.wvu.FilterData" hidden="1">[1]DataAct!#REF!</definedName>
    <definedName name="Z_954171C6_B0CF_11D4_9586_C4C4470EA652_.wvu.FilterData" hidden="1">[1]DataAct!#REF!</definedName>
    <definedName name="Z_B353C461_E47E_11D3_9F17_9F7735ADF445_.wvu.PrintArea" hidden="1">#REF!</definedName>
    <definedName name="Z_B6615E22_B0C4_11D4_9586_D4E81DC95A44_.wvu.FilterData" hidden="1">[1]DataAct!#REF!</definedName>
    <definedName name="Z_CFB7B7F4_1D0A_11D5_9586_DD7024B77949_.wvu.FilterData" hidden="1">[1]DataAct!#REF!</definedName>
    <definedName name="ze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</definedNames>
  <calcPr calcId="145621"/>
</workbook>
</file>

<file path=xl/calcChain.xml><?xml version="1.0" encoding="utf-8"?>
<calcChain xmlns="http://schemas.openxmlformats.org/spreadsheetml/2006/main">
  <c r="Q339" i="44" l="1"/>
  <c r="Q340" i="44"/>
  <c r="P97" i="17" l="1"/>
  <c r="Q97" i="17"/>
  <c r="R97" i="17"/>
  <c r="S97" i="17"/>
  <c r="T97" i="17"/>
  <c r="U97" i="17"/>
  <c r="V97" i="17"/>
  <c r="P98" i="17"/>
  <c r="Q98" i="17"/>
  <c r="R98" i="17"/>
  <c r="S98" i="17"/>
  <c r="T98" i="17"/>
  <c r="U98" i="17"/>
  <c r="V98" i="17"/>
  <c r="P99" i="17"/>
  <c r="Q99" i="17"/>
  <c r="R99" i="17"/>
  <c r="S99" i="17"/>
  <c r="T99" i="17"/>
  <c r="U99" i="17"/>
  <c r="V99" i="17"/>
  <c r="P100" i="17"/>
  <c r="Q100" i="17"/>
  <c r="R100" i="17"/>
  <c r="S100" i="17"/>
  <c r="T100" i="17"/>
  <c r="U100" i="17"/>
  <c r="V100" i="17"/>
  <c r="T14" i="5" l="1"/>
  <c r="U17" i="5"/>
  <c r="T21" i="5" s="1"/>
  <c r="S21" i="5"/>
  <c r="S17" i="50"/>
  <c r="S19" i="50"/>
  <c r="S31" i="50"/>
  <c r="S33" i="50"/>
  <c r="S38" i="50"/>
  <c r="S15" i="50"/>
  <c r="T17" i="50"/>
  <c r="T19" i="50"/>
  <c r="T31" i="50"/>
  <c r="T33" i="50"/>
  <c r="T38" i="50"/>
  <c r="T15" i="50"/>
  <c r="Q69" i="43"/>
  <c r="Q187" i="43" s="1"/>
  <c r="I35" i="50" s="1"/>
  <c r="S35" i="50" s="1"/>
  <c r="T35" i="50" s="1"/>
  <c r="Q89" i="41"/>
  <c r="Q69" i="37"/>
  <c r="Q187" i="37"/>
  <c r="I31" i="50"/>
  <c r="Q207" i="41"/>
  <c r="I34" i="50" s="1"/>
  <c r="S34" i="50" s="1"/>
  <c r="T34" i="50" s="1"/>
  <c r="Q69" i="44"/>
  <c r="Q187" i="44" s="1"/>
  <c r="I36" i="50" s="1"/>
  <c r="S36" i="50" s="1"/>
  <c r="T36" i="50" s="1"/>
  <c r="Q69" i="45"/>
  <c r="Q187" i="45" s="1"/>
  <c r="I37" i="50" s="1"/>
  <c r="S37" i="50" s="1"/>
  <c r="T37" i="50" s="1"/>
  <c r="V32" i="20"/>
  <c r="V54" i="20" s="1"/>
  <c r="R31" i="48"/>
  <c r="R53" i="48" s="1"/>
  <c r="R69" i="48" s="1"/>
  <c r="R368" i="48"/>
  <c r="S31" i="6"/>
  <c r="S73" i="6" s="1"/>
  <c r="S89" i="6" s="1"/>
  <c r="S34" i="24"/>
  <c r="S76" i="24" s="1"/>
  <c r="S31" i="31"/>
  <c r="S53" i="31" s="1"/>
  <c r="S69" i="31" s="1"/>
  <c r="S31" i="33"/>
  <c r="S73" i="33" s="1"/>
  <c r="S32" i="37"/>
  <c r="S54" i="37" s="1"/>
  <c r="S34" i="37"/>
  <c r="S56" i="37" s="1"/>
  <c r="S36" i="37"/>
  <c r="S58" i="37" s="1"/>
  <c r="S35" i="38"/>
  <c r="S57" i="38" s="1"/>
  <c r="S69" i="38" s="1"/>
  <c r="S32" i="20"/>
  <c r="S54" i="20" s="1"/>
  <c r="S34" i="20"/>
  <c r="S56" i="20"/>
  <c r="S36" i="20"/>
  <c r="S58" i="20" s="1"/>
  <c r="S38" i="20"/>
  <c r="S60" i="20"/>
  <c r="S31" i="48"/>
  <c r="S53" i="48" s="1"/>
  <c r="S69" i="48" s="1"/>
  <c r="S369" i="48" s="1"/>
  <c r="S362" i="48"/>
  <c r="S365" i="6"/>
  <c r="S365" i="31"/>
  <c r="S365" i="48"/>
  <c r="S366" i="6"/>
  <c r="S366" i="38"/>
  <c r="S367" i="48"/>
  <c r="S368" i="31"/>
  <c r="S370" i="6"/>
  <c r="S371" i="48"/>
  <c r="S187" i="48"/>
  <c r="T31" i="6"/>
  <c r="T73" i="6"/>
  <c r="T89" i="6" s="1"/>
  <c r="T366" i="6" s="1"/>
  <c r="T362" i="6"/>
  <c r="T31" i="14"/>
  <c r="T73" i="14"/>
  <c r="T89" i="14" s="1"/>
  <c r="T364" i="14" s="1"/>
  <c r="T362" i="14"/>
  <c r="T34" i="24"/>
  <c r="T76" i="24"/>
  <c r="T89" i="28"/>
  <c r="T365" i="28" s="1"/>
  <c r="T362" i="28"/>
  <c r="T31" i="31"/>
  <c r="T53" i="31"/>
  <c r="T31" i="33"/>
  <c r="T73" i="33" s="1"/>
  <c r="T31" i="34"/>
  <c r="T73" i="34"/>
  <c r="T89" i="34" s="1"/>
  <c r="T31" i="35"/>
  <c r="T73" i="35"/>
  <c r="T89" i="35" s="1"/>
  <c r="T362" i="35"/>
  <c r="T31" i="37"/>
  <c r="T53" i="37"/>
  <c r="T32" i="37"/>
  <c r="T54" i="37"/>
  <c r="T101" i="37" s="1"/>
  <c r="T33" i="37"/>
  <c r="T55" i="37"/>
  <c r="T34" i="37"/>
  <c r="T56" i="37"/>
  <c r="T35" i="37"/>
  <c r="T57" i="37"/>
  <c r="T36" i="37"/>
  <c r="T58" i="37"/>
  <c r="T35" i="38"/>
  <c r="T57" i="38" s="1"/>
  <c r="T69" i="38" s="1"/>
  <c r="T363" i="38" s="1"/>
  <c r="T362" i="38"/>
  <c r="T31" i="43"/>
  <c r="T53" i="43"/>
  <c r="T69" i="43" s="1"/>
  <c r="T362" i="43"/>
  <c r="T31" i="44"/>
  <c r="T53" i="44"/>
  <c r="T69" i="44" s="1"/>
  <c r="T31" i="47"/>
  <c r="T53" i="47"/>
  <c r="T69" i="47" s="1"/>
  <c r="T362" i="47"/>
  <c r="T31" i="20"/>
  <c r="T53" i="20"/>
  <c r="T32" i="20"/>
  <c r="T54" i="20"/>
  <c r="T33" i="20"/>
  <c r="T55" i="20"/>
  <c r="T102" i="20" s="1"/>
  <c r="T34" i="20"/>
  <c r="T56" i="20"/>
  <c r="T80" i="20" s="1"/>
  <c r="T35" i="20"/>
  <c r="T57" i="20"/>
  <c r="T36" i="20"/>
  <c r="T58" i="20"/>
  <c r="T82" i="20" s="1"/>
  <c r="T37" i="20"/>
  <c r="T59" i="20"/>
  <c r="T38" i="20"/>
  <c r="T60" i="20"/>
  <c r="T31" i="48"/>
  <c r="T53" i="48" s="1"/>
  <c r="T69" i="48" s="1"/>
  <c r="T365" i="48" s="1"/>
  <c r="T362" i="48"/>
  <c r="T363" i="6"/>
  <c r="T363" i="14"/>
  <c r="T363" i="28"/>
  <c r="T363" i="35"/>
  <c r="T363" i="47"/>
  <c r="T364" i="6"/>
  <c r="T364" i="28"/>
  <c r="T364" i="43"/>
  <c r="T365" i="6"/>
  <c r="T365" i="14"/>
  <c r="T365" i="34"/>
  <c r="T365" i="38"/>
  <c r="T365" i="44"/>
  <c r="T366" i="14"/>
  <c r="T366" i="28"/>
  <c r="T366" i="35"/>
  <c r="T366" i="43"/>
  <c r="T366" i="47"/>
  <c r="T367" i="6"/>
  <c r="T367" i="14"/>
  <c r="T367" i="28"/>
  <c r="T367" i="35"/>
  <c r="T367" i="38"/>
  <c r="T368" i="6"/>
  <c r="T368" i="14"/>
  <c r="T368" i="28"/>
  <c r="T368" i="34"/>
  <c r="T368" i="43"/>
  <c r="T368" i="47"/>
  <c r="T368" i="48"/>
  <c r="T369" i="6"/>
  <c r="T369" i="14"/>
  <c r="T369" i="28"/>
  <c r="T369" i="35"/>
  <c r="T369" i="38"/>
  <c r="T370" i="6"/>
  <c r="T370" i="14"/>
  <c r="T370" i="28"/>
  <c r="T370" i="34"/>
  <c r="T370" i="43"/>
  <c r="T370" i="47"/>
  <c r="T370" i="48"/>
  <c r="T371" i="6"/>
  <c r="T371" i="14"/>
  <c r="T371" i="28"/>
  <c r="T371" i="35"/>
  <c r="T371" i="38"/>
  <c r="T372" i="6"/>
  <c r="T372" i="14"/>
  <c r="T372" i="28"/>
  <c r="T372" i="34"/>
  <c r="T372" i="43"/>
  <c r="T372" i="47"/>
  <c r="T372" i="48"/>
  <c r="T207" i="6"/>
  <c r="L15" i="50"/>
  <c r="T207" i="14"/>
  <c r="L17" i="50"/>
  <c r="T207" i="28"/>
  <c r="L23" i="50"/>
  <c r="U31" i="6"/>
  <c r="U73" i="6" s="1"/>
  <c r="U89" i="6"/>
  <c r="U31" i="14"/>
  <c r="U73" i="14" s="1"/>
  <c r="U89" i="24"/>
  <c r="U34" i="24"/>
  <c r="U76" i="24" s="1"/>
  <c r="U89" i="28"/>
  <c r="U89" i="29"/>
  <c r="U31" i="31"/>
  <c r="U53" i="31" s="1"/>
  <c r="U31" i="33"/>
  <c r="U73" i="33" s="1"/>
  <c r="U31" i="34"/>
  <c r="U73" i="34" s="1"/>
  <c r="U89" i="34"/>
  <c r="U282" i="34" s="1"/>
  <c r="U31" i="35"/>
  <c r="U73" i="35" s="1"/>
  <c r="U89" i="35"/>
  <c r="U31" i="37"/>
  <c r="U53" i="37" s="1"/>
  <c r="U32" i="37"/>
  <c r="U54" i="37" s="1"/>
  <c r="U33" i="37"/>
  <c r="U55" i="37" s="1"/>
  <c r="U34" i="37"/>
  <c r="U56" i="37" s="1"/>
  <c r="U35" i="37"/>
  <c r="U57" i="37" s="1"/>
  <c r="U36" i="37"/>
  <c r="U58" i="37" s="1"/>
  <c r="U35" i="38"/>
  <c r="U57" i="38" s="1"/>
  <c r="U69" i="38" s="1"/>
  <c r="U31" i="43"/>
  <c r="U53" i="43" s="1"/>
  <c r="U69" i="43"/>
  <c r="U365" i="43" s="1"/>
  <c r="U31" i="44"/>
  <c r="U53" i="44" s="1"/>
  <c r="U69" i="44"/>
  <c r="U31" i="47"/>
  <c r="U53" i="47" s="1"/>
  <c r="U69" i="47"/>
  <c r="U285" i="47" s="1"/>
  <c r="U31" i="20"/>
  <c r="U53" i="20" s="1"/>
  <c r="U32" i="20"/>
  <c r="U54" i="20" s="1"/>
  <c r="U33" i="20"/>
  <c r="U55" i="20" s="1"/>
  <c r="U34" i="20"/>
  <c r="U56" i="20" s="1"/>
  <c r="U35" i="20"/>
  <c r="U57" i="20" s="1"/>
  <c r="U36" i="20"/>
  <c r="U58" i="20" s="1"/>
  <c r="U37" i="20"/>
  <c r="U59" i="20" s="1"/>
  <c r="U38" i="20"/>
  <c r="U60" i="20" s="1"/>
  <c r="U31" i="48"/>
  <c r="U53" i="48" s="1"/>
  <c r="U69" i="48" s="1"/>
  <c r="U365" i="48" s="1"/>
  <c r="U363" i="28"/>
  <c r="U364" i="6"/>
  <c r="U364" i="29"/>
  <c r="U364" i="38"/>
  <c r="U367" i="28"/>
  <c r="U368" i="6"/>
  <c r="U368" i="29"/>
  <c r="U368" i="38"/>
  <c r="U369" i="48"/>
  <c r="U371" i="28"/>
  <c r="U372" i="6"/>
  <c r="U372" i="29"/>
  <c r="U372" i="38"/>
  <c r="U207" i="6"/>
  <c r="M15" i="50" s="1"/>
  <c r="U207" i="29"/>
  <c r="M24" i="50" s="1"/>
  <c r="U187" i="38"/>
  <c r="M32" i="50" s="1"/>
  <c r="M12" i="19"/>
  <c r="U77" i="112"/>
  <c r="U76" i="112"/>
  <c r="BA309" i="44"/>
  <c r="T17" i="5"/>
  <c r="V56" i="24"/>
  <c r="U56" i="24"/>
  <c r="T56" i="24"/>
  <c r="R56" i="24"/>
  <c r="Q56" i="24"/>
  <c r="V55" i="24"/>
  <c r="U55" i="24"/>
  <c r="T55" i="24"/>
  <c r="S55" i="24"/>
  <c r="R55" i="24"/>
  <c r="Q55" i="24"/>
  <c r="R52" i="14"/>
  <c r="S52" i="14"/>
  <c r="T52" i="14"/>
  <c r="U52" i="14"/>
  <c r="V52" i="14"/>
  <c r="Q52" i="14"/>
  <c r="T32" i="5"/>
  <c r="T35" i="5"/>
  <c r="U32" i="5"/>
  <c r="U35" i="5"/>
  <c r="V35" i="5"/>
  <c r="T33" i="5"/>
  <c r="T36" i="5"/>
  <c r="U33" i="5"/>
  <c r="U36" i="5"/>
  <c r="V36" i="5"/>
  <c r="W36" i="5"/>
  <c r="X36" i="5"/>
  <c r="Y36" i="5"/>
  <c r="T42" i="5"/>
  <c r="F10" i="48"/>
  <c r="G10" i="48"/>
  <c r="V32" i="5"/>
  <c r="V33" i="5"/>
  <c r="W32" i="5"/>
  <c r="W33" i="5"/>
  <c r="X32" i="5"/>
  <c r="X33" i="5"/>
  <c r="Y32" i="5"/>
  <c r="Y33" i="5"/>
  <c r="Q31" i="43"/>
  <c r="R52" i="41"/>
  <c r="S52" i="41"/>
  <c r="T52" i="41"/>
  <c r="U52" i="41"/>
  <c r="V52" i="41"/>
  <c r="Q52" i="41"/>
  <c r="R52" i="40"/>
  <c r="S52" i="40"/>
  <c r="T52" i="40"/>
  <c r="U52" i="40"/>
  <c r="V52" i="40"/>
  <c r="Q52" i="40"/>
  <c r="Q36" i="37"/>
  <c r="Q35" i="37"/>
  <c r="Q34" i="37"/>
  <c r="Q33" i="37"/>
  <c r="Q32" i="37"/>
  <c r="F10" i="35"/>
  <c r="G10" i="35"/>
  <c r="Q31" i="37"/>
  <c r="R52" i="35"/>
  <c r="S52" i="35"/>
  <c r="T52" i="35"/>
  <c r="U52" i="35"/>
  <c r="V52" i="35"/>
  <c r="Q52" i="35"/>
  <c r="R52" i="34"/>
  <c r="S52" i="34"/>
  <c r="T52" i="34"/>
  <c r="U52" i="34"/>
  <c r="V52" i="34"/>
  <c r="Q52" i="34"/>
  <c r="F10" i="34"/>
  <c r="G10" i="34"/>
  <c r="V52" i="33"/>
  <c r="U52" i="33"/>
  <c r="T52" i="33"/>
  <c r="S52" i="33"/>
  <c r="R52" i="33"/>
  <c r="Q52" i="33"/>
  <c r="F10" i="33"/>
  <c r="G10" i="33"/>
  <c r="V59" i="30"/>
  <c r="U59" i="30"/>
  <c r="T59" i="30"/>
  <c r="S59" i="30"/>
  <c r="R59" i="30"/>
  <c r="Q59" i="30"/>
  <c r="V58" i="30"/>
  <c r="U58" i="30"/>
  <c r="T58" i="30"/>
  <c r="S58" i="30"/>
  <c r="R58" i="30"/>
  <c r="Q58" i="30"/>
  <c r="V57" i="30"/>
  <c r="U57" i="30"/>
  <c r="T57" i="30"/>
  <c r="S57" i="30"/>
  <c r="R57" i="30"/>
  <c r="Q57" i="30"/>
  <c r="V56" i="30"/>
  <c r="U56" i="30"/>
  <c r="T56" i="30"/>
  <c r="S56" i="30"/>
  <c r="R56" i="30"/>
  <c r="Q56" i="30"/>
  <c r="V55" i="30"/>
  <c r="U55" i="30"/>
  <c r="T55" i="30"/>
  <c r="S55" i="30"/>
  <c r="R55" i="30"/>
  <c r="Q55" i="30"/>
  <c r="V54" i="30"/>
  <c r="U54" i="30"/>
  <c r="T54" i="30"/>
  <c r="S54" i="30"/>
  <c r="R54" i="30"/>
  <c r="Q54" i="30"/>
  <c r="V53" i="30"/>
  <c r="U53" i="30"/>
  <c r="T53" i="30"/>
  <c r="S53" i="30"/>
  <c r="R53" i="30"/>
  <c r="Q53" i="30"/>
  <c r="V52" i="30"/>
  <c r="U52" i="30"/>
  <c r="T52" i="30"/>
  <c r="S52" i="30"/>
  <c r="R52" i="30"/>
  <c r="Q52" i="30"/>
  <c r="F10" i="28"/>
  <c r="G10" i="28"/>
  <c r="F13" i="24"/>
  <c r="G13" i="24"/>
  <c r="F14" i="24"/>
  <c r="G14" i="24"/>
  <c r="F10" i="6"/>
  <c r="G10" i="6"/>
  <c r="R52" i="6"/>
  <c r="F10" i="12"/>
  <c r="G10" i="12"/>
  <c r="F11" i="12"/>
  <c r="G11" i="12"/>
  <c r="F12" i="12"/>
  <c r="G12" i="12"/>
  <c r="F13" i="12"/>
  <c r="G13" i="12"/>
  <c r="F10" i="14"/>
  <c r="G10" i="14"/>
  <c r="F10" i="15"/>
  <c r="G10" i="15"/>
  <c r="F11" i="15"/>
  <c r="G11" i="15"/>
  <c r="F12" i="15"/>
  <c r="G12" i="15"/>
  <c r="F13" i="15"/>
  <c r="G13" i="15"/>
  <c r="F10" i="17"/>
  <c r="G10" i="17"/>
  <c r="F11" i="17"/>
  <c r="G11" i="17"/>
  <c r="F12" i="17"/>
  <c r="G12" i="17"/>
  <c r="F13" i="17"/>
  <c r="G13" i="17"/>
  <c r="F10" i="24"/>
  <c r="G10" i="24"/>
  <c r="F11" i="24"/>
  <c r="G11" i="24"/>
  <c r="F12" i="24"/>
  <c r="G12" i="24"/>
  <c r="R77" i="24"/>
  <c r="F10" i="25"/>
  <c r="G10" i="25"/>
  <c r="F10" i="29"/>
  <c r="G10" i="29"/>
  <c r="F10" i="30"/>
  <c r="G10" i="30"/>
  <c r="F11" i="30"/>
  <c r="G11" i="30"/>
  <c r="F12" i="30"/>
  <c r="G12" i="30"/>
  <c r="F13" i="30"/>
  <c r="G13" i="30"/>
  <c r="F14" i="30"/>
  <c r="G14" i="30"/>
  <c r="F15" i="30"/>
  <c r="G15" i="30"/>
  <c r="F16" i="30"/>
  <c r="G16" i="30"/>
  <c r="F17" i="30"/>
  <c r="G17" i="30"/>
  <c r="F10" i="31"/>
  <c r="G10" i="31"/>
  <c r="F10" i="32"/>
  <c r="G10" i="32"/>
  <c r="F11" i="32"/>
  <c r="G11" i="32"/>
  <c r="F12" i="32"/>
  <c r="G12" i="32"/>
  <c r="F11" i="33"/>
  <c r="G11" i="33"/>
  <c r="F10" i="37"/>
  <c r="G10" i="37"/>
  <c r="F11" i="37"/>
  <c r="G11" i="37"/>
  <c r="F12" i="37"/>
  <c r="G12" i="37"/>
  <c r="F13" i="37"/>
  <c r="G13" i="37"/>
  <c r="F14" i="37"/>
  <c r="G14" i="37"/>
  <c r="F15" i="37"/>
  <c r="G15" i="37"/>
  <c r="F14" i="38"/>
  <c r="G14" i="38"/>
  <c r="F10" i="40"/>
  <c r="G10" i="40"/>
  <c r="F10" i="41"/>
  <c r="G10" i="41"/>
  <c r="F10" i="43"/>
  <c r="G10" i="43"/>
  <c r="F10" i="44"/>
  <c r="G10" i="44"/>
  <c r="F10" i="45"/>
  <c r="G10" i="45"/>
  <c r="F10" i="47"/>
  <c r="G10" i="47"/>
  <c r="F10" i="20"/>
  <c r="G10" i="20"/>
  <c r="F11" i="20"/>
  <c r="G11" i="20"/>
  <c r="F12" i="20"/>
  <c r="G12" i="20"/>
  <c r="F13" i="20"/>
  <c r="G13" i="20"/>
  <c r="F14" i="20"/>
  <c r="G14" i="20"/>
  <c r="F15" i="20"/>
  <c r="G15" i="20"/>
  <c r="F16" i="20"/>
  <c r="G16" i="20"/>
  <c r="F17" i="20"/>
  <c r="G17" i="20"/>
  <c r="F18" i="20"/>
  <c r="G18" i="20"/>
  <c r="R73" i="16"/>
  <c r="R89" i="16"/>
  <c r="R362" i="16"/>
  <c r="R69" i="46"/>
  <c r="R362" i="46"/>
  <c r="R363" i="16"/>
  <c r="R363" i="46"/>
  <c r="R364" i="16"/>
  <c r="R364" i="46"/>
  <c r="R365" i="16"/>
  <c r="R365" i="46"/>
  <c r="R366" i="16"/>
  <c r="R366" i="46"/>
  <c r="R367" i="16"/>
  <c r="R367" i="46"/>
  <c r="R368" i="16"/>
  <c r="R368" i="46"/>
  <c r="R369" i="16"/>
  <c r="R369" i="46"/>
  <c r="R370" i="16"/>
  <c r="R370" i="46"/>
  <c r="R371" i="16"/>
  <c r="R371" i="46"/>
  <c r="R372" i="16"/>
  <c r="R372" i="46"/>
  <c r="R207" i="16"/>
  <c r="J19" i="50"/>
  <c r="R187" i="46"/>
  <c r="J38" i="50"/>
  <c r="M29" i="19"/>
  <c r="N29" i="19"/>
  <c r="O29" i="19"/>
  <c r="R65" i="19"/>
  <c r="R66" i="19"/>
  <c r="R67" i="19"/>
  <c r="R68" i="19"/>
  <c r="R70" i="19"/>
  <c r="R71" i="19"/>
  <c r="R72" i="19"/>
  <c r="R73" i="19"/>
  <c r="R84" i="19"/>
  <c r="R85" i="19"/>
  <c r="R86" i="19"/>
  <c r="R87" i="19"/>
  <c r="R89" i="19"/>
  <c r="R90" i="19"/>
  <c r="R91" i="19"/>
  <c r="R92" i="19"/>
  <c r="R188" i="48"/>
  <c r="R232" i="38"/>
  <c r="R374" i="38"/>
  <c r="R232" i="47"/>
  <c r="R374" i="47"/>
  <c r="R252" i="6"/>
  <c r="R374" i="6"/>
  <c r="R252" i="12"/>
  <c r="R374" i="12"/>
  <c r="R252" i="14"/>
  <c r="R374" i="14"/>
  <c r="R252" i="15"/>
  <c r="R374" i="15"/>
  <c r="R252" i="16"/>
  <c r="R374" i="16"/>
  <c r="R252" i="17"/>
  <c r="R374" i="17"/>
  <c r="R252" i="24"/>
  <c r="R374" i="24"/>
  <c r="R252" i="25"/>
  <c r="R374" i="25"/>
  <c r="R252" i="28"/>
  <c r="R374" i="28"/>
  <c r="R252" i="29"/>
  <c r="R374" i="29"/>
  <c r="R252" i="30"/>
  <c r="R374" i="30"/>
  <c r="R232" i="31"/>
  <c r="R374" i="31"/>
  <c r="R252" i="32"/>
  <c r="R374" i="32"/>
  <c r="R252" i="33"/>
  <c r="R374" i="33"/>
  <c r="R252" i="34"/>
  <c r="R374" i="34"/>
  <c r="R252" i="35"/>
  <c r="R374" i="35"/>
  <c r="R232" i="37"/>
  <c r="R374" i="37"/>
  <c r="R252" i="40"/>
  <c r="R374" i="40"/>
  <c r="R252" i="41"/>
  <c r="R374" i="41"/>
  <c r="R232" i="43"/>
  <c r="R374" i="43"/>
  <c r="R232" i="44"/>
  <c r="R374" i="44"/>
  <c r="R232" i="45"/>
  <c r="R374" i="45"/>
  <c r="R232" i="46"/>
  <c r="R374" i="46"/>
  <c r="R232" i="20"/>
  <c r="R374" i="20"/>
  <c r="R232" i="48"/>
  <c r="R374" i="48"/>
  <c r="J26" i="55"/>
  <c r="S52" i="6"/>
  <c r="S73" i="16"/>
  <c r="S89" i="16"/>
  <c r="S362" i="16"/>
  <c r="S69" i="46"/>
  <c r="S362" i="46"/>
  <c r="S363" i="16"/>
  <c r="S363" i="46"/>
  <c r="S364" i="16"/>
  <c r="S364" i="46"/>
  <c r="S365" i="16"/>
  <c r="S365" i="46"/>
  <c r="S366" i="16"/>
  <c r="S366" i="46"/>
  <c r="S367" i="16"/>
  <c r="S367" i="46"/>
  <c r="S368" i="16"/>
  <c r="S368" i="46"/>
  <c r="S369" i="16"/>
  <c r="S369" i="46"/>
  <c r="S370" i="16"/>
  <c r="S370" i="46"/>
  <c r="S371" i="16"/>
  <c r="S371" i="46"/>
  <c r="S372" i="16"/>
  <c r="S372" i="46"/>
  <c r="S207" i="16"/>
  <c r="K19" i="50"/>
  <c r="S187" i="46"/>
  <c r="K38" i="50"/>
  <c r="S65" i="19"/>
  <c r="S66" i="19"/>
  <c r="S67" i="19"/>
  <c r="S68" i="19"/>
  <c r="S70" i="19"/>
  <c r="S72" i="19"/>
  <c r="S84" i="19"/>
  <c r="S85" i="19"/>
  <c r="S86" i="19"/>
  <c r="S87" i="19"/>
  <c r="S89" i="19"/>
  <c r="S91" i="19"/>
  <c r="S188" i="48"/>
  <c r="S232" i="38"/>
  <c r="S374" i="38"/>
  <c r="S232" i="47"/>
  <c r="S374" i="47"/>
  <c r="S252" i="6"/>
  <c r="S374" i="6"/>
  <c r="S252" i="12"/>
  <c r="S374" i="12"/>
  <c r="S252" i="14"/>
  <c r="S374" i="14"/>
  <c r="S252" i="15"/>
  <c r="S374" i="15"/>
  <c r="S252" i="16"/>
  <c r="S374" i="16"/>
  <c r="S252" i="17"/>
  <c r="S374" i="17"/>
  <c r="S252" i="24"/>
  <c r="S374" i="24"/>
  <c r="S252" i="25"/>
  <c r="S374" i="25"/>
  <c r="S252" i="28"/>
  <c r="S374" i="28"/>
  <c r="S252" i="29"/>
  <c r="S374" i="29"/>
  <c r="S252" i="30"/>
  <c r="S374" i="30"/>
  <c r="S232" i="31"/>
  <c r="S374" i="31"/>
  <c r="S252" i="32"/>
  <c r="S374" i="32"/>
  <c r="S252" i="33"/>
  <c r="S374" i="33"/>
  <c r="S252" i="34"/>
  <c r="S374" i="34"/>
  <c r="S252" i="35"/>
  <c r="S374" i="35"/>
  <c r="S232" i="37"/>
  <c r="S374" i="37"/>
  <c r="S252" i="40"/>
  <c r="S374" i="40"/>
  <c r="S252" i="41"/>
  <c r="S374" i="41"/>
  <c r="S232" i="43"/>
  <c r="S374" i="43"/>
  <c r="S232" i="44"/>
  <c r="S374" i="44"/>
  <c r="S232" i="45"/>
  <c r="S374" i="45"/>
  <c r="S232" i="46"/>
  <c r="S374" i="46"/>
  <c r="S232" i="20"/>
  <c r="S374" i="20"/>
  <c r="S232" i="48"/>
  <c r="S374" i="48"/>
  <c r="K26" i="55"/>
  <c r="T52" i="6"/>
  <c r="T77" i="24"/>
  <c r="T73" i="16"/>
  <c r="T89" i="16"/>
  <c r="T362" i="16"/>
  <c r="T69" i="46"/>
  <c r="T362" i="46"/>
  <c r="T363" i="16"/>
  <c r="T363" i="46"/>
  <c r="T364" i="16"/>
  <c r="T364" i="46"/>
  <c r="T365" i="16"/>
  <c r="T365" i="46"/>
  <c r="T366" i="16"/>
  <c r="T366" i="46"/>
  <c r="T367" i="16"/>
  <c r="T367" i="46"/>
  <c r="T368" i="16"/>
  <c r="T368" i="46"/>
  <c r="T369" i="16"/>
  <c r="T369" i="46"/>
  <c r="T370" i="16"/>
  <c r="T370" i="46"/>
  <c r="T371" i="16"/>
  <c r="T371" i="46"/>
  <c r="T372" i="16"/>
  <c r="T372" i="46"/>
  <c r="T207" i="16"/>
  <c r="L19" i="50"/>
  <c r="T187" i="46"/>
  <c r="L38" i="50"/>
  <c r="T65" i="19"/>
  <c r="T66" i="19"/>
  <c r="T67" i="19"/>
  <c r="T68" i="19"/>
  <c r="T70" i="19"/>
  <c r="T72" i="19"/>
  <c r="T84" i="19"/>
  <c r="T85" i="19"/>
  <c r="T86" i="19"/>
  <c r="T87" i="19"/>
  <c r="T89" i="19"/>
  <c r="T91" i="19"/>
  <c r="T188" i="48"/>
  <c r="T232" i="38"/>
  <c r="T374" i="38"/>
  <c r="T232" i="47"/>
  <c r="T374" i="47"/>
  <c r="T252" i="6"/>
  <c r="T374" i="6"/>
  <c r="T252" i="12"/>
  <c r="T374" i="12"/>
  <c r="T252" i="14"/>
  <c r="T374" i="14"/>
  <c r="T252" i="15"/>
  <c r="T374" i="15"/>
  <c r="T252" i="16"/>
  <c r="T374" i="16"/>
  <c r="T252" i="17"/>
  <c r="T374" i="17"/>
  <c r="T252" i="24"/>
  <c r="T374" i="24"/>
  <c r="T252" i="25"/>
  <c r="T374" i="25"/>
  <c r="T252" i="28"/>
  <c r="T374" i="28"/>
  <c r="T252" i="29"/>
  <c r="T374" i="29"/>
  <c r="T252" i="30"/>
  <c r="T374" i="30"/>
  <c r="T232" i="31"/>
  <c r="T374" i="31"/>
  <c r="T252" i="32"/>
  <c r="T374" i="32"/>
  <c r="T252" i="33"/>
  <c r="T374" i="33"/>
  <c r="T252" i="34"/>
  <c r="T374" i="34"/>
  <c r="T252" i="35"/>
  <c r="T374" i="35"/>
  <c r="T232" i="37"/>
  <c r="T374" i="37"/>
  <c r="T252" i="40"/>
  <c r="T374" i="40"/>
  <c r="T252" i="41"/>
  <c r="T374" i="41"/>
  <c r="T232" i="43"/>
  <c r="T374" i="43"/>
  <c r="T232" i="44"/>
  <c r="T374" i="44"/>
  <c r="T232" i="45"/>
  <c r="T374" i="45"/>
  <c r="T232" i="46"/>
  <c r="T374" i="46"/>
  <c r="T232" i="20"/>
  <c r="T374" i="20"/>
  <c r="T232" i="48"/>
  <c r="T374" i="48"/>
  <c r="L26" i="55"/>
  <c r="U52" i="6"/>
  <c r="U77" i="24"/>
  <c r="U73" i="16"/>
  <c r="U89" i="16"/>
  <c r="U362" i="16"/>
  <c r="U69" i="46"/>
  <c r="U362" i="46"/>
  <c r="U363" i="16"/>
  <c r="U363" i="46"/>
  <c r="U364" i="16"/>
  <c r="U364" i="46"/>
  <c r="U365" i="16"/>
  <c r="U365" i="46"/>
  <c r="U366" i="16"/>
  <c r="U366" i="46"/>
  <c r="U367" i="16"/>
  <c r="U367" i="46"/>
  <c r="U368" i="16"/>
  <c r="U368" i="46"/>
  <c r="U369" i="16"/>
  <c r="U369" i="46"/>
  <c r="U370" i="16"/>
  <c r="U370" i="46"/>
  <c r="U371" i="16"/>
  <c r="U371" i="46"/>
  <c r="U372" i="16"/>
  <c r="U372" i="46"/>
  <c r="U207" i="16"/>
  <c r="M19" i="50"/>
  <c r="U187" i="46"/>
  <c r="M38" i="50"/>
  <c r="U65" i="19"/>
  <c r="U66" i="19"/>
  <c r="U67" i="19"/>
  <c r="U68" i="19"/>
  <c r="U70" i="19"/>
  <c r="U72" i="19"/>
  <c r="U84" i="19"/>
  <c r="U85" i="19"/>
  <c r="U86" i="19"/>
  <c r="U87" i="19"/>
  <c r="U89" i="19"/>
  <c r="U91" i="19"/>
  <c r="U188" i="48"/>
  <c r="U232" i="38"/>
  <c r="U374" i="38"/>
  <c r="U232" i="47"/>
  <c r="U374" i="47"/>
  <c r="U252" i="6"/>
  <c r="U374" i="6"/>
  <c r="U252" i="12"/>
  <c r="U374" i="12"/>
  <c r="U252" i="14"/>
  <c r="U374" i="14"/>
  <c r="U252" i="15"/>
  <c r="U374" i="15"/>
  <c r="U252" i="16"/>
  <c r="U374" i="16"/>
  <c r="U252" i="17"/>
  <c r="U374" i="17"/>
  <c r="U252" i="24"/>
  <c r="U374" i="24"/>
  <c r="U252" i="25"/>
  <c r="U374" i="25"/>
  <c r="U252" i="28"/>
  <c r="U374" i="28"/>
  <c r="U252" i="29"/>
  <c r="U374" i="29"/>
  <c r="U252" i="30"/>
  <c r="U374" i="30"/>
  <c r="U232" i="31"/>
  <c r="U374" i="31"/>
  <c r="U252" i="32"/>
  <c r="U374" i="32"/>
  <c r="U252" i="33"/>
  <c r="U374" i="33"/>
  <c r="U252" i="34"/>
  <c r="U374" i="34"/>
  <c r="U252" i="35"/>
  <c r="U374" i="35"/>
  <c r="U232" i="37"/>
  <c r="U374" i="37"/>
  <c r="U252" i="40"/>
  <c r="U374" i="40"/>
  <c r="U252" i="41"/>
  <c r="U374" i="41"/>
  <c r="U232" i="43"/>
  <c r="U374" i="43"/>
  <c r="U232" i="44"/>
  <c r="U374" i="44"/>
  <c r="U232" i="45"/>
  <c r="U374" i="45"/>
  <c r="U232" i="46"/>
  <c r="U374" i="46"/>
  <c r="U232" i="20"/>
  <c r="U374" i="20"/>
  <c r="U232" i="48"/>
  <c r="U374" i="48"/>
  <c r="M26" i="55"/>
  <c r="V52" i="6"/>
  <c r="V77" i="24"/>
  <c r="V73" i="16"/>
  <c r="V89" i="16"/>
  <c r="V362" i="16"/>
  <c r="V69" i="46"/>
  <c r="V362" i="46"/>
  <c r="V363" i="16"/>
  <c r="V363" i="46"/>
  <c r="V364" i="16"/>
  <c r="V364" i="46"/>
  <c r="V365" i="16"/>
  <c r="V365" i="46"/>
  <c r="V366" i="16"/>
  <c r="V366" i="46"/>
  <c r="V367" i="16"/>
  <c r="V367" i="46"/>
  <c r="V368" i="16"/>
  <c r="V368" i="46"/>
  <c r="V369" i="16"/>
  <c r="V369" i="46"/>
  <c r="V370" i="16"/>
  <c r="V370" i="46"/>
  <c r="V371" i="16"/>
  <c r="V371" i="46"/>
  <c r="V372" i="16"/>
  <c r="V372" i="46"/>
  <c r="V207" i="16"/>
  <c r="N19" i="50"/>
  <c r="V187" i="46"/>
  <c r="N38" i="50"/>
  <c r="V65" i="19"/>
  <c r="V66" i="19"/>
  <c r="V67" i="19"/>
  <c r="V68" i="19"/>
  <c r="V70" i="19"/>
  <c r="V72" i="19"/>
  <c r="V84" i="19"/>
  <c r="V85" i="19"/>
  <c r="V86" i="19"/>
  <c r="V87" i="19"/>
  <c r="V89" i="19"/>
  <c r="V91" i="19"/>
  <c r="V188" i="48"/>
  <c r="V232" i="38"/>
  <c r="V374" i="38"/>
  <c r="V232" i="47"/>
  <c r="V374" i="47"/>
  <c r="V252" i="6"/>
  <c r="V374" i="6"/>
  <c r="V252" i="12"/>
  <c r="V374" i="12"/>
  <c r="V252" i="14"/>
  <c r="V374" i="14"/>
  <c r="V252" i="15"/>
  <c r="V374" i="15"/>
  <c r="V252" i="16"/>
  <c r="V374" i="16"/>
  <c r="V252" i="17"/>
  <c r="V374" i="17"/>
  <c r="V252" i="24"/>
  <c r="V374" i="24"/>
  <c r="V252" i="25"/>
  <c r="V374" i="25"/>
  <c r="V252" i="28"/>
  <c r="V374" i="28"/>
  <c r="V252" i="29"/>
  <c r="V374" i="29"/>
  <c r="V252" i="30"/>
  <c r="V374" i="30"/>
  <c r="V232" i="31"/>
  <c r="V374" i="31"/>
  <c r="V252" i="32"/>
  <c r="V374" i="32"/>
  <c r="V252" i="33"/>
  <c r="V374" i="33"/>
  <c r="V252" i="34"/>
  <c r="V374" i="34"/>
  <c r="V252" i="35"/>
  <c r="V374" i="35"/>
  <c r="V232" i="37"/>
  <c r="V374" i="37"/>
  <c r="V252" i="40"/>
  <c r="V374" i="40"/>
  <c r="V252" i="41"/>
  <c r="V374" i="41"/>
  <c r="V232" i="43"/>
  <c r="V374" i="43"/>
  <c r="V232" i="44"/>
  <c r="V374" i="44"/>
  <c r="V232" i="45"/>
  <c r="V374" i="45"/>
  <c r="V232" i="46"/>
  <c r="V374" i="46"/>
  <c r="V232" i="20"/>
  <c r="V374" i="20"/>
  <c r="V232" i="48"/>
  <c r="V374" i="48"/>
  <c r="N26" i="55"/>
  <c r="Q31" i="6"/>
  <c r="Q52" i="6"/>
  <c r="Q77" i="24"/>
  <c r="Q101" i="37"/>
  <c r="Q151" i="37"/>
  <c r="Q56" i="38"/>
  <c r="Q149" i="38"/>
  <c r="Q100" i="44"/>
  <c r="Q116" i="44" s="1"/>
  <c r="Q73" i="16"/>
  <c r="Q89" i="16"/>
  <c r="Q362" i="16"/>
  <c r="Q69" i="46"/>
  <c r="Q362" i="46"/>
  <c r="Q363" i="16"/>
  <c r="Q363" i="46"/>
  <c r="Q364" i="16"/>
  <c r="Q364" i="46"/>
  <c r="Q365" i="16"/>
  <c r="Q365" i="46"/>
  <c r="Q366" i="16"/>
  <c r="Q366" i="46"/>
  <c r="Q367" i="16"/>
  <c r="Q367" i="46"/>
  <c r="Q368" i="16"/>
  <c r="Q368" i="46"/>
  <c r="Q369" i="16"/>
  <c r="Q369" i="46"/>
  <c r="Q370" i="16"/>
  <c r="Q370" i="46"/>
  <c r="Q371" i="16"/>
  <c r="Q371" i="46"/>
  <c r="Q372" i="16"/>
  <c r="Q372" i="46"/>
  <c r="Q207" i="16"/>
  <c r="I19" i="50"/>
  <c r="Q187" i="46"/>
  <c r="I38" i="50"/>
  <c r="Q65" i="19"/>
  <c r="Q66" i="19"/>
  <c r="Q67" i="19"/>
  <c r="Q68" i="19"/>
  <c r="Q70" i="19"/>
  <c r="Q71" i="19"/>
  <c r="Q72" i="19"/>
  <c r="Q73" i="19"/>
  <c r="Q84" i="19"/>
  <c r="Q85" i="19"/>
  <c r="Q86" i="19"/>
  <c r="Q87" i="19"/>
  <c r="Q89" i="19"/>
  <c r="Q90" i="19"/>
  <c r="Q91" i="19"/>
  <c r="Q92" i="19"/>
  <c r="Q188" i="48"/>
  <c r="R170" i="24"/>
  <c r="R167" i="25"/>
  <c r="R168" i="25"/>
  <c r="R169" i="25"/>
  <c r="R167" i="28"/>
  <c r="R168" i="28"/>
  <c r="R169" i="28"/>
  <c r="R147" i="31"/>
  <c r="R148" i="31"/>
  <c r="R149" i="31"/>
  <c r="R168" i="33"/>
  <c r="R167" i="34"/>
  <c r="R168" i="34"/>
  <c r="R169" i="34"/>
  <c r="R170" i="34"/>
  <c r="R171" i="34"/>
  <c r="R172" i="34"/>
  <c r="R173" i="34"/>
  <c r="R174" i="34"/>
  <c r="R167" i="40"/>
  <c r="R168" i="40"/>
  <c r="R169" i="40"/>
  <c r="R167" i="41"/>
  <c r="R168" i="41"/>
  <c r="R169" i="41"/>
  <c r="F10" i="16"/>
  <c r="G10" i="16"/>
  <c r="R166" i="16"/>
  <c r="R182" i="16"/>
  <c r="F10" i="46"/>
  <c r="G10" i="46"/>
  <c r="R146" i="46"/>
  <c r="R162" i="46"/>
  <c r="S167" i="25"/>
  <c r="S168" i="25"/>
  <c r="S169" i="25"/>
  <c r="S167" i="28"/>
  <c r="S168" i="28"/>
  <c r="S169" i="28"/>
  <c r="S147" i="31"/>
  <c r="S148" i="31"/>
  <c r="S149" i="31"/>
  <c r="S168" i="33"/>
  <c r="S167" i="34"/>
  <c r="S168" i="34"/>
  <c r="S169" i="34"/>
  <c r="S170" i="34"/>
  <c r="S171" i="34"/>
  <c r="S172" i="34"/>
  <c r="S173" i="34"/>
  <c r="S174" i="34"/>
  <c r="S167" i="40"/>
  <c r="S168" i="40"/>
  <c r="S169" i="40"/>
  <c r="S167" i="41"/>
  <c r="S168" i="41"/>
  <c r="S169" i="41"/>
  <c r="S166" i="16"/>
  <c r="S182" i="16"/>
  <c r="S146" i="46"/>
  <c r="S162" i="46"/>
  <c r="T170" i="24"/>
  <c r="T167" i="25"/>
  <c r="T168" i="25"/>
  <c r="T169" i="25"/>
  <c r="T167" i="28"/>
  <c r="T168" i="28"/>
  <c r="T169" i="28"/>
  <c r="T147" i="31"/>
  <c r="T148" i="31"/>
  <c r="T149" i="31"/>
  <c r="T168" i="33"/>
  <c r="T167" i="34"/>
  <c r="T168" i="34"/>
  <c r="T169" i="34"/>
  <c r="T170" i="34"/>
  <c r="T171" i="34"/>
  <c r="T172" i="34"/>
  <c r="T173" i="34"/>
  <c r="T174" i="34"/>
  <c r="T167" i="40"/>
  <c r="T168" i="40"/>
  <c r="T169" i="40"/>
  <c r="T167" i="41"/>
  <c r="T168" i="41"/>
  <c r="T169" i="41"/>
  <c r="T166" i="16"/>
  <c r="T182" i="16"/>
  <c r="T146" i="46"/>
  <c r="T162" i="46"/>
  <c r="U170" i="24"/>
  <c r="U167" i="25"/>
  <c r="U168" i="25"/>
  <c r="U169" i="25"/>
  <c r="U167" i="28"/>
  <c r="U168" i="28"/>
  <c r="U169" i="28"/>
  <c r="U147" i="31"/>
  <c r="U148" i="31"/>
  <c r="U149" i="31"/>
  <c r="U168" i="33"/>
  <c r="U167" i="34"/>
  <c r="U168" i="34"/>
  <c r="U169" i="34"/>
  <c r="U170" i="34"/>
  <c r="U171" i="34"/>
  <c r="U172" i="34"/>
  <c r="U173" i="34"/>
  <c r="U174" i="34"/>
  <c r="U167" i="40"/>
  <c r="U168" i="40"/>
  <c r="U169" i="40"/>
  <c r="U167" i="41"/>
  <c r="U168" i="41"/>
  <c r="U169" i="41"/>
  <c r="U166" i="16"/>
  <c r="U182" i="16"/>
  <c r="U146" i="46"/>
  <c r="U162" i="46"/>
  <c r="V170" i="24"/>
  <c r="V167" i="25"/>
  <c r="V168" i="25"/>
  <c r="V169" i="25"/>
  <c r="V167" i="28"/>
  <c r="V168" i="28"/>
  <c r="V169" i="28"/>
  <c r="V147" i="31"/>
  <c r="V148" i="31"/>
  <c r="V149" i="31"/>
  <c r="V168" i="33"/>
  <c r="V167" i="34"/>
  <c r="V168" i="34"/>
  <c r="V169" i="34"/>
  <c r="V170" i="34"/>
  <c r="V171" i="34"/>
  <c r="V172" i="34"/>
  <c r="V173" i="34"/>
  <c r="V174" i="34"/>
  <c r="V167" i="40"/>
  <c r="V168" i="40"/>
  <c r="V169" i="40"/>
  <c r="V167" i="41"/>
  <c r="V168" i="41"/>
  <c r="V169" i="41"/>
  <c r="V166" i="16"/>
  <c r="V182" i="16"/>
  <c r="V146" i="46"/>
  <c r="V162" i="46"/>
  <c r="Q166" i="6"/>
  <c r="Q182" i="6"/>
  <c r="Q170" i="24"/>
  <c r="Q167" i="25"/>
  <c r="Q168" i="25"/>
  <c r="Q169" i="25"/>
  <c r="Q167" i="28"/>
  <c r="Q168" i="28"/>
  <c r="Q169" i="28"/>
  <c r="Q147" i="31"/>
  <c r="Q148" i="31"/>
  <c r="Q149" i="31"/>
  <c r="Q168" i="33"/>
  <c r="Q167" i="34"/>
  <c r="Q168" i="34"/>
  <c r="Q169" i="34"/>
  <c r="Q170" i="34"/>
  <c r="Q171" i="34"/>
  <c r="Q172" i="34"/>
  <c r="Q173" i="34"/>
  <c r="Q174" i="34"/>
  <c r="Q147" i="37"/>
  <c r="Q167" i="40"/>
  <c r="Q168" i="40"/>
  <c r="Q169" i="40"/>
  <c r="Q167" i="41"/>
  <c r="Q168" i="41"/>
  <c r="Q169" i="41"/>
  <c r="Q166" i="16"/>
  <c r="Q182" i="16"/>
  <c r="Q146" i="46"/>
  <c r="Q162" i="46"/>
  <c r="R124" i="24"/>
  <c r="R121" i="25"/>
  <c r="R122" i="25"/>
  <c r="R123" i="25"/>
  <c r="R121" i="28"/>
  <c r="R122" i="28"/>
  <c r="R123" i="28"/>
  <c r="R101" i="31"/>
  <c r="R102" i="31"/>
  <c r="R103" i="31"/>
  <c r="R122" i="33"/>
  <c r="R121" i="34"/>
  <c r="R122" i="34"/>
  <c r="R123" i="34"/>
  <c r="R124" i="34"/>
  <c r="R125" i="34"/>
  <c r="R126" i="34"/>
  <c r="R127" i="34"/>
  <c r="R128" i="34"/>
  <c r="R121" i="40"/>
  <c r="R122" i="40"/>
  <c r="R123" i="40"/>
  <c r="R121" i="41"/>
  <c r="R122" i="41"/>
  <c r="R123" i="41"/>
  <c r="R120" i="16"/>
  <c r="R136" i="16"/>
  <c r="R100" i="46"/>
  <c r="R116" i="46"/>
  <c r="S121" i="25"/>
  <c r="S122" i="25"/>
  <c r="S123" i="25"/>
  <c r="S121" i="28"/>
  <c r="S122" i="28"/>
  <c r="S123" i="28"/>
  <c r="S101" i="31"/>
  <c r="S102" i="31"/>
  <c r="S103" i="31"/>
  <c r="S122" i="33"/>
  <c r="S121" i="34"/>
  <c r="S122" i="34"/>
  <c r="S123" i="34"/>
  <c r="S124" i="34"/>
  <c r="S125" i="34"/>
  <c r="S126" i="34"/>
  <c r="S127" i="34"/>
  <c r="S128" i="34"/>
  <c r="S121" i="40"/>
  <c r="S122" i="40"/>
  <c r="S123" i="40"/>
  <c r="S121" i="41"/>
  <c r="S122" i="41"/>
  <c r="S123" i="41"/>
  <c r="S120" i="16"/>
  <c r="S136" i="16"/>
  <c r="S100" i="46"/>
  <c r="S116" i="46"/>
  <c r="T124" i="24"/>
  <c r="T121" i="25"/>
  <c r="T122" i="25"/>
  <c r="T123" i="25"/>
  <c r="T121" i="28"/>
  <c r="T122" i="28"/>
  <c r="T123" i="28"/>
  <c r="T101" i="31"/>
  <c r="T102" i="31"/>
  <c r="T103" i="31"/>
  <c r="T122" i="33"/>
  <c r="T121" i="34"/>
  <c r="T122" i="34"/>
  <c r="T123" i="34"/>
  <c r="T124" i="34"/>
  <c r="T125" i="34"/>
  <c r="T126" i="34"/>
  <c r="T127" i="34"/>
  <c r="T128" i="34"/>
  <c r="T121" i="40"/>
  <c r="T122" i="40"/>
  <c r="T123" i="40"/>
  <c r="T121" i="41"/>
  <c r="T122" i="41"/>
  <c r="T123" i="41"/>
  <c r="T120" i="16"/>
  <c r="T136" i="16"/>
  <c r="T100" i="46"/>
  <c r="T116" i="46"/>
  <c r="U124" i="24"/>
  <c r="U121" i="25"/>
  <c r="U122" i="25"/>
  <c r="U123" i="25"/>
  <c r="U121" i="28"/>
  <c r="U122" i="28"/>
  <c r="U123" i="28"/>
  <c r="U101" i="31"/>
  <c r="U102" i="31"/>
  <c r="U103" i="31"/>
  <c r="U122" i="33"/>
  <c r="U121" i="34"/>
  <c r="U122" i="34"/>
  <c r="U123" i="34"/>
  <c r="U124" i="34"/>
  <c r="U125" i="34"/>
  <c r="U126" i="34"/>
  <c r="U127" i="34"/>
  <c r="U128" i="34"/>
  <c r="U121" i="40"/>
  <c r="U122" i="40"/>
  <c r="U123" i="40"/>
  <c r="U121" i="41"/>
  <c r="U122" i="41"/>
  <c r="U123" i="41"/>
  <c r="U120" i="16"/>
  <c r="U136" i="16"/>
  <c r="U100" i="46"/>
  <c r="U116" i="46"/>
  <c r="V124" i="24"/>
  <c r="V121" i="25"/>
  <c r="V122" i="25"/>
  <c r="V123" i="25"/>
  <c r="V121" i="28"/>
  <c r="V122" i="28"/>
  <c r="V123" i="28"/>
  <c r="V101" i="31"/>
  <c r="V102" i="31"/>
  <c r="V103" i="31"/>
  <c r="V122" i="33"/>
  <c r="V121" i="34"/>
  <c r="V122" i="34"/>
  <c r="V123" i="34"/>
  <c r="V124" i="34"/>
  <c r="V125" i="34"/>
  <c r="V126" i="34"/>
  <c r="V127" i="34"/>
  <c r="V128" i="34"/>
  <c r="V121" i="40"/>
  <c r="V122" i="40"/>
  <c r="V123" i="40"/>
  <c r="V121" i="41"/>
  <c r="V122" i="41"/>
  <c r="V123" i="41"/>
  <c r="V120" i="16"/>
  <c r="V136" i="16"/>
  <c r="V100" i="46"/>
  <c r="V116" i="46"/>
  <c r="N65" i="111"/>
  <c r="Q120" i="6"/>
  <c r="Q136" i="6"/>
  <c r="Q124" i="24"/>
  <c r="Q121" i="25"/>
  <c r="Q122" i="25"/>
  <c r="Q123" i="25"/>
  <c r="Q121" i="28"/>
  <c r="Q122" i="28"/>
  <c r="Q123" i="28"/>
  <c r="Q101" i="31"/>
  <c r="Q102" i="31"/>
  <c r="Q103" i="31"/>
  <c r="Q122" i="33"/>
  <c r="Q121" i="34"/>
  <c r="Q122" i="34"/>
  <c r="Q123" i="34"/>
  <c r="Q124" i="34"/>
  <c r="Q125" i="34"/>
  <c r="Q126" i="34"/>
  <c r="Q127" i="34"/>
  <c r="Q128" i="34"/>
  <c r="Q121" i="40"/>
  <c r="Q122" i="40"/>
  <c r="Q123" i="40"/>
  <c r="Q121" i="41"/>
  <c r="Q122" i="41"/>
  <c r="Q123" i="41"/>
  <c r="Q120" i="16"/>
  <c r="Q136" i="16"/>
  <c r="Q100" i="46"/>
  <c r="Q116" i="46"/>
  <c r="S78" i="31"/>
  <c r="S79" i="31"/>
  <c r="S80" i="31"/>
  <c r="S99" i="33"/>
  <c r="S98" i="34"/>
  <c r="S99" i="34"/>
  <c r="S100" i="34"/>
  <c r="S101" i="34"/>
  <c r="S102" i="34"/>
  <c r="S103" i="34"/>
  <c r="S104" i="34"/>
  <c r="S105" i="34"/>
  <c r="S98" i="40"/>
  <c r="S99" i="40"/>
  <c r="S100" i="40"/>
  <c r="S98" i="41"/>
  <c r="S99" i="41"/>
  <c r="S100" i="41"/>
  <c r="S97" i="16"/>
  <c r="S113" i="16"/>
  <c r="S77" i="46"/>
  <c r="S93" i="46"/>
  <c r="V101" i="24"/>
  <c r="V78" i="31"/>
  <c r="V79" i="31"/>
  <c r="V80" i="31"/>
  <c r="V99" i="33"/>
  <c r="V98" i="34"/>
  <c r="V99" i="34"/>
  <c r="V100" i="34"/>
  <c r="V101" i="34"/>
  <c r="V102" i="34"/>
  <c r="V103" i="34"/>
  <c r="V104" i="34"/>
  <c r="V105" i="34"/>
  <c r="V98" i="40"/>
  <c r="V99" i="40"/>
  <c r="V100" i="40"/>
  <c r="V98" i="41"/>
  <c r="V99" i="41"/>
  <c r="V100" i="41"/>
  <c r="V97" i="16"/>
  <c r="V113" i="16"/>
  <c r="V77" i="46"/>
  <c r="V93" i="46"/>
  <c r="U101" i="24"/>
  <c r="U78" i="31"/>
  <c r="U79" i="31"/>
  <c r="U80" i="31"/>
  <c r="U99" i="33"/>
  <c r="U98" i="34"/>
  <c r="U99" i="34"/>
  <c r="U100" i="34"/>
  <c r="U101" i="34"/>
  <c r="U102" i="34"/>
  <c r="U103" i="34"/>
  <c r="U104" i="34"/>
  <c r="U105" i="34"/>
  <c r="U98" i="40"/>
  <c r="U99" i="40"/>
  <c r="U100" i="40"/>
  <c r="U98" i="41"/>
  <c r="U99" i="41"/>
  <c r="U100" i="41"/>
  <c r="U97" i="16"/>
  <c r="U113" i="16"/>
  <c r="U77" i="46"/>
  <c r="U93" i="46"/>
  <c r="T101" i="24"/>
  <c r="T78" i="31"/>
  <c r="T79" i="31"/>
  <c r="T80" i="31"/>
  <c r="T99" i="33"/>
  <c r="T98" i="34"/>
  <c r="T99" i="34"/>
  <c r="T100" i="34"/>
  <c r="T101" i="34"/>
  <c r="T102" i="34"/>
  <c r="T103" i="34"/>
  <c r="T104" i="34"/>
  <c r="T105" i="34"/>
  <c r="T98" i="40"/>
  <c r="T99" i="40"/>
  <c r="T100" i="40"/>
  <c r="T98" i="41"/>
  <c r="T99" i="41"/>
  <c r="T100" i="41"/>
  <c r="T97" i="16"/>
  <c r="T113" i="16"/>
  <c r="T77" i="46"/>
  <c r="T93" i="46"/>
  <c r="R101" i="24"/>
  <c r="R78" i="31"/>
  <c r="R79" i="31"/>
  <c r="R80" i="31"/>
  <c r="R99" i="33"/>
  <c r="R98" i="34"/>
  <c r="R99" i="34"/>
  <c r="R100" i="34"/>
  <c r="R101" i="34"/>
  <c r="R102" i="34"/>
  <c r="R103" i="34"/>
  <c r="R104" i="34"/>
  <c r="R105" i="34"/>
  <c r="R98" i="40"/>
  <c r="R99" i="40"/>
  <c r="R100" i="40"/>
  <c r="R98" i="41"/>
  <c r="R99" i="41"/>
  <c r="R100" i="41"/>
  <c r="R97" i="16"/>
  <c r="R113" i="16"/>
  <c r="R77" i="46"/>
  <c r="R93" i="46"/>
  <c r="Q97" i="6"/>
  <c r="Q143" i="6"/>
  <c r="Q159" i="6"/>
  <c r="Q101" i="24"/>
  <c r="Q78" i="31"/>
  <c r="Q79" i="31"/>
  <c r="Q80" i="31"/>
  <c r="Q99" i="33"/>
  <c r="Q98" i="34"/>
  <c r="Q99" i="34"/>
  <c r="Q100" i="34"/>
  <c r="Q101" i="34"/>
  <c r="Q102" i="34"/>
  <c r="Q103" i="34"/>
  <c r="Q104" i="34"/>
  <c r="Q105" i="34"/>
  <c r="Q98" i="40"/>
  <c r="Q99" i="40"/>
  <c r="Q100" i="40"/>
  <c r="Q98" i="41"/>
  <c r="Q99" i="41"/>
  <c r="Q100" i="41"/>
  <c r="Q97" i="16"/>
  <c r="Q113" i="16"/>
  <c r="Q77" i="46"/>
  <c r="Q93" i="46"/>
  <c r="P188" i="38"/>
  <c r="P206" i="38"/>
  <c r="P173" i="38"/>
  <c r="P150" i="38"/>
  <c r="P81" i="38"/>
  <c r="P104" i="38"/>
  <c r="P127" i="38"/>
  <c r="P139" i="38"/>
  <c r="E6" i="111"/>
  <c r="P188" i="37"/>
  <c r="P207" i="37"/>
  <c r="P206" i="37"/>
  <c r="P174" i="37"/>
  <c r="P173" i="37"/>
  <c r="P151" i="37"/>
  <c r="P150" i="37"/>
  <c r="P105" i="37"/>
  <c r="P82" i="37"/>
  <c r="P128" i="37"/>
  <c r="P104" i="37"/>
  <c r="P81" i="37"/>
  <c r="P127" i="37"/>
  <c r="F27" i="103"/>
  <c r="F28" i="103"/>
  <c r="S17" i="5"/>
  <c r="R21" i="5"/>
  <c r="Q21" i="5" s="1"/>
  <c r="P21" i="5" s="1"/>
  <c r="O21" i="5" s="1"/>
  <c r="N21" i="5" s="1"/>
  <c r="R17" i="5"/>
  <c r="P208" i="15"/>
  <c r="P208" i="17"/>
  <c r="P75" i="24"/>
  <c r="P122" i="24"/>
  <c r="P73" i="24"/>
  <c r="P120" i="24"/>
  <c r="P74" i="24"/>
  <c r="P121" i="24"/>
  <c r="P136" i="24"/>
  <c r="P76" i="24"/>
  <c r="P123" i="24"/>
  <c r="P77" i="24"/>
  <c r="P124" i="24"/>
  <c r="P208" i="30"/>
  <c r="P208" i="32"/>
  <c r="P123" i="34"/>
  <c r="G27" i="103"/>
  <c r="H27" i="103"/>
  <c r="I27" i="103"/>
  <c r="J27" i="103"/>
  <c r="K19" i="103"/>
  <c r="K27" i="103"/>
  <c r="G28" i="103"/>
  <c r="H28" i="103"/>
  <c r="I28" i="103"/>
  <c r="J28" i="103"/>
  <c r="K20" i="103"/>
  <c r="K28" i="103"/>
  <c r="U21" i="5"/>
  <c r="U14" i="5"/>
  <c r="V17" i="5"/>
  <c r="V14" i="5"/>
  <c r="V147" i="24"/>
  <c r="U147" i="24"/>
  <c r="T147" i="24"/>
  <c r="R147" i="24"/>
  <c r="Q147" i="24"/>
  <c r="P101" i="24"/>
  <c r="P147" i="24"/>
  <c r="P170" i="24"/>
  <c r="P208" i="6"/>
  <c r="V54" i="19"/>
  <c r="U54" i="19"/>
  <c r="T54" i="19"/>
  <c r="S54" i="19"/>
  <c r="R54" i="19"/>
  <c r="Q54" i="19"/>
  <c r="V61" i="19"/>
  <c r="U61" i="19"/>
  <c r="T61" i="19"/>
  <c r="S61" i="19"/>
  <c r="R61" i="19"/>
  <c r="Q61" i="19"/>
  <c r="P103" i="34"/>
  <c r="P173" i="34"/>
  <c r="P172" i="34"/>
  <c r="P174" i="34"/>
  <c r="P128" i="34"/>
  <c r="P105" i="34"/>
  <c r="P151" i="34"/>
  <c r="P127" i="34"/>
  <c r="P104" i="34"/>
  <c r="P126" i="34"/>
  <c r="P149" i="34"/>
  <c r="P169" i="24"/>
  <c r="P150" i="34"/>
  <c r="P100" i="24"/>
  <c r="P146" i="24"/>
  <c r="W229" i="30"/>
  <c r="W228" i="30"/>
  <c r="W227" i="30"/>
  <c r="W226" i="30"/>
  <c r="W225" i="30"/>
  <c r="W224" i="30"/>
  <c r="W223" i="30"/>
  <c r="W222" i="30"/>
  <c r="W196" i="30"/>
  <c r="W195" i="30"/>
  <c r="W194" i="30"/>
  <c r="W193" i="30"/>
  <c r="W192" i="30"/>
  <c r="W191" i="30"/>
  <c r="W190" i="30"/>
  <c r="W189" i="30"/>
  <c r="W127" i="30"/>
  <c r="W126" i="30"/>
  <c r="W125" i="30"/>
  <c r="W124" i="30"/>
  <c r="W123" i="30"/>
  <c r="W122" i="30"/>
  <c r="W121" i="30"/>
  <c r="W120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236" i="30"/>
  <c r="B235" i="30"/>
  <c r="B234" i="30"/>
  <c r="B233" i="30"/>
  <c r="B232" i="30"/>
  <c r="B231" i="30"/>
  <c r="B230" i="30"/>
  <c r="B229" i="30"/>
  <c r="B228" i="30"/>
  <c r="B227" i="30"/>
  <c r="B226" i="30"/>
  <c r="B225" i="30"/>
  <c r="B224" i="30"/>
  <c r="B223" i="30"/>
  <c r="B203" i="30"/>
  <c r="B202" i="30"/>
  <c r="B201" i="30"/>
  <c r="B200" i="30"/>
  <c r="B199" i="30"/>
  <c r="B198" i="30"/>
  <c r="B197" i="30"/>
  <c r="B196" i="30"/>
  <c r="B195" i="30"/>
  <c r="B194" i="30"/>
  <c r="B193" i="30"/>
  <c r="B192" i="30"/>
  <c r="B191" i="30"/>
  <c r="B190" i="30"/>
  <c r="B180" i="30"/>
  <c r="B179" i="30"/>
  <c r="B178" i="30"/>
  <c r="B177" i="30"/>
  <c r="B176" i="30"/>
  <c r="B175" i="30"/>
  <c r="B174" i="30"/>
  <c r="B173" i="30"/>
  <c r="B172" i="30"/>
  <c r="B171" i="30"/>
  <c r="B170" i="30"/>
  <c r="B169" i="30"/>
  <c r="B168" i="30"/>
  <c r="B167" i="30"/>
  <c r="B157" i="30"/>
  <c r="B156" i="30"/>
  <c r="B155" i="30"/>
  <c r="B154" i="30"/>
  <c r="B153" i="30"/>
  <c r="B152" i="30"/>
  <c r="B151" i="30"/>
  <c r="B150" i="30"/>
  <c r="B149" i="30"/>
  <c r="B148" i="30"/>
  <c r="B147" i="30"/>
  <c r="B146" i="30"/>
  <c r="B145" i="30"/>
  <c r="B144" i="30"/>
  <c r="B134" i="30"/>
  <c r="B133" i="30"/>
  <c r="B132" i="30"/>
  <c r="B131" i="30"/>
  <c r="B130" i="30"/>
  <c r="B129" i="30"/>
  <c r="B128" i="30"/>
  <c r="B127" i="30"/>
  <c r="B126" i="30"/>
  <c r="B125" i="30"/>
  <c r="B124" i="30"/>
  <c r="B123" i="30"/>
  <c r="B122" i="30"/>
  <c r="B121" i="30"/>
  <c r="B111" i="30"/>
  <c r="B110" i="30"/>
  <c r="B109" i="30"/>
  <c r="B108" i="30"/>
  <c r="B107" i="30"/>
  <c r="B106" i="30"/>
  <c r="B105" i="30"/>
  <c r="B104" i="30"/>
  <c r="B103" i="30"/>
  <c r="B102" i="30"/>
  <c r="B101" i="30"/>
  <c r="B100" i="30"/>
  <c r="B99" i="30"/>
  <c r="B98" i="30"/>
  <c r="B87" i="30"/>
  <c r="B86" i="30"/>
  <c r="B85" i="30"/>
  <c r="B84" i="30"/>
  <c r="B83" i="30"/>
  <c r="B82" i="30"/>
  <c r="B81" i="30"/>
  <c r="B80" i="30"/>
  <c r="B79" i="30"/>
  <c r="B78" i="30"/>
  <c r="B77" i="30"/>
  <c r="B76" i="30"/>
  <c r="B75" i="30"/>
  <c r="B74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Q17" i="5"/>
  <c r="P17" i="5"/>
  <c r="O17" i="5"/>
  <c r="N17" i="5"/>
  <c r="M17" i="5"/>
  <c r="P69" i="31"/>
  <c r="P365" i="31"/>
  <c r="P77" i="37"/>
  <c r="P79" i="37"/>
  <c r="P80" i="37"/>
  <c r="P69" i="38"/>
  <c r="P364" i="38"/>
  <c r="P365" i="38"/>
  <c r="P69" i="43"/>
  <c r="P69" i="44"/>
  <c r="P366" i="44" s="1"/>
  <c r="P365" i="44"/>
  <c r="P69" i="45"/>
  <c r="P69" i="46"/>
  <c r="P187" i="46"/>
  <c r="P53" i="47"/>
  <c r="P100" i="47"/>
  <c r="P53" i="48"/>
  <c r="P69" i="48"/>
  <c r="P366" i="38"/>
  <c r="P364" i="44"/>
  <c r="P369" i="38"/>
  <c r="P370" i="38"/>
  <c r="P371" i="44"/>
  <c r="P368" i="46"/>
  <c r="P367" i="46"/>
  <c r="P187" i="44"/>
  <c r="P188" i="48"/>
  <c r="E6" i="65"/>
  <c r="L17" i="5"/>
  <c r="K17" i="5"/>
  <c r="J17" i="5"/>
  <c r="I17" i="5"/>
  <c r="P362" i="38"/>
  <c r="E6" i="56"/>
  <c r="J175" i="50"/>
  <c r="K175" i="50"/>
  <c r="L175" i="50"/>
  <c r="M175" i="50"/>
  <c r="N175" i="50"/>
  <c r="P19" i="50"/>
  <c r="P281" i="44"/>
  <c r="P276" i="46"/>
  <c r="P278" i="44"/>
  <c r="P278" i="46"/>
  <c r="P279" i="44"/>
  <c r="P280" i="46"/>
  <c r="P283" i="44"/>
  <c r="P304" i="44" s="1"/>
  <c r="P283" i="46"/>
  <c r="P284" i="44"/>
  <c r="P305" i="44" s="1"/>
  <c r="P285" i="31"/>
  <c r="P285" i="38"/>
  <c r="P285" i="46"/>
  <c r="P286" i="38"/>
  <c r="P286" i="44"/>
  <c r="P286" i="46"/>
  <c r="E6" i="55"/>
  <c r="Q232" i="48"/>
  <c r="Q374" i="48"/>
  <c r="Q232" i="20"/>
  <c r="Q374" i="20"/>
  <c r="Q232" i="47"/>
  <c r="Q374" i="47"/>
  <c r="Q232" i="46"/>
  <c r="Q374" i="46"/>
  <c r="Q232" i="45"/>
  <c r="Q374" i="45"/>
  <c r="I26" i="55"/>
  <c r="Q232" i="44"/>
  <c r="Q374" i="44"/>
  <c r="Q232" i="43"/>
  <c r="Q374" i="43"/>
  <c r="Q252" i="41"/>
  <c r="Q374" i="41"/>
  <c r="Q252" i="40"/>
  <c r="Q374" i="40"/>
  <c r="Q232" i="38"/>
  <c r="Q374" i="38"/>
  <c r="Q232" i="37"/>
  <c r="Q374" i="37"/>
  <c r="Q252" i="35"/>
  <c r="Q374" i="35"/>
  <c r="Q252" i="34"/>
  <c r="Q374" i="34"/>
  <c r="Q252" i="33"/>
  <c r="Q374" i="33"/>
  <c r="Q252" i="32"/>
  <c r="Q374" i="32"/>
  <c r="Q232" i="31"/>
  <c r="Q374" i="31"/>
  <c r="Q252" i="29"/>
  <c r="Q374" i="29"/>
  <c r="Q252" i="28"/>
  <c r="Q374" i="28"/>
  <c r="Q252" i="25"/>
  <c r="Q374" i="25"/>
  <c r="Q252" i="24"/>
  <c r="Q374" i="24"/>
  <c r="Q252" i="17"/>
  <c r="Q374" i="17"/>
  <c r="Q252" i="16"/>
  <c r="Q374" i="16"/>
  <c r="Q276" i="16"/>
  <c r="R276" i="16"/>
  <c r="S276" i="16"/>
  <c r="T276" i="16"/>
  <c r="U276" i="16"/>
  <c r="V276" i="16"/>
  <c r="Q277" i="16"/>
  <c r="R277" i="16"/>
  <c r="S277" i="16"/>
  <c r="T277" i="16"/>
  <c r="U277" i="16"/>
  <c r="V277" i="16"/>
  <c r="Q278" i="16"/>
  <c r="R278" i="16"/>
  <c r="S278" i="16"/>
  <c r="T278" i="16"/>
  <c r="U278" i="16"/>
  <c r="V278" i="16"/>
  <c r="Q279" i="16"/>
  <c r="R279" i="16"/>
  <c r="S279" i="16"/>
  <c r="T279" i="16"/>
  <c r="U279" i="16"/>
  <c r="V279" i="16"/>
  <c r="Q280" i="16"/>
  <c r="R280" i="16"/>
  <c r="S280" i="16"/>
  <c r="T280" i="16"/>
  <c r="U280" i="16"/>
  <c r="V280" i="16"/>
  <c r="Q281" i="16"/>
  <c r="R281" i="16"/>
  <c r="S281" i="16"/>
  <c r="T281" i="16"/>
  <c r="U281" i="16"/>
  <c r="V281" i="16"/>
  <c r="Q282" i="16"/>
  <c r="R282" i="16"/>
  <c r="S282" i="16"/>
  <c r="T282" i="16"/>
  <c r="U282" i="16"/>
  <c r="V282" i="16"/>
  <c r="Q283" i="16"/>
  <c r="R283" i="16"/>
  <c r="S283" i="16"/>
  <c r="T283" i="16"/>
  <c r="U283" i="16"/>
  <c r="V283" i="16"/>
  <c r="Q284" i="16"/>
  <c r="R284" i="16"/>
  <c r="S284" i="16"/>
  <c r="T284" i="16"/>
  <c r="U284" i="16"/>
  <c r="V284" i="16"/>
  <c r="Q285" i="16"/>
  <c r="R285" i="16"/>
  <c r="S285" i="16"/>
  <c r="T285" i="16"/>
  <c r="U285" i="16"/>
  <c r="V285" i="16"/>
  <c r="Q286" i="16"/>
  <c r="R286" i="16"/>
  <c r="S286" i="16"/>
  <c r="T286" i="16"/>
  <c r="U286" i="16"/>
  <c r="V286" i="16"/>
  <c r="Q252" i="15"/>
  <c r="Q374" i="15"/>
  <c r="Q252" i="14"/>
  <c r="Q374" i="14"/>
  <c r="Q252" i="12"/>
  <c r="Q374" i="12"/>
  <c r="Q252" i="6"/>
  <c r="Q374" i="6"/>
  <c r="E6" i="54"/>
  <c r="N189" i="50"/>
  <c r="M189" i="50"/>
  <c r="L189" i="50"/>
  <c r="K189" i="50"/>
  <c r="J189" i="50"/>
  <c r="I189" i="50"/>
  <c r="N188" i="50"/>
  <c r="M188" i="50"/>
  <c r="L188" i="50"/>
  <c r="K188" i="50"/>
  <c r="J188" i="50"/>
  <c r="I188" i="50"/>
  <c r="N187" i="50"/>
  <c r="M187" i="50"/>
  <c r="L187" i="50"/>
  <c r="K187" i="50"/>
  <c r="J187" i="50"/>
  <c r="I187" i="50"/>
  <c r="N186" i="50"/>
  <c r="M186" i="50"/>
  <c r="L186" i="50"/>
  <c r="K186" i="50"/>
  <c r="J186" i="50"/>
  <c r="I186" i="50"/>
  <c r="N185" i="50"/>
  <c r="M185" i="50"/>
  <c r="L185" i="50"/>
  <c r="K185" i="50"/>
  <c r="J185" i="50"/>
  <c r="N184" i="50"/>
  <c r="M184" i="50"/>
  <c r="L184" i="50"/>
  <c r="K184" i="50"/>
  <c r="J184" i="50"/>
  <c r="I184" i="50"/>
  <c r="N183" i="50"/>
  <c r="M183" i="50"/>
  <c r="L183" i="50"/>
  <c r="K183" i="50"/>
  <c r="J183" i="50"/>
  <c r="I183" i="50"/>
  <c r="N182" i="50"/>
  <c r="M182" i="50"/>
  <c r="L182" i="50"/>
  <c r="K182" i="50"/>
  <c r="J182" i="50"/>
  <c r="I182" i="50"/>
  <c r="N181" i="50"/>
  <c r="M181" i="50"/>
  <c r="L181" i="50"/>
  <c r="K181" i="50"/>
  <c r="J181" i="50"/>
  <c r="I181" i="50"/>
  <c r="N180" i="50"/>
  <c r="M180" i="50"/>
  <c r="L180" i="50"/>
  <c r="K180" i="50"/>
  <c r="J180" i="50"/>
  <c r="I180" i="50"/>
  <c r="N179" i="50"/>
  <c r="M179" i="50"/>
  <c r="L179" i="50"/>
  <c r="K179" i="50"/>
  <c r="J179" i="50"/>
  <c r="I179" i="50"/>
  <c r="N178" i="50"/>
  <c r="M178" i="50"/>
  <c r="L178" i="50"/>
  <c r="K178" i="50"/>
  <c r="J178" i="50"/>
  <c r="I178" i="50"/>
  <c r="N177" i="50"/>
  <c r="M177" i="50"/>
  <c r="L177" i="50"/>
  <c r="K177" i="50"/>
  <c r="J177" i="50"/>
  <c r="I177" i="50"/>
  <c r="N176" i="50"/>
  <c r="M176" i="50"/>
  <c r="L176" i="50"/>
  <c r="K176" i="50"/>
  <c r="J176" i="50"/>
  <c r="I176" i="50"/>
  <c r="I175" i="50"/>
  <c r="N174" i="50"/>
  <c r="M174" i="50"/>
  <c r="L174" i="50"/>
  <c r="K174" i="50"/>
  <c r="J174" i="50"/>
  <c r="I174" i="50"/>
  <c r="L173" i="50"/>
  <c r="N172" i="50"/>
  <c r="M172" i="50"/>
  <c r="L172" i="50"/>
  <c r="K172" i="50"/>
  <c r="J172" i="50"/>
  <c r="I172" i="50"/>
  <c r="N171" i="50"/>
  <c r="M171" i="50"/>
  <c r="L171" i="50"/>
  <c r="K171" i="50"/>
  <c r="J171" i="50"/>
  <c r="I171" i="50"/>
  <c r="N170" i="50"/>
  <c r="M170" i="50"/>
  <c r="L170" i="50"/>
  <c r="K170" i="50"/>
  <c r="J170" i="50"/>
  <c r="I170" i="50"/>
  <c r="N169" i="50"/>
  <c r="M169" i="50"/>
  <c r="L169" i="50"/>
  <c r="K169" i="50"/>
  <c r="J169" i="50"/>
  <c r="I169" i="50"/>
  <c r="N168" i="50"/>
  <c r="M168" i="50"/>
  <c r="L168" i="50"/>
  <c r="K168" i="50"/>
  <c r="J168" i="50"/>
  <c r="I168" i="50"/>
  <c r="N167" i="50"/>
  <c r="M167" i="50"/>
  <c r="L167" i="50"/>
  <c r="K167" i="50"/>
  <c r="J167" i="50"/>
  <c r="I167" i="50"/>
  <c r="N166" i="50"/>
  <c r="M166" i="50"/>
  <c r="L166" i="50"/>
  <c r="K166" i="50"/>
  <c r="J166" i="50"/>
  <c r="I166" i="50"/>
  <c r="N165" i="50"/>
  <c r="M165" i="50"/>
  <c r="L165" i="50"/>
  <c r="K165" i="50"/>
  <c r="J165" i="50"/>
  <c r="I165" i="50"/>
  <c r="N164" i="50"/>
  <c r="M164" i="50"/>
  <c r="L164" i="50"/>
  <c r="K164" i="50"/>
  <c r="J164" i="50"/>
  <c r="I164" i="50"/>
  <c r="N163" i="50"/>
  <c r="M163" i="50"/>
  <c r="L163" i="50"/>
  <c r="K163" i="50"/>
  <c r="J163" i="50"/>
  <c r="I163" i="50"/>
  <c r="E6" i="50"/>
  <c r="P232" i="48"/>
  <c r="P374" i="48"/>
  <c r="R241" i="48"/>
  <c r="S241" i="48"/>
  <c r="T241" i="48"/>
  <c r="U241" i="48"/>
  <c r="V241" i="48"/>
  <c r="Q241" i="48"/>
  <c r="P241" i="48"/>
  <c r="O190" i="48"/>
  <c r="O239" i="48"/>
  <c r="O240" i="48"/>
  <c r="O241" i="48"/>
  <c r="O243" i="48"/>
  <c r="N190" i="48"/>
  <c r="N239" i="48"/>
  <c r="N240" i="48"/>
  <c r="N241" i="48"/>
  <c r="N243" i="48"/>
  <c r="M190" i="48"/>
  <c r="M239" i="48"/>
  <c r="M240" i="48"/>
  <c r="M241" i="48"/>
  <c r="M243" i="48"/>
  <c r="L190" i="48"/>
  <c r="L239" i="48"/>
  <c r="L240" i="48"/>
  <c r="L241" i="48"/>
  <c r="L243" i="48"/>
  <c r="K190" i="48"/>
  <c r="K239" i="48"/>
  <c r="K240" i="48"/>
  <c r="K241" i="48"/>
  <c r="K243" i="48"/>
  <c r="J190" i="48"/>
  <c r="J239" i="48"/>
  <c r="J240" i="48"/>
  <c r="J241" i="48"/>
  <c r="J243" i="48"/>
  <c r="I190" i="48"/>
  <c r="I239" i="48"/>
  <c r="I240" i="48"/>
  <c r="I241" i="48"/>
  <c r="I243" i="48"/>
  <c r="H190" i="48"/>
  <c r="H239" i="48"/>
  <c r="H240" i="48"/>
  <c r="H241" i="48"/>
  <c r="H243" i="48"/>
  <c r="X241" i="48"/>
  <c r="X232" i="48"/>
  <c r="X230" i="48"/>
  <c r="X229" i="48"/>
  <c r="X228" i="48"/>
  <c r="X227" i="48"/>
  <c r="X226" i="48"/>
  <c r="B216" i="48"/>
  <c r="B215" i="48"/>
  <c r="B214" i="48"/>
  <c r="B213" i="48"/>
  <c r="B212" i="48"/>
  <c r="B211" i="48"/>
  <c r="B210" i="48"/>
  <c r="B209" i="48"/>
  <c r="B208" i="48"/>
  <c r="B207" i="48"/>
  <c r="B206" i="48"/>
  <c r="B205" i="48"/>
  <c r="B204" i="48"/>
  <c r="B203" i="48"/>
  <c r="B202" i="48"/>
  <c r="O199" i="48"/>
  <c r="N199" i="48"/>
  <c r="M199" i="48"/>
  <c r="L199" i="48"/>
  <c r="K199" i="48"/>
  <c r="J199" i="48"/>
  <c r="I199" i="48"/>
  <c r="H199" i="48"/>
  <c r="O188" i="48"/>
  <c r="N188" i="48"/>
  <c r="M188" i="48"/>
  <c r="L188" i="48"/>
  <c r="K188" i="48"/>
  <c r="J188" i="48"/>
  <c r="I188" i="48"/>
  <c r="H188" i="48"/>
  <c r="X183" i="48"/>
  <c r="B183" i="48"/>
  <c r="X182" i="48"/>
  <c r="B182" i="48"/>
  <c r="X181" i="48"/>
  <c r="B181" i="48"/>
  <c r="X180" i="48"/>
  <c r="B180" i="48"/>
  <c r="X179" i="48"/>
  <c r="B179" i="48"/>
  <c r="X178" i="48"/>
  <c r="B178" i="48"/>
  <c r="X177" i="48"/>
  <c r="B177" i="48"/>
  <c r="X176" i="48"/>
  <c r="B176" i="48"/>
  <c r="X175" i="48"/>
  <c r="B175" i="48"/>
  <c r="X174" i="48"/>
  <c r="B174" i="48"/>
  <c r="X173" i="48"/>
  <c r="B173" i="48"/>
  <c r="X172" i="48"/>
  <c r="B172" i="48"/>
  <c r="X171" i="48"/>
  <c r="B171" i="48"/>
  <c r="X170" i="48"/>
  <c r="B170" i="48"/>
  <c r="B169" i="48"/>
  <c r="P146" i="48"/>
  <c r="P162" i="48"/>
  <c r="X160" i="48"/>
  <c r="B160" i="48"/>
  <c r="X159" i="48"/>
  <c r="B159" i="48"/>
  <c r="X158" i="48"/>
  <c r="B158" i="48"/>
  <c r="X157" i="48"/>
  <c r="B157" i="48"/>
  <c r="X156" i="48"/>
  <c r="B156" i="48"/>
  <c r="X155" i="48"/>
  <c r="B155" i="48"/>
  <c r="X154" i="48"/>
  <c r="B154" i="48"/>
  <c r="X153" i="48"/>
  <c r="B153" i="48"/>
  <c r="X152" i="48"/>
  <c r="B152" i="48"/>
  <c r="X151" i="48"/>
  <c r="B151" i="48"/>
  <c r="X150" i="48"/>
  <c r="B150" i="48"/>
  <c r="X149" i="48"/>
  <c r="B149" i="48"/>
  <c r="X148" i="48"/>
  <c r="B148" i="48"/>
  <c r="X147" i="48"/>
  <c r="B147" i="48"/>
  <c r="B146" i="48"/>
  <c r="P77" i="48"/>
  <c r="X137" i="48"/>
  <c r="B137" i="48"/>
  <c r="X136" i="48"/>
  <c r="B136" i="48"/>
  <c r="X135" i="48"/>
  <c r="B135" i="48"/>
  <c r="X134" i="48"/>
  <c r="B134" i="48"/>
  <c r="X133" i="48"/>
  <c r="B133" i="48"/>
  <c r="X132" i="48"/>
  <c r="B132" i="48"/>
  <c r="X131" i="48"/>
  <c r="B131" i="48"/>
  <c r="X130" i="48"/>
  <c r="B130" i="48"/>
  <c r="X129" i="48"/>
  <c r="B129" i="48"/>
  <c r="X128" i="48"/>
  <c r="B128" i="48"/>
  <c r="X127" i="48"/>
  <c r="B127" i="48"/>
  <c r="X126" i="48"/>
  <c r="B126" i="48"/>
  <c r="X125" i="48"/>
  <c r="B125" i="48"/>
  <c r="X124" i="48"/>
  <c r="B124" i="48"/>
  <c r="B123" i="48"/>
  <c r="X114" i="48"/>
  <c r="B114" i="48"/>
  <c r="X113" i="48"/>
  <c r="B113" i="48"/>
  <c r="X112" i="48"/>
  <c r="B112" i="48"/>
  <c r="X111" i="48"/>
  <c r="B111" i="48"/>
  <c r="X110" i="48"/>
  <c r="B110" i="48"/>
  <c r="X109" i="48"/>
  <c r="B109" i="48"/>
  <c r="X108" i="48"/>
  <c r="B108" i="48"/>
  <c r="X107" i="48"/>
  <c r="B107" i="48"/>
  <c r="X106" i="48"/>
  <c r="B106" i="48"/>
  <c r="X105" i="48"/>
  <c r="B105" i="48"/>
  <c r="X104" i="48"/>
  <c r="B104" i="48"/>
  <c r="X103" i="48"/>
  <c r="B103" i="48"/>
  <c r="X102" i="48"/>
  <c r="B102" i="48"/>
  <c r="X101" i="48"/>
  <c r="B101" i="48"/>
  <c r="B100" i="48"/>
  <c r="X91" i="48"/>
  <c r="B91" i="48"/>
  <c r="X90" i="48"/>
  <c r="B90" i="48"/>
  <c r="X89" i="48"/>
  <c r="B89" i="48"/>
  <c r="X88" i="48"/>
  <c r="B88" i="48"/>
  <c r="X87" i="48"/>
  <c r="B87" i="48"/>
  <c r="X86" i="48"/>
  <c r="B86" i="48"/>
  <c r="X85" i="48"/>
  <c r="B85" i="48"/>
  <c r="X84" i="48"/>
  <c r="B84" i="48"/>
  <c r="X83" i="48"/>
  <c r="B83" i="48"/>
  <c r="X82" i="48"/>
  <c r="B82" i="48"/>
  <c r="X81" i="48"/>
  <c r="B81" i="48"/>
  <c r="X80" i="48"/>
  <c r="B80" i="48"/>
  <c r="X79" i="48"/>
  <c r="B79" i="48"/>
  <c r="X78" i="48"/>
  <c r="B78" i="48"/>
  <c r="B77" i="48"/>
  <c r="BI67" i="48"/>
  <c r="AZ67" i="48"/>
  <c r="AK67" i="48"/>
  <c r="X67" i="48"/>
  <c r="B67" i="48"/>
  <c r="BI66" i="48"/>
  <c r="AZ66" i="48"/>
  <c r="AK66" i="48"/>
  <c r="X66" i="48"/>
  <c r="B66" i="48"/>
  <c r="BI65" i="48"/>
  <c r="AZ65" i="48"/>
  <c r="AK65" i="48"/>
  <c r="X65" i="48"/>
  <c r="B65" i="48"/>
  <c r="BI64" i="48"/>
  <c r="AZ64" i="48"/>
  <c r="AK64" i="48"/>
  <c r="X64" i="48"/>
  <c r="B64" i="48"/>
  <c r="BI63" i="48"/>
  <c r="AZ63" i="48"/>
  <c r="AK63" i="48"/>
  <c r="X63" i="48"/>
  <c r="B63" i="48"/>
  <c r="BI62" i="48"/>
  <c r="AZ62" i="48"/>
  <c r="AK62" i="48"/>
  <c r="X62" i="48"/>
  <c r="B62" i="48"/>
  <c r="BI61" i="48"/>
  <c r="AZ61" i="48"/>
  <c r="AK61" i="48"/>
  <c r="X61" i="48"/>
  <c r="B61" i="48"/>
  <c r="BI60" i="48"/>
  <c r="AZ60" i="48"/>
  <c r="AK60" i="48"/>
  <c r="X60" i="48"/>
  <c r="B60" i="48"/>
  <c r="BI59" i="48"/>
  <c r="AZ59" i="48"/>
  <c r="AK59" i="48"/>
  <c r="X59" i="48"/>
  <c r="B59" i="48"/>
  <c r="BI58" i="48"/>
  <c r="AZ58" i="48"/>
  <c r="AK58" i="48"/>
  <c r="X58" i="48"/>
  <c r="B58" i="48"/>
  <c r="BI57" i="48"/>
  <c r="AZ57" i="48"/>
  <c r="AK57" i="48"/>
  <c r="X57" i="48"/>
  <c r="B57" i="48"/>
  <c r="BI56" i="48"/>
  <c r="AZ56" i="48"/>
  <c r="AK56" i="48"/>
  <c r="X56" i="48"/>
  <c r="B56" i="48"/>
  <c r="BI55" i="48"/>
  <c r="AZ55" i="48"/>
  <c r="AK55" i="48"/>
  <c r="X55" i="48"/>
  <c r="B55" i="48"/>
  <c r="BI54" i="48"/>
  <c r="AZ54" i="48"/>
  <c r="AK54" i="48"/>
  <c r="X54" i="48"/>
  <c r="B54" i="48"/>
  <c r="BI53" i="48"/>
  <c r="AZ53" i="48"/>
  <c r="AK53" i="48"/>
  <c r="B53" i="48"/>
  <c r="B45" i="48"/>
  <c r="B44" i="48"/>
  <c r="B43" i="48"/>
  <c r="B42" i="48"/>
  <c r="B41" i="48"/>
  <c r="B40" i="48"/>
  <c r="B39" i="48"/>
  <c r="B38" i="48"/>
  <c r="B37" i="48"/>
  <c r="B36" i="48"/>
  <c r="B35" i="48"/>
  <c r="B34" i="48"/>
  <c r="B33" i="48"/>
  <c r="B32" i="48"/>
  <c r="B31" i="48"/>
  <c r="P232" i="47"/>
  <c r="P374" i="47"/>
  <c r="R241" i="47"/>
  <c r="S241" i="47"/>
  <c r="T241" i="47"/>
  <c r="U241" i="47"/>
  <c r="V241" i="47"/>
  <c r="Q241" i="47"/>
  <c r="P241" i="47"/>
  <c r="O190" i="47"/>
  <c r="O239" i="47"/>
  <c r="O240" i="47"/>
  <c r="O241" i="47"/>
  <c r="O243" i="47"/>
  <c r="N190" i="47"/>
  <c r="N239" i="47"/>
  <c r="N240" i="47"/>
  <c r="N241" i="47"/>
  <c r="N243" i="47"/>
  <c r="M190" i="47"/>
  <c r="M239" i="47"/>
  <c r="M240" i="47"/>
  <c r="M241" i="47"/>
  <c r="M243" i="47"/>
  <c r="L190" i="47"/>
  <c r="L239" i="47"/>
  <c r="L240" i="47"/>
  <c r="L241" i="47"/>
  <c r="L243" i="47"/>
  <c r="K190" i="47"/>
  <c r="K239" i="47"/>
  <c r="K240" i="47"/>
  <c r="K241" i="47"/>
  <c r="K243" i="47"/>
  <c r="J190" i="47"/>
  <c r="J239" i="47"/>
  <c r="J240" i="47"/>
  <c r="J241" i="47"/>
  <c r="J243" i="47"/>
  <c r="I190" i="47"/>
  <c r="I239" i="47"/>
  <c r="I240" i="47"/>
  <c r="I241" i="47"/>
  <c r="I243" i="47"/>
  <c r="H190" i="47"/>
  <c r="H239" i="47"/>
  <c r="H240" i="47"/>
  <c r="H241" i="47"/>
  <c r="H243" i="47"/>
  <c r="X241" i="47"/>
  <c r="X232" i="47"/>
  <c r="X230" i="47"/>
  <c r="X229" i="47"/>
  <c r="X228" i="47"/>
  <c r="X227" i="47"/>
  <c r="X226" i="47"/>
  <c r="B216" i="47"/>
  <c r="B215" i="47"/>
  <c r="B214" i="47"/>
  <c r="B213" i="47"/>
  <c r="B212" i="47"/>
  <c r="B211" i="47"/>
  <c r="B210" i="47"/>
  <c r="B209" i="47"/>
  <c r="B208" i="47"/>
  <c r="B207" i="47"/>
  <c r="B206" i="47"/>
  <c r="B205" i="47"/>
  <c r="B204" i="47"/>
  <c r="B203" i="47"/>
  <c r="B202" i="47"/>
  <c r="O199" i="47"/>
  <c r="N199" i="47"/>
  <c r="M199" i="47"/>
  <c r="L199" i="47"/>
  <c r="K199" i="47"/>
  <c r="J199" i="47"/>
  <c r="I199" i="47"/>
  <c r="H199" i="47"/>
  <c r="O188" i="47"/>
  <c r="N188" i="47"/>
  <c r="M188" i="47"/>
  <c r="L188" i="47"/>
  <c r="K188" i="47"/>
  <c r="J188" i="47"/>
  <c r="I188" i="47"/>
  <c r="H188" i="47"/>
  <c r="X183" i="47"/>
  <c r="B183" i="47"/>
  <c r="X182" i="47"/>
  <c r="B182" i="47"/>
  <c r="X181" i="47"/>
  <c r="B181" i="47"/>
  <c r="X180" i="47"/>
  <c r="B180" i="47"/>
  <c r="X179" i="47"/>
  <c r="B179" i="47"/>
  <c r="X178" i="47"/>
  <c r="B178" i="47"/>
  <c r="X177" i="47"/>
  <c r="B177" i="47"/>
  <c r="X176" i="47"/>
  <c r="B176" i="47"/>
  <c r="X175" i="47"/>
  <c r="B175" i="47"/>
  <c r="X174" i="47"/>
  <c r="B174" i="47"/>
  <c r="X173" i="47"/>
  <c r="B173" i="47"/>
  <c r="X172" i="47"/>
  <c r="B172" i="47"/>
  <c r="X171" i="47"/>
  <c r="B171" i="47"/>
  <c r="X170" i="47"/>
  <c r="B170" i="47"/>
  <c r="B169" i="47"/>
  <c r="X160" i="47"/>
  <c r="B160" i="47"/>
  <c r="X159" i="47"/>
  <c r="B159" i="47"/>
  <c r="X158" i="47"/>
  <c r="B158" i="47"/>
  <c r="X157" i="47"/>
  <c r="B157" i="47"/>
  <c r="X156" i="47"/>
  <c r="B156" i="47"/>
  <c r="X155" i="47"/>
  <c r="B155" i="47"/>
  <c r="X154" i="47"/>
  <c r="B154" i="47"/>
  <c r="X153" i="47"/>
  <c r="B153" i="47"/>
  <c r="X152" i="47"/>
  <c r="B152" i="47"/>
  <c r="X151" i="47"/>
  <c r="B151" i="47"/>
  <c r="X150" i="47"/>
  <c r="B150" i="47"/>
  <c r="X149" i="47"/>
  <c r="B149" i="47"/>
  <c r="X148" i="47"/>
  <c r="B148" i="47"/>
  <c r="X147" i="47"/>
  <c r="B147" i="47"/>
  <c r="B146" i="47"/>
  <c r="X137" i="47"/>
  <c r="B137" i="47"/>
  <c r="X136" i="47"/>
  <c r="B136" i="47"/>
  <c r="X135" i="47"/>
  <c r="B135" i="47"/>
  <c r="X134" i="47"/>
  <c r="B134" i="47"/>
  <c r="X133" i="47"/>
  <c r="B133" i="47"/>
  <c r="X132" i="47"/>
  <c r="B132" i="47"/>
  <c r="X131" i="47"/>
  <c r="B131" i="47"/>
  <c r="X130" i="47"/>
  <c r="B130" i="47"/>
  <c r="X129" i="47"/>
  <c r="B129" i="47"/>
  <c r="X128" i="47"/>
  <c r="B128" i="47"/>
  <c r="X127" i="47"/>
  <c r="B127" i="47"/>
  <c r="X126" i="47"/>
  <c r="B126" i="47"/>
  <c r="X125" i="47"/>
  <c r="B125" i="47"/>
  <c r="X124" i="47"/>
  <c r="B124" i="47"/>
  <c r="B123" i="47"/>
  <c r="X114" i="47"/>
  <c r="B114" i="47"/>
  <c r="X113" i="47"/>
  <c r="B113" i="47"/>
  <c r="X112" i="47"/>
  <c r="B112" i="47"/>
  <c r="X111" i="47"/>
  <c r="B111" i="47"/>
  <c r="X110" i="47"/>
  <c r="B110" i="47"/>
  <c r="X109" i="47"/>
  <c r="B109" i="47"/>
  <c r="X108" i="47"/>
  <c r="B108" i="47"/>
  <c r="X107" i="47"/>
  <c r="B107" i="47"/>
  <c r="X106" i="47"/>
  <c r="B106" i="47"/>
  <c r="X105" i="47"/>
  <c r="B105" i="47"/>
  <c r="X104" i="47"/>
  <c r="B104" i="47"/>
  <c r="X103" i="47"/>
  <c r="B103" i="47"/>
  <c r="X102" i="47"/>
  <c r="B102" i="47"/>
  <c r="X101" i="47"/>
  <c r="B101" i="47"/>
  <c r="B100" i="47"/>
  <c r="X91" i="47"/>
  <c r="B91" i="47"/>
  <c r="X90" i="47"/>
  <c r="B90" i="47"/>
  <c r="X89" i="47"/>
  <c r="B89" i="47"/>
  <c r="X88" i="47"/>
  <c r="B88" i="47"/>
  <c r="X87" i="47"/>
  <c r="B87" i="47"/>
  <c r="X86" i="47"/>
  <c r="B86" i="47"/>
  <c r="X85" i="47"/>
  <c r="B85" i="47"/>
  <c r="X84" i="47"/>
  <c r="B84" i="47"/>
  <c r="X83" i="47"/>
  <c r="B83" i="47"/>
  <c r="X82" i="47"/>
  <c r="B82" i="47"/>
  <c r="X81" i="47"/>
  <c r="B81" i="47"/>
  <c r="X80" i="47"/>
  <c r="B80" i="47"/>
  <c r="X79" i="47"/>
  <c r="B79" i="47"/>
  <c r="X78" i="47"/>
  <c r="B78" i="47"/>
  <c r="B77" i="47"/>
  <c r="BI67" i="47"/>
  <c r="AZ67" i="47"/>
  <c r="AK67" i="47"/>
  <c r="X67" i="47"/>
  <c r="B67" i="47"/>
  <c r="BI66" i="47"/>
  <c r="AZ66" i="47"/>
  <c r="AK66" i="47"/>
  <c r="X66" i="47"/>
  <c r="B66" i="47"/>
  <c r="BI65" i="47"/>
  <c r="AZ65" i="47"/>
  <c r="AK65" i="47"/>
  <c r="X65" i="47"/>
  <c r="B65" i="47"/>
  <c r="BI64" i="47"/>
  <c r="AZ64" i="47"/>
  <c r="AK64" i="47"/>
  <c r="X64" i="47"/>
  <c r="B64" i="47"/>
  <c r="BI63" i="47"/>
  <c r="AZ63" i="47"/>
  <c r="AK63" i="47"/>
  <c r="X63" i="47"/>
  <c r="B63" i="47"/>
  <c r="BI62" i="47"/>
  <c r="AZ62" i="47"/>
  <c r="AK62" i="47"/>
  <c r="X62" i="47"/>
  <c r="B62" i="47"/>
  <c r="BI61" i="47"/>
  <c r="AZ61" i="47"/>
  <c r="AK61" i="47"/>
  <c r="X61" i="47"/>
  <c r="B61" i="47"/>
  <c r="BI60" i="47"/>
  <c r="AZ60" i="47"/>
  <c r="AK60" i="47"/>
  <c r="X60" i="47"/>
  <c r="B60" i="47"/>
  <c r="BI59" i="47"/>
  <c r="AZ59" i="47"/>
  <c r="AK59" i="47"/>
  <c r="X59" i="47"/>
  <c r="B59" i="47"/>
  <c r="BI58" i="47"/>
  <c r="AZ58" i="47"/>
  <c r="AK58" i="47"/>
  <c r="X58" i="47"/>
  <c r="B58" i="47"/>
  <c r="BI57" i="47"/>
  <c r="AZ57" i="47"/>
  <c r="AK57" i="47"/>
  <c r="X57" i="47"/>
  <c r="B57" i="47"/>
  <c r="BI56" i="47"/>
  <c r="AZ56" i="47"/>
  <c r="AK56" i="47"/>
  <c r="X56" i="47"/>
  <c r="B56" i="47"/>
  <c r="BI55" i="47"/>
  <c r="AZ55" i="47"/>
  <c r="AK55" i="47"/>
  <c r="X55" i="47"/>
  <c r="B55" i="47"/>
  <c r="BI54" i="47"/>
  <c r="AZ54" i="47"/>
  <c r="AK54" i="47"/>
  <c r="X54" i="47"/>
  <c r="B54" i="47"/>
  <c r="BI53" i="47"/>
  <c r="AZ53" i="47"/>
  <c r="AK53" i="47"/>
  <c r="B53" i="47"/>
  <c r="B45" i="47"/>
  <c r="B44" i="47"/>
  <c r="B43" i="47"/>
  <c r="B42" i="47"/>
  <c r="B41" i="47"/>
  <c r="B40" i="47"/>
  <c r="B39" i="47"/>
  <c r="B38" i="47"/>
  <c r="B37" i="47"/>
  <c r="B36" i="47"/>
  <c r="B35" i="47"/>
  <c r="B34" i="47"/>
  <c r="B33" i="47"/>
  <c r="B32" i="47"/>
  <c r="B31" i="47"/>
  <c r="P146" i="46"/>
  <c r="P162" i="46"/>
  <c r="P232" i="46"/>
  <c r="P374" i="46"/>
  <c r="R241" i="46"/>
  <c r="S241" i="46"/>
  <c r="T241" i="46"/>
  <c r="U241" i="46"/>
  <c r="V241" i="46"/>
  <c r="Q241" i="46"/>
  <c r="P241" i="46"/>
  <c r="O190" i="46"/>
  <c r="O239" i="46"/>
  <c r="O240" i="46"/>
  <c r="O241" i="46"/>
  <c r="O243" i="46"/>
  <c r="N190" i="46"/>
  <c r="N239" i="46"/>
  <c r="N240" i="46"/>
  <c r="N241" i="46"/>
  <c r="N243" i="46"/>
  <c r="M190" i="46"/>
  <c r="M239" i="46"/>
  <c r="M240" i="46"/>
  <c r="M241" i="46"/>
  <c r="M243" i="46"/>
  <c r="L190" i="46"/>
  <c r="L239" i="46"/>
  <c r="L240" i="46"/>
  <c r="L241" i="46"/>
  <c r="L243" i="46"/>
  <c r="K190" i="46"/>
  <c r="K239" i="46"/>
  <c r="K240" i="46"/>
  <c r="K241" i="46"/>
  <c r="K243" i="46"/>
  <c r="J190" i="46"/>
  <c r="J239" i="46"/>
  <c r="J240" i="46"/>
  <c r="J241" i="46"/>
  <c r="J243" i="46"/>
  <c r="I190" i="46"/>
  <c r="I239" i="46"/>
  <c r="I240" i="46"/>
  <c r="I241" i="46"/>
  <c r="I243" i="46"/>
  <c r="H190" i="46"/>
  <c r="H239" i="46"/>
  <c r="H240" i="46"/>
  <c r="H241" i="46"/>
  <c r="H243" i="46"/>
  <c r="X241" i="46"/>
  <c r="X232" i="46"/>
  <c r="X230" i="46"/>
  <c r="X229" i="46"/>
  <c r="X228" i="46"/>
  <c r="X227" i="46"/>
  <c r="X226" i="46"/>
  <c r="B216" i="46"/>
  <c r="B215" i="46"/>
  <c r="B214" i="46"/>
  <c r="B213" i="46"/>
  <c r="B212" i="46"/>
  <c r="B211" i="46"/>
  <c r="B210" i="46"/>
  <c r="B209" i="46"/>
  <c r="B208" i="46"/>
  <c r="B207" i="46"/>
  <c r="B206" i="46"/>
  <c r="B205" i="46"/>
  <c r="B204" i="46"/>
  <c r="B203" i="46"/>
  <c r="B202" i="46"/>
  <c r="O199" i="46"/>
  <c r="N199" i="46"/>
  <c r="M199" i="46"/>
  <c r="L199" i="46"/>
  <c r="K199" i="46"/>
  <c r="J199" i="46"/>
  <c r="I199" i="46"/>
  <c r="H199" i="46"/>
  <c r="O188" i="46"/>
  <c r="N188" i="46"/>
  <c r="M188" i="46"/>
  <c r="L188" i="46"/>
  <c r="K188" i="46"/>
  <c r="J188" i="46"/>
  <c r="I188" i="46"/>
  <c r="H188" i="46"/>
  <c r="X183" i="46"/>
  <c r="B183" i="46"/>
  <c r="X182" i="46"/>
  <c r="B182" i="46"/>
  <c r="X181" i="46"/>
  <c r="B181" i="46"/>
  <c r="X180" i="46"/>
  <c r="B180" i="46"/>
  <c r="X179" i="46"/>
  <c r="B179" i="46"/>
  <c r="X178" i="46"/>
  <c r="B178" i="46"/>
  <c r="X177" i="46"/>
  <c r="B177" i="46"/>
  <c r="X176" i="46"/>
  <c r="B176" i="46"/>
  <c r="X175" i="46"/>
  <c r="B175" i="46"/>
  <c r="X174" i="46"/>
  <c r="B174" i="46"/>
  <c r="X173" i="46"/>
  <c r="B173" i="46"/>
  <c r="X172" i="46"/>
  <c r="B172" i="46"/>
  <c r="X171" i="46"/>
  <c r="B171" i="46"/>
  <c r="X170" i="46"/>
  <c r="B170" i="46"/>
  <c r="B169" i="46"/>
  <c r="X160" i="46"/>
  <c r="B160" i="46"/>
  <c r="X159" i="46"/>
  <c r="B159" i="46"/>
  <c r="X158" i="46"/>
  <c r="B158" i="46"/>
  <c r="X157" i="46"/>
  <c r="B157" i="46"/>
  <c r="X156" i="46"/>
  <c r="B156" i="46"/>
  <c r="X155" i="46"/>
  <c r="B155" i="46"/>
  <c r="X154" i="46"/>
  <c r="B154" i="46"/>
  <c r="X153" i="46"/>
  <c r="B153" i="46"/>
  <c r="X152" i="46"/>
  <c r="B152" i="46"/>
  <c r="X151" i="46"/>
  <c r="B151" i="46"/>
  <c r="X150" i="46"/>
  <c r="B150" i="46"/>
  <c r="X149" i="46"/>
  <c r="B149" i="46"/>
  <c r="X148" i="46"/>
  <c r="B148" i="46"/>
  <c r="X147" i="46"/>
  <c r="B147" i="46"/>
  <c r="B146" i="46"/>
  <c r="P77" i="46"/>
  <c r="P93" i="46"/>
  <c r="P100" i="46"/>
  <c r="X137" i="46"/>
  <c r="B137" i="46"/>
  <c r="X136" i="46"/>
  <c r="B136" i="46"/>
  <c r="X135" i="46"/>
  <c r="B135" i="46"/>
  <c r="X134" i="46"/>
  <c r="B134" i="46"/>
  <c r="X133" i="46"/>
  <c r="B133" i="46"/>
  <c r="X132" i="46"/>
  <c r="B132" i="46"/>
  <c r="X131" i="46"/>
  <c r="B131" i="46"/>
  <c r="X130" i="46"/>
  <c r="B130" i="46"/>
  <c r="X129" i="46"/>
  <c r="B129" i="46"/>
  <c r="X128" i="46"/>
  <c r="B128" i="46"/>
  <c r="X127" i="46"/>
  <c r="B127" i="46"/>
  <c r="X126" i="46"/>
  <c r="B126" i="46"/>
  <c r="X125" i="46"/>
  <c r="B125" i="46"/>
  <c r="X124" i="46"/>
  <c r="B124" i="46"/>
  <c r="B123" i="46"/>
  <c r="P116" i="46"/>
  <c r="X114" i="46"/>
  <c r="B114" i="46"/>
  <c r="X113" i="46"/>
  <c r="B113" i="46"/>
  <c r="X112" i="46"/>
  <c r="B112" i="46"/>
  <c r="X111" i="46"/>
  <c r="B111" i="46"/>
  <c r="X110" i="46"/>
  <c r="B110" i="46"/>
  <c r="X109" i="46"/>
  <c r="B109" i="46"/>
  <c r="X108" i="46"/>
  <c r="B108" i="46"/>
  <c r="X107" i="46"/>
  <c r="B107" i="46"/>
  <c r="X106" i="46"/>
  <c r="B106" i="46"/>
  <c r="X105" i="46"/>
  <c r="B105" i="46"/>
  <c r="X104" i="46"/>
  <c r="B104" i="46"/>
  <c r="X103" i="46"/>
  <c r="B103" i="46"/>
  <c r="X102" i="46"/>
  <c r="B102" i="46"/>
  <c r="X101" i="46"/>
  <c r="B101" i="46"/>
  <c r="B100" i="46"/>
  <c r="X91" i="46"/>
  <c r="B91" i="46"/>
  <c r="X90" i="46"/>
  <c r="B90" i="46"/>
  <c r="X89" i="46"/>
  <c r="B89" i="46"/>
  <c r="X88" i="46"/>
  <c r="B88" i="46"/>
  <c r="X87" i="46"/>
  <c r="B87" i="46"/>
  <c r="X86" i="46"/>
  <c r="B86" i="46"/>
  <c r="X85" i="46"/>
  <c r="B85" i="46"/>
  <c r="X84" i="46"/>
  <c r="B84" i="46"/>
  <c r="X83" i="46"/>
  <c r="B83" i="46"/>
  <c r="X82" i="46"/>
  <c r="B82" i="46"/>
  <c r="X81" i="46"/>
  <c r="B81" i="46"/>
  <c r="X80" i="46"/>
  <c r="B80" i="46"/>
  <c r="X79" i="46"/>
  <c r="B79" i="46"/>
  <c r="X78" i="46"/>
  <c r="B78" i="46"/>
  <c r="B77" i="46"/>
  <c r="BI67" i="46"/>
  <c r="AZ67" i="46"/>
  <c r="AK67" i="46"/>
  <c r="X67" i="46"/>
  <c r="B67" i="46"/>
  <c r="BI66" i="46"/>
  <c r="AZ66" i="46"/>
  <c r="AK66" i="46"/>
  <c r="X66" i="46"/>
  <c r="B66" i="46"/>
  <c r="BI65" i="46"/>
  <c r="AZ65" i="46"/>
  <c r="AK65" i="46"/>
  <c r="X65" i="46"/>
  <c r="B65" i="46"/>
  <c r="BI64" i="46"/>
  <c r="AZ64" i="46"/>
  <c r="AK64" i="46"/>
  <c r="X64" i="46"/>
  <c r="B64" i="46"/>
  <c r="BI63" i="46"/>
  <c r="AZ63" i="46"/>
  <c r="AK63" i="46"/>
  <c r="X63" i="46"/>
  <c r="B63" i="46"/>
  <c r="BI62" i="46"/>
  <c r="AZ62" i="46"/>
  <c r="AK62" i="46"/>
  <c r="X62" i="46"/>
  <c r="B62" i="46"/>
  <c r="BI61" i="46"/>
  <c r="AZ61" i="46"/>
  <c r="AK61" i="46"/>
  <c r="X61" i="46"/>
  <c r="B61" i="46"/>
  <c r="BI60" i="46"/>
  <c r="AZ60" i="46"/>
  <c r="AK60" i="46"/>
  <c r="X60" i="46"/>
  <c r="B60" i="46"/>
  <c r="BI59" i="46"/>
  <c r="AZ59" i="46"/>
  <c r="AK59" i="46"/>
  <c r="X59" i="46"/>
  <c r="B59" i="46"/>
  <c r="BI58" i="46"/>
  <c r="AZ58" i="46"/>
  <c r="AK58" i="46"/>
  <c r="X58" i="46"/>
  <c r="B58" i="46"/>
  <c r="BI57" i="46"/>
  <c r="AZ57" i="46"/>
  <c r="AK57" i="46"/>
  <c r="X57" i="46"/>
  <c r="B57" i="46"/>
  <c r="BI56" i="46"/>
  <c r="AZ56" i="46"/>
  <c r="AK56" i="46"/>
  <c r="X56" i="46"/>
  <c r="B56" i="46"/>
  <c r="BI55" i="46"/>
  <c r="AZ55" i="46"/>
  <c r="AK55" i="46"/>
  <c r="X55" i="46"/>
  <c r="B55" i="46"/>
  <c r="BI54" i="46"/>
  <c r="AZ54" i="46"/>
  <c r="AK54" i="46"/>
  <c r="X54" i="46"/>
  <c r="B54" i="46"/>
  <c r="BI53" i="46"/>
  <c r="AZ53" i="46"/>
  <c r="AK53" i="46"/>
  <c r="B53" i="46"/>
  <c r="B45" i="46"/>
  <c r="B44" i="46"/>
  <c r="B43" i="46"/>
  <c r="B42" i="46"/>
  <c r="B41" i="46"/>
  <c r="B40" i="46"/>
  <c r="B39" i="46"/>
  <c r="B38" i="46"/>
  <c r="B37" i="46"/>
  <c r="B36" i="46"/>
  <c r="B35" i="46"/>
  <c r="B34" i="46"/>
  <c r="B33" i="46"/>
  <c r="B32" i="46"/>
  <c r="B31" i="46"/>
  <c r="P232" i="45"/>
  <c r="P374" i="45"/>
  <c r="R241" i="45"/>
  <c r="S241" i="45"/>
  <c r="T241" i="45"/>
  <c r="U241" i="45"/>
  <c r="V241" i="45"/>
  <c r="P241" i="45"/>
  <c r="O190" i="45"/>
  <c r="O239" i="45"/>
  <c r="O240" i="45"/>
  <c r="O241" i="45"/>
  <c r="O243" i="45"/>
  <c r="N190" i="45"/>
  <c r="N239" i="45"/>
  <c r="N240" i="45"/>
  <c r="N241" i="45"/>
  <c r="N243" i="45"/>
  <c r="M190" i="45"/>
  <c r="M239" i="45"/>
  <c r="M240" i="45"/>
  <c r="M241" i="45"/>
  <c r="M243" i="45"/>
  <c r="L190" i="45"/>
  <c r="L239" i="45"/>
  <c r="L240" i="45"/>
  <c r="L241" i="45"/>
  <c r="L243" i="45"/>
  <c r="K190" i="45"/>
  <c r="K239" i="45"/>
  <c r="K240" i="45"/>
  <c r="K241" i="45"/>
  <c r="K243" i="45"/>
  <c r="J190" i="45"/>
  <c r="J239" i="45"/>
  <c r="J240" i="45"/>
  <c r="J241" i="45"/>
  <c r="J243" i="45"/>
  <c r="I190" i="45"/>
  <c r="I239" i="45"/>
  <c r="I240" i="45"/>
  <c r="I241" i="45"/>
  <c r="I243" i="45"/>
  <c r="H190" i="45"/>
  <c r="H239" i="45"/>
  <c r="H240" i="45"/>
  <c r="H241" i="45"/>
  <c r="H243" i="45"/>
  <c r="X241" i="45"/>
  <c r="X232" i="45"/>
  <c r="X230" i="45"/>
  <c r="X229" i="45"/>
  <c r="X228" i="45"/>
  <c r="X227" i="45"/>
  <c r="X226" i="45"/>
  <c r="B216" i="45"/>
  <c r="B215" i="45"/>
  <c r="B214" i="45"/>
  <c r="B213" i="45"/>
  <c r="B212" i="45"/>
  <c r="B211" i="45"/>
  <c r="B210" i="45"/>
  <c r="B209" i="45"/>
  <c r="B208" i="45"/>
  <c r="B207" i="45"/>
  <c r="B206" i="45"/>
  <c r="B205" i="45"/>
  <c r="B204" i="45"/>
  <c r="B203" i="45"/>
  <c r="B202" i="45"/>
  <c r="O199" i="45"/>
  <c r="N199" i="45"/>
  <c r="M199" i="45"/>
  <c r="L199" i="45"/>
  <c r="K199" i="45"/>
  <c r="J199" i="45"/>
  <c r="I199" i="45"/>
  <c r="H199" i="45"/>
  <c r="O188" i="45"/>
  <c r="N188" i="45"/>
  <c r="M188" i="45"/>
  <c r="L188" i="45"/>
  <c r="K188" i="45"/>
  <c r="J188" i="45"/>
  <c r="I188" i="45"/>
  <c r="H188" i="45"/>
  <c r="X183" i="45"/>
  <c r="B183" i="45"/>
  <c r="X182" i="45"/>
  <c r="B182" i="45"/>
  <c r="X181" i="45"/>
  <c r="B181" i="45"/>
  <c r="X180" i="45"/>
  <c r="B180" i="45"/>
  <c r="X179" i="45"/>
  <c r="B179" i="45"/>
  <c r="X178" i="45"/>
  <c r="B178" i="45"/>
  <c r="X177" i="45"/>
  <c r="B177" i="45"/>
  <c r="X176" i="45"/>
  <c r="B176" i="45"/>
  <c r="X175" i="45"/>
  <c r="B175" i="45"/>
  <c r="X174" i="45"/>
  <c r="B174" i="45"/>
  <c r="X173" i="45"/>
  <c r="B173" i="45"/>
  <c r="X172" i="45"/>
  <c r="B172" i="45"/>
  <c r="X171" i="45"/>
  <c r="B171" i="45"/>
  <c r="X170" i="45"/>
  <c r="B170" i="45"/>
  <c r="B169" i="45"/>
  <c r="X160" i="45"/>
  <c r="B160" i="45"/>
  <c r="X159" i="45"/>
  <c r="B159" i="45"/>
  <c r="X158" i="45"/>
  <c r="B158" i="45"/>
  <c r="X157" i="45"/>
  <c r="B157" i="45"/>
  <c r="X156" i="45"/>
  <c r="B156" i="45"/>
  <c r="X155" i="45"/>
  <c r="B155" i="45"/>
  <c r="X154" i="45"/>
  <c r="B154" i="45"/>
  <c r="X153" i="45"/>
  <c r="B153" i="45"/>
  <c r="X152" i="45"/>
  <c r="B152" i="45"/>
  <c r="X151" i="45"/>
  <c r="B151" i="45"/>
  <c r="X150" i="45"/>
  <c r="B150" i="45"/>
  <c r="X149" i="45"/>
  <c r="B149" i="45"/>
  <c r="X148" i="45"/>
  <c r="B148" i="45"/>
  <c r="X147" i="45"/>
  <c r="B147" i="45"/>
  <c r="B146" i="45"/>
  <c r="P77" i="45"/>
  <c r="X137" i="45"/>
  <c r="B137" i="45"/>
  <c r="X136" i="45"/>
  <c r="B136" i="45"/>
  <c r="X135" i="45"/>
  <c r="B135" i="45"/>
  <c r="X134" i="45"/>
  <c r="B134" i="45"/>
  <c r="X133" i="45"/>
  <c r="B133" i="45"/>
  <c r="X132" i="45"/>
  <c r="B132" i="45"/>
  <c r="X131" i="45"/>
  <c r="B131" i="45"/>
  <c r="X130" i="45"/>
  <c r="B130" i="45"/>
  <c r="X129" i="45"/>
  <c r="B129" i="45"/>
  <c r="X128" i="45"/>
  <c r="B128" i="45"/>
  <c r="X127" i="45"/>
  <c r="B127" i="45"/>
  <c r="X126" i="45"/>
  <c r="B126" i="45"/>
  <c r="X125" i="45"/>
  <c r="B125" i="45"/>
  <c r="X124" i="45"/>
  <c r="B124" i="45"/>
  <c r="B123" i="45"/>
  <c r="X114" i="45"/>
  <c r="B114" i="45"/>
  <c r="X113" i="45"/>
  <c r="B113" i="45"/>
  <c r="X112" i="45"/>
  <c r="B112" i="45"/>
  <c r="X111" i="45"/>
  <c r="B111" i="45"/>
  <c r="X110" i="45"/>
  <c r="B110" i="45"/>
  <c r="X109" i="45"/>
  <c r="B109" i="45"/>
  <c r="X108" i="45"/>
  <c r="B108" i="45"/>
  <c r="X107" i="45"/>
  <c r="B107" i="45"/>
  <c r="X106" i="45"/>
  <c r="B106" i="45"/>
  <c r="X105" i="45"/>
  <c r="B105" i="45"/>
  <c r="X104" i="45"/>
  <c r="B104" i="45"/>
  <c r="X103" i="45"/>
  <c r="B103" i="45"/>
  <c r="X102" i="45"/>
  <c r="B102" i="45"/>
  <c r="X101" i="45"/>
  <c r="B101" i="45"/>
  <c r="B100" i="45"/>
  <c r="X91" i="45"/>
  <c r="B91" i="45"/>
  <c r="X90" i="45"/>
  <c r="B90" i="45"/>
  <c r="X89" i="45"/>
  <c r="B89" i="45"/>
  <c r="X88" i="45"/>
  <c r="B88" i="45"/>
  <c r="X87" i="45"/>
  <c r="B87" i="45"/>
  <c r="X86" i="45"/>
  <c r="B86" i="45"/>
  <c r="X85" i="45"/>
  <c r="B85" i="45"/>
  <c r="X84" i="45"/>
  <c r="B84" i="45"/>
  <c r="X83" i="45"/>
  <c r="B83" i="45"/>
  <c r="X82" i="45"/>
  <c r="B82" i="45"/>
  <c r="X81" i="45"/>
  <c r="B81" i="45"/>
  <c r="X80" i="45"/>
  <c r="B80" i="45"/>
  <c r="X79" i="45"/>
  <c r="B79" i="45"/>
  <c r="X78" i="45"/>
  <c r="B78" i="45"/>
  <c r="B77" i="45"/>
  <c r="BI67" i="45"/>
  <c r="AZ67" i="45"/>
  <c r="AK67" i="45"/>
  <c r="X67" i="45"/>
  <c r="B67" i="45"/>
  <c r="BI66" i="45"/>
  <c r="AZ66" i="45"/>
  <c r="AK66" i="45"/>
  <c r="X66" i="45"/>
  <c r="B66" i="45"/>
  <c r="BI65" i="45"/>
  <c r="AZ65" i="45"/>
  <c r="AK65" i="45"/>
  <c r="X65" i="45"/>
  <c r="B65" i="45"/>
  <c r="BI64" i="45"/>
  <c r="AZ64" i="45"/>
  <c r="AK64" i="45"/>
  <c r="X64" i="45"/>
  <c r="B64" i="45"/>
  <c r="BI63" i="45"/>
  <c r="AZ63" i="45"/>
  <c r="AK63" i="45"/>
  <c r="X63" i="45"/>
  <c r="B63" i="45"/>
  <c r="BI62" i="45"/>
  <c r="AZ62" i="45"/>
  <c r="AK62" i="45"/>
  <c r="X62" i="45"/>
  <c r="B62" i="45"/>
  <c r="BI61" i="45"/>
  <c r="AZ61" i="45"/>
  <c r="AK61" i="45"/>
  <c r="X61" i="45"/>
  <c r="B61" i="45"/>
  <c r="BI60" i="45"/>
  <c r="AZ60" i="45"/>
  <c r="AK60" i="45"/>
  <c r="X60" i="45"/>
  <c r="B60" i="45"/>
  <c r="BI59" i="45"/>
  <c r="AZ59" i="45"/>
  <c r="AK59" i="45"/>
  <c r="X59" i="45"/>
  <c r="B59" i="45"/>
  <c r="BI58" i="45"/>
  <c r="AZ58" i="45"/>
  <c r="AK58" i="45"/>
  <c r="X58" i="45"/>
  <c r="B58" i="45"/>
  <c r="BI57" i="45"/>
  <c r="AZ57" i="45"/>
  <c r="AK57" i="45"/>
  <c r="X57" i="45"/>
  <c r="B57" i="45"/>
  <c r="BI56" i="45"/>
  <c r="AZ56" i="45"/>
  <c r="AK56" i="45"/>
  <c r="X56" i="45"/>
  <c r="B56" i="45"/>
  <c r="BI55" i="45"/>
  <c r="AZ55" i="45"/>
  <c r="AK55" i="45"/>
  <c r="X55" i="45"/>
  <c r="B55" i="45"/>
  <c r="BI54" i="45"/>
  <c r="AZ54" i="45"/>
  <c r="AK54" i="45"/>
  <c r="X54" i="45"/>
  <c r="B54" i="45"/>
  <c r="BI53" i="45"/>
  <c r="AZ53" i="45"/>
  <c r="AK53" i="45"/>
  <c r="B53" i="45"/>
  <c r="B45" i="45"/>
  <c r="B44" i="45"/>
  <c r="B43" i="45"/>
  <c r="B42" i="45"/>
  <c r="B41" i="45"/>
  <c r="B40" i="45"/>
  <c r="B39" i="45"/>
  <c r="B38" i="45"/>
  <c r="B37" i="45"/>
  <c r="B36" i="45"/>
  <c r="B35" i="45"/>
  <c r="B34" i="45"/>
  <c r="B33" i="45"/>
  <c r="B32" i="45"/>
  <c r="B31" i="45"/>
  <c r="P146" i="44"/>
  <c r="P162" i="44"/>
  <c r="P232" i="44"/>
  <c r="P374" i="44"/>
  <c r="R241" i="44"/>
  <c r="S241" i="44"/>
  <c r="T241" i="44"/>
  <c r="U241" i="44"/>
  <c r="V241" i="44"/>
  <c r="Q241" i="44"/>
  <c r="P241" i="44"/>
  <c r="O190" i="44"/>
  <c r="O239" i="44"/>
  <c r="O240" i="44"/>
  <c r="O241" i="44"/>
  <c r="O243" i="44"/>
  <c r="N190" i="44"/>
  <c r="N239" i="44"/>
  <c r="N240" i="44"/>
  <c r="N241" i="44"/>
  <c r="N243" i="44"/>
  <c r="M190" i="44"/>
  <c r="M239" i="44"/>
  <c r="M240" i="44"/>
  <c r="M241" i="44"/>
  <c r="M243" i="44"/>
  <c r="L190" i="44"/>
  <c r="L239" i="44"/>
  <c r="L240" i="44"/>
  <c r="L241" i="44"/>
  <c r="L243" i="44"/>
  <c r="K190" i="44"/>
  <c r="K239" i="44"/>
  <c r="K240" i="44"/>
  <c r="K241" i="44"/>
  <c r="K243" i="44"/>
  <c r="J190" i="44"/>
  <c r="J239" i="44"/>
  <c r="J240" i="44"/>
  <c r="J241" i="44"/>
  <c r="J243" i="44"/>
  <c r="I190" i="44"/>
  <c r="I239" i="44"/>
  <c r="I240" i="44"/>
  <c r="I241" i="44"/>
  <c r="I243" i="44"/>
  <c r="H190" i="44"/>
  <c r="H239" i="44"/>
  <c r="H240" i="44"/>
  <c r="H241" i="44"/>
  <c r="H243" i="44"/>
  <c r="X241" i="44"/>
  <c r="X232" i="44"/>
  <c r="X230" i="44"/>
  <c r="X229" i="44"/>
  <c r="X228" i="44"/>
  <c r="X227" i="44"/>
  <c r="X226" i="44"/>
  <c r="B216" i="44"/>
  <c r="B215" i="44"/>
  <c r="B214" i="44"/>
  <c r="B213" i="44"/>
  <c r="B212" i="44"/>
  <c r="B211" i="44"/>
  <c r="B210" i="44"/>
  <c r="B209" i="44"/>
  <c r="B208" i="44"/>
  <c r="B207" i="44"/>
  <c r="B206" i="44"/>
  <c r="B205" i="44"/>
  <c r="B204" i="44"/>
  <c r="B203" i="44"/>
  <c r="B202" i="44"/>
  <c r="O199" i="44"/>
  <c r="N199" i="44"/>
  <c r="M199" i="44"/>
  <c r="L199" i="44"/>
  <c r="K199" i="44"/>
  <c r="J199" i="44"/>
  <c r="I199" i="44"/>
  <c r="H199" i="44"/>
  <c r="O188" i="44"/>
  <c r="N188" i="44"/>
  <c r="M188" i="44"/>
  <c r="L188" i="44"/>
  <c r="K188" i="44"/>
  <c r="J188" i="44"/>
  <c r="I188" i="44"/>
  <c r="H188" i="44"/>
  <c r="X183" i="44"/>
  <c r="B183" i="44"/>
  <c r="X182" i="44"/>
  <c r="B182" i="44"/>
  <c r="X181" i="44"/>
  <c r="B181" i="44"/>
  <c r="X180" i="44"/>
  <c r="B180" i="44"/>
  <c r="X179" i="44"/>
  <c r="B179" i="44"/>
  <c r="X178" i="44"/>
  <c r="B178" i="44"/>
  <c r="X177" i="44"/>
  <c r="B177" i="44"/>
  <c r="X176" i="44"/>
  <c r="B176" i="44"/>
  <c r="X175" i="44"/>
  <c r="B175" i="44"/>
  <c r="X174" i="44"/>
  <c r="B174" i="44"/>
  <c r="X173" i="44"/>
  <c r="B173" i="44"/>
  <c r="X172" i="44"/>
  <c r="B172" i="44"/>
  <c r="X171" i="44"/>
  <c r="B171" i="44"/>
  <c r="X170" i="44"/>
  <c r="B170" i="44"/>
  <c r="B169" i="44"/>
  <c r="X160" i="44"/>
  <c r="B160" i="44"/>
  <c r="X159" i="44"/>
  <c r="B159" i="44"/>
  <c r="X158" i="44"/>
  <c r="B158" i="44"/>
  <c r="X157" i="44"/>
  <c r="B157" i="44"/>
  <c r="X156" i="44"/>
  <c r="B156" i="44"/>
  <c r="X155" i="44"/>
  <c r="B155" i="44"/>
  <c r="X154" i="44"/>
  <c r="B154" i="44"/>
  <c r="X153" i="44"/>
  <c r="B153" i="44"/>
  <c r="X152" i="44"/>
  <c r="B152" i="44"/>
  <c r="X151" i="44"/>
  <c r="B151" i="44"/>
  <c r="X150" i="44"/>
  <c r="B150" i="44"/>
  <c r="X149" i="44"/>
  <c r="B149" i="44"/>
  <c r="X148" i="44"/>
  <c r="B148" i="44"/>
  <c r="X147" i="44"/>
  <c r="B147" i="44"/>
  <c r="B146" i="44"/>
  <c r="P77" i="44"/>
  <c r="P123" i="44" s="1"/>
  <c r="P139" i="44" s="1"/>
  <c r="P100" i="44"/>
  <c r="X137" i="44"/>
  <c r="B137" i="44"/>
  <c r="X136" i="44"/>
  <c r="B136" i="44"/>
  <c r="X135" i="44"/>
  <c r="B135" i="44"/>
  <c r="X134" i="44"/>
  <c r="B134" i="44"/>
  <c r="X133" i="44"/>
  <c r="B133" i="44"/>
  <c r="X132" i="44"/>
  <c r="B132" i="44"/>
  <c r="X131" i="44"/>
  <c r="B131" i="44"/>
  <c r="X130" i="44"/>
  <c r="B130" i="44"/>
  <c r="X129" i="44"/>
  <c r="B129" i="44"/>
  <c r="X128" i="44"/>
  <c r="B128" i="44"/>
  <c r="X127" i="44"/>
  <c r="B127" i="44"/>
  <c r="X126" i="44"/>
  <c r="B126" i="44"/>
  <c r="X125" i="44"/>
  <c r="B125" i="44"/>
  <c r="X124" i="44"/>
  <c r="B124" i="44"/>
  <c r="B123" i="44"/>
  <c r="X114" i="44"/>
  <c r="B114" i="44"/>
  <c r="X113" i="44"/>
  <c r="B113" i="44"/>
  <c r="X112" i="44"/>
  <c r="B112" i="44"/>
  <c r="X111" i="44"/>
  <c r="B111" i="44"/>
  <c r="X110" i="44"/>
  <c r="B110" i="44"/>
  <c r="X109" i="44"/>
  <c r="B109" i="44"/>
  <c r="X108" i="44"/>
  <c r="B108" i="44"/>
  <c r="X107" i="44"/>
  <c r="B107" i="44"/>
  <c r="X106" i="44"/>
  <c r="B106" i="44"/>
  <c r="X105" i="44"/>
  <c r="B105" i="44"/>
  <c r="X104" i="44"/>
  <c r="B104" i="44"/>
  <c r="X103" i="44"/>
  <c r="B103" i="44"/>
  <c r="X102" i="44"/>
  <c r="B102" i="44"/>
  <c r="X101" i="44"/>
  <c r="B101" i="44"/>
  <c r="B100" i="44"/>
  <c r="P93" i="44"/>
  <c r="X91" i="44"/>
  <c r="B91" i="44"/>
  <c r="X90" i="44"/>
  <c r="B90" i="44"/>
  <c r="X89" i="44"/>
  <c r="B89" i="44"/>
  <c r="X88" i="44"/>
  <c r="B88" i="44"/>
  <c r="X87" i="44"/>
  <c r="B87" i="44"/>
  <c r="X86" i="44"/>
  <c r="B86" i="44"/>
  <c r="X85" i="44"/>
  <c r="B85" i="44"/>
  <c r="X84" i="44"/>
  <c r="B84" i="44"/>
  <c r="X83" i="44"/>
  <c r="B83" i="44"/>
  <c r="X82" i="44"/>
  <c r="B82" i="44"/>
  <c r="X81" i="44"/>
  <c r="B81" i="44"/>
  <c r="X80" i="44"/>
  <c r="B80" i="44"/>
  <c r="X79" i="44"/>
  <c r="B79" i="44"/>
  <c r="X78" i="44"/>
  <c r="B78" i="44"/>
  <c r="B77" i="44"/>
  <c r="BI67" i="44"/>
  <c r="AZ67" i="44"/>
  <c r="AK67" i="44"/>
  <c r="X67" i="44"/>
  <c r="B67" i="44"/>
  <c r="BI66" i="44"/>
  <c r="AZ66" i="44"/>
  <c r="AK66" i="44"/>
  <c r="X66" i="44"/>
  <c r="B66" i="44"/>
  <c r="BI65" i="44"/>
  <c r="AZ65" i="44"/>
  <c r="AK65" i="44"/>
  <c r="X65" i="44"/>
  <c r="B65" i="44"/>
  <c r="BI64" i="44"/>
  <c r="AZ64" i="44"/>
  <c r="AK64" i="44"/>
  <c r="X64" i="44"/>
  <c r="B64" i="44"/>
  <c r="BI63" i="44"/>
  <c r="AZ63" i="44"/>
  <c r="AK63" i="44"/>
  <c r="X63" i="44"/>
  <c r="B63" i="44"/>
  <c r="BI62" i="44"/>
  <c r="AZ62" i="44"/>
  <c r="AK62" i="44"/>
  <c r="X62" i="44"/>
  <c r="B62" i="44"/>
  <c r="BI61" i="44"/>
  <c r="AZ61" i="44"/>
  <c r="AK61" i="44"/>
  <c r="X61" i="44"/>
  <c r="B61" i="44"/>
  <c r="BI60" i="44"/>
  <c r="AZ60" i="44"/>
  <c r="AK60" i="44"/>
  <c r="X60" i="44"/>
  <c r="B60" i="44"/>
  <c r="BI59" i="44"/>
  <c r="AZ59" i="44"/>
  <c r="AK59" i="44"/>
  <c r="X59" i="44"/>
  <c r="B59" i="44"/>
  <c r="BI58" i="44"/>
  <c r="AZ58" i="44"/>
  <c r="AK58" i="44"/>
  <c r="X58" i="44"/>
  <c r="B58" i="44"/>
  <c r="BI57" i="44"/>
  <c r="AZ57" i="44"/>
  <c r="AK57" i="44"/>
  <c r="X57" i="44"/>
  <c r="B57" i="44"/>
  <c r="BI56" i="44"/>
  <c r="AZ56" i="44"/>
  <c r="AK56" i="44"/>
  <c r="X56" i="44"/>
  <c r="B56" i="44"/>
  <c r="BI55" i="44"/>
  <c r="AZ55" i="44"/>
  <c r="AK55" i="44"/>
  <c r="X55" i="44"/>
  <c r="B55" i="44"/>
  <c r="BI54" i="44"/>
  <c r="AZ54" i="44"/>
  <c r="AK54" i="44"/>
  <c r="X54" i="44"/>
  <c r="B54" i="44"/>
  <c r="BI53" i="44"/>
  <c r="AZ53" i="44"/>
  <c r="AK53" i="44"/>
  <c r="B53" i="44"/>
  <c r="B45" i="44"/>
  <c r="B44" i="44"/>
  <c r="B43" i="44"/>
  <c r="B42" i="44"/>
  <c r="B41" i="44"/>
  <c r="B40" i="44"/>
  <c r="B39" i="44"/>
  <c r="B38" i="44"/>
  <c r="B37" i="44"/>
  <c r="B36" i="44"/>
  <c r="B35" i="44"/>
  <c r="B34" i="44"/>
  <c r="B33" i="44"/>
  <c r="B32" i="44"/>
  <c r="B31" i="44"/>
  <c r="P146" i="43"/>
  <c r="P162" i="43"/>
  <c r="P232" i="43"/>
  <c r="P374" i="43"/>
  <c r="R241" i="43"/>
  <c r="S241" i="43"/>
  <c r="T241" i="43"/>
  <c r="U241" i="43"/>
  <c r="V241" i="43"/>
  <c r="Q241" i="43"/>
  <c r="P241" i="43"/>
  <c r="O190" i="43"/>
  <c r="O239" i="43"/>
  <c r="O240" i="43"/>
  <c r="O241" i="43"/>
  <c r="O243" i="43"/>
  <c r="N190" i="43"/>
  <c r="N239" i="43"/>
  <c r="N240" i="43"/>
  <c r="N241" i="43"/>
  <c r="N243" i="43"/>
  <c r="M190" i="43"/>
  <c r="M239" i="43"/>
  <c r="M240" i="43"/>
  <c r="M241" i="43"/>
  <c r="M243" i="43"/>
  <c r="L190" i="43"/>
  <c r="L239" i="43"/>
  <c r="L240" i="43"/>
  <c r="L241" i="43"/>
  <c r="L243" i="43"/>
  <c r="K190" i="43"/>
  <c r="K239" i="43"/>
  <c r="K240" i="43"/>
  <c r="K241" i="43"/>
  <c r="K243" i="43"/>
  <c r="J190" i="43"/>
  <c r="J239" i="43"/>
  <c r="J240" i="43"/>
  <c r="J241" i="43"/>
  <c r="J243" i="43"/>
  <c r="I190" i="43"/>
  <c r="I239" i="43"/>
  <c r="I240" i="43"/>
  <c r="I241" i="43"/>
  <c r="I243" i="43"/>
  <c r="H190" i="43"/>
  <c r="H239" i="43"/>
  <c r="H240" i="43"/>
  <c r="H241" i="43"/>
  <c r="H243" i="43"/>
  <c r="X241" i="43"/>
  <c r="X232" i="43"/>
  <c r="X230" i="43"/>
  <c r="X229" i="43"/>
  <c r="X228" i="43"/>
  <c r="X227" i="43"/>
  <c r="X226" i="43"/>
  <c r="B216" i="43"/>
  <c r="B215" i="43"/>
  <c r="B214" i="43"/>
  <c r="B213" i="43"/>
  <c r="B212" i="43"/>
  <c r="B211" i="43"/>
  <c r="B210" i="43"/>
  <c r="B209" i="43"/>
  <c r="B208" i="43"/>
  <c r="B207" i="43"/>
  <c r="B206" i="43"/>
  <c r="B205" i="43"/>
  <c r="B204" i="43"/>
  <c r="B203" i="43"/>
  <c r="B202" i="43"/>
  <c r="O199" i="43"/>
  <c r="N199" i="43"/>
  <c r="M199" i="43"/>
  <c r="L199" i="43"/>
  <c r="K199" i="43"/>
  <c r="J199" i="43"/>
  <c r="I199" i="43"/>
  <c r="H199" i="43"/>
  <c r="O188" i="43"/>
  <c r="N188" i="43"/>
  <c r="M188" i="43"/>
  <c r="L188" i="43"/>
  <c r="K188" i="43"/>
  <c r="J188" i="43"/>
  <c r="I188" i="43"/>
  <c r="H188" i="43"/>
  <c r="X183" i="43"/>
  <c r="B183" i="43"/>
  <c r="X182" i="43"/>
  <c r="B182" i="43"/>
  <c r="X181" i="43"/>
  <c r="B181" i="43"/>
  <c r="X180" i="43"/>
  <c r="B180" i="43"/>
  <c r="X179" i="43"/>
  <c r="B179" i="43"/>
  <c r="X178" i="43"/>
  <c r="B178" i="43"/>
  <c r="X177" i="43"/>
  <c r="B177" i="43"/>
  <c r="X176" i="43"/>
  <c r="B176" i="43"/>
  <c r="X175" i="43"/>
  <c r="B175" i="43"/>
  <c r="X174" i="43"/>
  <c r="B174" i="43"/>
  <c r="X173" i="43"/>
  <c r="B173" i="43"/>
  <c r="X172" i="43"/>
  <c r="B172" i="43"/>
  <c r="X171" i="43"/>
  <c r="B171" i="43"/>
  <c r="X170" i="43"/>
  <c r="B170" i="43"/>
  <c r="B169" i="43"/>
  <c r="X160" i="43"/>
  <c r="B160" i="43"/>
  <c r="X159" i="43"/>
  <c r="B159" i="43"/>
  <c r="X158" i="43"/>
  <c r="B158" i="43"/>
  <c r="X157" i="43"/>
  <c r="B157" i="43"/>
  <c r="X156" i="43"/>
  <c r="B156" i="43"/>
  <c r="X155" i="43"/>
  <c r="B155" i="43"/>
  <c r="X154" i="43"/>
  <c r="B154" i="43"/>
  <c r="X153" i="43"/>
  <c r="B153" i="43"/>
  <c r="X152" i="43"/>
  <c r="B152" i="43"/>
  <c r="X151" i="43"/>
  <c r="B151" i="43"/>
  <c r="X150" i="43"/>
  <c r="B150" i="43"/>
  <c r="X149" i="43"/>
  <c r="B149" i="43"/>
  <c r="X148" i="43"/>
  <c r="B148" i="43"/>
  <c r="X147" i="43"/>
  <c r="B147" i="43"/>
  <c r="B146" i="43"/>
  <c r="P77" i="43"/>
  <c r="P100" i="43"/>
  <c r="P116" i="43"/>
  <c r="X137" i="43"/>
  <c r="B137" i="43"/>
  <c r="X136" i="43"/>
  <c r="B136" i="43"/>
  <c r="X135" i="43"/>
  <c r="B135" i="43"/>
  <c r="X134" i="43"/>
  <c r="B134" i="43"/>
  <c r="X133" i="43"/>
  <c r="B133" i="43"/>
  <c r="X132" i="43"/>
  <c r="B132" i="43"/>
  <c r="X131" i="43"/>
  <c r="B131" i="43"/>
  <c r="X130" i="43"/>
  <c r="B130" i="43"/>
  <c r="X129" i="43"/>
  <c r="B129" i="43"/>
  <c r="X128" i="43"/>
  <c r="B128" i="43"/>
  <c r="X127" i="43"/>
  <c r="B127" i="43"/>
  <c r="X126" i="43"/>
  <c r="B126" i="43"/>
  <c r="X125" i="43"/>
  <c r="B125" i="43"/>
  <c r="X124" i="43"/>
  <c r="B124" i="43"/>
  <c r="B123" i="43"/>
  <c r="X114" i="43"/>
  <c r="B114" i="43"/>
  <c r="X113" i="43"/>
  <c r="B113" i="43"/>
  <c r="X112" i="43"/>
  <c r="B112" i="43"/>
  <c r="X111" i="43"/>
  <c r="B111" i="43"/>
  <c r="X110" i="43"/>
  <c r="B110" i="43"/>
  <c r="X109" i="43"/>
  <c r="B109" i="43"/>
  <c r="X108" i="43"/>
  <c r="B108" i="43"/>
  <c r="X107" i="43"/>
  <c r="B107" i="43"/>
  <c r="X106" i="43"/>
  <c r="B106" i="43"/>
  <c r="X105" i="43"/>
  <c r="B105" i="43"/>
  <c r="X104" i="43"/>
  <c r="B104" i="43"/>
  <c r="X103" i="43"/>
  <c r="B103" i="43"/>
  <c r="X102" i="43"/>
  <c r="B102" i="43"/>
  <c r="X101" i="43"/>
  <c r="B101" i="43"/>
  <c r="B100" i="43"/>
  <c r="X91" i="43"/>
  <c r="B91" i="43"/>
  <c r="X90" i="43"/>
  <c r="B90" i="43"/>
  <c r="X89" i="43"/>
  <c r="B89" i="43"/>
  <c r="X88" i="43"/>
  <c r="B88" i="43"/>
  <c r="X87" i="43"/>
  <c r="B87" i="43"/>
  <c r="X86" i="43"/>
  <c r="B86" i="43"/>
  <c r="X85" i="43"/>
  <c r="B85" i="43"/>
  <c r="X84" i="43"/>
  <c r="B84" i="43"/>
  <c r="X83" i="43"/>
  <c r="B83" i="43"/>
  <c r="X82" i="43"/>
  <c r="B82" i="43"/>
  <c r="X81" i="43"/>
  <c r="B81" i="43"/>
  <c r="X80" i="43"/>
  <c r="B80" i="43"/>
  <c r="X79" i="43"/>
  <c r="B79" i="43"/>
  <c r="X78" i="43"/>
  <c r="B78" i="43"/>
  <c r="B77" i="43"/>
  <c r="BI67" i="43"/>
  <c r="AZ67" i="43"/>
  <c r="AK67" i="43"/>
  <c r="X67" i="43"/>
  <c r="B67" i="43"/>
  <c r="BI66" i="43"/>
  <c r="AZ66" i="43"/>
  <c r="AK66" i="43"/>
  <c r="X66" i="43"/>
  <c r="B66" i="43"/>
  <c r="BI65" i="43"/>
  <c r="AZ65" i="43"/>
  <c r="AK65" i="43"/>
  <c r="X65" i="43"/>
  <c r="B65" i="43"/>
  <c r="BI64" i="43"/>
  <c r="AZ64" i="43"/>
  <c r="AK64" i="43"/>
  <c r="X64" i="43"/>
  <c r="B64" i="43"/>
  <c r="BI63" i="43"/>
  <c r="AZ63" i="43"/>
  <c r="AK63" i="43"/>
  <c r="X63" i="43"/>
  <c r="B63" i="43"/>
  <c r="BI62" i="43"/>
  <c r="AZ62" i="43"/>
  <c r="AK62" i="43"/>
  <c r="X62" i="43"/>
  <c r="B62" i="43"/>
  <c r="BI61" i="43"/>
  <c r="AZ61" i="43"/>
  <c r="AK61" i="43"/>
  <c r="X61" i="43"/>
  <c r="B61" i="43"/>
  <c r="BI60" i="43"/>
  <c r="AZ60" i="43"/>
  <c r="AK60" i="43"/>
  <c r="X60" i="43"/>
  <c r="B60" i="43"/>
  <c r="BI59" i="43"/>
  <c r="AZ59" i="43"/>
  <c r="AK59" i="43"/>
  <c r="X59" i="43"/>
  <c r="B59" i="43"/>
  <c r="BI58" i="43"/>
  <c r="AZ58" i="43"/>
  <c r="AK58" i="43"/>
  <c r="X58" i="43"/>
  <c r="B58" i="43"/>
  <c r="BI57" i="43"/>
  <c r="AZ57" i="43"/>
  <c r="AK57" i="43"/>
  <c r="X57" i="43"/>
  <c r="B57" i="43"/>
  <c r="BI56" i="43"/>
  <c r="AZ56" i="43"/>
  <c r="AK56" i="43"/>
  <c r="X56" i="43"/>
  <c r="B56" i="43"/>
  <c r="BI55" i="43"/>
  <c r="AZ55" i="43"/>
  <c r="AK55" i="43"/>
  <c r="X55" i="43"/>
  <c r="B55" i="43"/>
  <c r="BI54" i="43"/>
  <c r="AZ54" i="43"/>
  <c r="AK54" i="43"/>
  <c r="X54" i="43"/>
  <c r="B54" i="43"/>
  <c r="BI53" i="43"/>
  <c r="AZ53" i="43"/>
  <c r="AK53" i="43"/>
  <c r="B53" i="43"/>
  <c r="B45" i="43"/>
  <c r="B44" i="43"/>
  <c r="B43" i="43"/>
  <c r="B42" i="43"/>
  <c r="B41" i="43"/>
  <c r="B40" i="43"/>
  <c r="B39" i="43"/>
  <c r="B38" i="43"/>
  <c r="B37" i="43"/>
  <c r="B36" i="43"/>
  <c r="B35" i="43"/>
  <c r="B34" i="43"/>
  <c r="B33" i="43"/>
  <c r="B32" i="43"/>
  <c r="B31" i="43"/>
  <c r="R261" i="41"/>
  <c r="S261" i="41"/>
  <c r="T261" i="41"/>
  <c r="U261" i="41"/>
  <c r="V261" i="41"/>
  <c r="Q261" i="41"/>
  <c r="O210" i="41"/>
  <c r="O259" i="41"/>
  <c r="O260" i="41"/>
  <c r="O261" i="41"/>
  <c r="O263" i="41"/>
  <c r="N210" i="41"/>
  <c r="N259" i="41"/>
  <c r="N260" i="41"/>
  <c r="N261" i="41"/>
  <c r="N263" i="41"/>
  <c r="M210" i="41"/>
  <c r="M259" i="41"/>
  <c r="M260" i="41"/>
  <c r="M261" i="41"/>
  <c r="M263" i="41"/>
  <c r="L210" i="41"/>
  <c r="L259" i="41"/>
  <c r="L260" i="41"/>
  <c r="L261" i="41"/>
  <c r="L263" i="41"/>
  <c r="K210" i="41"/>
  <c r="K259" i="41"/>
  <c r="K260" i="41"/>
  <c r="K261" i="41"/>
  <c r="K263" i="41"/>
  <c r="J210" i="41"/>
  <c r="J259" i="41"/>
  <c r="J260" i="41"/>
  <c r="J261" i="41"/>
  <c r="J263" i="41"/>
  <c r="I210" i="41"/>
  <c r="I259" i="41"/>
  <c r="I260" i="41"/>
  <c r="I261" i="41"/>
  <c r="I263" i="41"/>
  <c r="H210" i="41"/>
  <c r="H259" i="41"/>
  <c r="H260" i="41"/>
  <c r="H261" i="41"/>
  <c r="H263" i="41"/>
  <c r="X261" i="41"/>
  <c r="X252" i="41"/>
  <c r="X250" i="41"/>
  <c r="X249" i="41"/>
  <c r="X248" i="41"/>
  <c r="X247" i="41"/>
  <c r="X246" i="41"/>
  <c r="B236" i="41"/>
  <c r="B235" i="41"/>
  <c r="B234" i="41"/>
  <c r="B233" i="41"/>
  <c r="B232" i="41"/>
  <c r="B231" i="41"/>
  <c r="B230" i="41"/>
  <c r="B229" i="41"/>
  <c r="B228" i="41"/>
  <c r="B227" i="41"/>
  <c r="B226" i="41"/>
  <c r="B225" i="41"/>
  <c r="B224" i="41"/>
  <c r="B223" i="41"/>
  <c r="B222" i="41"/>
  <c r="O219" i="41"/>
  <c r="N219" i="41"/>
  <c r="M219" i="41"/>
  <c r="L219" i="41"/>
  <c r="K219" i="41"/>
  <c r="J219" i="41"/>
  <c r="I219" i="41"/>
  <c r="H219" i="41"/>
  <c r="O208" i="41"/>
  <c r="N208" i="41"/>
  <c r="M208" i="41"/>
  <c r="L208" i="41"/>
  <c r="K208" i="41"/>
  <c r="J208" i="41"/>
  <c r="I208" i="41"/>
  <c r="H208" i="41"/>
  <c r="B203" i="41"/>
  <c r="B202" i="41"/>
  <c r="B201" i="41"/>
  <c r="B200" i="41"/>
  <c r="B199" i="41"/>
  <c r="B198" i="41"/>
  <c r="B197" i="41"/>
  <c r="B196" i="41"/>
  <c r="B195" i="41"/>
  <c r="B194" i="41"/>
  <c r="B193" i="41"/>
  <c r="B192" i="41"/>
  <c r="B191" i="41"/>
  <c r="B190" i="41"/>
  <c r="B189" i="41"/>
  <c r="B180" i="41"/>
  <c r="B179" i="41"/>
  <c r="B178" i="41"/>
  <c r="B177" i="41"/>
  <c r="B176" i="41"/>
  <c r="B175" i="41"/>
  <c r="B174" i="41"/>
  <c r="B173" i="41"/>
  <c r="B172" i="41"/>
  <c r="B171" i="41"/>
  <c r="B170" i="41"/>
  <c r="B169" i="41"/>
  <c r="B168" i="41"/>
  <c r="B167" i="41"/>
  <c r="B166" i="41"/>
  <c r="B157" i="41"/>
  <c r="B156" i="41"/>
  <c r="B155" i="41"/>
  <c r="B154" i="41"/>
  <c r="B153" i="41"/>
  <c r="B152" i="41"/>
  <c r="B151" i="41"/>
  <c r="B150" i="41"/>
  <c r="B149" i="41"/>
  <c r="B148" i="41"/>
  <c r="B147" i="41"/>
  <c r="B146" i="41"/>
  <c r="B145" i="41"/>
  <c r="B144" i="41"/>
  <c r="B143" i="41"/>
  <c r="B134" i="41"/>
  <c r="B133" i="41"/>
  <c r="B132" i="41"/>
  <c r="B131" i="41"/>
  <c r="B130" i="41"/>
  <c r="B129" i="41"/>
  <c r="B128" i="41"/>
  <c r="B127" i="41"/>
  <c r="B126" i="41"/>
  <c r="B125" i="41"/>
  <c r="B124" i="41"/>
  <c r="B123" i="41"/>
  <c r="B122" i="41"/>
  <c r="B121" i="41"/>
  <c r="B120" i="41"/>
  <c r="B111" i="41"/>
  <c r="B110" i="41"/>
  <c r="B109" i="41"/>
  <c r="B108" i="41"/>
  <c r="B107" i="41"/>
  <c r="B106" i="41"/>
  <c r="B105" i="41"/>
  <c r="B104" i="41"/>
  <c r="B103" i="41"/>
  <c r="B102" i="41"/>
  <c r="B101" i="41"/>
  <c r="B100" i="41"/>
  <c r="B99" i="41"/>
  <c r="B98" i="41"/>
  <c r="B97" i="41"/>
  <c r="BI87" i="41"/>
  <c r="AZ87" i="41"/>
  <c r="AK87" i="41"/>
  <c r="B87" i="41"/>
  <c r="BI86" i="41"/>
  <c r="AZ86" i="41"/>
  <c r="AK86" i="41"/>
  <c r="B86" i="41"/>
  <c r="BI85" i="41"/>
  <c r="AZ85" i="41"/>
  <c r="AK85" i="41"/>
  <c r="B85" i="41"/>
  <c r="BI84" i="41"/>
  <c r="AZ84" i="41"/>
  <c r="AK84" i="41"/>
  <c r="B84" i="41"/>
  <c r="BI83" i="41"/>
  <c r="AZ83" i="41"/>
  <c r="AK83" i="41"/>
  <c r="B83" i="41"/>
  <c r="BI82" i="41"/>
  <c r="AZ82" i="41"/>
  <c r="AK82" i="41"/>
  <c r="B82" i="41"/>
  <c r="BI81" i="41"/>
  <c r="AZ81" i="41"/>
  <c r="AK81" i="41"/>
  <c r="B81" i="41"/>
  <c r="BI80" i="41"/>
  <c r="AZ80" i="41"/>
  <c r="AK80" i="41"/>
  <c r="B80" i="41"/>
  <c r="BI79" i="41"/>
  <c r="AZ79" i="41"/>
  <c r="AK79" i="41"/>
  <c r="B79" i="41"/>
  <c r="BI78" i="41"/>
  <c r="AZ78" i="41"/>
  <c r="AK78" i="41"/>
  <c r="B78" i="41"/>
  <c r="BI77" i="41"/>
  <c r="AZ77" i="41"/>
  <c r="AK77" i="41"/>
  <c r="B77" i="41"/>
  <c r="BI76" i="41"/>
  <c r="AZ76" i="41"/>
  <c r="AK76" i="41"/>
  <c r="B76" i="41"/>
  <c r="BI75" i="41"/>
  <c r="AZ75" i="41"/>
  <c r="AK75" i="41"/>
  <c r="B75" i="41"/>
  <c r="BI74" i="41"/>
  <c r="AZ74" i="41"/>
  <c r="AK74" i="41"/>
  <c r="B74" i="41"/>
  <c r="BI73" i="41"/>
  <c r="AZ73" i="41"/>
  <c r="AK73" i="41"/>
  <c r="B73" i="41"/>
  <c r="B66" i="41"/>
  <c r="B65" i="41"/>
  <c r="B64" i="41"/>
  <c r="B63" i="41"/>
  <c r="B62" i="41"/>
  <c r="B61" i="41"/>
  <c r="B60" i="41"/>
  <c r="B59" i="41"/>
  <c r="B58" i="41"/>
  <c r="B57" i="41"/>
  <c r="B56" i="41"/>
  <c r="B55" i="41"/>
  <c r="B54" i="41"/>
  <c r="B53" i="41"/>
  <c r="B52" i="41"/>
  <c r="B45" i="41"/>
  <c r="B44" i="41"/>
  <c r="B43" i="41"/>
  <c r="B42" i="41"/>
  <c r="B41" i="41"/>
  <c r="B40" i="41"/>
  <c r="B39" i="41"/>
  <c r="B38" i="41"/>
  <c r="B37" i="41"/>
  <c r="B36" i="41"/>
  <c r="B35" i="41"/>
  <c r="B34" i="41"/>
  <c r="B33" i="41"/>
  <c r="B32" i="41"/>
  <c r="B31" i="41"/>
  <c r="P100" i="40"/>
  <c r="P98" i="40"/>
  <c r="P252" i="40"/>
  <c r="P374" i="40"/>
  <c r="R261" i="40"/>
  <c r="S261" i="40"/>
  <c r="T261" i="40"/>
  <c r="U261" i="40"/>
  <c r="V261" i="40"/>
  <c r="Q261" i="40"/>
  <c r="P261" i="40"/>
  <c r="O210" i="40"/>
  <c r="O259" i="40"/>
  <c r="O260" i="40"/>
  <c r="O261" i="40"/>
  <c r="O263" i="40"/>
  <c r="N210" i="40"/>
  <c r="N259" i="40"/>
  <c r="N260" i="40"/>
  <c r="N261" i="40"/>
  <c r="N263" i="40"/>
  <c r="M210" i="40"/>
  <c r="M259" i="40"/>
  <c r="M260" i="40"/>
  <c r="M261" i="40"/>
  <c r="M263" i="40"/>
  <c r="L210" i="40"/>
  <c r="L259" i="40"/>
  <c r="L260" i="40"/>
  <c r="L261" i="40"/>
  <c r="L263" i="40"/>
  <c r="K210" i="40"/>
  <c r="K259" i="40"/>
  <c r="K260" i="40"/>
  <c r="K261" i="40"/>
  <c r="K263" i="40"/>
  <c r="J210" i="40"/>
  <c r="J259" i="40"/>
  <c r="J260" i="40"/>
  <c r="J261" i="40"/>
  <c r="J263" i="40"/>
  <c r="I210" i="40"/>
  <c r="I259" i="40"/>
  <c r="I260" i="40"/>
  <c r="I261" i="40"/>
  <c r="I263" i="40"/>
  <c r="H210" i="40"/>
  <c r="H259" i="40"/>
  <c r="H260" i="40"/>
  <c r="H261" i="40"/>
  <c r="H263" i="40"/>
  <c r="X261" i="40"/>
  <c r="X252" i="40"/>
  <c r="X250" i="40"/>
  <c r="X249" i="40"/>
  <c r="X248" i="40"/>
  <c r="X247" i="40"/>
  <c r="X246" i="40"/>
  <c r="B236" i="40"/>
  <c r="B235" i="40"/>
  <c r="B234" i="40"/>
  <c r="B233" i="40"/>
  <c r="B232" i="40"/>
  <c r="B231" i="40"/>
  <c r="B230" i="40"/>
  <c r="B229" i="40"/>
  <c r="B228" i="40"/>
  <c r="B227" i="40"/>
  <c r="B226" i="40"/>
  <c r="B225" i="40"/>
  <c r="B224" i="40"/>
  <c r="B223" i="40"/>
  <c r="B222" i="40"/>
  <c r="O219" i="40"/>
  <c r="N219" i="40"/>
  <c r="M219" i="40"/>
  <c r="L219" i="40"/>
  <c r="K219" i="40"/>
  <c r="J219" i="40"/>
  <c r="I219" i="40"/>
  <c r="H219" i="40"/>
  <c r="O208" i="40"/>
  <c r="N208" i="40"/>
  <c r="M208" i="40"/>
  <c r="L208" i="40"/>
  <c r="K208" i="40"/>
  <c r="J208" i="40"/>
  <c r="I208" i="40"/>
  <c r="H208" i="40"/>
  <c r="X203" i="40"/>
  <c r="B203" i="40"/>
  <c r="X202" i="40"/>
  <c r="B202" i="40"/>
  <c r="X201" i="40"/>
  <c r="B201" i="40"/>
  <c r="X200" i="40"/>
  <c r="B200" i="40"/>
  <c r="X199" i="40"/>
  <c r="B199" i="40"/>
  <c r="X198" i="40"/>
  <c r="B198" i="40"/>
  <c r="X197" i="40"/>
  <c r="B197" i="40"/>
  <c r="X196" i="40"/>
  <c r="B196" i="40"/>
  <c r="X195" i="40"/>
  <c r="B195" i="40"/>
  <c r="X194" i="40"/>
  <c r="B194" i="40"/>
  <c r="B193" i="40"/>
  <c r="B192" i="40"/>
  <c r="B191" i="40"/>
  <c r="B190" i="40"/>
  <c r="B189" i="40"/>
  <c r="P167" i="40"/>
  <c r="P168" i="40"/>
  <c r="X180" i="40"/>
  <c r="B180" i="40"/>
  <c r="X179" i="40"/>
  <c r="B179" i="40"/>
  <c r="X178" i="40"/>
  <c r="B178" i="40"/>
  <c r="X177" i="40"/>
  <c r="B177" i="40"/>
  <c r="X176" i="40"/>
  <c r="B176" i="40"/>
  <c r="X175" i="40"/>
  <c r="B175" i="40"/>
  <c r="X174" i="40"/>
  <c r="B174" i="40"/>
  <c r="X173" i="40"/>
  <c r="B173" i="40"/>
  <c r="X172" i="40"/>
  <c r="B172" i="40"/>
  <c r="X171" i="40"/>
  <c r="B171" i="40"/>
  <c r="B170" i="40"/>
  <c r="B169" i="40"/>
  <c r="B168" i="40"/>
  <c r="B167" i="40"/>
  <c r="B166" i="40"/>
  <c r="P99" i="40"/>
  <c r="P122" i="40"/>
  <c r="X157" i="40"/>
  <c r="B157" i="40"/>
  <c r="X156" i="40"/>
  <c r="B156" i="40"/>
  <c r="X155" i="40"/>
  <c r="B155" i="40"/>
  <c r="X154" i="40"/>
  <c r="B154" i="40"/>
  <c r="X153" i="40"/>
  <c r="B153" i="40"/>
  <c r="X152" i="40"/>
  <c r="B152" i="40"/>
  <c r="X151" i="40"/>
  <c r="B151" i="40"/>
  <c r="X150" i="40"/>
  <c r="B150" i="40"/>
  <c r="X149" i="40"/>
  <c r="B149" i="40"/>
  <c r="X148" i="40"/>
  <c r="B148" i="40"/>
  <c r="B147" i="40"/>
  <c r="B146" i="40"/>
  <c r="B145" i="40"/>
  <c r="B144" i="40"/>
  <c r="B143" i="40"/>
  <c r="X134" i="40"/>
  <c r="B134" i="40"/>
  <c r="X133" i="40"/>
  <c r="B133" i="40"/>
  <c r="X132" i="40"/>
  <c r="B132" i="40"/>
  <c r="X131" i="40"/>
  <c r="B131" i="40"/>
  <c r="X130" i="40"/>
  <c r="B130" i="40"/>
  <c r="X129" i="40"/>
  <c r="B129" i="40"/>
  <c r="X128" i="40"/>
  <c r="B128" i="40"/>
  <c r="X127" i="40"/>
  <c r="B127" i="40"/>
  <c r="X126" i="40"/>
  <c r="B126" i="40"/>
  <c r="X125" i="40"/>
  <c r="B125" i="40"/>
  <c r="B124" i="40"/>
  <c r="B123" i="40"/>
  <c r="B122" i="40"/>
  <c r="B121" i="40"/>
  <c r="B120" i="40"/>
  <c r="X111" i="40"/>
  <c r="B111" i="40"/>
  <c r="X110" i="40"/>
  <c r="B110" i="40"/>
  <c r="X109" i="40"/>
  <c r="B109" i="40"/>
  <c r="X108" i="40"/>
  <c r="B108" i="40"/>
  <c r="X107" i="40"/>
  <c r="B107" i="40"/>
  <c r="X106" i="40"/>
  <c r="B106" i="40"/>
  <c r="X105" i="40"/>
  <c r="B105" i="40"/>
  <c r="X104" i="40"/>
  <c r="B104" i="40"/>
  <c r="X103" i="40"/>
  <c r="B103" i="40"/>
  <c r="X102" i="40"/>
  <c r="B102" i="40"/>
  <c r="B101" i="40"/>
  <c r="B100" i="40"/>
  <c r="B99" i="40"/>
  <c r="B98" i="40"/>
  <c r="B97" i="40"/>
  <c r="BI87" i="40"/>
  <c r="AZ87" i="40"/>
  <c r="AK87" i="40"/>
  <c r="X87" i="40"/>
  <c r="B87" i="40"/>
  <c r="BI86" i="40"/>
  <c r="AZ86" i="40"/>
  <c r="AK86" i="40"/>
  <c r="X86" i="40"/>
  <c r="B86" i="40"/>
  <c r="BI85" i="40"/>
  <c r="AZ85" i="40"/>
  <c r="AK85" i="40"/>
  <c r="X85" i="40"/>
  <c r="B85" i="40"/>
  <c r="BI84" i="40"/>
  <c r="AZ84" i="40"/>
  <c r="AK84" i="40"/>
  <c r="X84" i="40"/>
  <c r="B84" i="40"/>
  <c r="BI83" i="40"/>
  <c r="AZ83" i="40"/>
  <c r="AK83" i="40"/>
  <c r="X83" i="40"/>
  <c r="B83" i="40"/>
  <c r="BI82" i="40"/>
  <c r="AZ82" i="40"/>
  <c r="AK82" i="40"/>
  <c r="X82" i="40"/>
  <c r="B82" i="40"/>
  <c r="BI81" i="40"/>
  <c r="AZ81" i="40"/>
  <c r="AK81" i="40"/>
  <c r="X81" i="40"/>
  <c r="B81" i="40"/>
  <c r="BI80" i="40"/>
  <c r="AZ80" i="40"/>
  <c r="AK80" i="40"/>
  <c r="X80" i="40"/>
  <c r="B80" i="40"/>
  <c r="BI79" i="40"/>
  <c r="AZ79" i="40"/>
  <c r="AK79" i="40"/>
  <c r="X79" i="40"/>
  <c r="B79" i="40"/>
  <c r="BI78" i="40"/>
  <c r="AZ78" i="40"/>
  <c r="AK78" i="40"/>
  <c r="X78" i="40"/>
  <c r="B78" i="40"/>
  <c r="BI77" i="40"/>
  <c r="AZ77" i="40"/>
  <c r="AK77" i="40"/>
  <c r="B77" i="40"/>
  <c r="BI76" i="40"/>
  <c r="AZ76" i="40"/>
  <c r="AK76" i="40"/>
  <c r="B76" i="40"/>
  <c r="BI75" i="40"/>
  <c r="AZ75" i="40"/>
  <c r="AK75" i="40"/>
  <c r="B75" i="40"/>
  <c r="BI74" i="40"/>
  <c r="AZ74" i="40"/>
  <c r="AK74" i="40"/>
  <c r="B74" i="40"/>
  <c r="BI73" i="40"/>
  <c r="AZ73" i="40"/>
  <c r="AK73" i="40"/>
  <c r="B73" i="40"/>
  <c r="B66" i="40"/>
  <c r="B65" i="40"/>
  <c r="B64" i="40"/>
  <c r="B63" i="40"/>
  <c r="B62" i="40"/>
  <c r="B61" i="40"/>
  <c r="B60" i="40"/>
  <c r="B59" i="40"/>
  <c r="B58" i="40"/>
  <c r="B57" i="40"/>
  <c r="B56" i="40"/>
  <c r="B55" i="40"/>
  <c r="B54" i="40"/>
  <c r="B53" i="40"/>
  <c r="B52" i="40"/>
  <c r="B45" i="40"/>
  <c r="B44" i="40"/>
  <c r="B43" i="40"/>
  <c r="B42" i="40"/>
  <c r="B41" i="40"/>
  <c r="B40" i="40"/>
  <c r="B39" i="40"/>
  <c r="B38" i="40"/>
  <c r="B37" i="40"/>
  <c r="B36" i="40"/>
  <c r="B35" i="40"/>
  <c r="B34" i="40"/>
  <c r="B33" i="40"/>
  <c r="B32" i="40"/>
  <c r="B31" i="40"/>
  <c r="B36" i="38"/>
  <c r="P146" i="38"/>
  <c r="P147" i="38"/>
  <c r="P148" i="38"/>
  <c r="P149" i="38"/>
  <c r="P232" i="38"/>
  <c r="P374" i="38"/>
  <c r="R241" i="38"/>
  <c r="S241" i="38"/>
  <c r="T241" i="38"/>
  <c r="U241" i="38"/>
  <c r="V241" i="38"/>
  <c r="Q241" i="38"/>
  <c r="P241" i="38"/>
  <c r="O190" i="38"/>
  <c r="O239" i="38"/>
  <c r="O240" i="38"/>
  <c r="O241" i="38"/>
  <c r="O243" i="38"/>
  <c r="N190" i="38"/>
  <c r="N239" i="38"/>
  <c r="N240" i="38"/>
  <c r="N241" i="38"/>
  <c r="N243" i="38"/>
  <c r="M190" i="38"/>
  <c r="M239" i="38"/>
  <c r="M240" i="38"/>
  <c r="M241" i="38"/>
  <c r="M243" i="38"/>
  <c r="L190" i="38"/>
  <c r="L239" i="38"/>
  <c r="L240" i="38"/>
  <c r="L241" i="38"/>
  <c r="L243" i="38"/>
  <c r="K190" i="38"/>
  <c r="K239" i="38"/>
  <c r="K240" i="38"/>
  <c r="K241" i="38"/>
  <c r="K243" i="38"/>
  <c r="J190" i="38"/>
  <c r="J239" i="38"/>
  <c r="J240" i="38"/>
  <c r="J241" i="38"/>
  <c r="J243" i="38"/>
  <c r="I190" i="38"/>
  <c r="I239" i="38"/>
  <c r="I240" i="38"/>
  <c r="I241" i="38"/>
  <c r="I243" i="38"/>
  <c r="H190" i="38"/>
  <c r="H239" i="38"/>
  <c r="H240" i="38"/>
  <c r="H241" i="38"/>
  <c r="H243" i="38"/>
  <c r="X241" i="38"/>
  <c r="X232" i="38"/>
  <c r="X230" i="38"/>
  <c r="X229" i="38"/>
  <c r="X228" i="38"/>
  <c r="X227" i="38"/>
  <c r="X226" i="38"/>
  <c r="B216" i="38"/>
  <c r="B215" i="38"/>
  <c r="B214" i="38"/>
  <c r="B213" i="38"/>
  <c r="B212" i="38"/>
  <c r="B211" i="38"/>
  <c r="B210" i="38"/>
  <c r="B209" i="38"/>
  <c r="B208" i="38"/>
  <c r="B207" i="38"/>
  <c r="B206" i="38"/>
  <c r="B205" i="38"/>
  <c r="B204" i="38"/>
  <c r="B203" i="38"/>
  <c r="B202" i="38"/>
  <c r="O199" i="38"/>
  <c r="N199" i="38"/>
  <c r="M199" i="38"/>
  <c r="L199" i="38"/>
  <c r="K199" i="38"/>
  <c r="J199" i="38"/>
  <c r="I199" i="38"/>
  <c r="H199" i="38"/>
  <c r="O188" i="38"/>
  <c r="N188" i="38"/>
  <c r="M188" i="38"/>
  <c r="L188" i="38"/>
  <c r="K188" i="38"/>
  <c r="J188" i="38"/>
  <c r="I188" i="38"/>
  <c r="H188" i="38"/>
  <c r="X183" i="38"/>
  <c r="B183" i="38"/>
  <c r="X182" i="38"/>
  <c r="B182" i="38"/>
  <c r="X181" i="38"/>
  <c r="B181" i="38"/>
  <c r="X180" i="38"/>
  <c r="B180" i="38"/>
  <c r="X179" i="38"/>
  <c r="B179" i="38"/>
  <c r="X178" i="38"/>
  <c r="B178" i="38"/>
  <c r="X177" i="38"/>
  <c r="B177" i="38"/>
  <c r="X176" i="38"/>
  <c r="B176" i="38"/>
  <c r="X175" i="38"/>
  <c r="B175" i="38"/>
  <c r="X174" i="38"/>
  <c r="B174" i="38"/>
  <c r="B173" i="38"/>
  <c r="B172" i="38"/>
  <c r="B171" i="38"/>
  <c r="B170" i="38"/>
  <c r="B169" i="38"/>
  <c r="X160" i="38"/>
  <c r="B160" i="38"/>
  <c r="X159" i="38"/>
  <c r="B159" i="38"/>
  <c r="X158" i="38"/>
  <c r="B158" i="38"/>
  <c r="X157" i="38"/>
  <c r="B157" i="38"/>
  <c r="X156" i="38"/>
  <c r="B156" i="38"/>
  <c r="X155" i="38"/>
  <c r="B155" i="38"/>
  <c r="X154" i="38"/>
  <c r="B154" i="38"/>
  <c r="X153" i="38"/>
  <c r="B153" i="38"/>
  <c r="X152" i="38"/>
  <c r="B152" i="38"/>
  <c r="X151" i="38"/>
  <c r="B151" i="38"/>
  <c r="B150" i="38"/>
  <c r="B149" i="38"/>
  <c r="B148" i="38"/>
  <c r="B147" i="38"/>
  <c r="B146" i="38"/>
  <c r="P77" i="38"/>
  <c r="P100" i="38"/>
  <c r="P78" i="38"/>
  <c r="P101" i="38"/>
  <c r="P79" i="38"/>
  <c r="P102" i="38"/>
  <c r="P80" i="38"/>
  <c r="P103" i="38"/>
  <c r="X137" i="38"/>
  <c r="B137" i="38"/>
  <c r="X136" i="38"/>
  <c r="B136" i="38"/>
  <c r="X135" i="38"/>
  <c r="B135" i="38"/>
  <c r="X134" i="38"/>
  <c r="B134" i="38"/>
  <c r="X133" i="38"/>
  <c r="B133" i="38"/>
  <c r="X132" i="38"/>
  <c r="B132" i="38"/>
  <c r="X131" i="38"/>
  <c r="B131" i="38"/>
  <c r="X130" i="38"/>
  <c r="B130" i="38"/>
  <c r="X129" i="38"/>
  <c r="B129" i="38"/>
  <c r="X128" i="38"/>
  <c r="B128" i="38"/>
  <c r="B127" i="38"/>
  <c r="B126" i="38"/>
  <c r="B125" i="38"/>
  <c r="B124" i="38"/>
  <c r="B123" i="38"/>
  <c r="X114" i="38"/>
  <c r="B114" i="38"/>
  <c r="X113" i="38"/>
  <c r="B113" i="38"/>
  <c r="X112" i="38"/>
  <c r="B112" i="38"/>
  <c r="X111" i="38"/>
  <c r="B111" i="38"/>
  <c r="X110" i="38"/>
  <c r="B110" i="38"/>
  <c r="X109" i="38"/>
  <c r="B109" i="38"/>
  <c r="X108" i="38"/>
  <c r="B108" i="38"/>
  <c r="X107" i="38"/>
  <c r="B107" i="38"/>
  <c r="X106" i="38"/>
  <c r="B106" i="38"/>
  <c r="X105" i="38"/>
  <c r="B105" i="38"/>
  <c r="B104" i="38"/>
  <c r="B103" i="38"/>
  <c r="B102" i="38"/>
  <c r="B101" i="38"/>
  <c r="B100" i="38"/>
  <c r="X91" i="38"/>
  <c r="B91" i="38"/>
  <c r="X90" i="38"/>
  <c r="B90" i="38"/>
  <c r="X89" i="38"/>
  <c r="B89" i="38"/>
  <c r="X88" i="38"/>
  <c r="B88" i="38"/>
  <c r="X87" i="38"/>
  <c r="B87" i="38"/>
  <c r="X86" i="38"/>
  <c r="B86" i="38"/>
  <c r="X85" i="38"/>
  <c r="B85" i="38"/>
  <c r="X84" i="38"/>
  <c r="B84" i="38"/>
  <c r="X83" i="38"/>
  <c r="B83" i="38"/>
  <c r="X82" i="38"/>
  <c r="B82" i="38"/>
  <c r="B81" i="38"/>
  <c r="B80" i="38"/>
  <c r="B79" i="38"/>
  <c r="B78" i="38"/>
  <c r="B77" i="38"/>
  <c r="BI67" i="38"/>
  <c r="AZ67" i="38"/>
  <c r="AK67" i="38"/>
  <c r="X67" i="38"/>
  <c r="B67" i="38"/>
  <c r="BI66" i="38"/>
  <c r="AZ66" i="38"/>
  <c r="AK66" i="38"/>
  <c r="X66" i="38"/>
  <c r="B66" i="38"/>
  <c r="BI65" i="38"/>
  <c r="AZ65" i="38"/>
  <c r="AK65" i="38"/>
  <c r="X65" i="38"/>
  <c r="B65" i="38"/>
  <c r="BI64" i="38"/>
  <c r="AZ64" i="38"/>
  <c r="AK64" i="38"/>
  <c r="X64" i="38"/>
  <c r="B64" i="38"/>
  <c r="BI63" i="38"/>
  <c r="AZ63" i="38"/>
  <c r="AK63" i="38"/>
  <c r="X63" i="38"/>
  <c r="B63" i="38"/>
  <c r="BI62" i="38"/>
  <c r="AZ62" i="38"/>
  <c r="AK62" i="38"/>
  <c r="X62" i="38"/>
  <c r="B62" i="38"/>
  <c r="BI61" i="38"/>
  <c r="AZ61" i="38"/>
  <c r="AK61" i="38"/>
  <c r="X61" i="38"/>
  <c r="B61" i="38"/>
  <c r="BI60" i="38"/>
  <c r="AZ60" i="38"/>
  <c r="AK60" i="38"/>
  <c r="X60" i="38"/>
  <c r="B60" i="38"/>
  <c r="BI59" i="38"/>
  <c r="AZ59" i="38"/>
  <c r="AK59" i="38"/>
  <c r="X59" i="38"/>
  <c r="B59" i="38"/>
  <c r="BI58" i="38"/>
  <c r="AZ58" i="38"/>
  <c r="AK58" i="38"/>
  <c r="X58" i="38"/>
  <c r="B58" i="38"/>
  <c r="BI57" i="38"/>
  <c r="AZ57" i="38"/>
  <c r="AK57" i="38"/>
  <c r="B57" i="38"/>
  <c r="BI56" i="38"/>
  <c r="AZ56" i="38"/>
  <c r="AK56" i="38"/>
  <c r="B56" i="38"/>
  <c r="BI55" i="38"/>
  <c r="AZ55" i="38"/>
  <c r="AK55" i="38"/>
  <c r="B55" i="38"/>
  <c r="BI54" i="38"/>
  <c r="AZ54" i="38"/>
  <c r="AK54" i="38"/>
  <c r="B54" i="38"/>
  <c r="BI53" i="38"/>
  <c r="AZ53" i="38"/>
  <c r="AK53" i="38"/>
  <c r="B53" i="38"/>
  <c r="B45" i="38"/>
  <c r="B44" i="38"/>
  <c r="B43" i="38"/>
  <c r="B42" i="38"/>
  <c r="B41" i="38"/>
  <c r="B40" i="38"/>
  <c r="B39" i="38"/>
  <c r="B38" i="38"/>
  <c r="B37" i="38"/>
  <c r="B35" i="38"/>
  <c r="B34" i="38"/>
  <c r="B33" i="38"/>
  <c r="B32" i="38"/>
  <c r="B31" i="38"/>
  <c r="P148" i="37"/>
  <c r="P147" i="37"/>
  <c r="P232" i="37"/>
  <c r="P374" i="37"/>
  <c r="R241" i="37"/>
  <c r="S241" i="37"/>
  <c r="T241" i="37"/>
  <c r="U241" i="37"/>
  <c r="V241" i="37"/>
  <c r="Q241" i="37"/>
  <c r="P241" i="37"/>
  <c r="O190" i="37"/>
  <c r="O239" i="37"/>
  <c r="O240" i="37"/>
  <c r="O241" i="37"/>
  <c r="O243" i="37"/>
  <c r="N190" i="37"/>
  <c r="N239" i="37"/>
  <c r="N240" i="37"/>
  <c r="N241" i="37"/>
  <c r="N243" i="37"/>
  <c r="M190" i="37"/>
  <c r="M239" i="37"/>
  <c r="M240" i="37"/>
  <c r="M241" i="37"/>
  <c r="M243" i="37"/>
  <c r="L190" i="37"/>
  <c r="L239" i="37"/>
  <c r="L240" i="37"/>
  <c r="L241" i="37"/>
  <c r="L243" i="37"/>
  <c r="K190" i="37"/>
  <c r="K239" i="37"/>
  <c r="K240" i="37"/>
  <c r="K241" i="37"/>
  <c r="K243" i="37"/>
  <c r="J190" i="37"/>
  <c r="J239" i="37"/>
  <c r="J240" i="37"/>
  <c r="J241" i="37"/>
  <c r="J243" i="37"/>
  <c r="I190" i="37"/>
  <c r="I239" i="37"/>
  <c r="I240" i="37"/>
  <c r="I241" i="37"/>
  <c r="I243" i="37"/>
  <c r="H190" i="37"/>
  <c r="H239" i="37"/>
  <c r="H240" i="37"/>
  <c r="H241" i="37"/>
  <c r="H243" i="37"/>
  <c r="X241" i="37"/>
  <c r="X232" i="37"/>
  <c r="X230" i="37"/>
  <c r="X229" i="37"/>
  <c r="X228" i="37"/>
  <c r="X227" i="37"/>
  <c r="X226" i="37"/>
  <c r="B216" i="37"/>
  <c r="B215" i="37"/>
  <c r="B214" i="37"/>
  <c r="B213" i="37"/>
  <c r="B212" i="37"/>
  <c r="B211" i="37"/>
  <c r="B210" i="37"/>
  <c r="B209" i="37"/>
  <c r="B208" i="37"/>
  <c r="B207" i="37"/>
  <c r="B206" i="37"/>
  <c r="B205" i="37"/>
  <c r="B204" i="37"/>
  <c r="B203" i="37"/>
  <c r="B202" i="37"/>
  <c r="O199" i="37"/>
  <c r="N199" i="37"/>
  <c r="M199" i="37"/>
  <c r="L199" i="37"/>
  <c r="K199" i="37"/>
  <c r="J199" i="37"/>
  <c r="I199" i="37"/>
  <c r="H199" i="37"/>
  <c r="O188" i="37"/>
  <c r="N188" i="37"/>
  <c r="M188" i="37"/>
  <c r="L188" i="37"/>
  <c r="K188" i="37"/>
  <c r="J188" i="37"/>
  <c r="I188" i="37"/>
  <c r="H188" i="37"/>
  <c r="X183" i="37"/>
  <c r="B183" i="37"/>
  <c r="X182" i="37"/>
  <c r="B182" i="37"/>
  <c r="X181" i="37"/>
  <c r="B181" i="37"/>
  <c r="X180" i="37"/>
  <c r="B180" i="37"/>
  <c r="X179" i="37"/>
  <c r="B179" i="37"/>
  <c r="X178" i="37"/>
  <c r="B178" i="37"/>
  <c r="X177" i="37"/>
  <c r="B177" i="37"/>
  <c r="X176" i="37"/>
  <c r="B176" i="37"/>
  <c r="X175" i="37"/>
  <c r="B175" i="37"/>
  <c r="B174" i="37"/>
  <c r="B173" i="37"/>
  <c r="B172" i="37"/>
  <c r="B171" i="37"/>
  <c r="B170" i="37"/>
  <c r="B169" i="37"/>
  <c r="P149" i="37"/>
  <c r="X160" i="37"/>
  <c r="B160" i="37"/>
  <c r="X159" i="37"/>
  <c r="B159" i="37"/>
  <c r="X158" i="37"/>
  <c r="B158" i="37"/>
  <c r="X157" i="37"/>
  <c r="B157" i="37"/>
  <c r="X156" i="37"/>
  <c r="B156" i="37"/>
  <c r="X155" i="37"/>
  <c r="B155" i="37"/>
  <c r="X154" i="37"/>
  <c r="B154" i="37"/>
  <c r="X153" i="37"/>
  <c r="B153" i="37"/>
  <c r="X152" i="37"/>
  <c r="B152" i="37"/>
  <c r="B151" i="37"/>
  <c r="B150" i="37"/>
  <c r="B149" i="37"/>
  <c r="B148" i="37"/>
  <c r="B147" i="37"/>
  <c r="B146" i="37"/>
  <c r="P78" i="37"/>
  <c r="P101" i="37"/>
  <c r="X137" i="37"/>
  <c r="B137" i="37"/>
  <c r="X136" i="37"/>
  <c r="B136" i="37"/>
  <c r="X135" i="37"/>
  <c r="B135" i="37"/>
  <c r="X134" i="37"/>
  <c r="B134" i="37"/>
  <c r="X133" i="37"/>
  <c r="B133" i="37"/>
  <c r="X132" i="37"/>
  <c r="B132" i="37"/>
  <c r="X131" i="37"/>
  <c r="B131" i="37"/>
  <c r="X130" i="37"/>
  <c r="B130" i="37"/>
  <c r="X129" i="37"/>
  <c r="B129" i="37"/>
  <c r="B128" i="37"/>
  <c r="B127" i="37"/>
  <c r="B126" i="37"/>
  <c r="B125" i="37"/>
  <c r="B124" i="37"/>
  <c r="B123" i="37"/>
  <c r="X114" i="37"/>
  <c r="B114" i="37"/>
  <c r="X113" i="37"/>
  <c r="B113" i="37"/>
  <c r="X112" i="37"/>
  <c r="B112" i="37"/>
  <c r="X111" i="37"/>
  <c r="B111" i="37"/>
  <c r="X110" i="37"/>
  <c r="B110" i="37"/>
  <c r="X109" i="37"/>
  <c r="B109" i="37"/>
  <c r="X108" i="37"/>
  <c r="B108" i="37"/>
  <c r="X107" i="37"/>
  <c r="B107" i="37"/>
  <c r="X106" i="37"/>
  <c r="B106" i="37"/>
  <c r="B105" i="37"/>
  <c r="B104" i="37"/>
  <c r="B103" i="37"/>
  <c r="B102" i="37"/>
  <c r="B101" i="37"/>
  <c r="B100" i="37"/>
  <c r="X91" i="37"/>
  <c r="B91" i="37"/>
  <c r="X90" i="37"/>
  <c r="B90" i="37"/>
  <c r="X89" i="37"/>
  <c r="B89" i="37"/>
  <c r="X88" i="37"/>
  <c r="B88" i="37"/>
  <c r="X87" i="37"/>
  <c r="B87" i="37"/>
  <c r="X86" i="37"/>
  <c r="B86" i="37"/>
  <c r="X85" i="37"/>
  <c r="B85" i="37"/>
  <c r="X84" i="37"/>
  <c r="B84" i="37"/>
  <c r="X83" i="37"/>
  <c r="B83" i="37"/>
  <c r="B82" i="37"/>
  <c r="B81" i="37"/>
  <c r="B80" i="37"/>
  <c r="B79" i="37"/>
  <c r="B78" i="37"/>
  <c r="B77" i="37"/>
  <c r="BI67" i="37"/>
  <c r="AZ67" i="37"/>
  <c r="AK67" i="37"/>
  <c r="X67" i="37"/>
  <c r="B67" i="37"/>
  <c r="BI66" i="37"/>
  <c r="AZ66" i="37"/>
  <c r="AK66" i="37"/>
  <c r="X66" i="37"/>
  <c r="B66" i="37"/>
  <c r="BI65" i="37"/>
  <c r="AZ65" i="37"/>
  <c r="AK65" i="37"/>
  <c r="X65" i="37"/>
  <c r="B65" i="37"/>
  <c r="BI64" i="37"/>
  <c r="AZ64" i="37"/>
  <c r="AK64" i="37"/>
  <c r="X64" i="37"/>
  <c r="B64" i="37"/>
  <c r="BI63" i="37"/>
  <c r="AZ63" i="37"/>
  <c r="AK63" i="37"/>
  <c r="X63" i="37"/>
  <c r="B63" i="37"/>
  <c r="BI62" i="37"/>
  <c r="AZ62" i="37"/>
  <c r="AK62" i="37"/>
  <c r="X62" i="37"/>
  <c r="B62" i="37"/>
  <c r="BI61" i="37"/>
  <c r="AZ61" i="37"/>
  <c r="AK61" i="37"/>
  <c r="X61" i="37"/>
  <c r="B61" i="37"/>
  <c r="BI60" i="37"/>
  <c r="AZ60" i="37"/>
  <c r="AK60" i="37"/>
  <c r="X60" i="37"/>
  <c r="B60" i="37"/>
  <c r="BI59" i="37"/>
  <c r="AZ59" i="37"/>
  <c r="AK59" i="37"/>
  <c r="X59" i="37"/>
  <c r="B59" i="37"/>
  <c r="BI58" i="37"/>
  <c r="AZ58" i="37"/>
  <c r="AK58" i="37"/>
  <c r="B58" i="37"/>
  <c r="BI57" i="37"/>
  <c r="AZ57" i="37"/>
  <c r="AK57" i="37"/>
  <c r="B57" i="37"/>
  <c r="BI56" i="37"/>
  <c r="AZ56" i="37"/>
  <c r="AK56" i="37"/>
  <c r="B56" i="37"/>
  <c r="BI55" i="37"/>
  <c r="AZ55" i="37"/>
  <c r="AK55" i="37"/>
  <c r="B55" i="37"/>
  <c r="BI54" i="37"/>
  <c r="AZ54" i="37"/>
  <c r="AK54" i="37"/>
  <c r="B54" i="37"/>
  <c r="BI53" i="37"/>
  <c r="AZ53" i="37"/>
  <c r="AK53" i="37"/>
  <c r="B53" i="37"/>
  <c r="B45" i="37"/>
  <c r="B44" i="37"/>
  <c r="B43" i="37"/>
  <c r="B42" i="37"/>
  <c r="B41" i="37"/>
  <c r="B40" i="37"/>
  <c r="B39" i="37"/>
  <c r="B38" i="37"/>
  <c r="B37" i="37"/>
  <c r="B36" i="37"/>
  <c r="B35" i="37"/>
  <c r="B34" i="37"/>
  <c r="B33" i="37"/>
  <c r="B32" i="37"/>
  <c r="B31" i="37"/>
  <c r="B223" i="35"/>
  <c r="B224" i="35"/>
  <c r="B225" i="35"/>
  <c r="B226" i="35"/>
  <c r="B227" i="35"/>
  <c r="B228" i="35"/>
  <c r="B229" i="35"/>
  <c r="B230" i="35"/>
  <c r="B231" i="35"/>
  <c r="B232" i="35"/>
  <c r="B233" i="35"/>
  <c r="B234" i="35"/>
  <c r="B235" i="35"/>
  <c r="B236" i="35"/>
  <c r="B190" i="35"/>
  <c r="B191" i="35"/>
  <c r="B192" i="35"/>
  <c r="B193" i="35"/>
  <c r="B194" i="35"/>
  <c r="B195" i="35"/>
  <c r="B196" i="35"/>
  <c r="B197" i="35"/>
  <c r="B198" i="35"/>
  <c r="B199" i="35"/>
  <c r="B200" i="35"/>
  <c r="B201" i="35"/>
  <c r="B202" i="35"/>
  <c r="B203" i="35"/>
  <c r="B167" i="35"/>
  <c r="B168" i="35"/>
  <c r="B169" i="35"/>
  <c r="B170" i="35"/>
  <c r="B171" i="35"/>
  <c r="B172" i="35"/>
  <c r="B173" i="35"/>
  <c r="B174" i="35"/>
  <c r="B175" i="35"/>
  <c r="B176" i="35"/>
  <c r="B177" i="35"/>
  <c r="B178" i="35"/>
  <c r="B179" i="35"/>
  <c r="B180" i="35"/>
  <c r="B144" i="35"/>
  <c r="B145" i="35"/>
  <c r="B146" i="35"/>
  <c r="B147" i="35"/>
  <c r="B148" i="35"/>
  <c r="B149" i="35"/>
  <c r="B150" i="35"/>
  <c r="B151" i="35"/>
  <c r="B152" i="35"/>
  <c r="B153" i="35"/>
  <c r="B154" i="35"/>
  <c r="B155" i="35"/>
  <c r="B156" i="35"/>
  <c r="B157" i="35"/>
  <c r="B121" i="35"/>
  <c r="B122" i="35"/>
  <c r="B123" i="35"/>
  <c r="B124" i="35"/>
  <c r="B125" i="35"/>
  <c r="B126" i="35"/>
  <c r="B127" i="35"/>
  <c r="B128" i="35"/>
  <c r="B129" i="35"/>
  <c r="B130" i="35"/>
  <c r="B131" i="35"/>
  <c r="B132" i="35"/>
  <c r="B133" i="35"/>
  <c r="B134" i="35"/>
  <c r="B98" i="35"/>
  <c r="B99" i="35"/>
  <c r="B100" i="35"/>
  <c r="B101" i="35"/>
  <c r="B102" i="35"/>
  <c r="B103" i="35"/>
  <c r="B104" i="35"/>
  <c r="B105" i="35"/>
  <c r="B106" i="35"/>
  <c r="B107" i="35"/>
  <c r="B108" i="35"/>
  <c r="B109" i="35"/>
  <c r="B110" i="35"/>
  <c r="B111" i="35"/>
  <c r="B74" i="35"/>
  <c r="B75" i="35"/>
  <c r="B76" i="35"/>
  <c r="B77" i="35"/>
  <c r="B78" i="35"/>
  <c r="B79" i="35"/>
  <c r="B80" i="35"/>
  <c r="B81" i="35"/>
  <c r="B82" i="35"/>
  <c r="B83" i="35"/>
  <c r="B84" i="35"/>
  <c r="B85" i="35"/>
  <c r="B86" i="35"/>
  <c r="B87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P73" i="35"/>
  <c r="P166" i="35"/>
  <c r="P120" i="35"/>
  <c r="P252" i="35"/>
  <c r="P374" i="35"/>
  <c r="R261" i="35"/>
  <c r="S261" i="35"/>
  <c r="T261" i="35"/>
  <c r="U261" i="35"/>
  <c r="V261" i="35"/>
  <c r="Q261" i="35"/>
  <c r="P261" i="35"/>
  <c r="O210" i="35"/>
  <c r="O259" i="35"/>
  <c r="O260" i="35"/>
  <c r="O261" i="35"/>
  <c r="O263" i="35"/>
  <c r="N210" i="35"/>
  <c r="N259" i="35"/>
  <c r="N260" i="35"/>
  <c r="N261" i="35"/>
  <c r="N263" i="35"/>
  <c r="M210" i="35"/>
  <c r="M259" i="35"/>
  <c r="M260" i="35"/>
  <c r="M261" i="35"/>
  <c r="M263" i="35"/>
  <c r="L210" i="35"/>
  <c r="L259" i="35"/>
  <c r="L260" i="35"/>
  <c r="L261" i="35"/>
  <c r="L263" i="35"/>
  <c r="K210" i="35"/>
  <c r="K259" i="35"/>
  <c r="K260" i="35"/>
  <c r="K261" i="35"/>
  <c r="K263" i="35"/>
  <c r="J210" i="35"/>
  <c r="J259" i="35"/>
  <c r="J260" i="35"/>
  <c r="J261" i="35"/>
  <c r="J263" i="35"/>
  <c r="I210" i="35"/>
  <c r="I259" i="35"/>
  <c r="I260" i="35"/>
  <c r="I261" i="35"/>
  <c r="I263" i="35"/>
  <c r="H210" i="35"/>
  <c r="H259" i="35"/>
  <c r="H260" i="35"/>
  <c r="H261" i="35"/>
  <c r="H263" i="35"/>
  <c r="X261" i="35"/>
  <c r="X252" i="35"/>
  <c r="X250" i="35"/>
  <c r="X249" i="35"/>
  <c r="X248" i="35"/>
  <c r="X247" i="35"/>
  <c r="X246" i="35"/>
  <c r="B222" i="35"/>
  <c r="O219" i="35"/>
  <c r="N219" i="35"/>
  <c r="M219" i="35"/>
  <c r="L219" i="35"/>
  <c r="K219" i="35"/>
  <c r="J219" i="35"/>
  <c r="I219" i="35"/>
  <c r="H219" i="35"/>
  <c r="O208" i="35"/>
  <c r="N208" i="35"/>
  <c r="M208" i="35"/>
  <c r="L208" i="35"/>
  <c r="K208" i="35"/>
  <c r="J208" i="35"/>
  <c r="I208" i="35"/>
  <c r="H208" i="35"/>
  <c r="B189" i="35"/>
  <c r="B166" i="35"/>
  <c r="P97" i="35"/>
  <c r="B143" i="35"/>
  <c r="B120" i="35"/>
  <c r="B97" i="35"/>
  <c r="BI87" i="35"/>
  <c r="AZ87" i="35"/>
  <c r="AK87" i="35"/>
  <c r="BI86" i="35"/>
  <c r="AZ86" i="35"/>
  <c r="AK86" i="35"/>
  <c r="BI85" i="35"/>
  <c r="AZ85" i="35"/>
  <c r="AK85" i="35"/>
  <c r="BI84" i="35"/>
  <c r="AZ84" i="35"/>
  <c r="AK84" i="35"/>
  <c r="BI83" i="35"/>
  <c r="AZ83" i="35"/>
  <c r="AK83" i="35"/>
  <c r="BI82" i="35"/>
  <c r="AZ82" i="35"/>
  <c r="AK82" i="35"/>
  <c r="BI81" i="35"/>
  <c r="AZ81" i="35"/>
  <c r="AK81" i="35"/>
  <c r="BI80" i="35"/>
  <c r="AZ80" i="35"/>
  <c r="AK80" i="35"/>
  <c r="BI79" i="35"/>
  <c r="AZ79" i="35"/>
  <c r="AK79" i="35"/>
  <c r="BI78" i="35"/>
  <c r="AZ78" i="35"/>
  <c r="AK78" i="35"/>
  <c r="BI77" i="35"/>
  <c r="AZ77" i="35"/>
  <c r="AK77" i="35"/>
  <c r="BI76" i="35"/>
  <c r="AZ76" i="35"/>
  <c r="AK76" i="35"/>
  <c r="BI75" i="35"/>
  <c r="AZ75" i="35"/>
  <c r="AK75" i="35"/>
  <c r="BI74" i="35"/>
  <c r="AZ74" i="35"/>
  <c r="AK74" i="35"/>
  <c r="BI73" i="35"/>
  <c r="AZ73" i="35"/>
  <c r="AK73" i="35"/>
  <c r="B73" i="35"/>
  <c r="B52" i="35"/>
  <c r="B31" i="35"/>
  <c r="B223" i="34"/>
  <c r="B224" i="34"/>
  <c r="B225" i="34"/>
  <c r="B226" i="34"/>
  <c r="B227" i="34"/>
  <c r="B190" i="34"/>
  <c r="B191" i="34"/>
  <c r="B192" i="34"/>
  <c r="B193" i="34"/>
  <c r="B194" i="34"/>
  <c r="B171" i="34"/>
  <c r="B167" i="34"/>
  <c r="B168" i="34"/>
  <c r="B169" i="34"/>
  <c r="B170" i="34"/>
  <c r="B144" i="34"/>
  <c r="B145" i="34"/>
  <c r="B146" i="34"/>
  <c r="B147" i="34"/>
  <c r="B148" i="34"/>
  <c r="B121" i="34"/>
  <c r="B122" i="34"/>
  <c r="B123" i="34"/>
  <c r="B124" i="34"/>
  <c r="B125" i="34"/>
  <c r="B98" i="34"/>
  <c r="B99" i="34"/>
  <c r="B100" i="34"/>
  <c r="B101" i="34"/>
  <c r="B102" i="34"/>
  <c r="B74" i="34"/>
  <c r="B75" i="34"/>
  <c r="B76" i="34"/>
  <c r="B77" i="34"/>
  <c r="B78" i="34"/>
  <c r="B53" i="34"/>
  <c r="B54" i="34"/>
  <c r="B55" i="34"/>
  <c r="B56" i="34"/>
  <c r="B57" i="34"/>
  <c r="B32" i="34"/>
  <c r="B33" i="34"/>
  <c r="B34" i="34"/>
  <c r="B35" i="34"/>
  <c r="B36" i="34"/>
  <c r="P252" i="34"/>
  <c r="P374" i="34"/>
  <c r="R261" i="34"/>
  <c r="S261" i="34"/>
  <c r="T261" i="34"/>
  <c r="U261" i="34"/>
  <c r="V261" i="34"/>
  <c r="Q261" i="34"/>
  <c r="P261" i="34"/>
  <c r="O210" i="34"/>
  <c r="O259" i="34"/>
  <c r="O260" i="34"/>
  <c r="O261" i="34"/>
  <c r="O263" i="34"/>
  <c r="N210" i="34"/>
  <c r="N259" i="34"/>
  <c r="N260" i="34"/>
  <c r="N261" i="34"/>
  <c r="N263" i="34"/>
  <c r="M210" i="34"/>
  <c r="M259" i="34"/>
  <c r="M260" i="34"/>
  <c r="M261" i="34"/>
  <c r="M263" i="34"/>
  <c r="L210" i="34"/>
  <c r="L259" i="34"/>
  <c r="L260" i="34"/>
  <c r="L261" i="34"/>
  <c r="L263" i="34"/>
  <c r="K210" i="34"/>
  <c r="K259" i="34"/>
  <c r="K260" i="34"/>
  <c r="K261" i="34"/>
  <c r="K263" i="34"/>
  <c r="J210" i="34"/>
  <c r="J259" i="34"/>
  <c r="J260" i="34"/>
  <c r="J261" i="34"/>
  <c r="J263" i="34"/>
  <c r="I210" i="34"/>
  <c r="I259" i="34"/>
  <c r="I260" i="34"/>
  <c r="I261" i="34"/>
  <c r="I263" i="34"/>
  <c r="H210" i="34"/>
  <c r="H259" i="34"/>
  <c r="H260" i="34"/>
  <c r="H261" i="34"/>
  <c r="H263" i="34"/>
  <c r="X261" i="34"/>
  <c r="X252" i="34"/>
  <c r="X250" i="34"/>
  <c r="X249" i="34"/>
  <c r="X248" i="34"/>
  <c r="X247" i="34"/>
  <c r="X246" i="34"/>
  <c r="B236" i="34"/>
  <c r="B235" i="34"/>
  <c r="B234" i="34"/>
  <c r="B233" i="34"/>
  <c r="B232" i="34"/>
  <c r="B231" i="34"/>
  <c r="B230" i="34"/>
  <c r="B229" i="34"/>
  <c r="B228" i="34"/>
  <c r="B222" i="34"/>
  <c r="O219" i="34"/>
  <c r="N219" i="34"/>
  <c r="M219" i="34"/>
  <c r="L219" i="34"/>
  <c r="K219" i="34"/>
  <c r="J219" i="34"/>
  <c r="I219" i="34"/>
  <c r="H219" i="34"/>
  <c r="O208" i="34"/>
  <c r="N208" i="34"/>
  <c r="M208" i="34"/>
  <c r="L208" i="34"/>
  <c r="K208" i="34"/>
  <c r="J208" i="34"/>
  <c r="I208" i="34"/>
  <c r="H208" i="34"/>
  <c r="X203" i="34"/>
  <c r="B203" i="34"/>
  <c r="X202" i="34"/>
  <c r="B202" i="34"/>
  <c r="X201" i="34"/>
  <c r="B201" i="34"/>
  <c r="X200" i="34"/>
  <c r="B200" i="34"/>
  <c r="X199" i="34"/>
  <c r="B199" i="34"/>
  <c r="X198" i="34"/>
  <c r="B198" i="34"/>
  <c r="B197" i="34"/>
  <c r="B196" i="34"/>
  <c r="B195" i="34"/>
  <c r="B189" i="34"/>
  <c r="X180" i="34"/>
  <c r="B180" i="34"/>
  <c r="X179" i="34"/>
  <c r="B179" i="34"/>
  <c r="X178" i="34"/>
  <c r="B178" i="34"/>
  <c r="X177" i="34"/>
  <c r="B177" i="34"/>
  <c r="X176" i="34"/>
  <c r="B176" i="34"/>
  <c r="X175" i="34"/>
  <c r="B175" i="34"/>
  <c r="B174" i="34"/>
  <c r="B173" i="34"/>
  <c r="B172" i="34"/>
  <c r="B166" i="34"/>
  <c r="X157" i="34"/>
  <c r="B157" i="34"/>
  <c r="X156" i="34"/>
  <c r="B156" i="34"/>
  <c r="X155" i="34"/>
  <c r="B155" i="34"/>
  <c r="X154" i="34"/>
  <c r="B154" i="34"/>
  <c r="X153" i="34"/>
  <c r="B153" i="34"/>
  <c r="X152" i="34"/>
  <c r="B152" i="34"/>
  <c r="B151" i="34"/>
  <c r="B150" i="34"/>
  <c r="B149" i="34"/>
  <c r="B143" i="34"/>
  <c r="X134" i="34"/>
  <c r="B134" i="34"/>
  <c r="X133" i="34"/>
  <c r="B133" i="34"/>
  <c r="X132" i="34"/>
  <c r="B132" i="34"/>
  <c r="X131" i="34"/>
  <c r="B131" i="34"/>
  <c r="X130" i="34"/>
  <c r="B130" i="34"/>
  <c r="X129" i="34"/>
  <c r="B129" i="34"/>
  <c r="B128" i="34"/>
  <c r="B127" i="34"/>
  <c r="B126" i="34"/>
  <c r="B120" i="34"/>
  <c r="X111" i="34"/>
  <c r="B111" i="34"/>
  <c r="X110" i="34"/>
  <c r="B110" i="34"/>
  <c r="X109" i="34"/>
  <c r="B109" i="34"/>
  <c r="X108" i="34"/>
  <c r="B108" i="34"/>
  <c r="X107" i="34"/>
  <c r="B107" i="34"/>
  <c r="X106" i="34"/>
  <c r="B106" i="34"/>
  <c r="B105" i="34"/>
  <c r="B104" i="34"/>
  <c r="B103" i="34"/>
  <c r="B97" i="34"/>
  <c r="BI87" i="34"/>
  <c r="AZ87" i="34"/>
  <c r="AK87" i="34"/>
  <c r="X87" i="34"/>
  <c r="B87" i="34"/>
  <c r="BI86" i="34"/>
  <c r="AZ86" i="34"/>
  <c r="AK86" i="34"/>
  <c r="X86" i="34"/>
  <c r="B86" i="34"/>
  <c r="BI85" i="34"/>
  <c r="AZ85" i="34"/>
  <c r="AK85" i="34"/>
  <c r="X85" i="34"/>
  <c r="B85" i="34"/>
  <c r="BI84" i="34"/>
  <c r="AZ84" i="34"/>
  <c r="AK84" i="34"/>
  <c r="X84" i="34"/>
  <c r="B84" i="34"/>
  <c r="BI83" i="34"/>
  <c r="AZ83" i="34"/>
  <c r="AK83" i="34"/>
  <c r="X83" i="34"/>
  <c r="B83" i="34"/>
  <c r="BI82" i="34"/>
  <c r="AZ82" i="34"/>
  <c r="AK82" i="34"/>
  <c r="X82" i="34"/>
  <c r="B82" i="34"/>
  <c r="BI81" i="34"/>
  <c r="AZ81" i="34"/>
  <c r="AK81" i="34"/>
  <c r="B81" i="34"/>
  <c r="BI80" i="34"/>
  <c r="AZ80" i="34"/>
  <c r="AK80" i="34"/>
  <c r="B80" i="34"/>
  <c r="BI79" i="34"/>
  <c r="AZ79" i="34"/>
  <c r="AK79" i="34"/>
  <c r="B79" i="34"/>
  <c r="BI78" i="34"/>
  <c r="AZ78" i="34"/>
  <c r="AK78" i="34"/>
  <c r="BI77" i="34"/>
  <c r="AZ77" i="34"/>
  <c r="AK77" i="34"/>
  <c r="BI76" i="34"/>
  <c r="AZ76" i="34"/>
  <c r="AK76" i="34"/>
  <c r="BI75" i="34"/>
  <c r="AZ75" i="34"/>
  <c r="AK75" i="34"/>
  <c r="BI74" i="34"/>
  <c r="AZ74" i="34"/>
  <c r="AK74" i="34"/>
  <c r="BI73" i="34"/>
  <c r="AZ73" i="34"/>
  <c r="AK73" i="34"/>
  <c r="B73" i="34"/>
  <c r="B66" i="34"/>
  <c r="B65" i="34"/>
  <c r="B64" i="34"/>
  <c r="B63" i="34"/>
  <c r="B62" i="34"/>
  <c r="B61" i="34"/>
  <c r="B60" i="34"/>
  <c r="B59" i="34"/>
  <c r="B58" i="34"/>
  <c r="B52" i="34"/>
  <c r="B45" i="34"/>
  <c r="B44" i="34"/>
  <c r="B43" i="34"/>
  <c r="B42" i="34"/>
  <c r="B41" i="34"/>
  <c r="B40" i="34"/>
  <c r="B39" i="34"/>
  <c r="B38" i="34"/>
  <c r="B37" i="34"/>
  <c r="B31" i="34"/>
  <c r="P73" i="33"/>
  <c r="P120" i="33"/>
  <c r="P252" i="33"/>
  <c r="P374" i="33"/>
  <c r="R261" i="33"/>
  <c r="S261" i="33"/>
  <c r="T261" i="33"/>
  <c r="U261" i="33"/>
  <c r="V261" i="33"/>
  <c r="Q261" i="33"/>
  <c r="P261" i="33"/>
  <c r="O210" i="33"/>
  <c r="O259" i="33"/>
  <c r="O260" i="33"/>
  <c r="O261" i="33"/>
  <c r="O263" i="33"/>
  <c r="N210" i="33"/>
  <c r="N259" i="33"/>
  <c r="N260" i="33"/>
  <c r="N261" i="33"/>
  <c r="N263" i="33"/>
  <c r="M210" i="33"/>
  <c r="M259" i="33"/>
  <c r="M260" i="33"/>
  <c r="M261" i="33"/>
  <c r="M263" i="33"/>
  <c r="L210" i="33"/>
  <c r="L259" i="33"/>
  <c r="L260" i="33"/>
  <c r="L261" i="33"/>
  <c r="L263" i="33"/>
  <c r="K210" i="33"/>
  <c r="K259" i="33"/>
  <c r="K260" i="33"/>
  <c r="K261" i="33"/>
  <c r="K263" i="33"/>
  <c r="J210" i="33"/>
  <c r="J259" i="33"/>
  <c r="J260" i="33"/>
  <c r="J261" i="33"/>
  <c r="J263" i="33"/>
  <c r="I210" i="33"/>
  <c r="I259" i="33"/>
  <c r="I260" i="33"/>
  <c r="I261" i="33"/>
  <c r="I263" i="33"/>
  <c r="H210" i="33"/>
  <c r="H259" i="33"/>
  <c r="H260" i="33"/>
  <c r="H261" i="33"/>
  <c r="H263" i="33"/>
  <c r="X261" i="33"/>
  <c r="X252" i="33"/>
  <c r="X250" i="33"/>
  <c r="X249" i="33"/>
  <c r="X248" i="33"/>
  <c r="X247" i="33"/>
  <c r="X246" i="33"/>
  <c r="B236" i="33"/>
  <c r="B235" i="33"/>
  <c r="B234" i="33"/>
  <c r="B233" i="33"/>
  <c r="B232" i="33"/>
  <c r="B231" i="33"/>
  <c r="B230" i="33"/>
  <c r="B229" i="33"/>
  <c r="B228" i="33"/>
  <c r="B227" i="33"/>
  <c r="B226" i="33"/>
  <c r="B225" i="33"/>
  <c r="B224" i="33"/>
  <c r="B223" i="33"/>
  <c r="B222" i="33"/>
  <c r="O219" i="33"/>
  <c r="N219" i="33"/>
  <c r="M219" i="33"/>
  <c r="L219" i="33"/>
  <c r="K219" i="33"/>
  <c r="J219" i="33"/>
  <c r="I219" i="33"/>
  <c r="H219" i="33"/>
  <c r="O208" i="33"/>
  <c r="N208" i="33"/>
  <c r="M208" i="33"/>
  <c r="L208" i="33"/>
  <c r="K208" i="33"/>
  <c r="J208" i="33"/>
  <c r="I208" i="33"/>
  <c r="H208" i="33"/>
  <c r="X203" i="33"/>
  <c r="B203" i="33"/>
  <c r="X202" i="33"/>
  <c r="B202" i="33"/>
  <c r="X201" i="33"/>
  <c r="B201" i="33"/>
  <c r="X200" i="33"/>
  <c r="B200" i="33"/>
  <c r="X199" i="33"/>
  <c r="B199" i="33"/>
  <c r="X198" i="33"/>
  <c r="B198" i="33"/>
  <c r="X197" i="33"/>
  <c r="B197" i="33"/>
  <c r="X196" i="33"/>
  <c r="B196" i="33"/>
  <c r="X195" i="33"/>
  <c r="B195" i="33"/>
  <c r="X194" i="33"/>
  <c r="B194" i="33"/>
  <c r="X193" i="33"/>
  <c r="B193" i="33"/>
  <c r="X192" i="33"/>
  <c r="B192" i="33"/>
  <c r="B191" i="33"/>
  <c r="B190" i="33"/>
  <c r="B189" i="33"/>
  <c r="X180" i="33"/>
  <c r="B180" i="33"/>
  <c r="X179" i="33"/>
  <c r="B179" i="33"/>
  <c r="X178" i="33"/>
  <c r="B178" i="33"/>
  <c r="X177" i="33"/>
  <c r="B177" i="33"/>
  <c r="X176" i="33"/>
  <c r="B176" i="33"/>
  <c r="X175" i="33"/>
  <c r="B175" i="33"/>
  <c r="X174" i="33"/>
  <c r="B174" i="33"/>
  <c r="X173" i="33"/>
  <c r="B173" i="33"/>
  <c r="X172" i="33"/>
  <c r="B172" i="33"/>
  <c r="X171" i="33"/>
  <c r="B171" i="33"/>
  <c r="X170" i="33"/>
  <c r="B170" i="33"/>
  <c r="X169" i="33"/>
  <c r="B169" i="33"/>
  <c r="B168" i="33"/>
  <c r="B167" i="33"/>
  <c r="B166" i="33"/>
  <c r="V145" i="33"/>
  <c r="P99" i="33"/>
  <c r="P122" i="33"/>
  <c r="X157" i="33"/>
  <c r="B157" i="33"/>
  <c r="X156" i="33"/>
  <c r="B156" i="33"/>
  <c r="X155" i="33"/>
  <c r="B155" i="33"/>
  <c r="X154" i="33"/>
  <c r="B154" i="33"/>
  <c r="X153" i="33"/>
  <c r="B153" i="33"/>
  <c r="X152" i="33"/>
  <c r="B152" i="33"/>
  <c r="X151" i="33"/>
  <c r="B151" i="33"/>
  <c r="X150" i="33"/>
  <c r="B150" i="33"/>
  <c r="X149" i="33"/>
  <c r="B149" i="33"/>
  <c r="X148" i="33"/>
  <c r="B148" i="33"/>
  <c r="X147" i="33"/>
  <c r="B147" i="33"/>
  <c r="X146" i="33"/>
  <c r="B146" i="33"/>
  <c r="B145" i="33"/>
  <c r="B144" i="33"/>
  <c r="B143" i="33"/>
  <c r="X134" i="33"/>
  <c r="B134" i="33"/>
  <c r="X133" i="33"/>
  <c r="B133" i="33"/>
  <c r="X132" i="33"/>
  <c r="B132" i="33"/>
  <c r="X131" i="33"/>
  <c r="B131" i="33"/>
  <c r="X130" i="33"/>
  <c r="B130" i="33"/>
  <c r="X129" i="33"/>
  <c r="B129" i="33"/>
  <c r="X128" i="33"/>
  <c r="B128" i="33"/>
  <c r="X127" i="33"/>
  <c r="B127" i="33"/>
  <c r="X126" i="33"/>
  <c r="B126" i="33"/>
  <c r="X125" i="33"/>
  <c r="B125" i="33"/>
  <c r="X124" i="33"/>
  <c r="B124" i="33"/>
  <c r="X123" i="33"/>
  <c r="B123" i="33"/>
  <c r="B122" i="33"/>
  <c r="B121" i="33"/>
  <c r="B120" i="33"/>
  <c r="X111" i="33"/>
  <c r="B111" i="33"/>
  <c r="X110" i="33"/>
  <c r="B110" i="33"/>
  <c r="X109" i="33"/>
  <c r="B109" i="33"/>
  <c r="X108" i="33"/>
  <c r="B108" i="33"/>
  <c r="X107" i="33"/>
  <c r="B107" i="33"/>
  <c r="X106" i="33"/>
  <c r="B106" i="33"/>
  <c r="X105" i="33"/>
  <c r="B105" i="33"/>
  <c r="X104" i="33"/>
  <c r="B104" i="33"/>
  <c r="X103" i="33"/>
  <c r="B103" i="33"/>
  <c r="X102" i="33"/>
  <c r="B102" i="33"/>
  <c r="X101" i="33"/>
  <c r="B101" i="33"/>
  <c r="X100" i="33"/>
  <c r="B100" i="33"/>
  <c r="B99" i="33"/>
  <c r="B98" i="33"/>
  <c r="B97" i="33"/>
  <c r="BI87" i="33"/>
  <c r="AZ87" i="33"/>
  <c r="AK87" i="33"/>
  <c r="X87" i="33"/>
  <c r="B87" i="33"/>
  <c r="BI86" i="33"/>
  <c r="AZ86" i="33"/>
  <c r="AK86" i="33"/>
  <c r="X86" i="33"/>
  <c r="B86" i="33"/>
  <c r="BI85" i="33"/>
  <c r="AZ85" i="33"/>
  <c r="AK85" i="33"/>
  <c r="X85" i="33"/>
  <c r="B85" i="33"/>
  <c r="BI84" i="33"/>
  <c r="AZ84" i="33"/>
  <c r="AK84" i="33"/>
  <c r="X84" i="33"/>
  <c r="B84" i="33"/>
  <c r="BI83" i="33"/>
  <c r="AZ83" i="33"/>
  <c r="AK83" i="33"/>
  <c r="X83" i="33"/>
  <c r="B83" i="33"/>
  <c r="BI82" i="33"/>
  <c r="AZ82" i="33"/>
  <c r="AK82" i="33"/>
  <c r="X82" i="33"/>
  <c r="B82" i="33"/>
  <c r="BI81" i="33"/>
  <c r="AZ81" i="33"/>
  <c r="AK81" i="33"/>
  <c r="X81" i="33"/>
  <c r="B81" i="33"/>
  <c r="BI80" i="33"/>
  <c r="AZ80" i="33"/>
  <c r="AK80" i="33"/>
  <c r="X80" i="33"/>
  <c r="B80" i="33"/>
  <c r="BI79" i="33"/>
  <c r="AZ79" i="33"/>
  <c r="AK79" i="33"/>
  <c r="X79" i="33"/>
  <c r="B79" i="33"/>
  <c r="BI78" i="33"/>
  <c r="AZ78" i="33"/>
  <c r="AK78" i="33"/>
  <c r="X78" i="33"/>
  <c r="B78" i="33"/>
  <c r="BI77" i="33"/>
  <c r="AZ77" i="33"/>
  <c r="AK77" i="33"/>
  <c r="X77" i="33"/>
  <c r="B77" i="33"/>
  <c r="BI76" i="33"/>
  <c r="AZ76" i="33"/>
  <c r="AK76" i="33"/>
  <c r="X76" i="33"/>
  <c r="B76" i="33"/>
  <c r="BI75" i="33"/>
  <c r="AZ75" i="33"/>
  <c r="AK75" i="33"/>
  <c r="X75" i="33"/>
  <c r="B75" i="33"/>
  <c r="BI74" i="33"/>
  <c r="AZ74" i="33"/>
  <c r="AK74" i="33"/>
  <c r="B74" i="33"/>
  <c r="BI73" i="33"/>
  <c r="AZ73" i="33"/>
  <c r="AK73" i="33"/>
  <c r="B73" i="33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45" i="33"/>
  <c r="B44" i="33"/>
  <c r="B43" i="33"/>
  <c r="B42" i="33"/>
  <c r="B41" i="33"/>
  <c r="B40" i="33"/>
  <c r="B39" i="33"/>
  <c r="B38" i="33"/>
  <c r="B37" i="33"/>
  <c r="B36" i="33"/>
  <c r="B35" i="33"/>
  <c r="B34" i="33"/>
  <c r="B33" i="33"/>
  <c r="B32" i="33"/>
  <c r="B31" i="33"/>
  <c r="P252" i="32"/>
  <c r="P374" i="32"/>
  <c r="R261" i="32"/>
  <c r="S261" i="32"/>
  <c r="T261" i="32"/>
  <c r="U261" i="32"/>
  <c r="V261" i="32"/>
  <c r="Q261" i="32"/>
  <c r="P261" i="32"/>
  <c r="O210" i="32"/>
  <c r="O259" i="32"/>
  <c r="O260" i="32"/>
  <c r="O261" i="32"/>
  <c r="O263" i="32"/>
  <c r="N210" i="32"/>
  <c r="N259" i="32"/>
  <c r="N260" i="32"/>
  <c r="N261" i="32"/>
  <c r="N263" i="32"/>
  <c r="M210" i="32"/>
  <c r="M259" i="32"/>
  <c r="M260" i="32"/>
  <c r="M261" i="32"/>
  <c r="M263" i="32"/>
  <c r="L210" i="32"/>
  <c r="L259" i="32"/>
  <c r="L260" i="32"/>
  <c r="L261" i="32"/>
  <c r="L263" i="32"/>
  <c r="K210" i="32"/>
  <c r="K259" i="32"/>
  <c r="K260" i="32"/>
  <c r="K261" i="32"/>
  <c r="K263" i="32"/>
  <c r="J210" i="32"/>
  <c r="J259" i="32"/>
  <c r="J260" i="32"/>
  <c r="J261" i="32"/>
  <c r="J263" i="32"/>
  <c r="I210" i="32"/>
  <c r="I259" i="32"/>
  <c r="I260" i="32"/>
  <c r="I261" i="32"/>
  <c r="I263" i="32"/>
  <c r="H210" i="32"/>
  <c r="H259" i="32"/>
  <c r="H260" i="32"/>
  <c r="H261" i="32"/>
  <c r="H263" i="32"/>
  <c r="X261" i="32"/>
  <c r="X252" i="32"/>
  <c r="X250" i="32"/>
  <c r="X249" i="32"/>
  <c r="X248" i="32"/>
  <c r="X247" i="32"/>
  <c r="X246" i="32"/>
  <c r="B236" i="32"/>
  <c r="B235" i="32"/>
  <c r="B234" i="32"/>
  <c r="B233" i="32"/>
  <c r="B232" i="32"/>
  <c r="B231" i="32"/>
  <c r="B230" i="32"/>
  <c r="B229" i="32"/>
  <c r="B228" i="32"/>
  <c r="B227" i="32"/>
  <c r="B226" i="32"/>
  <c r="B225" i="32"/>
  <c r="B224" i="32"/>
  <c r="B223" i="32"/>
  <c r="B222" i="32"/>
  <c r="O219" i="32"/>
  <c r="N219" i="32"/>
  <c r="M219" i="32"/>
  <c r="L219" i="32"/>
  <c r="K219" i="32"/>
  <c r="J219" i="32"/>
  <c r="I219" i="32"/>
  <c r="H219" i="32"/>
  <c r="O208" i="32"/>
  <c r="N208" i="32"/>
  <c r="M208" i="32"/>
  <c r="L208" i="32"/>
  <c r="K208" i="32"/>
  <c r="J208" i="32"/>
  <c r="I208" i="32"/>
  <c r="H208" i="32"/>
  <c r="X203" i="32"/>
  <c r="B203" i="32"/>
  <c r="X202" i="32"/>
  <c r="B202" i="32"/>
  <c r="X201" i="32"/>
  <c r="B201" i="32"/>
  <c r="X200" i="32"/>
  <c r="B200" i="32"/>
  <c r="X199" i="32"/>
  <c r="B199" i="32"/>
  <c r="X198" i="32"/>
  <c r="B198" i="32"/>
  <c r="X197" i="32"/>
  <c r="B197" i="32"/>
  <c r="X196" i="32"/>
  <c r="B196" i="32"/>
  <c r="X195" i="32"/>
  <c r="B195" i="32"/>
  <c r="X194" i="32"/>
  <c r="B194" i="32"/>
  <c r="X193" i="32"/>
  <c r="B193" i="32"/>
  <c r="X192" i="32"/>
  <c r="B192" i="32"/>
  <c r="B191" i="32"/>
  <c r="B190" i="32"/>
  <c r="B189" i="32"/>
  <c r="X180" i="32"/>
  <c r="B180" i="32"/>
  <c r="X179" i="32"/>
  <c r="B179" i="32"/>
  <c r="X178" i="32"/>
  <c r="B178" i="32"/>
  <c r="X177" i="32"/>
  <c r="B177" i="32"/>
  <c r="X176" i="32"/>
  <c r="B176" i="32"/>
  <c r="X175" i="32"/>
  <c r="B175" i="32"/>
  <c r="X174" i="32"/>
  <c r="B174" i="32"/>
  <c r="X173" i="32"/>
  <c r="B173" i="32"/>
  <c r="X172" i="32"/>
  <c r="B172" i="32"/>
  <c r="X171" i="32"/>
  <c r="B171" i="32"/>
  <c r="X170" i="32"/>
  <c r="B170" i="32"/>
  <c r="X169" i="32"/>
  <c r="B169" i="32"/>
  <c r="B168" i="32"/>
  <c r="B167" i="32"/>
  <c r="B166" i="32"/>
  <c r="X157" i="32"/>
  <c r="B157" i="32"/>
  <c r="X156" i="32"/>
  <c r="B156" i="32"/>
  <c r="X155" i="32"/>
  <c r="B155" i="32"/>
  <c r="X154" i="32"/>
  <c r="B154" i="32"/>
  <c r="X153" i="32"/>
  <c r="B153" i="32"/>
  <c r="X152" i="32"/>
  <c r="B152" i="32"/>
  <c r="X151" i="32"/>
  <c r="B151" i="32"/>
  <c r="X150" i="32"/>
  <c r="B150" i="32"/>
  <c r="X149" i="32"/>
  <c r="B149" i="32"/>
  <c r="X148" i="32"/>
  <c r="B148" i="32"/>
  <c r="X147" i="32"/>
  <c r="B147" i="32"/>
  <c r="X146" i="32"/>
  <c r="B146" i="32"/>
  <c r="B145" i="32"/>
  <c r="B144" i="32"/>
  <c r="B143" i="32"/>
  <c r="X134" i="32"/>
  <c r="B134" i="32"/>
  <c r="X133" i="32"/>
  <c r="B133" i="32"/>
  <c r="X132" i="32"/>
  <c r="B132" i="32"/>
  <c r="X131" i="32"/>
  <c r="B131" i="32"/>
  <c r="X130" i="32"/>
  <c r="B130" i="32"/>
  <c r="X129" i="32"/>
  <c r="B129" i="32"/>
  <c r="X128" i="32"/>
  <c r="B128" i="32"/>
  <c r="X127" i="32"/>
  <c r="B127" i="32"/>
  <c r="X126" i="32"/>
  <c r="B126" i="32"/>
  <c r="X125" i="32"/>
  <c r="B125" i="32"/>
  <c r="X124" i="32"/>
  <c r="B124" i="32"/>
  <c r="X123" i="32"/>
  <c r="B123" i="32"/>
  <c r="B122" i="32"/>
  <c r="B121" i="32"/>
  <c r="B120" i="32"/>
  <c r="X111" i="32"/>
  <c r="B111" i="32"/>
  <c r="X110" i="32"/>
  <c r="B110" i="32"/>
  <c r="X109" i="32"/>
  <c r="B109" i="32"/>
  <c r="X108" i="32"/>
  <c r="B108" i="32"/>
  <c r="X107" i="32"/>
  <c r="B107" i="32"/>
  <c r="X106" i="32"/>
  <c r="B106" i="32"/>
  <c r="X105" i="32"/>
  <c r="B105" i="32"/>
  <c r="X104" i="32"/>
  <c r="B104" i="32"/>
  <c r="X103" i="32"/>
  <c r="B103" i="32"/>
  <c r="X102" i="32"/>
  <c r="B102" i="32"/>
  <c r="X101" i="32"/>
  <c r="B101" i="32"/>
  <c r="X100" i="32"/>
  <c r="B100" i="32"/>
  <c r="B99" i="32"/>
  <c r="B98" i="32"/>
  <c r="B97" i="32"/>
  <c r="BI87" i="32"/>
  <c r="AZ87" i="32"/>
  <c r="AK87" i="32"/>
  <c r="X87" i="32"/>
  <c r="B87" i="32"/>
  <c r="BI86" i="32"/>
  <c r="AZ86" i="32"/>
  <c r="AK86" i="32"/>
  <c r="X86" i="32"/>
  <c r="B86" i="32"/>
  <c r="BI85" i="32"/>
  <c r="AZ85" i="32"/>
  <c r="AK85" i="32"/>
  <c r="X85" i="32"/>
  <c r="B85" i="32"/>
  <c r="BI84" i="32"/>
  <c r="AZ84" i="32"/>
  <c r="AK84" i="32"/>
  <c r="X84" i="32"/>
  <c r="B84" i="32"/>
  <c r="BI83" i="32"/>
  <c r="AZ83" i="32"/>
  <c r="AK83" i="32"/>
  <c r="X83" i="32"/>
  <c r="B83" i="32"/>
  <c r="BI82" i="32"/>
  <c r="AZ82" i="32"/>
  <c r="AK82" i="32"/>
  <c r="X82" i="32"/>
  <c r="B82" i="32"/>
  <c r="BI81" i="32"/>
  <c r="AZ81" i="32"/>
  <c r="AK81" i="32"/>
  <c r="X81" i="32"/>
  <c r="B81" i="32"/>
  <c r="BI80" i="32"/>
  <c r="AZ80" i="32"/>
  <c r="AK80" i="32"/>
  <c r="X80" i="32"/>
  <c r="B80" i="32"/>
  <c r="BI79" i="32"/>
  <c r="AZ79" i="32"/>
  <c r="AK79" i="32"/>
  <c r="X79" i="32"/>
  <c r="B79" i="32"/>
  <c r="BI78" i="32"/>
  <c r="AZ78" i="32"/>
  <c r="AK78" i="32"/>
  <c r="X78" i="32"/>
  <c r="B78" i="32"/>
  <c r="BI77" i="32"/>
  <c r="AZ77" i="32"/>
  <c r="AK77" i="32"/>
  <c r="X77" i="32"/>
  <c r="B77" i="32"/>
  <c r="BI76" i="32"/>
  <c r="AZ76" i="32"/>
  <c r="AK76" i="32"/>
  <c r="X76" i="32"/>
  <c r="B76" i="32"/>
  <c r="BI75" i="32"/>
  <c r="AZ75" i="32"/>
  <c r="AK75" i="32"/>
  <c r="B75" i="32"/>
  <c r="BI74" i="32"/>
  <c r="AZ74" i="32"/>
  <c r="AK74" i="32"/>
  <c r="B74" i="32"/>
  <c r="BI73" i="32"/>
  <c r="AZ73" i="32"/>
  <c r="AK73" i="32"/>
  <c r="B73" i="32"/>
  <c r="B66" i="32"/>
  <c r="B65" i="32"/>
  <c r="B64" i="32"/>
  <c r="B63" i="32"/>
  <c r="B62" i="32"/>
  <c r="B61" i="32"/>
  <c r="B60" i="32"/>
  <c r="B59" i="32"/>
  <c r="B58" i="32"/>
  <c r="B57" i="32"/>
  <c r="B56" i="32"/>
  <c r="B55" i="32"/>
  <c r="B54" i="32"/>
  <c r="B53" i="32"/>
  <c r="B52" i="32"/>
  <c r="B45" i="32"/>
  <c r="B44" i="32"/>
  <c r="B43" i="32"/>
  <c r="B42" i="32"/>
  <c r="B41" i="32"/>
  <c r="B40" i="32"/>
  <c r="B39" i="32"/>
  <c r="B38" i="32"/>
  <c r="B37" i="32"/>
  <c r="B36" i="32"/>
  <c r="B35" i="32"/>
  <c r="B34" i="32"/>
  <c r="B33" i="32"/>
  <c r="B32" i="32"/>
  <c r="B31" i="32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P146" i="31"/>
  <c r="P147" i="31"/>
  <c r="P148" i="31"/>
  <c r="P149" i="31"/>
  <c r="P162" i="31"/>
  <c r="P232" i="31"/>
  <c r="P374" i="31"/>
  <c r="R241" i="31"/>
  <c r="S241" i="31"/>
  <c r="T241" i="31"/>
  <c r="U241" i="31"/>
  <c r="V241" i="31"/>
  <c r="Q241" i="31"/>
  <c r="P241" i="31"/>
  <c r="O190" i="31"/>
  <c r="O239" i="31"/>
  <c r="O240" i="31"/>
  <c r="O241" i="31"/>
  <c r="O243" i="31"/>
  <c r="N190" i="31"/>
  <c r="N239" i="31"/>
  <c r="N240" i="31"/>
  <c r="N241" i="31"/>
  <c r="N243" i="31"/>
  <c r="M190" i="31"/>
  <c r="M239" i="31"/>
  <c r="M240" i="31"/>
  <c r="M241" i="31"/>
  <c r="M243" i="31"/>
  <c r="L190" i="31"/>
  <c r="L239" i="31"/>
  <c r="L240" i="31"/>
  <c r="L241" i="31"/>
  <c r="L243" i="31"/>
  <c r="K190" i="31"/>
  <c r="K239" i="31"/>
  <c r="K240" i="31"/>
  <c r="K241" i="31"/>
  <c r="K243" i="31"/>
  <c r="J190" i="31"/>
  <c r="J239" i="31"/>
  <c r="J240" i="31"/>
  <c r="J241" i="31"/>
  <c r="J243" i="31"/>
  <c r="I190" i="31"/>
  <c r="I239" i="31"/>
  <c r="I240" i="31"/>
  <c r="I241" i="31"/>
  <c r="I243" i="31"/>
  <c r="H190" i="31"/>
  <c r="H239" i="31"/>
  <c r="H240" i="31"/>
  <c r="H241" i="31"/>
  <c r="H243" i="31"/>
  <c r="X241" i="31"/>
  <c r="X232" i="31"/>
  <c r="X230" i="31"/>
  <c r="X229" i="31"/>
  <c r="X228" i="31"/>
  <c r="X227" i="31"/>
  <c r="X226" i="31"/>
  <c r="B216" i="31"/>
  <c r="B215" i="31"/>
  <c r="B214" i="31"/>
  <c r="B213" i="31"/>
  <c r="B212" i="31"/>
  <c r="B211" i="31"/>
  <c r="B210" i="31"/>
  <c r="B209" i="31"/>
  <c r="B208" i="31"/>
  <c r="B207" i="31"/>
  <c r="B206" i="31"/>
  <c r="B205" i="31"/>
  <c r="B204" i="31"/>
  <c r="B203" i="31"/>
  <c r="B202" i="31"/>
  <c r="O199" i="31"/>
  <c r="N199" i="31"/>
  <c r="M199" i="31"/>
  <c r="L199" i="31"/>
  <c r="K199" i="31"/>
  <c r="J199" i="31"/>
  <c r="I199" i="31"/>
  <c r="H199" i="31"/>
  <c r="O188" i="31"/>
  <c r="N188" i="31"/>
  <c r="M188" i="31"/>
  <c r="L188" i="31"/>
  <c r="K188" i="31"/>
  <c r="J188" i="31"/>
  <c r="I188" i="31"/>
  <c r="H188" i="31"/>
  <c r="X183" i="31"/>
  <c r="B183" i="31"/>
  <c r="X182" i="31"/>
  <c r="B182" i="31"/>
  <c r="X181" i="31"/>
  <c r="B181" i="31"/>
  <c r="X180" i="31"/>
  <c r="B180" i="31"/>
  <c r="X179" i="31"/>
  <c r="B179" i="31"/>
  <c r="X178" i="31"/>
  <c r="B178" i="31"/>
  <c r="X177" i="31"/>
  <c r="B177" i="31"/>
  <c r="X176" i="31"/>
  <c r="B176" i="31"/>
  <c r="X175" i="31"/>
  <c r="B175" i="31"/>
  <c r="X174" i="31"/>
  <c r="B174" i="31"/>
  <c r="X173" i="31"/>
  <c r="B173" i="31"/>
  <c r="B172" i="31"/>
  <c r="B171" i="31"/>
  <c r="B170" i="31"/>
  <c r="B169" i="31"/>
  <c r="X160" i="31"/>
  <c r="B160" i="31"/>
  <c r="X159" i="31"/>
  <c r="B159" i="31"/>
  <c r="X158" i="31"/>
  <c r="B158" i="31"/>
  <c r="X157" i="31"/>
  <c r="B157" i="31"/>
  <c r="X156" i="31"/>
  <c r="B156" i="31"/>
  <c r="X155" i="31"/>
  <c r="B155" i="31"/>
  <c r="X154" i="31"/>
  <c r="B154" i="31"/>
  <c r="X153" i="31"/>
  <c r="B153" i="31"/>
  <c r="X152" i="31"/>
  <c r="B152" i="31"/>
  <c r="X151" i="31"/>
  <c r="B151" i="31"/>
  <c r="X150" i="31"/>
  <c r="B150" i="31"/>
  <c r="X149" i="31"/>
  <c r="B149" i="31"/>
  <c r="X148" i="31"/>
  <c r="B148" i="31"/>
  <c r="X147" i="31"/>
  <c r="B147" i="31"/>
  <c r="B146" i="31"/>
  <c r="R124" i="31"/>
  <c r="R125" i="31"/>
  <c r="R126" i="31"/>
  <c r="S124" i="31"/>
  <c r="S125" i="31"/>
  <c r="S126" i="31"/>
  <c r="T124" i="31"/>
  <c r="T125" i="31"/>
  <c r="T126" i="31"/>
  <c r="U124" i="31"/>
  <c r="U125" i="31"/>
  <c r="U126" i="31"/>
  <c r="V124" i="31"/>
  <c r="V125" i="31"/>
  <c r="V126" i="31"/>
  <c r="Q124" i="31"/>
  <c r="Q125" i="31"/>
  <c r="Q126" i="31"/>
  <c r="P77" i="31"/>
  <c r="P100" i="31"/>
  <c r="P101" i="31"/>
  <c r="P102" i="31"/>
  <c r="P103" i="31"/>
  <c r="P116" i="31"/>
  <c r="P78" i="31"/>
  <c r="P124" i="31"/>
  <c r="P79" i="31"/>
  <c r="P125" i="31"/>
  <c r="P80" i="31"/>
  <c r="P126" i="31"/>
  <c r="X137" i="31"/>
  <c r="B137" i="31"/>
  <c r="X136" i="31"/>
  <c r="B136" i="31"/>
  <c r="X135" i="31"/>
  <c r="B135" i="31"/>
  <c r="X134" i="31"/>
  <c r="B134" i="31"/>
  <c r="X133" i="31"/>
  <c r="B133" i="31"/>
  <c r="X132" i="31"/>
  <c r="B132" i="31"/>
  <c r="X131" i="31"/>
  <c r="B131" i="31"/>
  <c r="X130" i="31"/>
  <c r="B130" i="31"/>
  <c r="X129" i="31"/>
  <c r="B129" i="31"/>
  <c r="X128" i="31"/>
  <c r="B128" i="31"/>
  <c r="X127" i="31"/>
  <c r="B127" i="31"/>
  <c r="X126" i="31"/>
  <c r="B126" i="31"/>
  <c r="X125" i="31"/>
  <c r="B125" i="31"/>
  <c r="X124" i="31"/>
  <c r="B124" i="31"/>
  <c r="B123" i="31"/>
  <c r="X114" i="31"/>
  <c r="B114" i="31"/>
  <c r="X113" i="31"/>
  <c r="B113" i="31"/>
  <c r="X112" i="31"/>
  <c r="B112" i="31"/>
  <c r="X111" i="31"/>
  <c r="B111" i="31"/>
  <c r="X110" i="31"/>
  <c r="B110" i="31"/>
  <c r="X109" i="31"/>
  <c r="B109" i="31"/>
  <c r="X108" i="31"/>
  <c r="B108" i="31"/>
  <c r="X107" i="31"/>
  <c r="B107" i="31"/>
  <c r="X106" i="31"/>
  <c r="B106" i="31"/>
  <c r="X105" i="31"/>
  <c r="B105" i="31"/>
  <c r="X104" i="31"/>
  <c r="B104" i="31"/>
  <c r="X103" i="31"/>
  <c r="B103" i="31"/>
  <c r="X102" i="31"/>
  <c r="B102" i="31"/>
  <c r="X101" i="31"/>
  <c r="B101" i="31"/>
  <c r="B100" i="31"/>
  <c r="P93" i="31"/>
  <c r="X91" i="31"/>
  <c r="B91" i="31"/>
  <c r="X90" i="31"/>
  <c r="B90" i="31"/>
  <c r="X89" i="31"/>
  <c r="B89" i="31"/>
  <c r="X88" i="31"/>
  <c r="B88" i="31"/>
  <c r="X87" i="31"/>
  <c r="B87" i="31"/>
  <c r="X86" i="31"/>
  <c r="B86" i="31"/>
  <c r="X85" i="31"/>
  <c r="B85" i="31"/>
  <c r="X84" i="31"/>
  <c r="B84" i="31"/>
  <c r="X83" i="31"/>
  <c r="B83" i="31"/>
  <c r="X82" i="31"/>
  <c r="B82" i="31"/>
  <c r="X81" i="31"/>
  <c r="B81" i="31"/>
  <c r="X80" i="31"/>
  <c r="B80" i="31"/>
  <c r="X79" i="31"/>
  <c r="B79" i="31"/>
  <c r="X78" i="31"/>
  <c r="B78" i="31"/>
  <c r="B77" i="31"/>
  <c r="BI67" i="31"/>
  <c r="AZ67" i="31"/>
  <c r="AK67" i="31"/>
  <c r="X67" i="31"/>
  <c r="B67" i="31"/>
  <c r="BI66" i="31"/>
  <c r="AZ66" i="31"/>
  <c r="AK66" i="31"/>
  <c r="X66" i="31"/>
  <c r="B66" i="31"/>
  <c r="BI65" i="31"/>
  <c r="AZ65" i="31"/>
  <c r="AK65" i="31"/>
  <c r="X65" i="31"/>
  <c r="B65" i="31"/>
  <c r="BI64" i="31"/>
  <c r="AZ64" i="31"/>
  <c r="AK64" i="31"/>
  <c r="X64" i="31"/>
  <c r="B64" i="31"/>
  <c r="BI63" i="31"/>
  <c r="AZ63" i="31"/>
  <c r="AK63" i="31"/>
  <c r="X63" i="31"/>
  <c r="B63" i="31"/>
  <c r="BI62" i="31"/>
  <c r="AZ62" i="31"/>
  <c r="AK62" i="31"/>
  <c r="X62" i="31"/>
  <c r="B62" i="31"/>
  <c r="BI61" i="31"/>
  <c r="AZ61" i="31"/>
  <c r="AK61" i="31"/>
  <c r="X61" i="31"/>
  <c r="B61" i="31"/>
  <c r="BI60" i="31"/>
  <c r="AZ60" i="31"/>
  <c r="AK60" i="31"/>
  <c r="X60" i="31"/>
  <c r="B60" i="31"/>
  <c r="BI59" i="31"/>
  <c r="AZ59" i="31"/>
  <c r="AK59" i="31"/>
  <c r="X59" i="31"/>
  <c r="B59" i="31"/>
  <c r="BI58" i="31"/>
  <c r="AZ58" i="31"/>
  <c r="AK58" i="31"/>
  <c r="X58" i="31"/>
  <c r="B58" i="31"/>
  <c r="BI57" i="31"/>
  <c r="AZ57" i="31"/>
  <c r="AK57" i="31"/>
  <c r="X57" i="31"/>
  <c r="B57" i="31"/>
  <c r="BI56" i="31"/>
  <c r="AZ56" i="31"/>
  <c r="AK56" i="31"/>
  <c r="X56" i="31"/>
  <c r="B56" i="31"/>
  <c r="BI55" i="31"/>
  <c r="AZ55" i="31"/>
  <c r="AK55" i="31"/>
  <c r="X55" i="31"/>
  <c r="B55" i="31"/>
  <c r="BI54" i="31"/>
  <c r="AZ54" i="31"/>
  <c r="AK54" i="31"/>
  <c r="X54" i="31"/>
  <c r="B54" i="31"/>
  <c r="BI53" i="31"/>
  <c r="AZ53" i="31"/>
  <c r="AK53" i="31"/>
  <c r="B53" i="31"/>
  <c r="N173" i="50"/>
  <c r="K173" i="50"/>
  <c r="J173" i="50"/>
  <c r="Q252" i="30"/>
  <c r="Q261" i="30"/>
  <c r="P252" i="30"/>
  <c r="P374" i="30"/>
  <c r="R261" i="30"/>
  <c r="S261" i="30"/>
  <c r="T261" i="30"/>
  <c r="V261" i="30"/>
  <c r="P261" i="30"/>
  <c r="O210" i="30"/>
  <c r="O259" i="30"/>
  <c r="O260" i="30"/>
  <c r="O261" i="30"/>
  <c r="O263" i="30"/>
  <c r="N210" i="30"/>
  <c r="N259" i="30"/>
  <c r="N260" i="30"/>
  <c r="N261" i="30"/>
  <c r="N263" i="30"/>
  <c r="M210" i="30"/>
  <c r="M259" i="30"/>
  <c r="M260" i="30"/>
  <c r="M261" i="30"/>
  <c r="M263" i="30"/>
  <c r="L210" i="30"/>
  <c r="L259" i="30"/>
  <c r="L260" i="30"/>
  <c r="L261" i="30"/>
  <c r="L263" i="30"/>
  <c r="K210" i="30"/>
  <c r="K259" i="30"/>
  <c r="K260" i="30"/>
  <c r="K261" i="30"/>
  <c r="K263" i="30"/>
  <c r="J210" i="30"/>
  <c r="J259" i="30"/>
  <c r="J260" i="30"/>
  <c r="J261" i="30"/>
  <c r="J263" i="30"/>
  <c r="I210" i="30"/>
  <c r="I259" i="30"/>
  <c r="I260" i="30"/>
  <c r="I261" i="30"/>
  <c r="I263" i="30"/>
  <c r="H210" i="30"/>
  <c r="H259" i="30"/>
  <c r="H260" i="30"/>
  <c r="H261" i="30"/>
  <c r="H263" i="30"/>
  <c r="X252" i="30"/>
  <c r="X250" i="30"/>
  <c r="X249" i="30"/>
  <c r="X248" i="30"/>
  <c r="X247" i="30"/>
  <c r="X246" i="30"/>
  <c r="B222" i="30"/>
  <c r="O219" i="30"/>
  <c r="M219" i="30"/>
  <c r="L219" i="30"/>
  <c r="K219" i="30"/>
  <c r="I219" i="30"/>
  <c r="H219" i="30"/>
  <c r="O208" i="30"/>
  <c r="N208" i="30"/>
  <c r="M208" i="30"/>
  <c r="L208" i="30"/>
  <c r="K208" i="30"/>
  <c r="J208" i="30"/>
  <c r="I208" i="30"/>
  <c r="H208" i="30"/>
  <c r="X203" i="30"/>
  <c r="X202" i="30"/>
  <c r="X201" i="30"/>
  <c r="X200" i="30"/>
  <c r="X199" i="30"/>
  <c r="X198" i="30"/>
  <c r="X197" i="30"/>
  <c r="B189" i="30"/>
  <c r="X180" i="30"/>
  <c r="X179" i="30"/>
  <c r="X178" i="30"/>
  <c r="X177" i="30"/>
  <c r="X176" i="30"/>
  <c r="X175" i="30"/>
  <c r="X174" i="30"/>
  <c r="B166" i="30"/>
  <c r="X157" i="30"/>
  <c r="X156" i="30"/>
  <c r="X155" i="30"/>
  <c r="X154" i="30"/>
  <c r="X153" i="30"/>
  <c r="X152" i="30"/>
  <c r="X151" i="30"/>
  <c r="B143" i="30"/>
  <c r="X134" i="30"/>
  <c r="X133" i="30"/>
  <c r="X132" i="30"/>
  <c r="X131" i="30"/>
  <c r="X130" i="30"/>
  <c r="X129" i="30"/>
  <c r="X128" i="30"/>
  <c r="B120" i="30"/>
  <c r="X111" i="30"/>
  <c r="X110" i="30"/>
  <c r="X109" i="30"/>
  <c r="X108" i="30"/>
  <c r="X107" i="30"/>
  <c r="X106" i="30"/>
  <c r="X105" i="30"/>
  <c r="B97" i="30"/>
  <c r="BI87" i="30"/>
  <c r="AZ87" i="30"/>
  <c r="AK87" i="30"/>
  <c r="X87" i="30"/>
  <c r="BI86" i="30"/>
  <c r="AZ86" i="30"/>
  <c r="AK86" i="30"/>
  <c r="X86" i="30"/>
  <c r="BI85" i="30"/>
  <c r="AZ85" i="30"/>
  <c r="AK85" i="30"/>
  <c r="X85" i="30"/>
  <c r="BI84" i="30"/>
  <c r="AZ84" i="30"/>
  <c r="AK84" i="30"/>
  <c r="X84" i="30"/>
  <c r="BI83" i="30"/>
  <c r="AZ83" i="30"/>
  <c r="AK83" i="30"/>
  <c r="X83" i="30"/>
  <c r="BI82" i="30"/>
  <c r="AZ82" i="30"/>
  <c r="AK82" i="30"/>
  <c r="X82" i="30"/>
  <c r="BI81" i="30"/>
  <c r="AZ81" i="30"/>
  <c r="AK81" i="30"/>
  <c r="X81" i="30"/>
  <c r="BI80" i="30"/>
  <c r="AZ80" i="30"/>
  <c r="AK80" i="30"/>
  <c r="BI79" i="30"/>
  <c r="AZ79" i="30"/>
  <c r="AK79" i="30"/>
  <c r="BI78" i="30"/>
  <c r="AZ78" i="30"/>
  <c r="AK78" i="30"/>
  <c r="BI77" i="30"/>
  <c r="AZ77" i="30"/>
  <c r="AK77" i="30"/>
  <c r="BI76" i="30"/>
  <c r="AZ76" i="30"/>
  <c r="AK76" i="30"/>
  <c r="BI75" i="30"/>
  <c r="AZ75" i="30"/>
  <c r="AK75" i="30"/>
  <c r="BI74" i="30"/>
  <c r="AZ74" i="30"/>
  <c r="AK74" i="30"/>
  <c r="BI73" i="30"/>
  <c r="AZ73" i="30"/>
  <c r="AK73" i="30"/>
  <c r="B73" i="30"/>
  <c r="B52" i="30"/>
  <c r="B31" i="30"/>
  <c r="R261" i="29"/>
  <c r="S261" i="29"/>
  <c r="T261" i="29"/>
  <c r="U261" i="29"/>
  <c r="V261" i="29"/>
  <c r="X261" i="29"/>
  <c r="X252" i="29"/>
  <c r="X250" i="29"/>
  <c r="X249" i="29"/>
  <c r="X248" i="29"/>
  <c r="X247" i="29"/>
  <c r="X246" i="29"/>
  <c r="P252" i="29"/>
  <c r="P374" i="29"/>
  <c r="Q261" i="29"/>
  <c r="P261" i="29"/>
  <c r="O210" i="29"/>
  <c r="O259" i="29"/>
  <c r="O260" i="29"/>
  <c r="O261" i="29"/>
  <c r="O263" i="29"/>
  <c r="N210" i="29"/>
  <c r="N259" i="29"/>
  <c r="N260" i="29"/>
  <c r="N261" i="29"/>
  <c r="N263" i="29"/>
  <c r="M210" i="29"/>
  <c r="M259" i="29"/>
  <c r="M260" i="29"/>
  <c r="M261" i="29"/>
  <c r="M263" i="29"/>
  <c r="L210" i="29"/>
  <c r="L259" i="29"/>
  <c r="L260" i="29"/>
  <c r="L261" i="29"/>
  <c r="L263" i="29"/>
  <c r="K210" i="29"/>
  <c r="K259" i="29"/>
  <c r="K260" i="29"/>
  <c r="K261" i="29"/>
  <c r="K263" i="29"/>
  <c r="J210" i="29"/>
  <c r="J259" i="29"/>
  <c r="J260" i="29"/>
  <c r="J261" i="29"/>
  <c r="J263" i="29"/>
  <c r="I210" i="29"/>
  <c r="I259" i="29"/>
  <c r="I260" i="29"/>
  <c r="I261" i="29"/>
  <c r="I263" i="29"/>
  <c r="H210" i="29"/>
  <c r="H259" i="29"/>
  <c r="H260" i="29"/>
  <c r="H261" i="29"/>
  <c r="H263" i="29"/>
  <c r="B236" i="29"/>
  <c r="B235" i="29"/>
  <c r="B234" i="29"/>
  <c r="B233" i="29"/>
  <c r="B232" i="29"/>
  <c r="B231" i="29"/>
  <c r="B230" i="29"/>
  <c r="B229" i="29"/>
  <c r="B228" i="29"/>
  <c r="B227" i="29"/>
  <c r="B226" i="29"/>
  <c r="B225" i="29"/>
  <c r="B224" i="29"/>
  <c r="B223" i="29"/>
  <c r="B222" i="29"/>
  <c r="O219" i="29"/>
  <c r="N219" i="29"/>
  <c r="M219" i="29"/>
  <c r="L219" i="29"/>
  <c r="K219" i="29"/>
  <c r="J219" i="29"/>
  <c r="I219" i="29"/>
  <c r="H219" i="29"/>
  <c r="O208" i="29"/>
  <c r="N208" i="29"/>
  <c r="M208" i="29"/>
  <c r="L208" i="29"/>
  <c r="K208" i="29"/>
  <c r="J208" i="29"/>
  <c r="I208" i="29"/>
  <c r="H208" i="29"/>
  <c r="X203" i="29"/>
  <c r="B203" i="29"/>
  <c r="X202" i="29"/>
  <c r="B202" i="29"/>
  <c r="X201" i="29"/>
  <c r="B201" i="29"/>
  <c r="X200" i="29"/>
  <c r="B200" i="29"/>
  <c r="X199" i="29"/>
  <c r="B199" i="29"/>
  <c r="X198" i="29"/>
  <c r="B198" i="29"/>
  <c r="X197" i="29"/>
  <c r="B197" i="29"/>
  <c r="X196" i="29"/>
  <c r="B196" i="29"/>
  <c r="X195" i="29"/>
  <c r="B195" i="29"/>
  <c r="X194" i="29"/>
  <c r="B194" i="29"/>
  <c r="X193" i="29"/>
  <c r="B193" i="29"/>
  <c r="X192" i="29"/>
  <c r="B192" i="29"/>
  <c r="X191" i="29"/>
  <c r="B191" i="29"/>
  <c r="X190" i="29"/>
  <c r="B190" i="29"/>
  <c r="B189" i="29"/>
  <c r="X180" i="29"/>
  <c r="B180" i="29"/>
  <c r="X179" i="29"/>
  <c r="B179" i="29"/>
  <c r="X178" i="29"/>
  <c r="B178" i="29"/>
  <c r="X177" i="29"/>
  <c r="B177" i="29"/>
  <c r="X176" i="29"/>
  <c r="B176" i="29"/>
  <c r="X175" i="29"/>
  <c r="B175" i="29"/>
  <c r="X174" i="29"/>
  <c r="B174" i="29"/>
  <c r="X173" i="29"/>
  <c r="B173" i="29"/>
  <c r="X172" i="29"/>
  <c r="B172" i="29"/>
  <c r="X171" i="29"/>
  <c r="B171" i="29"/>
  <c r="X170" i="29"/>
  <c r="B170" i="29"/>
  <c r="X169" i="29"/>
  <c r="B169" i="29"/>
  <c r="X168" i="29"/>
  <c r="B168" i="29"/>
  <c r="X167" i="29"/>
  <c r="B167" i="29"/>
  <c r="B166" i="29"/>
  <c r="X157" i="29"/>
  <c r="B157" i="29"/>
  <c r="X156" i="29"/>
  <c r="B156" i="29"/>
  <c r="X155" i="29"/>
  <c r="B155" i="29"/>
  <c r="X154" i="29"/>
  <c r="B154" i="29"/>
  <c r="X153" i="29"/>
  <c r="B153" i="29"/>
  <c r="X152" i="29"/>
  <c r="B152" i="29"/>
  <c r="X151" i="29"/>
  <c r="B151" i="29"/>
  <c r="X150" i="29"/>
  <c r="B150" i="29"/>
  <c r="X149" i="29"/>
  <c r="B149" i="29"/>
  <c r="X148" i="29"/>
  <c r="B148" i="29"/>
  <c r="X147" i="29"/>
  <c r="B147" i="29"/>
  <c r="X146" i="29"/>
  <c r="B146" i="29"/>
  <c r="X145" i="29"/>
  <c r="B145" i="29"/>
  <c r="X144" i="29"/>
  <c r="B144" i="29"/>
  <c r="B143" i="29"/>
  <c r="X134" i="29"/>
  <c r="B134" i="29"/>
  <c r="X133" i="29"/>
  <c r="B133" i="29"/>
  <c r="X132" i="29"/>
  <c r="B132" i="29"/>
  <c r="X131" i="29"/>
  <c r="B131" i="29"/>
  <c r="X130" i="29"/>
  <c r="B130" i="29"/>
  <c r="X129" i="29"/>
  <c r="B129" i="29"/>
  <c r="X128" i="29"/>
  <c r="B128" i="29"/>
  <c r="X127" i="29"/>
  <c r="B127" i="29"/>
  <c r="X126" i="29"/>
  <c r="B126" i="29"/>
  <c r="X125" i="29"/>
  <c r="B125" i="29"/>
  <c r="X124" i="29"/>
  <c r="B124" i="29"/>
  <c r="X123" i="29"/>
  <c r="B123" i="29"/>
  <c r="X122" i="29"/>
  <c r="B122" i="29"/>
  <c r="X121" i="29"/>
  <c r="B121" i="29"/>
  <c r="B120" i="29"/>
  <c r="X111" i="29"/>
  <c r="B111" i="29"/>
  <c r="X110" i="29"/>
  <c r="B110" i="29"/>
  <c r="X109" i="29"/>
  <c r="B109" i="29"/>
  <c r="X108" i="29"/>
  <c r="B108" i="29"/>
  <c r="X107" i="29"/>
  <c r="B107" i="29"/>
  <c r="X106" i="29"/>
  <c r="B106" i="29"/>
  <c r="X105" i="29"/>
  <c r="B105" i="29"/>
  <c r="X104" i="29"/>
  <c r="B104" i="29"/>
  <c r="X103" i="29"/>
  <c r="B103" i="29"/>
  <c r="X102" i="29"/>
  <c r="B102" i="29"/>
  <c r="X101" i="29"/>
  <c r="B101" i="29"/>
  <c r="X100" i="29"/>
  <c r="B100" i="29"/>
  <c r="X99" i="29"/>
  <c r="B99" i="29"/>
  <c r="X98" i="29"/>
  <c r="B98" i="29"/>
  <c r="B97" i="29"/>
  <c r="BI87" i="29"/>
  <c r="AZ87" i="29"/>
  <c r="AK87" i="29"/>
  <c r="X87" i="29"/>
  <c r="B87" i="29"/>
  <c r="BI86" i="29"/>
  <c r="AZ86" i="29"/>
  <c r="AK86" i="29"/>
  <c r="X86" i="29"/>
  <c r="B86" i="29"/>
  <c r="BI85" i="29"/>
  <c r="AZ85" i="29"/>
  <c r="AK85" i="29"/>
  <c r="X85" i="29"/>
  <c r="B85" i="29"/>
  <c r="BI84" i="29"/>
  <c r="AZ84" i="29"/>
  <c r="AK84" i="29"/>
  <c r="X84" i="29"/>
  <c r="B84" i="29"/>
  <c r="BI83" i="29"/>
  <c r="AZ83" i="29"/>
  <c r="AK83" i="29"/>
  <c r="X83" i="29"/>
  <c r="B83" i="29"/>
  <c r="BI82" i="29"/>
  <c r="AZ82" i="29"/>
  <c r="AK82" i="29"/>
  <c r="X82" i="29"/>
  <c r="B82" i="29"/>
  <c r="BI81" i="29"/>
  <c r="AZ81" i="29"/>
  <c r="AK81" i="29"/>
  <c r="X81" i="29"/>
  <c r="B81" i="29"/>
  <c r="BI80" i="29"/>
  <c r="AZ80" i="29"/>
  <c r="AK80" i="29"/>
  <c r="X80" i="29"/>
  <c r="B80" i="29"/>
  <c r="BI79" i="29"/>
  <c r="AZ79" i="29"/>
  <c r="AK79" i="29"/>
  <c r="X79" i="29"/>
  <c r="B79" i="29"/>
  <c r="BI78" i="29"/>
  <c r="AZ78" i="29"/>
  <c r="AK78" i="29"/>
  <c r="X78" i="29"/>
  <c r="B78" i="29"/>
  <c r="BI77" i="29"/>
  <c r="AZ77" i="29"/>
  <c r="AK77" i="29"/>
  <c r="X77" i="29"/>
  <c r="B77" i="29"/>
  <c r="BI76" i="29"/>
  <c r="AZ76" i="29"/>
  <c r="AK76" i="29"/>
  <c r="X76" i="29"/>
  <c r="B76" i="29"/>
  <c r="BI75" i="29"/>
  <c r="AZ75" i="29"/>
  <c r="AK75" i="29"/>
  <c r="X75" i="29"/>
  <c r="B75" i="29"/>
  <c r="BI74" i="29"/>
  <c r="AZ74" i="29"/>
  <c r="AK74" i="29"/>
  <c r="X74" i="29"/>
  <c r="B74" i="29"/>
  <c r="BI73" i="29"/>
  <c r="AZ73" i="29"/>
  <c r="AK73" i="29"/>
  <c r="B73" i="29"/>
  <c r="B66" i="29"/>
  <c r="B65" i="29"/>
  <c r="B64" i="29"/>
  <c r="B63" i="29"/>
  <c r="B62" i="29"/>
  <c r="B61" i="29"/>
  <c r="B60" i="29"/>
  <c r="B59" i="29"/>
  <c r="B58" i="29"/>
  <c r="B57" i="29"/>
  <c r="B56" i="29"/>
  <c r="B55" i="29"/>
  <c r="B54" i="29"/>
  <c r="B53" i="29"/>
  <c r="B52" i="29"/>
  <c r="B45" i="29"/>
  <c r="B44" i="29"/>
  <c r="B43" i="29"/>
  <c r="B42" i="29"/>
  <c r="B41" i="29"/>
  <c r="B40" i="29"/>
  <c r="B39" i="29"/>
  <c r="B38" i="29"/>
  <c r="B37" i="29"/>
  <c r="B36" i="29"/>
  <c r="B35" i="29"/>
  <c r="B34" i="29"/>
  <c r="B33" i="29"/>
  <c r="B32" i="29"/>
  <c r="B31" i="29"/>
  <c r="P166" i="28"/>
  <c r="P182" i="28"/>
  <c r="P167" i="28"/>
  <c r="P168" i="28"/>
  <c r="P169" i="28"/>
  <c r="P89" i="28"/>
  <c r="P364" i="28" s="1"/>
  <c r="P252" i="28"/>
  <c r="P374" i="28"/>
  <c r="V261" i="28"/>
  <c r="U261" i="28"/>
  <c r="T261" i="28"/>
  <c r="S261" i="28"/>
  <c r="R261" i="28"/>
  <c r="Q261" i="28"/>
  <c r="P261" i="28"/>
  <c r="O210" i="28"/>
  <c r="O259" i="28"/>
  <c r="O260" i="28"/>
  <c r="O261" i="28"/>
  <c r="O263" i="28"/>
  <c r="N210" i="28"/>
  <c r="N259" i="28"/>
  <c r="N260" i="28"/>
  <c r="N261" i="28"/>
  <c r="N263" i="28"/>
  <c r="M210" i="28"/>
  <c r="M259" i="28"/>
  <c r="M260" i="28"/>
  <c r="M261" i="28"/>
  <c r="M263" i="28"/>
  <c r="L210" i="28"/>
  <c r="L259" i="28"/>
  <c r="L260" i="28"/>
  <c r="L261" i="28"/>
  <c r="L263" i="28"/>
  <c r="K210" i="28"/>
  <c r="K259" i="28"/>
  <c r="K260" i="28"/>
  <c r="K261" i="28"/>
  <c r="K263" i="28"/>
  <c r="J210" i="28"/>
  <c r="J259" i="28"/>
  <c r="J260" i="28"/>
  <c r="J261" i="28"/>
  <c r="J263" i="28"/>
  <c r="I210" i="28"/>
  <c r="I259" i="28"/>
  <c r="I260" i="28"/>
  <c r="I261" i="28"/>
  <c r="I263" i="28"/>
  <c r="H210" i="28"/>
  <c r="H259" i="28"/>
  <c r="H260" i="28"/>
  <c r="H261" i="28"/>
  <c r="H263" i="28"/>
  <c r="B236" i="28"/>
  <c r="B235" i="28"/>
  <c r="B234" i="28"/>
  <c r="B233" i="28"/>
  <c r="B232" i="28"/>
  <c r="B231" i="28"/>
  <c r="B230" i="28"/>
  <c r="B229" i="28"/>
  <c r="B228" i="28"/>
  <c r="B227" i="28"/>
  <c r="B226" i="28"/>
  <c r="B225" i="28"/>
  <c r="B224" i="28"/>
  <c r="B223" i="28"/>
  <c r="B222" i="28"/>
  <c r="O219" i="28"/>
  <c r="N219" i="28"/>
  <c r="M219" i="28"/>
  <c r="L219" i="28"/>
  <c r="K219" i="28"/>
  <c r="J219" i="28"/>
  <c r="I219" i="28"/>
  <c r="H219" i="28"/>
  <c r="O208" i="28"/>
  <c r="N208" i="28"/>
  <c r="M208" i="28"/>
  <c r="L208" i="28"/>
  <c r="K208" i="28"/>
  <c r="J208" i="28"/>
  <c r="I208" i="28"/>
  <c r="H208" i="28"/>
  <c r="X203" i="28"/>
  <c r="B203" i="28"/>
  <c r="X202" i="28"/>
  <c r="B202" i="28"/>
  <c r="X201" i="28"/>
  <c r="B201" i="28"/>
  <c r="X200" i="28"/>
  <c r="B200" i="28"/>
  <c r="X199" i="28"/>
  <c r="B199" i="28"/>
  <c r="X198" i="28"/>
  <c r="B198" i="28"/>
  <c r="X197" i="28"/>
  <c r="B197" i="28"/>
  <c r="X196" i="28"/>
  <c r="B196" i="28"/>
  <c r="X195" i="28"/>
  <c r="B195" i="28"/>
  <c r="X194" i="28"/>
  <c r="B194" i="28"/>
  <c r="X193" i="28"/>
  <c r="B193" i="28"/>
  <c r="B192" i="28"/>
  <c r="B191" i="28"/>
  <c r="B190" i="28"/>
  <c r="B189" i="28"/>
  <c r="X180" i="28"/>
  <c r="B180" i="28"/>
  <c r="X179" i="28"/>
  <c r="B179" i="28"/>
  <c r="X178" i="28"/>
  <c r="B178" i="28"/>
  <c r="X177" i="28"/>
  <c r="B177" i="28"/>
  <c r="X176" i="28"/>
  <c r="B176" i="28"/>
  <c r="X175" i="28"/>
  <c r="B175" i="28"/>
  <c r="X174" i="28"/>
  <c r="B174" i="28"/>
  <c r="X173" i="28"/>
  <c r="B173" i="28"/>
  <c r="X172" i="28"/>
  <c r="B172" i="28"/>
  <c r="X171" i="28"/>
  <c r="B171" i="28"/>
  <c r="X170" i="28"/>
  <c r="B170" i="28"/>
  <c r="X169" i="28"/>
  <c r="B169" i="28"/>
  <c r="X168" i="28"/>
  <c r="B168" i="28"/>
  <c r="X167" i="28"/>
  <c r="B167" i="28"/>
  <c r="B166" i="28"/>
  <c r="R144" i="28"/>
  <c r="R145" i="28"/>
  <c r="R146" i="28"/>
  <c r="S144" i="28"/>
  <c r="S145" i="28"/>
  <c r="S146" i="28"/>
  <c r="T144" i="28"/>
  <c r="T145" i="28"/>
  <c r="T146" i="28"/>
  <c r="U144" i="28"/>
  <c r="U145" i="28"/>
  <c r="U146" i="28"/>
  <c r="V144" i="28"/>
  <c r="V145" i="28"/>
  <c r="V146" i="28"/>
  <c r="Q144" i="28"/>
  <c r="Q145" i="28"/>
  <c r="Q146" i="28"/>
  <c r="P97" i="28"/>
  <c r="P113" i="28" s="1"/>
  <c r="P120" i="28"/>
  <c r="P121" i="28"/>
  <c r="P122" i="28"/>
  <c r="P123" i="28"/>
  <c r="P136" i="28"/>
  <c r="P144" i="28"/>
  <c r="P145" i="28"/>
  <c r="P146" i="28"/>
  <c r="X157" i="28"/>
  <c r="B157" i="28"/>
  <c r="X156" i="28"/>
  <c r="B156" i="28"/>
  <c r="X155" i="28"/>
  <c r="B155" i="28"/>
  <c r="X154" i="28"/>
  <c r="B154" i="28"/>
  <c r="X153" i="28"/>
  <c r="B153" i="28"/>
  <c r="X152" i="28"/>
  <c r="B152" i="28"/>
  <c r="X151" i="28"/>
  <c r="B151" i="28"/>
  <c r="X150" i="28"/>
  <c r="B150" i="28"/>
  <c r="X149" i="28"/>
  <c r="B149" i="28"/>
  <c r="X148" i="28"/>
  <c r="B148" i="28"/>
  <c r="X147" i="28"/>
  <c r="B147" i="28"/>
  <c r="X146" i="28"/>
  <c r="B146" i="28"/>
  <c r="X145" i="28"/>
  <c r="B145" i="28"/>
  <c r="X144" i="28"/>
  <c r="B144" i="28"/>
  <c r="B143" i="28"/>
  <c r="X134" i="28"/>
  <c r="B134" i="28"/>
  <c r="X133" i="28"/>
  <c r="B133" i="28"/>
  <c r="X132" i="28"/>
  <c r="B132" i="28"/>
  <c r="X131" i="28"/>
  <c r="B131" i="28"/>
  <c r="X130" i="28"/>
  <c r="B130" i="28"/>
  <c r="X129" i="28"/>
  <c r="B129" i="28"/>
  <c r="X128" i="28"/>
  <c r="B128" i="28"/>
  <c r="X127" i="28"/>
  <c r="B127" i="28"/>
  <c r="X126" i="28"/>
  <c r="B126" i="28"/>
  <c r="X125" i="28"/>
  <c r="B125" i="28"/>
  <c r="X124" i="28"/>
  <c r="B124" i="28"/>
  <c r="X123" i="28"/>
  <c r="B123" i="28"/>
  <c r="X122" i="28"/>
  <c r="B122" i="28"/>
  <c r="X121" i="28"/>
  <c r="B121" i="28"/>
  <c r="B120" i="28"/>
  <c r="X111" i="28"/>
  <c r="B111" i="28"/>
  <c r="X110" i="28"/>
  <c r="B110" i="28"/>
  <c r="X109" i="28"/>
  <c r="B109" i="28"/>
  <c r="X108" i="28"/>
  <c r="B108" i="28"/>
  <c r="X107" i="28"/>
  <c r="B107" i="28"/>
  <c r="X106" i="28"/>
  <c r="B106" i="28"/>
  <c r="X105" i="28"/>
  <c r="B105" i="28"/>
  <c r="X104" i="28"/>
  <c r="B104" i="28"/>
  <c r="X103" i="28"/>
  <c r="B103" i="28"/>
  <c r="X102" i="28"/>
  <c r="B102" i="28"/>
  <c r="X101" i="28"/>
  <c r="B101" i="28"/>
  <c r="X100" i="28"/>
  <c r="B100" i="28"/>
  <c r="X99" i="28"/>
  <c r="B99" i="28"/>
  <c r="X98" i="28"/>
  <c r="B98" i="28"/>
  <c r="B97" i="28"/>
  <c r="BI87" i="28"/>
  <c r="AZ87" i="28"/>
  <c r="AK87" i="28"/>
  <c r="X87" i="28"/>
  <c r="B87" i="28"/>
  <c r="BI86" i="28"/>
  <c r="AZ86" i="28"/>
  <c r="AK86" i="28"/>
  <c r="X86" i="28"/>
  <c r="B86" i="28"/>
  <c r="BI85" i="28"/>
  <c r="AZ85" i="28"/>
  <c r="AK85" i="28"/>
  <c r="X85" i="28"/>
  <c r="B85" i="28"/>
  <c r="BI84" i="28"/>
  <c r="AZ84" i="28"/>
  <c r="AK84" i="28"/>
  <c r="X84" i="28"/>
  <c r="B84" i="28"/>
  <c r="BI83" i="28"/>
  <c r="AZ83" i="28"/>
  <c r="AK83" i="28"/>
  <c r="X83" i="28"/>
  <c r="B83" i="28"/>
  <c r="BI82" i="28"/>
  <c r="AZ82" i="28"/>
  <c r="AK82" i="28"/>
  <c r="X82" i="28"/>
  <c r="B82" i="28"/>
  <c r="BI81" i="28"/>
  <c r="AZ81" i="28"/>
  <c r="AK81" i="28"/>
  <c r="X81" i="28"/>
  <c r="B81" i="28"/>
  <c r="BI80" i="28"/>
  <c r="AZ80" i="28"/>
  <c r="AK80" i="28"/>
  <c r="X80" i="28"/>
  <c r="B80" i="28"/>
  <c r="BI79" i="28"/>
  <c r="AZ79" i="28"/>
  <c r="AK79" i="28"/>
  <c r="X79" i="28"/>
  <c r="B79" i="28"/>
  <c r="BI78" i="28"/>
  <c r="AZ78" i="28"/>
  <c r="AK78" i="28"/>
  <c r="X78" i="28"/>
  <c r="B78" i="28"/>
  <c r="BI77" i="28"/>
  <c r="AZ77" i="28"/>
  <c r="AK77" i="28"/>
  <c r="X77" i="28"/>
  <c r="B77" i="28"/>
  <c r="BI76" i="28"/>
  <c r="AZ76" i="28"/>
  <c r="AK76" i="28"/>
  <c r="X76" i="28"/>
  <c r="B76" i="28"/>
  <c r="BI75" i="28"/>
  <c r="AZ75" i="28"/>
  <c r="AK75" i="28"/>
  <c r="X75" i="28"/>
  <c r="B75" i="28"/>
  <c r="BI74" i="28"/>
  <c r="AZ74" i="28"/>
  <c r="AK74" i="28"/>
  <c r="X74" i="28"/>
  <c r="B74" i="28"/>
  <c r="BI73" i="28"/>
  <c r="AZ73" i="28"/>
  <c r="AK73" i="28"/>
  <c r="B73" i="28"/>
  <c r="B66" i="28"/>
  <c r="B65" i="28"/>
  <c r="B64" i="28"/>
  <c r="B63" i="28"/>
  <c r="B62" i="28"/>
  <c r="B61" i="28"/>
  <c r="B60" i="28"/>
  <c r="B59" i="28"/>
  <c r="B58" i="28"/>
  <c r="B57" i="28"/>
  <c r="B56" i="28"/>
  <c r="B55" i="28"/>
  <c r="B54" i="28"/>
  <c r="B53" i="28"/>
  <c r="B52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P252" i="25"/>
  <c r="P374" i="25"/>
  <c r="V261" i="25"/>
  <c r="U261" i="25"/>
  <c r="T261" i="25"/>
  <c r="S261" i="25"/>
  <c r="R261" i="25"/>
  <c r="Q261" i="25"/>
  <c r="P261" i="25"/>
  <c r="O210" i="25"/>
  <c r="O259" i="25"/>
  <c r="O260" i="25"/>
  <c r="O261" i="25"/>
  <c r="O263" i="25"/>
  <c r="N210" i="25"/>
  <c r="N259" i="25"/>
  <c r="N260" i="25"/>
  <c r="N261" i="25"/>
  <c r="N263" i="25"/>
  <c r="M210" i="25"/>
  <c r="M259" i="25"/>
  <c r="M260" i="25"/>
  <c r="M261" i="25"/>
  <c r="M263" i="25"/>
  <c r="L210" i="25"/>
  <c r="L259" i="25"/>
  <c r="L260" i="25"/>
  <c r="L261" i="25"/>
  <c r="L263" i="25"/>
  <c r="K210" i="25"/>
  <c r="K259" i="25"/>
  <c r="K260" i="25"/>
  <c r="K261" i="25"/>
  <c r="K263" i="25"/>
  <c r="J210" i="25"/>
  <c r="J259" i="25"/>
  <c r="J260" i="25"/>
  <c r="J261" i="25"/>
  <c r="J263" i="25"/>
  <c r="I210" i="25"/>
  <c r="I259" i="25"/>
  <c r="I260" i="25"/>
  <c r="I261" i="25"/>
  <c r="I263" i="25"/>
  <c r="H210" i="25"/>
  <c r="H259" i="25"/>
  <c r="H260" i="25"/>
  <c r="H261" i="25"/>
  <c r="H263" i="25"/>
  <c r="B236" i="25"/>
  <c r="B235" i="25"/>
  <c r="B234" i="25"/>
  <c r="B233" i="25"/>
  <c r="B232" i="25"/>
  <c r="B231" i="25"/>
  <c r="B230" i="25"/>
  <c r="B229" i="25"/>
  <c r="B228" i="25"/>
  <c r="B227" i="25"/>
  <c r="B226" i="25"/>
  <c r="B225" i="25"/>
  <c r="B224" i="25"/>
  <c r="B223" i="25"/>
  <c r="B222" i="25"/>
  <c r="O219" i="25"/>
  <c r="N219" i="25"/>
  <c r="M219" i="25"/>
  <c r="L219" i="25"/>
  <c r="K219" i="25"/>
  <c r="J219" i="25"/>
  <c r="I219" i="25"/>
  <c r="H219" i="25"/>
  <c r="O208" i="25"/>
  <c r="N208" i="25"/>
  <c r="M208" i="25"/>
  <c r="L208" i="25"/>
  <c r="K208" i="25"/>
  <c r="J208" i="25"/>
  <c r="I208" i="25"/>
  <c r="H208" i="25"/>
  <c r="X203" i="25"/>
  <c r="B203" i="25"/>
  <c r="X202" i="25"/>
  <c r="B202" i="25"/>
  <c r="X201" i="25"/>
  <c r="B201" i="25"/>
  <c r="X200" i="25"/>
  <c r="B200" i="25"/>
  <c r="X199" i="25"/>
  <c r="B199" i="25"/>
  <c r="X198" i="25"/>
  <c r="B198" i="25"/>
  <c r="X197" i="25"/>
  <c r="B197" i="25"/>
  <c r="X196" i="25"/>
  <c r="B196" i="25"/>
  <c r="X195" i="25"/>
  <c r="B195" i="25"/>
  <c r="X194" i="25"/>
  <c r="B194" i="25"/>
  <c r="X193" i="25"/>
  <c r="B193" i="25"/>
  <c r="B192" i="25"/>
  <c r="B191" i="25"/>
  <c r="B190" i="25"/>
  <c r="B189" i="25"/>
  <c r="P167" i="25"/>
  <c r="P168" i="25"/>
  <c r="P169" i="25"/>
  <c r="X180" i="25"/>
  <c r="B180" i="25"/>
  <c r="X179" i="25"/>
  <c r="B179" i="25"/>
  <c r="X178" i="25"/>
  <c r="B178" i="25"/>
  <c r="X177" i="25"/>
  <c r="B177" i="25"/>
  <c r="X176" i="25"/>
  <c r="B176" i="25"/>
  <c r="X175" i="25"/>
  <c r="B175" i="25"/>
  <c r="X174" i="25"/>
  <c r="B174" i="25"/>
  <c r="X173" i="25"/>
  <c r="B173" i="25"/>
  <c r="X172" i="25"/>
  <c r="B172" i="25"/>
  <c r="X171" i="25"/>
  <c r="B171" i="25"/>
  <c r="X170" i="25"/>
  <c r="B170" i="25"/>
  <c r="X169" i="25"/>
  <c r="B169" i="25"/>
  <c r="X168" i="25"/>
  <c r="B168" i="25"/>
  <c r="X167" i="25"/>
  <c r="B167" i="25"/>
  <c r="B166" i="25"/>
  <c r="R144" i="25"/>
  <c r="R145" i="25"/>
  <c r="R146" i="25"/>
  <c r="S144" i="25"/>
  <c r="S145" i="25"/>
  <c r="S146" i="25"/>
  <c r="T144" i="25"/>
  <c r="T145" i="25"/>
  <c r="T146" i="25"/>
  <c r="U144" i="25"/>
  <c r="U145" i="25"/>
  <c r="U146" i="25"/>
  <c r="V144" i="25"/>
  <c r="V145" i="25"/>
  <c r="V146" i="25"/>
  <c r="Q144" i="25"/>
  <c r="Q145" i="25"/>
  <c r="Q146" i="25"/>
  <c r="P121" i="25"/>
  <c r="P144" i="25"/>
  <c r="P122" i="25"/>
  <c r="P145" i="25"/>
  <c r="P123" i="25"/>
  <c r="P146" i="25"/>
  <c r="X157" i="25"/>
  <c r="B157" i="25"/>
  <c r="X156" i="25"/>
  <c r="B156" i="25"/>
  <c r="X155" i="25"/>
  <c r="B155" i="25"/>
  <c r="X154" i="25"/>
  <c r="B154" i="25"/>
  <c r="X153" i="25"/>
  <c r="B153" i="25"/>
  <c r="X152" i="25"/>
  <c r="B152" i="25"/>
  <c r="X151" i="25"/>
  <c r="B151" i="25"/>
  <c r="X150" i="25"/>
  <c r="B150" i="25"/>
  <c r="X149" i="25"/>
  <c r="B149" i="25"/>
  <c r="X148" i="25"/>
  <c r="B148" i="25"/>
  <c r="X147" i="25"/>
  <c r="B147" i="25"/>
  <c r="X146" i="25"/>
  <c r="B146" i="25"/>
  <c r="X145" i="25"/>
  <c r="B145" i="25"/>
  <c r="X144" i="25"/>
  <c r="B144" i="25"/>
  <c r="B143" i="25"/>
  <c r="X134" i="25"/>
  <c r="B134" i="25"/>
  <c r="X133" i="25"/>
  <c r="B133" i="25"/>
  <c r="X132" i="25"/>
  <c r="B132" i="25"/>
  <c r="X131" i="25"/>
  <c r="B131" i="25"/>
  <c r="X130" i="25"/>
  <c r="B130" i="25"/>
  <c r="X129" i="25"/>
  <c r="B129" i="25"/>
  <c r="X128" i="25"/>
  <c r="B128" i="25"/>
  <c r="X127" i="25"/>
  <c r="B127" i="25"/>
  <c r="X126" i="25"/>
  <c r="B126" i="25"/>
  <c r="X125" i="25"/>
  <c r="B125" i="25"/>
  <c r="X124" i="25"/>
  <c r="B124" i="25"/>
  <c r="X123" i="25"/>
  <c r="B123" i="25"/>
  <c r="X122" i="25"/>
  <c r="B122" i="25"/>
  <c r="X121" i="25"/>
  <c r="B121" i="25"/>
  <c r="B120" i="25"/>
  <c r="X111" i="25"/>
  <c r="B111" i="25"/>
  <c r="X110" i="25"/>
  <c r="B110" i="25"/>
  <c r="X109" i="25"/>
  <c r="B109" i="25"/>
  <c r="X108" i="25"/>
  <c r="B108" i="25"/>
  <c r="X107" i="25"/>
  <c r="B107" i="25"/>
  <c r="X106" i="25"/>
  <c r="B106" i="25"/>
  <c r="X105" i="25"/>
  <c r="B105" i="25"/>
  <c r="X104" i="25"/>
  <c r="B104" i="25"/>
  <c r="X103" i="25"/>
  <c r="B103" i="25"/>
  <c r="X102" i="25"/>
  <c r="B102" i="25"/>
  <c r="X101" i="25"/>
  <c r="B101" i="25"/>
  <c r="X100" i="25"/>
  <c r="B100" i="25"/>
  <c r="X99" i="25"/>
  <c r="B99" i="25"/>
  <c r="X98" i="25"/>
  <c r="B98" i="25"/>
  <c r="B97" i="25"/>
  <c r="BI87" i="25"/>
  <c r="AZ87" i="25"/>
  <c r="AK87" i="25"/>
  <c r="X87" i="25"/>
  <c r="B87" i="25"/>
  <c r="BI86" i="25"/>
  <c r="AZ86" i="25"/>
  <c r="AK86" i="25"/>
  <c r="X86" i="25"/>
  <c r="B86" i="25"/>
  <c r="BI85" i="25"/>
  <c r="AZ85" i="25"/>
  <c r="AK85" i="25"/>
  <c r="X85" i="25"/>
  <c r="B85" i="25"/>
  <c r="BI84" i="25"/>
  <c r="AZ84" i="25"/>
  <c r="AK84" i="25"/>
  <c r="X84" i="25"/>
  <c r="B84" i="25"/>
  <c r="BI83" i="25"/>
  <c r="AZ83" i="25"/>
  <c r="AK83" i="25"/>
  <c r="X83" i="25"/>
  <c r="B83" i="25"/>
  <c r="BI82" i="25"/>
  <c r="AZ82" i="25"/>
  <c r="AK82" i="25"/>
  <c r="X82" i="25"/>
  <c r="B82" i="25"/>
  <c r="BI81" i="25"/>
  <c r="AZ81" i="25"/>
  <c r="AK81" i="25"/>
  <c r="X81" i="25"/>
  <c r="B81" i="25"/>
  <c r="BI80" i="25"/>
  <c r="AZ80" i="25"/>
  <c r="AK80" i="25"/>
  <c r="X80" i="25"/>
  <c r="B80" i="25"/>
  <c r="BI79" i="25"/>
  <c r="AZ79" i="25"/>
  <c r="AK79" i="25"/>
  <c r="X79" i="25"/>
  <c r="B79" i="25"/>
  <c r="BI78" i="25"/>
  <c r="AZ78" i="25"/>
  <c r="AK78" i="25"/>
  <c r="X78" i="25"/>
  <c r="B78" i="25"/>
  <c r="BI77" i="25"/>
  <c r="AZ77" i="25"/>
  <c r="AK77" i="25"/>
  <c r="X77" i="25"/>
  <c r="B77" i="25"/>
  <c r="BI76" i="25"/>
  <c r="AZ76" i="25"/>
  <c r="AK76" i="25"/>
  <c r="X76" i="25"/>
  <c r="B76" i="25"/>
  <c r="BI75" i="25"/>
  <c r="AZ75" i="25"/>
  <c r="AK75" i="25"/>
  <c r="X75" i="25"/>
  <c r="B75" i="25"/>
  <c r="BI74" i="25"/>
  <c r="AZ74" i="25"/>
  <c r="AK74" i="25"/>
  <c r="X74" i="25"/>
  <c r="B74" i="25"/>
  <c r="BI73" i="25"/>
  <c r="AZ73" i="25"/>
  <c r="AK73" i="25"/>
  <c r="B73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P97" i="24"/>
  <c r="P252" i="24"/>
  <c r="P374" i="24"/>
  <c r="V261" i="24"/>
  <c r="U261" i="24"/>
  <c r="T261" i="24"/>
  <c r="S261" i="24"/>
  <c r="R261" i="24"/>
  <c r="Q261" i="24"/>
  <c r="P261" i="24"/>
  <c r="O210" i="24"/>
  <c r="O259" i="24"/>
  <c r="O260" i="24"/>
  <c r="O261" i="24"/>
  <c r="O263" i="24"/>
  <c r="N210" i="24"/>
  <c r="N259" i="24"/>
  <c r="N260" i="24"/>
  <c r="N261" i="24"/>
  <c r="N263" i="24"/>
  <c r="M210" i="24"/>
  <c r="M259" i="24"/>
  <c r="M260" i="24"/>
  <c r="M261" i="24"/>
  <c r="M263" i="24"/>
  <c r="L210" i="24"/>
  <c r="L259" i="24"/>
  <c r="L260" i="24"/>
  <c r="L261" i="24"/>
  <c r="L263" i="24"/>
  <c r="K210" i="24"/>
  <c r="K259" i="24"/>
  <c r="K260" i="24"/>
  <c r="K261" i="24"/>
  <c r="K263" i="24"/>
  <c r="J210" i="24"/>
  <c r="J259" i="24"/>
  <c r="J260" i="24"/>
  <c r="J261" i="24"/>
  <c r="J263" i="24"/>
  <c r="I210" i="24"/>
  <c r="I259" i="24"/>
  <c r="I260" i="24"/>
  <c r="I261" i="24"/>
  <c r="I263" i="24"/>
  <c r="H210" i="24"/>
  <c r="H259" i="24"/>
  <c r="H260" i="24"/>
  <c r="H261" i="24"/>
  <c r="H263" i="24"/>
  <c r="B236" i="24"/>
  <c r="B235" i="24"/>
  <c r="B234" i="24"/>
  <c r="B233" i="24"/>
  <c r="B232" i="24"/>
  <c r="B231" i="24"/>
  <c r="B230" i="24"/>
  <c r="B229" i="24"/>
  <c r="B228" i="24"/>
  <c r="B227" i="24"/>
  <c r="B226" i="24"/>
  <c r="B225" i="24"/>
  <c r="B224" i="24"/>
  <c r="B223" i="24"/>
  <c r="B222" i="24"/>
  <c r="O219" i="24"/>
  <c r="N219" i="24"/>
  <c r="M219" i="24"/>
  <c r="L219" i="24"/>
  <c r="K219" i="24"/>
  <c r="J219" i="24"/>
  <c r="I219" i="24"/>
  <c r="H219" i="24"/>
  <c r="O208" i="24"/>
  <c r="N208" i="24"/>
  <c r="M208" i="24"/>
  <c r="L208" i="24"/>
  <c r="K208" i="24"/>
  <c r="J208" i="24"/>
  <c r="I208" i="24"/>
  <c r="H208" i="24"/>
  <c r="X203" i="24"/>
  <c r="B203" i="24"/>
  <c r="X202" i="24"/>
  <c r="B202" i="24"/>
  <c r="X201" i="24"/>
  <c r="B201" i="24"/>
  <c r="X200" i="24"/>
  <c r="B200" i="24"/>
  <c r="X199" i="24"/>
  <c r="B199" i="24"/>
  <c r="X198" i="24"/>
  <c r="B198" i="24"/>
  <c r="X197" i="24"/>
  <c r="B197" i="24"/>
  <c r="X196" i="24"/>
  <c r="B196" i="24"/>
  <c r="X195" i="24"/>
  <c r="B195" i="24"/>
  <c r="X194" i="24"/>
  <c r="B194" i="24"/>
  <c r="B193" i="24"/>
  <c r="B192" i="24"/>
  <c r="B191" i="24"/>
  <c r="B190" i="24"/>
  <c r="B189" i="24"/>
  <c r="X180" i="24"/>
  <c r="B180" i="24"/>
  <c r="X179" i="24"/>
  <c r="B179" i="24"/>
  <c r="X178" i="24"/>
  <c r="B178" i="24"/>
  <c r="X177" i="24"/>
  <c r="B177" i="24"/>
  <c r="X176" i="24"/>
  <c r="B176" i="24"/>
  <c r="X175" i="24"/>
  <c r="B175" i="24"/>
  <c r="X174" i="24"/>
  <c r="B174" i="24"/>
  <c r="X173" i="24"/>
  <c r="B173" i="24"/>
  <c r="X172" i="24"/>
  <c r="B172" i="24"/>
  <c r="X171" i="24"/>
  <c r="B171" i="24"/>
  <c r="B170" i="24"/>
  <c r="B169" i="24"/>
  <c r="B168" i="24"/>
  <c r="B167" i="24"/>
  <c r="B166" i="24"/>
  <c r="X157" i="24"/>
  <c r="B157" i="24"/>
  <c r="X156" i="24"/>
  <c r="B156" i="24"/>
  <c r="X155" i="24"/>
  <c r="B155" i="24"/>
  <c r="X154" i="24"/>
  <c r="B154" i="24"/>
  <c r="X153" i="24"/>
  <c r="B153" i="24"/>
  <c r="X152" i="24"/>
  <c r="B152" i="24"/>
  <c r="X151" i="24"/>
  <c r="B151" i="24"/>
  <c r="X150" i="24"/>
  <c r="B150" i="24"/>
  <c r="X149" i="24"/>
  <c r="B149" i="24"/>
  <c r="X148" i="24"/>
  <c r="B148" i="24"/>
  <c r="B147" i="24"/>
  <c r="B146" i="24"/>
  <c r="B145" i="24"/>
  <c r="B144" i="24"/>
  <c r="B143" i="24"/>
  <c r="X134" i="24"/>
  <c r="B134" i="24"/>
  <c r="X133" i="24"/>
  <c r="B133" i="24"/>
  <c r="X132" i="24"/>
  <c r="B132" i="24"/>
  <c r="X131" i="24"/>
  <c r="B131" i="24"/>
  <c r="X130" i="24"/>
  <c r="B130" i="24"/>
  <c r="X129" i="24"/>
  <c r="B129" i="24"/>
  <c r="X128" i="24"/>
  <c r="B128" i="24"/>
  <c r="X127" i="24"/>
  <c r="B127" i="24"/>
  <c r="X126" i="24"/>
  <c r="B126" i="24"/>
  <c r="X125" i="24"/>
  <c r="B125" i="24"/>
  <c r="B124" i="24"/>
  <c r="B123" i="24"/>
  <c r="B122" i="24"/>
  <c r="B121" i="24"/>
  <c r="B120" i="24"/>
  <c r="X111" i="24"/>
  <c r="B111" i="24"/>
  <c r="X110" i="24"/>
  <c r="B110" i="24"/>
  <c r="X109" i="24"/>
  <c r="B109" i="24"/>
  <c r="X108" i="24"/>
  <c r="B108" i="24"/>
  <c r="X107" i="24"/>
  <c r="B107" i="24"/>
  <c r="X106" i="24"/>
  <c r="B106" i="24"/>
  <c r="X105" i="24"/>
  <c r="B105" i="24"/>
  <c r="X104" i="24"/>
  <c r="B104" i="24"/>
  <c r="X103" i="24"/>
  <c r="B103" i="24"/>
  <c r="X102" i="24"/>
  <c r="B102" i="24"/>
  <c r="B101" i="24"/>
  <c r="B100" i="24"/>
  <c r="B99" i="24"/>
  <c r="B98" i="24"/>
  <c r="B97" i="24"/>
  <c r="BI87" i="24"/>
  <c r="AZ87" i="24"/>
  <c r="AK87" i="24"/>
  <c r="X87" i="24"/>
  <c r="B87" i="24"/>
  <c r="BI86" i="24"/>
  <c r="AZ86" i="24"/>
  <c r="AK86" i="24"/>
  <c r="X86" i="24"/>
  <c r="B86" i="24"/>
  <c r="BI85" i="24"/>
  <c r="AZ85" i="24"/>
  <c r="AK85" i="24"/>
  <c r="X85" i="24"/>
  <c r="B85" i="24"/>
  <c r="BI84" i="24"/>
  <c r="AZ84" i="24"/>
  <c r="AK84" i="24"/>
  <c r="X84" i="24"/>
  <c r="B84" i="24"/>
  <c r="BI83" i="24"/>
  <c r="AZ83" i="24"/>
  <c r="AK83" i="24"/>
  <c r="X83" i="24"/>
  <c r="B83" i="24"/>
  <c r="BI82" i="24"/>
  <c r="AZ82" i="24"/>
  <c r="AK82" i="24"/>
  <c r="X82" i="24"/>
  <c r="B82" i="24"/>
  <c r="BI81" i="24"/>
  <c r="AZ81" i="24"/>
  <c r="AK81" i="24"/>
  <c r="X81" i="24"/>
  <c r="B81" i="24"/>
  <c r="BI80" i="24"/>
  <c r="AZ80" i="24"/>
  <c r="AK80" i="24"/>
  <c r="X80" i="24"/>
  <c r="B80" i="24"/>
  <c r="BI79" i="24"/>
  <c r="AZ79" i="24"/>
  <c r="AK79" i="24"/>
  <c r="X79" i="24"/>
  <c r="B79" i="24"/>
  <c r="BI78" i="24"/>
  <c r="AZ78" i="24"/>
  <c r="AK78" i="24"/>
  <c r="X78" i="24"/>
  <c r="B78" i="24"/>
  <c r="BI77" i="24"/>
  <c r="AZ77" i="24"/>
  <c r="AK77" i="24"/>
  <c r="B77" i="24"/>
  <c r="BI76" i="24"/>
  <c r="AZ76" i="24"/>
  <c r="AK76" i="24"/>
  <c r="B76" i="24"/>
  <c r="BI75" i="24"/>
  <c r="AZ75" i="24"/>
  <c r="AK75" i="24"/>
  <c r="B75" i="24"/>
  <c r="BI74" i="24"/>
  <c r="AZ74" i="24"/>
  <c r="AK74" i="24"/>
  <c r="B74" i="24"/>
  <c r="BI73" i="24"/>
  <c r="AZ73" i="24"/>
  <c r="AK73" i="24"/>
  <c r="B73" i="24"/>
  <c r="B66" i="24"/>
  <c r="B65" i="24"/>
  <c r="B64" i="24"/>
  <c r="B63" i="24"/>
  <c r="B62" i="24"/>
  <c r="B61" i="24"/>
  <c r="B60" i="24"/>
  <c r="B59" i="24"/>
  <c r="B58" i="24"/>
  <c r="B57" i="24"/>
  <c r="B56" i="24"/>
  <c r="B55" i="24"/>
  <c r="B54" i="24"/>
  <c r="B53" i="24"/>
  <c r="B52" i="24"/>
  <c r="B45" i="24"/>
  <c r="B44" i="24"/>
  <c r="B43" i="24"/>
  <c r="B42" i="24"/>
  <c r="B41" i="24"/>
  <c r="B40" i="24"/>
  <c r="B39" i="24"/>
  <c r="B38" i="24"/>
  <c r="B37" i="24"/>
  <c r="B36" i="24"/>
  <c r="B35" i="24"/>
  <c r="B34" i="24"/>
  <c r="B33" i="24"/>
  <c r="B32" i="24"/>
  <c r="B31" i="24"/>
  <c r="O190" i="20"/>
  <c r="R261" i="6"/>
  <c r="S261" i="6"/>
  <c r="T261" i="6"/>
  <c r="U261" i="6"/>
  <c r="V261" i="6"/>
  <c r="X261" i="6"/>
  <c r="X252" i="6"/>
  <c r="X250" i="6"/>
  <c r="X249" i="6"/>
  <c r="X247" i="6"/>
  <c r="X246" i="6"/>
  <c r="X248" i="6"/>
  <c r="P73" i="16"/>
  <c r="P97" i="16"/>
  <c r="P113" i="16"/>
  <c r="R241" i="20"/>
  <c r="O241" i="20"/>
  <c r="N241" i="20"/>
  <c r="M241" i="20"/>
  <c r="L241" i="20"/>
  <c r="K241" i="20"/>
  <c r="J241" i="20"/>
  <c r="I241" i="20"/>
  <c r="H241" i="20"/>
  <c r="O240" i="20"/>
  <c r="N240" i="20"/>
  <c r="M240" i="20"/>
  <c r="L240" i="20"/>
  <c r="K240" i="20"/>
  <c r="J240" i="20"/>
  <c r="I240" i="20"/>
  <c r="H240" i="20"/>
  <c r="B216" i="20"/>
  <c r="B215" i="20"/>
  <c r="B214" i="20"/>
  <c r="B213" i="20"/>
  <c r="B212" i="20"/>
  <c r="B211" i="20"/>
  <c r="B210" i="20"/>
  <c r="B209" i="20"/>
  <c r="B208" i="20"/>
  <c r="B207" i="20"/>
  <c r="B206" i="20"/>
  <c r="B205" i="20"/>
  <c r="B204" i="20"/>
  <c r="B203" i="20"/>
  <c r="B202" i="20"/>
  <c r="I190" i="20"/>
  <c r="I199" i="20"/>
  <c r="N190" i="20"/>
  <c r="N239" i="20"/>
  <c r="N243" i="20"/>
  <c r="M190" i="20"/>
  <c r="M239" i="20"/>
  <c r="M243" i="20"/>
  <c r="L190" i="20"/>
  <c r="L199" i="20"/>
  <c r="K190" i="20"/>
  <c r="J190" i="20"/>
  <c r="J239" i="20"/>
  <c r="J243" i="20"/>
  <c r="I239" i="20"/>
  <c r="I243" i="20"/>
  <c r="H190" i="20"/>
  <c r="H199" i="20"/>
  <c r="O188" i="20"/>
  <c r="N188" i="20"/>
  <c r="M188" i="20"/>
  <c r="L188" i="20"/>
  <c r="K188" i="20"/>
  <c r="J188" i="20"/>
  <c r="I188" i="20"/>
  <c r="H188" i="20"/>
  <c r="X183" i="20"/>
  <c r="B183" i="20"/>
  <c r="X182" i="20"/>
  <c r="B182" i="20"/>
  <c r="X181" i="20"/>
  <c r="B181" i="20"/>
  <c r="X180" i="20"/>
  <c r="B180" i="20"/>
  <c r="X179" i="20"/>
  <c r="B179" i="20"/>
  <c r="X178" i="20"/>
  <c r="B178" i="20"/>
  <c r="B177" i="20"/>
  <c r="B176" i="20"/>
  <c r="B175" i="20"/>
  <c r="B174" i="20"/>
  <c r="B173" i="20"/>
  <c r="B172" i="20"/>
  <c r="B171" i="20"/>
  <c r="B170" i="20"/>
  <c r="B169" i="20"/>
  <c r="X160" i="20"/>
  <c r="B160" i="20"/>
  <c r="X159" i="20"/>
  <c r="B159" i="20"/>
  <c r="X158" i="20"/>
  <c r="B158" i="20"/>
  <c r="X157" i="20"/>
  <c r="B157" i="20"/>
  <c r="X156" i="20"/>
  <c r="B156" i="20"/>
  <c r="X155" i="20"/>
  <c r="B155" i="20"/>
  <c r="B154" i="20"/>
  <c r="B153" i="20"/>
  <c r="B152" i="20"/>
  <c r="B151" i="20"/>
  <c r="B150" i="20"/>
  <c r="B149" i="20"/>
  <c r="B148" i="20"/>
  <c r="B147" i="20"/>
  <c r="B146" i="20"/>
  <c r="X137" i="20"/>
  <c r="B137" i="20"/>
  <c r="X136" i="20"/>
  <c r="B136" i="20"/>
  <c r="X135" i="20"/>
  <c r="B135" i="20"/>
  <c r="X134" i="20"/>
  <c r="B134" i="20"/>
  <c r="X133" i="20"/>
  <c r="B133" i="20"/>
  <c r="X132" i="20"/>
  <c r="B132" i="20"/>
  <c r="B131" i="20"/>
  <c r="B130" i="20"/>
  <c r="B129" i="20"/>
  <c r="B128" i="20"/>
  <c r="B127" i="20"/>
  <c r="B126" i="20"/>
  <c r="B125" i="20"/>
  <c r="B124" i="20"/>
  <c r="B123" i="20"/>
  <c r="X114" i="20"/>
  <c r="B114" i="20"/>
  <c r="X113" i="20"/>
  <c r="B113" i="20"/>
  <c r="X112" i="20"/>
  <c r="B112" i="20"/>
  <c r="X111" i="20"/>
  <c r="B111" i="20"/>
  <c r="X110" i="20"/>
  <c r="B110" i="20"/>
  <c r="X109" i="20"/>
  <c r="B109" i="20"/>
  <c r="B108" i="20"/>
  <c r="B107" i="20"/>
  <c r="B106" i="20"/>
  <c r="B105" i="20"/>
  <c r="B104" i="20"/>
  <c r="B103" i="20"/>
  <c r="B102" i="20"/>
  <c r="B101" i="20"/>
  <c r="B100" i="20"/>
  <c r="X91" i="20"/>
  <c r="B91" i="20"/>
  <c r="X90" i="20"/>
  <c r="B90" i="20"/>
  <c r="X89" i="20"/>
  <c r="B89" i="20"/>
  <c r="X88" i="20"/>
  <c r="B88" i="20"/>
  <c r="X87" i="20"/>
  <c r="B87" i="20"/>
  <c r="X86" i="20"/>
  <c r="B86" i="20"/>
  <c r="B85" i="20"/>
  <c r="B84" i="20"/>
  <c r="B83" i="20"/>
  <c r="B82" i="20"/>
  <c r="B81" i="20"/>
  <c r="B80" i="20"/>
  <c r="B79" i="20"/>
  <c r="B78" i="20"/>
  <c r="B77" i="20"/>
  <c r="BI67" i="20"/>
  <c r="AZ67" i="20"/>
  <c r="AK67" i="20"/>
  <c r="X67" i="20"/>
  <c r="B67" i="20"/>
  <c r="BI66" i="20"/>
  <c r="AZ66" i="20"/>
  <c r="AK66" i="20"/>
  <c r="X66" i="20"/>
  <c r="B66" i="20"/>
  <c r="BI65" i="20"/>
  <c r="AZ65" i="20"/>
  <c r="AK65" i="20"/>
  <c r="X65" i="20"/>
  <c r="B65" i="20"/>
  <c r="BI64" i="20"/>
  <c r="AZ64" i="20"/>
  <c r="AK64" i="20"/>
  <c r="X64" i="20"/>
  <c r="B64" i="20"/>
  <c r="BI63" i="20"/>
  <c r="AZ63" i="20"/>
  <c r="AK63" i="20"/>
  <c r="X63" i="20"/>
  <c r="B63" i="20"/>
  <c r="BI62" i="20"/>
  <c r="AZ62" i="20"/>
  <c r="AK62" i="20"/>
  <c r="X62" i="20"/>
  <c r="B62" i="20"/>
  <c r="BI61" i="20"/>
  <c r="AZ61" i="20"/>
  <c r="AK61" i="20"/>
  <c r="B61" i="20"/>
  <c r="BI60" i="20"/>
  <c r="AZ60" i="20"/>
  <c r="AK60" i="20"/>
  <c r="B60" i="20"/>
  <c r="BI59" i="20"/>
  <c r="AZ59" i="20"/>
  <c r="AK59" i="20"/>
  <c r="B59" i="20"/>
  <c r="BI58" i="20"/>
  <c r="AZ58" i="20"/>
  <c r="AK58" i="20"/>
  <c r="B58" i="20"/>
  <c r="BI57" i="20"/>
  <c r="AZ57" i="20"/>
  <c r="AK57" i="20"/>
  <c r="B57" i="20"/>
  <c r="BI56" i="20"/>
  <c r="AZ56" i="20"/>
  <c r="AK56" i="20"/>
  <c r="B56" i="20"/>
  <c r="BI55" i="20"/>
  <c r="AZ55" i="20"/>
  <c r="AK55" i="20"/>
  <c r="B55" i="20"/>
  <c r="BI54" i="20"/>
  <c r="AZ54" i="20"/>
  <c r="AK54" i="20"/>
  <c r="B54" i="20"/>
  <c r="BI53" i="20"/>
  <c r="AZ53" i="20"/>
  <c r="AK53" i="20"/>
  <c r="B53" i="20"/>
  <c r="B45" i="20"/>
  <c r="B44" i="20"/>
  <c r="B43" i="20"/>
  <c r="B42" i="20"/>
  <c r="B41" i="20"/>
  <c r="B40" i="20"/>
  <c r="B39" i="20"/>
  <c r="B38" i="20"/>
  <c r="B37" i="20"/>
  <c r="B36" i="20"/>
  <c r="B35" i="20"/>
  <c r="B34" i="20"/>
  <c r="B33" i="20"/>
  <c r="B32" i="20"/>
  <c r="B31" i="20"/>
  <c r="M199" i="20"/>
  <c r="V241" i="20"/>
  <c r="L239" i="20"/>
  <c r="L243" i="20"/>
  <c r="K239" i="20"/>
  <c r="K243" i="20"/>
  <c r="K199" i="20"/>
  <c r="O239" i="20"/>
  <c r="O243" i="20"/>
  <c r="O199" i="20"/>
  <c r="J199" i="20"/>
  <c r="N199" i="20"/>
  <c r="S241" i="20"/>
  <c r="H239" i="20"/>
  <c r="H243" i="20"/>
  <c r="P374" i="20"/>
  <c r="P241" i="20"/>
  <c r="T241" i="20"/>
  <c r="Q241" i="20"/>
  <c r="U241" i="20"/>
  <c r="S261" i="17"/>
  <c r="O261" i="17"/>
  <c r="N261" i="17"/>
  <c r="M261" i="17"/>
  <c r="L261" i="17"/>
  <c r="K261" i="17"/>
  <c r="J261" i="17"/>
  <c r="I261" i="17"/>
  <c r="H261" i="17"/>
  <c r="O260" i="17"/>
  <c r="N260" i="17"/>
  <c r="M260" i="17"/>
  <c r="L260" i="17"/>
  <c r="K260" i="17"/>
  <c r="J260" i="17"/>
  <c r="I260" i="17"/>
  <c r="H260" i="17"/>
  <c r="M210" i="17"/>
  <c r="M259" i="17"/>
  <c r="M263" i="17"/>
  <c r="I210" i="17"/>
  <c r="I259" i="17"/>
  <c r="I263" i="17"/>
  <c r="P252" i="17"/>
  <c r="B236" i="17"/>
  <c r="B235" i="17"/>
  <c r="B234" i="17"/>
  <c r="B233" i="17"/>
  <c r="B232" i="17"/>
  <c r="B231" i="17"/>
  <c r="B230" i="17"/>
  <c r="B229" i="17"/>
  <c r="B228" i="17"/>
  <c r="B227" i="17"/>
  <c r="B226" i="17"/>
  <c r="B225" i="17"/>
  <c r="B224" i="17"/>
  <c r="B223" i="17"/>
  <c r="B222" i="17"/>
  <c r="N210" i="17"/>
  <c r="N219" i="17"/>
  <c r="J210" i="17"/>
  <c r="J219" i="17"/>
  <c r="O210" i="17"/>
  <c r="O259" i="17"/>
  <c r="O263" i="17"/>
  <c r="N259" i="17"/>
  <c r="M219" i="17"/>
  <c r="L210" i="17"/>
  <c r="K210" i="17"/>
  <c r="K259" i="17"/>
  <c r="K263" i="17"/>
  <c r="J259" i="17"/>
  <c r="I219" i="17"/>
  <c r="H210" i="17"/>
  <c r="O208" i="17"/>
  <c r="N208" i="17"/>
  <c r="M208" i="17"/>
  <c r="L208" i="17"/>
  <c r="K208" i="17"/>
  <c r="J208" i="17"/>
  <c r="I208" i="17"/>
  <c r="H208" i="17"/>
  <c r="X203" i="17"/>
  <c r="B203" i="17"/>
  <c r="X202" i="17"/>
  <c r="B202" i="17"/>
  <c r="X201" i="17"/>
  <c r="B201" i="17"/>
  <c r="X200" i="17"/>
  <c r="B200" i="17"/>
  <c r="X199" i="17"/>
  <c r="B199" i="17"/>
  <c r="X198" i="17"/>
  <c r="B198" i="17"/>
  <c r="X197" i="17"/>
  <c r="B197" i="17"/>
  <c r="X196" i="17"/>
  <c r="B196" i="17"/>
  <c r="X195" i="17"/>
  <c r="B195" i="17"/>
  <c r="X194" i="17"/>
  <c r="B194" i="17"/>
  <c r="X193" i="17"/>
  <c r="B193" i="17"/>
  <c r="B192" i="17"/>
  <c r="B191" i="17"/>
  <c r="B190" i="17"/>
  <c r="B189" i="17"/>
  <c r="X180" i="17"/>
  <c r="B180" i="17"/>
  <c r="X179" i="17"/>
  <c r="B179" i="17"/>
  <c r="X178" i="17"/>
  <c r="B178" i="17"/>
  <c r="X177" i="17"/>
  <c r="B177" i="17"/>
  <c r="X176" i="17"/>
  <c r="B176" i="17"/>
  <c r="X175" i="17"/>
  <c r="B175" i="17"/>
  <c r="X174" i="17"/>
  <c r="B174" i="17"/>
  <c r="X173" i="17"/>
  <c r="B173" i="17"/>
  <c r="X172" i="17"/>
  <c r="B172" i="17"/>
  <c r="X171" i="17"/>
  <c r="B171" i="17"/>
  <c r="X170" i="17"/>
  <c r="B170" i="17"/>
  <c r="B169" i="17"/>
  <c r="B168" i="17"/>
  <c r="B167" i="17"/>
  <c r="B166" i="17"/>
  <c r="X157" i="17"/>
  <c r="B157" i="17"/>
  <c r="X156" i="17"/>
  <c r="B156" i="17"/>
  <c r="X155" i="17"/>
  <c r="B155" i="17"/>
  <c r="X154" i="17"/>
  <c r="B154" i="17"/>
  <c r="X153" i="17"/>
  <c r="B153" i="17"/>
  <c r="X152" i="17"/>
  <c r="B152" i="17"/>
  <c r="X151" i="17"/>
  <c r="B151" i="17"/>
  <c r="X150" i="17"/>
  <c r="B150" i="17"/>
  <c r="X149" i="17"/>
  <c r="B149" i="17"/>
  <c r="X148" i="17"/>
  <c r="B148" i="17"/>
  <c r="X147" i="17"/>
  <c r="B147" i="17"/>
  <c r="B146" i="17"/>
  <c r="B145" i="17"/>
  <c r="B144" i="17"/>
  <c r="B143" i="17"/>
  <c r="X134" i="17"/>
  <c r="B134" i="17"/>
  <c r="X133" i="17"/>
  <c r="B133" i="17"/>
  <c r="X132" i="17"/>
  <c r="B132" i="17"/>
  <c r="X131" i="17"/>
  <c r="B131" i="17"/>
  <c r="X130" i="17"/>
  <c r="B130" i="17"/>
  <c r="X129" i="17"/>
  <c r="B129" i="17"/>
  <c r="X128" i="17"/>
  <c r="B128" i="17"/>
  <c r="X127" i="17"/>
  <c r="B127" i="17"/>
  <c r="X126" i="17"/>
  <c r="B126" i="17"/>
  <c r="X125" i="17"/>
  <c r="B125" i="17"/>
  <c r="X124" i="17"/>
  <c r="B124" i="17"/>
  <c r="B123" i="17"/>
  <c r="B122" i="17"/>
  <c r="B121" i="17"/>
  <c r="B120" i="17"/>
  <c r="X111" i="17"/>
  <c r="B111" i="17"/>
  <c r="X110" i="17"/>
  <c r="B110" i="17"/>
  <c r="X109" i="17"/>
  <c r="B109" i="17"/>
  <c r="X108" i="17"/>
  <c r="B108" i="17"/>
  <c r="X107" i="17"/>
  <c r="B107" i="17"/>
  <c r="X106" i="17"/>
  <c r="B106" i="17"/>
  <c r="X105" i="17"/>
  <c r="B105" i="17"/>
  <c r="X104" i="17"/>
  <c r="B104" i="17"/>
  <c r="X103" i="17"/>
  <c r="B103" i="17"/>
  <c r="X102" i="17"/>
  <c r="B102" i="17"/>
  <c r="X101" i="17"/>
  <c r="B101" i="17"/>
  <c r="B100" i="17"/>
  <c r="B99" i="17"/>
  <c r="B98" i="17"/>
  <c r="B97" i="17"/>
  <c r="BI87" i="17"/>
  <c r="AZ87" i="17"/>
  <c r="AK87" i="17"/>
  <c r="X87" i="17"/>
  <c r="B87" i="17"/>
  <c r="BI86" i="17"/>
  <c r="AZ86" i="17"/>
  <c r="AK86" i="17"/>
  <c r="X86" i="17"/>
  <c r="B86" i="17"/>
  <c r="BI85" i="17"/>
  <c r="AZ85" i="17"/>
  <c r="AK85" i="17"/>
  <c r="X85" i="17"/>
  <c r="B85" i="17"/>
  <c r="BI84" i="17"/>
  <c r="AZ84" i="17"/>
  <c r="AK84" i="17"/>
  <c r="X84" i="17"/>
  <c r="B84" i="17"/>
  <c r="BI83" i="17"/>
  <c r="AZ83" i="17"/>
  <c r="AK83" i="17"/>
  <c r="X83" i="17"/>
  <c r="B83" i="17"/>
  <c r="BI82" i="17"/>
  <c r="AZ82" i="17"/>
  <c r="AK82" i="17"/>
  <c r="X82" i="17"/>
  <c r="B82" i="17"/>
  <c r="BI81" i="17"/>
  <c r="AZ81" i="17"/>
  <c r="AK81" i="17"/>
  <c r="X81" i="17"/>
  <c r="B81" i="17"/>
  <c r="BI80" i="17"/>
  <c r="AZ80" i="17"/>
  <c r="AK80" i="17"/>
  <c r="X80" i="17"/>
  <c r="B80" i="17"/>
  <c r="BI79" i="17"/>
  <c r="AZ79" i="17"/>
  <c r="AK79" i="17"/>
  <c r="X79" i="17"/>
  <c r="B79" i="17"/>
  <c r="BI78" i="17"/>
  <c r="AZ78" i="17"/>
  <c r="AK78" i="17"/>
  <c r="X78" i="17"/>
  <c r="B78" i="17"/>
  <c r="BI77" i="17"/>
  <c r="AZ77" i="17"/>
  <c r="AK77" i="17"/>
  <c r="X77" i="17"/>
  <c r="B77" i="17"/>
  <c r="BI76" i="17"/>
  <c r="AZ76" i="17"/>
  <c r="AK76" i="17"/>
  <c r="B76" i="17"/>
  <c r="BI75" i="17"/>
  <c r="AZ75" i="17"/>
  <c r="AK75" i="17"/>
  <c r="B75" i="17"/>
  <c r="BI74" i="17"/>
  <c r="AZ74" i="17"/>
  <c r="AK74" i="17"/>
  <c r="B74" i="17"/>
  <c r="BI73" i="17"/>
  <c r="AZ73" i="17"/>
  <c r="AK73" i="17"/>
  <c r="B73" i="17"/>
  <c r="B66" i="17"/>
  <c r="B65" i="17"/>
  <c r="B64" i="17"/>
  <c r="B63" i="17"/>
  <c r="B62" i="17"/>
  <c r="B61" i="17"/>
  <c r="B60" i="17"/>
  <c r="B59" i="17"/>
  <c r="B58" i="17"/>
  <c r="B57" i="17"/>
  <c r="B56" i="17"/>
  <c r="B55" i="17"/>
  <c r="B54" i="17"/>
  <c r="B53" i="17"/>
  <c r="B52" i="17"/>
  <c r="B45" i="17"/>
  <c r="B44" i="17"/>
  <c r="B43" i="17"/>
  <c r="B42" i="17"/>
  <c r="B41" i="17"/>
  <c r="B40" i="17"/>
  <c r="B39" i="17"/>
  <c r="B38" i="17"/>
  <c r="B37" i="17"/>
  <c r="B36" i="17"/>
  <c r="B35" i="17"/>
  <c r="B34" i="17"/>
  <c r="B33" i="17"/>
  <c r="B32" i="17"/>
  <c r="B31" i="17"/>
  <c r="I210" i="16"/>
  <c r="I259" i="16"/>
  <c r="I260" i="16"/>
  <c r="I261" i="16"/>
  <c r="I263" i="16"/>
  <c r="T261" i="16"/>
  <c r="P252" i="16"/>
  <c r="P261" i="16"/>
  <c r="O261" i="16"/>
  <c r="N261" i="16"/>
  <c r="M261" i="16"/>
  <c r="L261" i="16"/>
  <c r="K261" i="16"/>
  <c r="J261" i="16"/>
  <c r="H261" i="16"/>
  <c r="O260" i="16"/>
  <c r="N260" i="16"/>
  <c r="M260" i="16"/>
  <c r="L260" i="16"/>
  <c r="K260" i="16"/>
  <c r="J260" i="16"/>
  <c r="H260" i="16"/>
  <c r="N210" i="16"/>
  <c r="N259" i="16"/>
  <c r="N263" i="16"/>
  <c r="J210" i="16"/>
  <c r="J259" i="16"/>
  <c r="J263" i="16"/>
  <c r="P374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N219" i="16"/>
  <c r="J219" i="16"/>
  <c r="O210" i="16"/>
  <c r="O259" i="16"/>
  <c r="O263" i="16"/>
  <c r="M210" i="16"/>
  <c r="M259" i="16"/>
  <c r="M263" i="16"/>
  <c r="L210" i="16"/>
  <c r="K210" i="16"/>
  <c r="K259" i="16"/>
  <c r="K263" i="16"/>
  <c r="H210" i="16"/>
  <c r="O208" i="16"/>
  <c r="N208" i="16"/>
  <c r="M208" i="16"/>
  <c r="L208" i="16"/>
  <c r="K208" i="16"/>
  <c r="J208" i="16"/>
  <c r="I208" i="16"/>
  <c r="H208" i="16"/>
  <c r="X203" i="16"/>
  <c r="B203" i="16"/>
  <c r="X202" i="16"/>
  <c r="B202" i="16"/>
  <c r="X201" i="16"/>
  <c r="B201" i="16"/>
  <c r="X200" i="16"/>
  <c r="B200" i="16"/>
  <c r="X199" i="16"/>
  <c r="B199" i="16"/>
  <c r="X198" i="16"/>
  <c r="B198" i="16"/>
  <c r="X197" i="16"/>
  <c r="B197" i="16"/>
  <c r="X196" i="16"/>
  <c r="B196" i="16"/>
  <c r="X195" i="16"/>
  <c r="B195" i="16"/>
  <c r="X194" i="16"/>
  <c r="B194" i="16"/>
  <c r="X193" i="16"/>
  <c r="B193" i="16"/>
  <c r="X192" i="16"/>
  <c r="B192" i="16"/>
  <c r="X191" i="16"/>
  <c r="B191" i="16"/>
  <c r="X190" i="16"/>
  <c r="B190" i="16"/>
  <c r="B189" i="16"/>
  <c r="X180" i="16"/>
  <c r="B180" i="16"/>
  <c r="X179" i="16"/>
  <c r="B179" i="16"/>
  <c r="X178" i="16"/>
  <c r="B178" i="16"/>
  <c r="X177" i="16"/>
  <c r="B177" i="16"/>
  <c r="X176" i="16"/>
  <c r="B176" i="16"/>
  <c r="X175" i="16"/>
  <c r="B175" i="16"/>
  <c r="X174" i="16"/>
  <c r="B174" i="16"/>
  <c r="X173" i="16"/>
  <c r="B173" i="16"/>
  <c r="X172" i="16"/>
  <c r="B172" i="16"/>
  <c r="X171" i="16"/>
  <c r="B171" i="16"/>
  <c r="X170" i="16"/>
  <c r="B170" i="16"/>
  <c r="X169" i="16"/>
  <c r="B169" i="16"/>
  <c r="X168" i="16"/>
  <c r="B168" i="16"/>
  <c r="X167" i="16"/>
  <c r="B167" i="16"/>
  <c r="B166" i="16"/>
  <c r="X157" i="16"/>
  <c r="B157" i="16"/>
  <c r="X156" i="16"/>
  <c r="B156" i="16"/>
  <c r="X155" i="16"/>
  <c r="B155" i="16"/>
  <c r="X154" i="16"/>
  <c r="B154" i="16"/>
  <c r="X153" i="16"/>
  <c r="B153" i="16"/>
  <c r="X152" i="16"/>
  <c r="B152" i="16"/>
  <c r="X151" i="16"/>
  <c r="B151" i="16"/>
  <c r="X150" i="16"/>
  <c r="B150" i="16"/>
  <c r="X149" i="16"/>
  <c r="B149" i="16"/>
  <c r="X148" i="16"/>
  <c r="B148" i="16"/>
  <c r="X147" i="16"/>
  <c r="B147" i="16"/>
  <c r="X146" i="16"/>
  <c r="B146" i="16"/>
  <c r="X145" i="16"/>
  <c r="B145" i="16"/>
  <c r="X144" i="16"/>
  <c r="B144" i="16"/>
  <c r="B143" i="16"/>
  <c r="X134" i="16"/>
  <c r="B134" i="16"/>
  <c r="X133" i="16"/>
  <c r="B133" i="16"/>
  <c r="X132" i="16"/>
  <c r="B132" i="16"/>
  <c r="X131" i="16"/>
  <c r="B131" i="16"/>
  <c r="X130" i="16"/>
  <c r="B130" i="16"/>
  <c r="X129" i="16"/>
  <c r="B129" i="16"/>
  <c r="X128" i="16"/>
  <c r="B128" i="16"/>
  <c r="X127" i="16"/>
  <c r="B127" i="16"/>
  <c r="X126" i="16"/>
  <c r="B126" i="16"/>
  <c r="X125" i="16"/>
  <c r="B125" i="16"/>
  <c r="X124" i="16"/>
  <c r="B124" i="16"/>
  <c r="X123" i="16"/>
  <c r="B123" i="16"/>
  <c r="X122" i="16"/>
  <c r="B122" i="16"/>
  <c r="X121" i="16"/>
  <c r="B121" i="16"/>
  <c r="B120" i="16"/>
  <c r="X111" i="16"/>
  <c r="B111" i="16"/>
  <c r="X110" i="16"/>
  <c r="B110" i="16"/>
  <c r="X109" i="16"/>
  <c r="B109" i="16"/>
  <c r="X108" i="16"/>
  <c r="B108" i="16"/>
  <c r="X107" i="16"/>
  <c r="B107" i="16"/>
  <c r="X106" i="16"/>
  <c r="B106" i="16"/>
  <c r="X105" i="16"/>
  <c r="B105" i="16"/>
  <c r="X104" i="16"/>
  <c r="B104" i="16"/>
  <c r="X103" i="16"/>
  <c r="B103" i="16"/>
  <c r="X102" i="16"/>
  <c r="B102" i="16"/>
  <c r="X101" i="16"/>
  <c r="B101" i="16"/>
  <c r="X100" i="16"/>
  <c r="B100" i="16"/>
  <c r="X99" i="16"/>
  <c r="B99" i="16"/>
  <c r="X98" i="16"/>
  <c r="B98" i="16"/>
  <c r="B97" i="16"/>
  <c r="BI87" i="16"/>
  <c r="AZ87" i="16"/>
  <c r="AK87" i="16"/>
  <c r="X87" i="16"/>
  <c r="B87" i="16"/>
  <c r="BI86" i="16"/>
  <c r="AZ86" i="16"/>
  <c r="AK86" i="16"/>
  <c r="X86" i="16"/>
  <c r="B86" i="16"/>
  <c r="BI85" i="16"/>
  <c r="AZ85" i="16"/>
  <c r="AK85" i="16"/>
  <c r="X85" i="16"/>
  <c r="B85" i="16"/>
  <c r="BI84" i="16"/>
  <c r="AZ84" i="16"/>
  <c r="AK84" i="16"/>
  <c r="X84" i="16"/>
  <c r="B84" i="16"/>
  <c r="BI83" i="16"/>
  <c r="AZ83" i="16"/>
  <c r="AK83" i="16"/>
  <c r="X83" i="16"/>
  <c r="B83" i="16"/>
  <c r="BI82" i="16"/>
  <c r="AZ82" i="16"/>
  <c r="AK82" i="16"/>
  <c r="X82" i="16"/>
  <c r="B82" i="16"/>
  <c r="BI81" i="16"/>
  <c r="AZ81" i="16"/>
  <c r="AK81" i="16"/>
  <c r="X81" i="16"/>
  <c r="B81" i="16"/>
  <c r="BI80" i="16"/>
  <c r="AZ80" i="16"/>
  <c r="AK80" i="16"/>
  <c r="X80" i="16"/>
  <c r="B80" i="16"/>
  <c r="BI79" i="16"/>
  <c r="AZ79" i="16"/>
  <c r="AK79" i="16"/>
  <c r="X79" i="16"/>
  <c r="B79" i="16"/>
  <c r="BI78" i="16"/>
  <c r="AZ78" i="16"/>
  <c r="AK78" i="16"/>
  <c r="X78" i="16"/>
  <c r="B78" i="16"/>
  <c r="BI77" i="16"/>
  <c r="AZ77" i="16"/>
  <c r="AK77" i="16"/>
  <c r="X77" i="16"/>
  <c r="B77" i="16"/>
  <c r="BI76" i="16"/>
  <c r="AZ76" i="16"/>
  <c r="AK76" i="16"/>
  <c r="X76" i="16"/>
  <c r="B76" i="16"/>
  <c r="BI75" i="16"/>
  <c r="AZ75" i="16"/>
  <c r="AK75" i="16"/>
  <c r="X75" i="16"/>
  <c r="B75" i="16"/>
  <c r="BI74" i="16"/>
  <c r="AZ74" i="16"/>
  <c r="AK74" i="16"/>
  <c r="X74" i="16"/>
  <c r="B74" i="16"/>
  <c r="BI73" i="16"/>
  <c r="AZ73" i="16"/>
  <c r="AK73" i="16"/>
  <c r="P166" i="16"/>
  <c r="P182" i="16"/>
  <c r="B73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O261" i="15"/>
  <c r="N261" i="15"/>
  <c r="M261" i="15"/>
  <c r="L261" i="15"/>
  <c r="K261" i="15"/>
  <c r="J261" i="15"/>
  <c r="I261" i="15"/>
  <c r="H261" i="15"/>
  <c r="O260" i="15"/>
  <c r="N260" i="15"/>
  <c r="M260" i="15"/>
  <c r="L260" i="15"/>
  <c r="K260" i="15"/>
  <c r="J260" i="15"/>
  <c r="I260" i="15"/>
  <c r="H260" i="15"/>
  <c r="P252" i="15"/>
  <c r="P374" i="15"/>
  <c r="B236" i="15"/>
  <c r="B235" i="15"/>
  <c r="B234" i="15"/>
  <c r="B233" i="15"/>
  <c r="B232" i="15"/>
  <c r="B231" i="15"/>
  <c r="B230" i="15"/>
  <c r="B229" i="15"/>
  <c r="B228" i="15"/>
  <c r="B227" i="15"/>
  <c r="B226" i="15"/>
  <c r="B225" i="15"/>
  <c r="B224" i="15"/>
  <c r="B223" i="15"/>
  <c r="B222" i="15"/>
  <c r="L210" i="15"/>
  <c r="L219" i="15"/>
  <c r="H210" i="15"/>
  <c r="H219" i="15"/>
  <c r="O210" i="15"/>
  <c r="O259" i="15"/>
  <c r="O263" i="15"/>
  <c r="N210" i="15"/>
  <c r="N259" i="15"/>
  <c r="N263" i="15"/>
  <c r="M210" i="15"/>
  <c r="M259" i="15"/>
  <c r="M263" i="15"/>
  <c r="L259" i="15"/>
  <c r="L263" i="15"/>
  <c r="K210" i="15"/>
  <c r="K259" i="15"/>
  <c r="K263" i="15"/>
  <c r="J210" i="15"/>
  <c r="J259" i="15"/>
  <c r="J263" i="15"/>
  <c r="I210" i="15"/>
  <c r="I259" i="15"/>
  <c r="I263" i="15"/>
  <c r="H259" i="15"/>
  <c r="H263" i="15"/>
  <c r="O208" i="15"/>
  <c r="N208" i="15"/>
  <c r="M208" i="15"/>
  <c r="L208" i="15"/>
  <c r="K208" i="15"/>
  <c r="J208" i="15"/>
  <c r="I208" i="15"/>
  <c r="H208" i="15"/>
  <c r="X203" i="15"/>
  <c r="B203" i="15"/>
  <c r="X202" i="15"/>
  <c r="B202" i="15"/>
  <c r="X201" i="15"/>
  <c r="B201" i="15"/>
  <c r="X200" i="15"/>
  <c r="B200" i="15"/>
  <c r="X199" i="15"/>
  <c r="B199" i="15"/>
  <c r="X198" i="15"/>
  <c r="B198" i="15"/>
  <c r="X197" i="15"/>
  <c r="B197" i="15"/>
  <c r="X196" i="15"/>
  <c r="B196" i="15"/>
  <c r="X195" i="15"/>
  <c r="B195" i="15"/>
  <c r="X194" i="15"/>
  <c r="B194" i="15"/>
  <c r="X193" i="15"/>
  <c r="B193" i="15"/>
  <c r="B192" i="15"/>
  <c r="B191" i="15"/>
  <c r="B190" i="15"/>
  <c r="B189" i="15"/>
  <c r="X180" i="15"/>
  <c r="B180" i="15"/>
  <c r="X179" i="15"/>
  <c r="B179" i="15"/>
  <c r="X178" i="15"/>
  <c r="B178" i="15"/>
  <c r="X177" i="15"/>
  <c r="B177" i="15"/>
  <c r="X176" i="15"/>
  <c r="B176" i="15"/>
  <c r="X175" i="15"/>
  <c r="B175" i="15"/>
  <c r="X174" i="15"/>
  <c r="B174" i="15"/>
  <c r="X173" i="15"/>
  <c r="B173" i="15"/>
  <c r="X172" i="15"/>
  <c r="B172" i="15"/>
  <c r="X171" i="15"/>
  <c r="B171" i="15"/>
  <c r="X170" i="15"/>
  <c r="B170" i="15"/>
  <c r="B169" i="15"/>
  <c r="B168" i="15"/>
  <c r="B167" i="15"/>
  <c r="B166" i="15"/>
  <c r="X157" i="15"/>
  <c r="B157" i="15"/>
  <c r="X156" i="15"/>
  <c r="B156" i="15"/>
  <c r="X155" i="15"/>
  <c r="B155" i="15"/>
  <c r="X154" i="15"/>
  <c r="B154" i="15"/>
  <c r="X153" i="15"/>
  <c r="B153" i="15"/>
  <c r="X152" i="15"/>
  <c r="B152" i="15"/>
  <c r="X151" i="15"/>
  <c r="B151" i="15"/>
  <c r="X150" i="15"/>
  <c r="B150" i="15"/>
  <c r="X149" i="15"/>
  <c r="B149" i="15"/>
  <c r="X148" i="15"/>
  <c r="B148" i="15"/>
  <c r="X147" i="15"/>
  <c r="B147" i="15"/>
  <c r="B146" i="15"/>
  <c r="B145" i="15"/>
  <c r="B144" i="15"/>
  <c r="B143" i="15"/>
  <c r="X134" i="15"/>
  <c r="B134" i="15"/>
  <c r="X133" i="15"/>
  <c r="B133" i="15"/>
  <c r="X132" i="15"/>
  <c r="B132" i="15"/>
  <c r="X131" i="15"/>
  <c r="B131" i="15"/>
  <c r="X130" i="15"/>
  <c r="B130" i="15"/>
  <c r="X129" i="15"/>
  <c r="B129" i="15"/>
  <c r="X128" i="15"/>
  <c r="B128" i="15"/>
  <c r="X127" i="15"/>
  <c r="B127" i="15"/>
  <c r="X126" i="15"/>
  <c r="B126" i="15"/>
  <c r="X125" i="15"/>
  <c r="B125" i="15"/>
  <c r="X124" i="15"/>
  <c r="B124" i="15"/>
  <c r="B123" i="15"/>
  <c r="B122" i="15"/>
  <c r="B121" i="15"/>
  <c r="B120" i="15"/>
  <c r="X111" i="15"/>
  <c r="B111" i="15"/>
  <c r="X110" i="15"/>
  <c r="B110" i="15"/>
  <c r="X109" i="15"/>
  <c r="B109" i="15"/>
  <c r="X108" i="15"/>
  <c r="B108" i="15"/>
  <c r="X107" i="15"/>
  <c r="B107" i="15"/>
  <c r="X106" i="15"/>
  <c r="B106" i="15"/>
  <c r="X105" i="15"/>
  <c r="B105" i="15"/>
  <c r="X104" i="15"/>
  <c r="B104" i="15"/>
  <c r="X103" i="15"/>
  <c r="B103" i="15"/>
  <c r="X102" i="15"/>
  <c r="B102" i="15"/>
  <c r="X101" i="15"/>
  <c r="B101" i="15"/>
  <c r="B100" i="15"/>
  <c r="B99" i="15"/>
  <c r="B98" i="15"/>
  <c r="B97" i="15"/>
  <c r="BI87" i="15"/>
  <c r="AZ87" i="15"/>
  <c r="AK87" i="15"/>
  <c r="X87" i="15"/>
  <c r="B87" i="15"/>
  <c r="BI86" i="15"/>
  <c r="AZ86" i="15"/>
  <c r="AK86" i="15"/>
  <c r="X86" i="15"/>
  <c r="B86" i="15"/>
  <c r="BI85" i="15"/>
  <c r="AZ85" i="15"/>
  <c r="AK85" i="15"/>
  <c r="X85" i="15"/>
  <c r="B85" i="15"/>
  <c r="BI84" i="15"/>
  <c r="AZ84" i="15"/>
  <c r="AK84" i="15"/>
  <c r="X84" i="15"/>
  <c r="B84" i="15"/>
  <c r="BI83" i="15"/>
  <c r="AZ83" i="15"/>
  <c r="AK83" i="15"/>
  <c r="X83" i="15"/>
  <c r="B83" i="15"/>
  <c r="BI82" i="15"/>
  <c r="AZ82" i="15"/>
  <c r="AK82" i="15"/>
  <c r="X82" i="15"/>
  <c r="B82" i="15"/>
  <c r="BI81" i="15"/>
  <c r="AZ81" i="15"/>
  <c r="AK81" i="15"/>
  <c r="X81" i="15"/>
  <c r="B81" i="15"/>
  <c r="BI80" i="15"/>
  <c r="AZ80" i="15"/>
  <c r="AK80" i="15"/>
  <c r="X80" i="15"/>
  <c r="B80" i="15"/>
  <c r="BI79" i="15"/>
  <c r="AZ79" i="15"/>
  <c r="AK79" i="15"/>
  <c r="X79" i="15"/>
  <c r="B79" i="15"/>
  <c r="BI78" i="15"/>
  <c r="AZ78" i="15"/>
  <c r="AK78" i="15"/>
  <c r="X78" i="15"/>
  <c r="B78" i="15"/>
  <c r="BI77" i="15"/>
  <c r="AZ77" i="15"/>
  <c r="AK77" i="15"/>
  <c r="X77" i="15"/>
  <c r="B77" i="15"/>
  <c r="BI76" i="15"/>
  <c r="AZ76" i="15"/>
  <c r="AK76" i="15"/>
  <c r="B76" i="15"/>
  <c r="BI75" i="15"/>
  <c r="AZ75" i="15"/>
  <c r="AK75" i="15"/>
  <c r="B75" i="15"/>
  <c r="BI74" i="15"/>
  <c r="AZ74" i="15"/>
  <c r="AK74" i="15"/>
  <c r="B74" i="15"/>
  <c r="BI73" i="15"/>
  <c r="AZ73" i="15"/>
  <c r="AK73" i="15"/>
  <c r="B73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H259" i="17"/>
  <c r="H263" i="17"/>
  <c r="H219" i="17"/>
  <c r="L259" i="17"/>
  <c r="L263" i="17"/>
  <c r="L219" i="17"/>
  <c r="J263" i="17"/>
  <c r="N263" i="17"/>
  <c r="P374" i="17"/>
  <c r="P261" i="17"/>
  <c r="T261" i="17"/>
  <c r="K219" i="17"/>
  <c r="O219" i="17"/>
  <c r="Q261" i="17"/>
  <c r="U261" i="17"/>
  <c r="R261" i="17"/>
  <c r="V261" i="17"/>
  <c r="H259" i="16"/>
  <c r="H263" i="16"/>
  <c r="H219" i="16"/>
  <c r="L259" i="16"/>
  <c r="L263" i="16"/>
  <c r="L219" i="16"/>
  <c r="Q261" i="16"/>
  <c r="U261" i="16"/>
  <c r="K219" i="16"/>
  <c r="O219" i="16"/>
  <c r="R261" i="16"/>
  <c r="V261" i="16"/>
  <c r="I219" i="16"/>
  <c r="M219" i="16"/>
  <c r="S261" i="16"/>
  <c r="I219" i="15"/>
  <c r="M219" i="15"/>
  <c r="R261" i="15"/>
  <c r="V261" i="15"/>
  <c r="J219" i="15"/>
  <c r="N219" i="15"/>
  <c r="S261" i="15"/>
  <c r="K219" i="15"/>
  <c r="O219" i="15"/>
  <c r="P261" i="15"/>
  <c r="T261" i="15"/>
  <c r="Q261" i="15"/>
  <c r="U261" i="15"/>
  <c r="V261" i="14"/>
  <c r="O261" i="14"/>
  <c r="N261" i="14"/>
  <c r="M261" i="14"/>
  <c r="L261" i="14"/>
  <c r="K261" i="14"/>
  <c r="J261" i="14"/>
  <c r="I261" i="14"/>
  <c r="H261" i="14"/>
  <c r="O260" i="14"/>
  <c r="N260" i="14"/>
  <c r="M260" i="14"/>
  <c r="L260" i="14"/>
  <c r="K260" i="14"/>
  <c r="J260" i="14"/>
  <c r="I260" i="14"/>
  <c r="H260" i="14"/>
  <c r="O210" i="14"/>
  <c r="O259" i="14"/>
  <c r="O263" i="14"/>
  <c r="N210" i="14"/>
  <c r="N259" i="14"/>
  <c r="N263" i="14"/>
  <c r="K210" i="14"/>
  <c r="K259" i="14"/>
  <c r="K263" i="14"/>
  <c r="J210" i="14"/>
  <c r="J259" i="14"/>
  <c r="J263" i="14"/>
  <c r="U261" i="14"/>
  <c r="P252" i="14"/>
  <c r="B236" i="14"/>
  <c r="B235" i="14"/>
  <c r="B234" i="14"/>
  <c r="B233" i="14"/>
  <c r="B232" i="14"/>
  <c r="B231" i="14"/>
  <c r="B230" i="14"/>
  <c r="B229" i="14"/>
  <c r="B228" i="14"/>
  <c r="B227" i="14"/>
  <c r="B226" i="14"/>
  <c r="B225" i="14"/>
  <c r="B224" i="14"/>
  <c r="B223" i="14"/>
  <c r="B222" i="14"/>
  <c r="O219" i="14"/>
  <c r="N219" i="14"/>
  <c r="K219" i="14"/>
  <c r="J219" i="14"/>
  <c r="M210" i="14"/>
  <c r="M259" i="14"/>
  <c r="M263" i="14"/>
  <c r="L210" i="14"/>
  <c r="L259" i="14"/>
  <c r="L263" i="14"/>
  <c r="I210" i="14"/>
  <c r="I259" i="14"/>
  <c r="I263" i="14"/>
  <c r="H210" i="14"/>
  <c r="H259" i="14"/>
  <c r="H263" i="14"/>
  <c r="O208" i="14"/>
  <c r="N208" i="14"/>
  <c r="M208" i="14"/>
  <c r="L208" i="14"/>
  <c r="K208" i="14"/>
  <c r="J208" i="14"/>
  <c r="I208" i="14"/>
  <c r="H208" i="14"/>
  <c r="X203" i="14"/>
  <c r="B203" i="14"/>
  <c r="X202" i="14"/>
  <c r="B202" i="14"/>
  <c r="X201" i="14"/>
  <c r="B201" i="14"/>
  <c r="X200" i="14"/>
  <c r="B200" i="14"/>
  <c r="X199" i="14"/>
  <c r="B199" i="14"/>
  <c r="X198" i="14"/>
  <c r="B198" i="14"/>
  <c r="X197" i="14"/>
  <c r="B197" i="14"/>
  <c r="X196" i="14"/>
  <c r="B196" i="14"/>
  <c r="X195" i="14"/>
  <c r="B195" i="14"/>
  <c r="X194" i="14"/>
  <c r="B194" i="14"/>
  <c r="X193" i="14"/>
  <c r="B193" i="14"/>
  <c r="X192" i="14"/>
  <c r="B192" i="14"/>
  <c r="X191" i="14"/>
  <c r="B191" i="14"/>
  <c r="X190" i="14"/>
  <c r="B190" i="14"/>
  <c r="B189" i="14"/>
  <c r="X180" i="14"/>
  <c r="B180" i="14"/>
  <c r="X179" i="14"/>
  <c r="B179" i="14"/>
  <c r="X178" i="14"/>
  <c r="B178" i="14"/>
  <c r="X177" i="14"/>
  <c r="B177" i="14"/>
  <c r="X176" i="14"/>
  <c r="B176" i="14"/>
  <c r="X175" i="14"/>
  <c r="B175" i="14"/>
  <c r="X174" i="14"/>
  <c r="B174" i="14"/>
  <c r="X173" i="14"/>
  <c r="B173" i="14"/>
  <c r="X172" i="14"/>
  <c r="B172" i="14"/>
  <c r="X171" i="14"/>
  <c r="B171" i="14"/>
  <c r="X170" i="14"/>
  <c r="B170" i="14"/>
  <c r="X169" i="14"/>
  <c r="B169" i="14"/>
  <c r="X168" i="14"/>
  <c r="B168" i="14"/>
  <c r="X167" i="14"/>
  <c r="B167" i="14"/>
  <c r="B166" i="14"/>
  <c r="X157" i="14"/>
  <c r="B157" i="14"/>
  <c r="X156" i="14"/>
  <c r="B156" i="14"/>
  <c r="X155" i="14"/>
  <c r="B155" i="14"/>
  <c r="X154" i="14"/>
  <c r="B154" i="14"/>
  <c r="X153" i="14"/>
  <c r="B153" i="14"/>
  <c r="X152" i="14"/>
  <c r="B152" i="14"/>
  <c r="X151" i="14"/>
  <c r="B151" i="14"/>
  <c r="X150" i="14"/>
  <c r="B150" i="14"/>
  <c r="X149" i="14"/>
  <c r="B149" i="14"/>
  <c r="X148" i="14"/>
  <c r="B148" i="14"/>
  <c r="X147" i="14"/>
  <c r="B147" i="14"/>
  <c r="X146" i="14"/>
  <c r="B146" i="14"/>
  <c r="X145" i="14"/>
  <c r="B145" i="14"/>
  <c r="X144" i="14"/>
  <c r="B144" i="14"/>
  <c r="B143" i="14"/>
  <c r="X134" i="14"/>
  <c r="B134" i="14"/>
  <c r="X133" i="14"/>
  <c r="B133" i="14"/>
  <c r="X132" i="14"/>
  <c r="B132" i="14"/>
  <c r="X131" i="14"/>
  <c r="B131" i="14"/>
  <c r="X130" i="14"/>
  <c r="B130" i="14"/>
  <c r="X129" i="14"/>
  <c r="B129" i="14"/>
  <c r="X128" i="14"/>
  <c r="B128" i="14"/>
  <c r="X127" i="14"/>
  <c r="B127" i="14"/>
  <c r="X126" i="14"/>
  <c r="B126" i="14"/>
  <c r="X125" i="14"/>
  <c r="B125" i="14"/>
  <c r="X124" i="14"/>
  <c r="B124" i="14"/>
  <c r="X123" i="14"/>
  <c r="B123" i="14"/>
  <c r="X122" i="14"/>
  <c r="B122" i="14"/>
  <c r="X121" i="14"/>
  <c r="B121" i="14"/>
  <c r="B120" i="14"/>
  <c r="X111" i="14"/>
  <c r="B111" i="14"/>
  <c r="X110" i="14"/>
  <c r="B110" i="14"/>
  <c r="X109" i="14"/>
  <c r="B109" i="14"/>
  <c r="X108" i="14"/>
  <c r="B108" i="14"/>
  <c r="X107" i="14"/>
  <c r="B107" i="14"/>
  <c r="X106" i="14"/>
  <c r="B106" i="14"/>
  <c r="X105" i="14"/>
  <c r="B105" i="14"/>
  <c r="X104" i="14"/>
  <c r="B104" i="14"/>
  <c r="X103" i="14"/>
  <c r="B103" i="14"/>
  <c r="X102" i="14"/>
  <c r="B102" i="14"/>
  <c r="X101" i="14"/>
  <c r="B101" i="14"/>
  <c r="X100" i="14"/>
  <c r="B100" i="14"/>
  <c r="X99" i="14"/>
  <c r="B99" i="14"/>
  <c r="X98" i="14"/>
  <c r="B98" i="14"/>
  <c r="B97" i="14"/>
  <c r="BI87" i="14"/>
  <c r="AZ87" i="14"/>
  <c r="AK87" i="14"/>
  <c r="X87" i="14"/>
  <c r="B87" i="14"/>
  <c r="BI86" i="14"/>
  <c r="AZ86" i="14"/>
  <c r="AK86" i="14"/>
  <c r="X86" i="14"/>
  <c r="B86" i="14"/>
  <c r="BI85" i="14"/>
  <c r="AZ85" i="14"/>
  <c r="AK85" i="14"/>
  <c r="X85" i="14"/>
  <c r="B85" i="14"/>
  <c r="BI84" i="14"/>
  <c r="AZ84" i="14"/>
  <c r="AK84" i="14"/>
  <c r="X84" i="14"/>
  <c r="B84" i="14"/>
  <c r="BI83" i="14"/>
  <c r="AZ83" i="14"/>
  <c r="AK83" i="14"/>
  <c r="X83" i="14"/>
  <c r="B83" i="14"/>
  <c r="BI82" i="14"/>
  <c r="AZ82" i="14"/>
  <c r="AK82" i="14"/>
  <c r="X82" i="14"/>
  <c r="B82" i="14"/>
  <c r="BI81" i="14"/>
  <c r="AZ81" i="14"/>
  <c r="AK81" i="14"/>
  <c r="X81" i="14"/>
  <c r="B81" i="14"/>
  <c r="BI80" i="14"/>
  <c r="AZ80" i="14"/>
  <c r="AK80" i="14"/>
  <c r="X80" i="14"/>
  <c r="B80" i="14"/>
  <c r="BI79" i="14"/>
  <c r="AZ79" i="14"/>
  <c r="AK79" i="14"/>
  <c r="X79" i="14"/>
  <c r="B79" i="14"/>
  <c r="BI78" i="14"/>
  <c r="AZ78" i="14"/>
  <c r="AK78" i="14"/>
  <c r="X78" i="14"/>
  <c r="B78" i="14"/>
  <c r="BI77" i="14"/>
  <c r="AZ77" i="14"/>
  <c r="AK77" i="14"/>
  <c r="X77" i="14"/>
  <c r="B77" i="14"/>
  <c r="BI76" i="14"/>
  <c r="AZ76" i="14"/>
  <c r="AK76" i="14"/>
  <c r="X76" i="14"/>
  <c r="B76" i="14"/>
  <c r="BI75" i="14"/>
  <c r="AZ75" i="14"/>
  <c r="AK75" i="14"/>
  <c r="X75" i="14"/>
  <c r="B75" i="14"/>
  <c r="BI74" i="14"/>
  <c r="AZ74" i="14"/>
  <c r="AK74" i="14"/>
  <c r="X74" i="14"/>
  <c r="B74" i="14"/>
  <c r="BI73" i="14"/>
  <c r="AZ73" i="14"/>
  <c r="AK73" i="14"/>
  <c r="B73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I210" i="12"/>
  <c r="I259" i="12"/>
  <c r="I260" i="12"/>
  <c r="I261" i="12"/>
  <c r="I263" i="12"/>
  <c r="V261" i="12"/>
  <c r="T261" i="12"/>
  <c r="S261" i="12"/>
  <c r="R261" i="12"/>
  <c r="P252" i="12"/>
  <c r="P261" i="12"/>
  <c r="O261" i="12"/>
  <c r="N261" i="12"/>
  <c r="M261" i="12"/>
  <c r="L261" i="12"/>
  <c r="K261" i="12"/>
  <c r="J261" i="12"/>
  <c r="H261" i="12"/>
  <c r="O260" i="12"/>
  <c r="N260" i="12"/>
  <c r="M260" i="12"/>
  <c r="L260" i="12"/>
  <c r="K260" i="12"/>
  <c r="J260" i="12"/>
  <c r="H260" i="12"/>
  <c r="N210" i="12"/>
  <c r="N259" i="12"/>
  <c r="N263" i="12"/>
  <c r="M210" i="12"/>
  <c r="M259" i="12"/>
  <c r="M263" i="12"/>
  <c r="J210" i="12"/>
  <c r="J259" i="12"/>
  <c r="P374" i="12"/>
  <c r="B236" i="12"/>
  <c r="B235" i="12"/>
  <c r="B234" i="12"/>
  <c r="B233" i="12"/>
  <c r="B232" i="12"/>
  <c r="B231" i="12"/>
  <c r="B230" i="12"/>
  <c r="B229" i="12"/>
  <c r="B228" i="12"/>
  <c r="B227" i="12"/>
  <c r="B226" i="12"/>
  <c r="B225" i="12"/>
  <c r="B224" i="12"/>
  <c r="B223" i="12"/>
  <c r="B222" i="12"/>
  <c r="N219" i="12"/>
  <c r="M219" i="12"/>
  <c r="J219" i="12"/>
  <c r="I219" i="12"/>
  <c r="O210" i="12"/>
  <c r="L210" i="12"/>
  <c r="K210" i="12"/>
  <c r="H210" i="12"/>
  <c r="O208" i="12"/>
  <c r="N208" i="12"/>
  <c r="M208" i="12"/>
  <c r="L208" i="12"/>
  <c r="K208" i="12"/>
  <c r="J208" i="12"/>
  <c r="I208" i="12"/>
  <c r="H208" i="12"/>
  <c r="X203" i="12"/>
  <c r="B203" i="12"/>
  <c r="X202" i="12"/>
  <c r="B202" i="12"/>
  <c r="X201" i="12"/>
  <c r="B201" i="12"/>
  <c r="X200" i="12"/>
  <c r="B200" i="12"/>
  <c r="X199" i="12"/>
  <c r="B199" i="12"/>
  <c r="X198" i="12"/>
  <c r="B198" i="12"/>
  <c r="X197" i="12"/>
  <c r="B197" i="12"/>
  <c r="X196" i="12"/>
  <c r="B196" i="12"/>
  <c r="X195" i="12"/>
  <c r="B195" i="12"/>
  <c r="X194" i="12"/>
  <c r="B194" i="12"/>
  <c r="X193" i="12"/>
  <c r="B193" i="12"/>
  <c r="B192" i="12"/>
  <c r="B191" i="12"/>
  <c r="B190" i="12"/>
  <c r="B189" i="12"/>
  <c r="X180" i="12"/>
  <c r="B180" i="12"/>
  <c r="X179" i="12"/>
  <c r="B179" i="12"/>
  <c r="X178" i="12"/>
  <c r="B178" i="12"/>
  <c r="X177" i="12"/>
  <c r="B177" i="12"/>
  <c r="X176" i="12"/>
  <c r="B176" i="12"/>
  <c r="X175" i="12"/>
  <c r="B175" i="12"/>
  <c r="X174" i="12"/>
  <c r="B174" i="12"/>
  <c r="X173" i="12"/>
  <c r="B173" i="12"/>
  <c r="X172" i="12"/>
  <c r="B172" i="12"/>
  <c r="X171" i="12"/>
  <c r="B171" i="12"/>
  <c r="X170" i="12"/>
  <c r="B170" i="12"/>
  <c r="B169" i="12"/>
  <c r="B168" i="12"/>
  <c r="B167" i="12"/>
  <c r="B166" i="12"/>
  <c r="X157" i="12"/>
  <c r="B157" i="12"/>
  <c r="X156" i="12"/>
  <c r="B156" i="12"/>
  <c r="X155" i="12"/>
  <c r="B155" i="12"/>
  <c r="X154" i="12"/>
  <c r="B154" i="12"/>
  <c r="X153" i="12"/>
  <c r="B153" i="12"/>
  <c r="X152" i="12"/>
  <c r="B152" i="12"/>
  <c r="X151" i="12"/>
  <c r="B151" i="12"/>
  <c r="X150" i="12"/>
  <c r="B150" i="12"/>
  <c r="X149" i="12"/>
  <c r="B149" i="12"/>
  <c r="X148" i="12"/>
  <c r="B148" i="12"/>
  <c r="X147" i="12"/>
  <c r="B147" i="12"/>
  <c r="B146" i="12"/>
  <c r="B145" i="12"/>
  <c r="B144" i="12"/>
  <c r="B143" i="12"/>
  <c r="X134" i="12"/>
  <c r="B134" i="12"/>
  <c r="X133" i="12"/>
  <c r="B133" i="12"/>
  <c r="X132" i="12"/>
  <c r="B132" i="12"/>
  <c r="X131" i="12"/>
  <c r="B131" i="12"/>
  <c r="X130" i="12"/>
  <c r="B130" i="12"/>
  <c r="X129" i="12"/>
  <c r="B129" i="12"/>
  <c r="X128" i="12"/>
  <c r="B128" i="12"/>
  <c r="X127" i="12"/>
  <c r="B127" i="12"/>
  <c r="X126" i="12"/>
  <c r="B126" i="12"/>
  <c r="X125" i="12"/>
  <c r="B125" i="12"/>
  <c r="X124" i="12"/>
  <c r="B124" i="12"/>
  <c r="B123" i="12"/>
  <c r="B122" i="12"/>
  <c r="B121" i="12"/>
  <c r="B120" i="12"/>
  <c r="X111" i="12"/>
  <c r="B111" i="12"/>
  <c r="X110" i="12"/>
  <c r="B110" i="12"/>
  <c r="X109" i="12"/>
  <c r="B109" i="12"/>
  <c r="X108" i="12"/>
  <c r="B108" i="12"/>
  <c r="X107" i="12"/>
  <c r="B107" i="12"/>
  <c r="X106" i="12"/>
  <c r="B106" i="12"/>
  <c r="X105" i="12"/>
  <c r="B105" i="12"/>
  <c r="X104" i="12"/>
  <c r="B104" i="12"/>
  <c r="X103" i="12"/>
  <c r="B103" i="12"/>
  <c r="X102" i="12"/>
  <c r="B102" i="12"/>
  <c r="X101" i="12"/>
  <c r="B101" i="12"/>
  <c r="B100" i="12"/>
  <c r="B99" i="12"/>
  <c r="B98" i="12"/>
  <c r="B97" i="12"/>
  <c r="BI87" i="12"/>
  <c r="AZ87" i="12"/>
  <c r="AK87" i="12"/>
  <c r="X87" i="12"/>
  <c r="B87" i="12"/>
  <c r="BI86" i="12"/>
  <c r="AZ86" i="12"/>
  <c r="AK86" i="12"/>
  <c r="X86" i="12"/>
  <c r="B86" i="12"/>
  <c r="BI85" i="12"/>
  <c r="AZ85" i="12"/>
  <c r="AK85" i="12"/>
  <c r="X85" i="12"/>
  <c r="B85" i="12"/>
  <c r="BI84" i="12"/>
  <c r="AZ84" i="12"/>
  <c r="AK84" i="12"/>
  <c r="X84" i="12"/>
  <c r="B84" i="12"/>
  <c r="BI83" i="12"/>
  <c r="AZ83" i="12"/>
  <c r="AK83" i="12"/>
  <c r="X83" i="12"/>
  <c r="B83" i="12"/>
  <c r="BI82" i="12"/>
  <c r="AZ82" i="12"/>
  <c r="AK82" i="12"/>
  <c r="X82" i="12"/>
  <c r="B82" i="12"/>
  <c r="BI81" i="12"/>
  <c r="AZ81" i="12"/>
  <c r="AK81" i="12"/>
  <c r="X81" i="12"/>
  <c r="B81" i="12"/>
  <c r="BI80" i="12"/>
  <c r="AZ80" i="12"/>
  <c r="AK80" i="12"/>
  <c r="X80" i="12"/>
  <c r="B80" i="12"/>
  <c r="BI79" i="12"/>
  <c r="AZ79" i="12"/>
  <c r="AK79" i="12"/>
  <c r="X79" i="12"/>
  <c r="B79" i="12"/>
  <c r="BI78" i="12"/>
  <c r="AZ78" i="12"/>
  <c r="AK78" i="12"/>
  <c r="X78" i="12"/>
  <c r="B78" i="12"/>
  <c r="BI77" i="12"/>
  <c r="AZ77" i="12"/>
  <c r="AK77" i="12"/>
  <c r="X77" i="12"/>
  <c r="B77" i="12"/>
  <c r="BI76" i="12"/>
  <c r="AZ76" i="12"/>
  <c r="AK76" i="12"/>
  <c r="B76" i="12"/>
  <c r="BI75" i="12"/>
  <c r="AZ75" i="12"/>
  <c r="AK75" i="12"/>
  <c r="B75" i="12"/>
  <c r="BI74" i="12"/>
  <c r="AZ74" i="12"/>
  <c r="AK74" i="12"/>
  <c r="B74" i="12"/>
  <c r="BI73" i="12"/>
  <c r="AZ73" i="12"/>
  <c r="AK73" i="12"/>
  <c r="B73" i="12"/>
  <c r="B66" i="12"/>
  <c r="B65" i="12"/>
  <c r="B64" i="12"/>
  <c r="B63" i="12"/>
  <c r="B62" i="12"/>
  <c r="B61" i="12"/>
  <c r="B60" i="12"/>
  <c r="B59" i="12"/>
  <c r="B58" i="12"/>
  <c r="B57" i="12"/>
  <c r="B56" i="12"/>
  <c r="B55" i="12"/>
  <c r="B54" i="12"/>
  <c r="B53" i="12"/>
  <c r="B52" i="12"/>
  <c r="B45" i="12"/>
  <c r="B44" i="12"/>
  <c r="B43" i="12"/>
  <c r="B42" i="12"/>
  <c r="B41" i="12"/>
  <c r="B40" i="12"/>
  <c r="B39" i="12"/>
  <c r="B38" i="12"/>
  <c r="B37" i="12"/>
  <c r="B36" i="12"/>
  <c r="B35" i="12"/>
  <c r="B34" i="12"/>
  <c r="B33" i="12"/>
  <c r="B32" i="12"/>
  <c r="B31" i="12"/>
  <c r="Q261" i="14"/>
  <c r="R261" i="14"/>
  <c r="H219" i="14"/>
  <c r="L219" i="14"/>
  <c r="S261" i="14"/>
  <c r="I219" i="14"/>
  <c r="M219" i="14"/>
  <c r="P374" i="14"/>
  <c r="P261" i="14"/>
  <c r="T261" i="14"/>
  <c r="Q261" i="12"/>
  <c r="K259" i="12"/>
  <c r="K263" i="12"/>
  <c r="K219" i="12"/>
  <c r="H259" i="12"/>
  <c r="H263" i="12"/>
  <c r="H219" i="12"/>
  <c r="L259" i="12"/>
  <c r="L263" i="12"/>
  <c r="L219" i="12"/>
  <c r="U261" i="12"/>
  <c r="O259" i="12"/>
  <c r="O263" i="12"/>
  <c r="O219" i="12"/>
  <c r="J263" i="12"/>
  <c r="X190" i="6"/>
  <c r="X167" i="6"/>
  <c r="X144" i="6"/>
  <c r="X121" i="6"/>
  <c r="X98" i="6"/>
  <c r="X74" i="6"/>
  <c r="BI87" i="6"/>
  <c r="BI86" i="6"/>
  <c r="BI85" i="6"/>
  <c r="BI84" i="6"/>
  <c r="BI83" i="6"/>
  <c r="BI82" i="6"/>
  <c r="BI81" i="6"/>
  <c r="BI80" i="6"/>
  <c r="BI79" i="6"/>
  <c r="BI78" i="6"/>
  <c r="BI77" i="6"/>
  <c r="BI76" i="6"/>
  <c r="BI75" i="6"/>
  <c r="BI74" i="6"/>
  <c r="BI73" i="6"/>
  <c r="Q143" i="16"/>
  <c r="Q159" i="16"/>
  <c r="Q288" i="16"/>
  <c r="R143" i="16"/>
  <c r="AK74" i="6"/>
  <c r="AK73" i="6"/>
  <c r="AZ74" i="6"/>
  <c r="R288" i="16"/>
  <c r="S143" i="16"/>
  <c r="S159" i="16"/>
  <c r="R159" i="1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S288" i="16"/>
  <c r="T143" i="16"/>
  <c r="I208" i="6"/>
  <c r="J208" i="6"/>
  <c r="K208" i="6"/>
  <c r="L208" i="6"/>
  <c r="M208" i="6"/>
  <c r="N208" i="6"/>
  <c r="O208" i="6"/>
  <c r="H208" i="6"/>
  <c r="I261" i="6"/>
  <c r="J261" i="6"/>
  <c r="K261" i="6"/>
  <c r="L261" i="6"/>
  <c r="M261" i="6"/>
  <c r="N261" i="6"/>
  <c r="O261" i="6"/>
  <c r="H261" i="6"/>
  <c r="I260" i="6"/>
  <c r="J260" i="6"/>
  <c r="K260" i="6"/>
  <c r="L260" i="6"/>
  <c r="M260" i="6"/>
  <c r="N260" i="6"/>
  <c r="O260" i="6"/>
  <c r="H260" i="6"/>
  <c r="P252" i="6"/>
  <c r="B222" i="6"/>
  <c r="H210" i="6"/>
  <c r="H219" i="6"/>
  <c r="I210" i="6"/>
  <c r="I219" i="6"/>
  <c r="J210" i="6"/>
  <c r="J219" i="6"/>
  <c r="K210" i="6"/>
  <c r="K219" i="6"/>
  <c r="L210" i="6"/>
  <c r="L219" i="6"/>
  <c r="M210" i="6"/>
  <c r="M219" i="6"/>
  <c r="N210" i="6"/>
  <c r="N219" i="6"/>
  <c r="O210" i="6"/>
  <c r="O219" i="6"/>
  <c r="B189" i="6"/>
  <c r="X203" i="6"/>
  <c r="X202" i="6"/>
  <c r="X201" i="6"/>
  <c r="X200" i="6"/>
  <c r="X199" i="6"/>
  <c r="X198" i="6"/>
  <c r="X197" i="6"/>
  <c r="X196" i="6"/>
  <c r="X195" i="6"/>
  <c r="X194" i="6"/>
  <c r="X193" i="6"/>
  <c r="X192" i="6"/>
  <c r="X191" i="6"/>
  <c r="B166" i="6"/>
  <c r="X180" i="6"/>
  <c r="X179" i="6"/>
  <c r="X178" i="6"/>
  <c r="X177" i="6"/>
  <c r="X176" i="6"/>
  <c r="X175" i="6"/>
  <c r="X174" i="6"/>
  <c r="X173" i="6"/>
  <c r="X172" i="6"/>
  <c r="X171" i="6"/>
  <c r="X170" i="6"/>
  <c r="X169" i="6"/>
  <c r="X168" i="6"/>
  <c r="B143" i="6"/>
  <c r="X157" i="6"/>
  <c r="X156" i="6"/>
  <c r="X155" i="6"/>
  <c r="X154" i="6"/>
  <c r="X153" i="6"/>
  <c r="X152" i="6"/>
  <c r="X151" i="6"/>
  <c r="X150" i="6"/>
  <c r="X149" i="6"/>
  <c r="X148" i="6"/>
  <c r="X147" i="6"/>
  <c r="X146" i="6"/>
  <c r="X145" i="6"/>
  <c r="B120" i="6"/>
  <c r="X134" i="6"/>
  <c r="X133" i="6"/>
  <c r="X132" i="6"/>
  <c r="X131" i="6"/>
  <c r="X130" i="6"/>
  <c r="X129" i="6"/>
  <c r="X128" i="6"/>
  <c r="X127" i="6"/>
  <c r="X126" i="6"/>
  <c r="X125" i="6"/>
  <c r="X124" i="6"/>
  <c r="X123" i="6"/>
  <c r="X122" i="6"/>
  <c r="X73" i="16"/>
  <c r="U143" i="16"/>
  <c r="U159" i="16"/>
  <c r="T159" i="16"/>
  <c r="T288" i="16"/>
  <c r="Q261" i="6"/>
  <c r="P261" i="6"/>
  <c r="P374" i="6"/>
  <c r="K259" i="6"/>
  <c r="K263" i="6"/>
  <c r="L259" i="6"/>
  <c r="L263" i="6"/>
  <c r="O259" i="6"/>
  <c r="O263" i="6"/>
  <c r="H259" i="6"/>
  <c r="H263" i="6"/>
  <c r="M259" i="6"/>
  <c r="M263" i="6"/>
  <c r="I259" i="6"/>
  <c r="I263" i="6"/>
  <c r="N259" i="6"/>
  <c r="N263" i="6"/>
  <c r="J259" i="6"/>
  <c r="J263" i="6"/>
  <c r="X111" i="6"/>
  <c r="X110" i="6"/>
  <c r="X109" i="6"/>
  <c r="X108" i="6"/>
  <c r="X107" i="6"/>
  <c r="X106" i="6"/>
  <c r="X105" i="6"/>
  <c r="X104" i="6"/>
  <c r="X103" i="6"/>
  <c r="X102" i="6"/>
  <c r="X101" i="6"/>
  <c r="X100" i="6"/>
  <c r="X99" i="6"/>
  <c r="B97" i="6"/>
  <c r="AZ87" i="6"/>
  <c r="AZ86" i="6"/>
  <c r="AZ85" i="6"/>
  <c r="AZ84" i="6"/>
  <c r="AZ83" i="6"/>
  <c r="AZ82" i="6"/>
  <c r="AZ81" i="6"/>
  <c r="AZ80" i="6"/>
  <c r="AZ79" i="6"/>
  <c r="AZ78" i="6"/>
  <c r="AZ77" i="6"/>
  <c r="AZ76" i="6"/>
  <c r="AZ75" i="6"/>
  <c r="AZ73" i="6"/>
  <c r="AK75" i="6"/>
  <c r="AK76" i="6"/>
  <c r="AK77" i="6"/>
  <c r="AK78" i="6"/>
  <c r="AK79" i="6"/>
  <c r="AK80" i="6"/>
  <c r="AK81" i="6"/>
  <c r="AK82" i="6"/>
  <c r="AK83" i="6"/>
  <c r="AK84" i="6"/>
  <c r="AK85" i="6"/>
  <c r="AK86" i="6"/>
  <c r="AK87" i="6"/>
  <c r="X75" i="6"/>
  <c r="X76" i="6"/>
  <c r="X77" i="6"/>
  <c r="X78" i="6"/>
  <c r="X79" i="6"/>
  <c r="X80" i="6"/>
  <c r="X81" i="6"/>
  <c r="X82" i="6"/>
  <c r="X83" i="6"/>
  <c r="X84" i="6"/>
  <c r="X85" i="6"/>
  <c r="X86" i="6"/>
  <c r="X87" i="6"/>
  <c r="B73" i="6"/>
  <c r="X89" i="16"/>
  <c r="X207" i="16"/>
  <c r="U288" i="16"/>
  <c r="X136" i="16"/>
  <c r="X120" i="16"/>
  <c r="X113" i="16"/>
  <c r="V143" i="16"/>
  <c r="X97" i="16"/>
  <c r="X182" i="16"/>
  <c r="X166" i="16"/>
  <c r="B52" i="6"/>
  <c r="B31" i="6"/>
  <c r="V288" i="16"/>
  <c r="V159" i="16"/>
  <c r="X159" i="16"/>
  <c r="X143" i="16"/>
  <c r="P143" i="28"/>
  <c r="P159" i="28" s="1"/>
  <c r="P167" i="24"/>
  <c r="P69" i="47"/>
  <c r="P187" i="47"/>
  <c r="P126" i="38"/>
  <c r="P116" i="38"/>
  <c r="P100" i="48"/>
  <c r="P116" i="48"/>
  <c r="P169" i="48"/>
  <c r="P185" i="48"/>
  <c r="P123" i="38"/>
  <c r="P116" i="44"/>
  <c r="P124" i="37"/>
  <c r="P125" i="38"/>
  <c r="P202" i="48"/>
  <c r="P123" i="43"/>
  <c r="P139" i="43"/>
  <c r="P93" i="48"/>
  <c r="P277" i="47"/>
  <c r="P97" i="33"/>
  <c r="P143" i="33"/>
  <c r="P93" i="38"/>
  <c r="P162" i="38"/>
  <c r="P146" i="47"/>
  <c r="P162" i="47"/>
  <c r="P77" i="47"/>
  <c r="P93" i="47"/>
  <c r="P283" i="47"/>
  <c r="P284" i="47"/>
  <c r="P281" i="47"/>
  <c r="P365" i="47"/>
  <c r="P163" i="50"/>
  <c r="P165" i="50"/>
  <c r="P167" i="50"/>
  <c r="P169" i="50"/>
  <c r="P171" i="50"/>
  <c r="P176" i="50"/>
  <c r="P178" i="50"/>
  <c r="P180" i="50"/>
  <c r="P182" i="50"/>
  <c r="P184" i="50"/>
  <c r="P186" i="50"/>
  <c r="P189" i="50"/>
  <c r="P174" i="50"/>
  <c r="P164" i="50"/>
  <c r="P166" i="50"/>
  <c r="P168" i="50"/>
  <c r="P170" i="50"/>
  <c r="P172" i="50"/>
  <c r="P177" i="50"/>
  <c r="P179" i="50"/>
  <c r="P183" i="50"/>
  <c r="P185" i="50"/>
  <c r="P187" i="50"/>
  <c r="P188" i="50"/>
  <c r="N191" i="50"/>
  <c r="N16" i="65"/>
  <c r="P181" i="50"/>
  <c r="P175" i="50"/>
  <c r="P282" i="47"/>
  <c r="P280" i="47"/>
  <c r="P279" i="47"/>
  <c r="P278" i="47"/>
  <c r="P371" i="46"/>
  <c r="P370" i="46"/>
  <c r="P123" i="46"/>
  <c r="P139" i="46"/>
  <c r="P284" i="46"/>
  <c r="P279" i="46"/>
  <c r="P281" i="46"/>
  <c r="P372" i="46"/>
  <c r="P369" i="46"/>
  <c r="P364" i="46"/>
  <c r="P363" i="46"/>
  <c r="P366" i="46"/>
  <c r="P365" i="46"/>
  <c r="P282" i="46"/>
  <c r="P277" i="46"/>
  <c r="P288" i="46"/>
  <c r="P362" i="46"/>
  <c r="P366" i="45"/>
  <c r="P368" i="45"/>
  <c r="P281" i="45"/>
  <c r="P277" i="45"/>
  <c r="P279" i="45"/>
  <c r="P282" i="45"/>
  <c r="P284" i="45"/>
  <c r="P285" i="45"/>
  <c r="P364" i="45"/>
  <c r="P372" i="45"/>
  <c r="P276" i="45"/>
  <c r="P280" i="45"/>
  <c r="P283" i="45"/>
  <c r="P369" i="45"/>
  <c r="P187" i="45"/>
  <c r="P286" i="45"/>
  <c r="P365" i="45"/>
  <c r="P363" i="45"/>
  <c r="P370" i="45"/>
  <c r="P367" i="45"/>
  <c r="P371" i="45"/>
  <c r="P362" i="45"/>
  <c r="P278" i="45"/>
  <c r="P93" i="45"/>
  <c r="P100" i="45"/>
  <c r="P116" i="45"/>
  <c r="P146" i="45"/>
  <c r="P162" i="45"/>
  <c r="P367" i="44"/>
  <c r="P372" i="44"/>
  <c r="P369" i="44"/>
  <c r="P93" i="43"/>
  <c r="P368" i="43"/>
  <c r="P277" i="43"/>
  <c r="P282" i="43"/>
  <c r="P365" i="43"/>
  <c r="P362" i="43"/>
  <c r="P279" i="43"/>
  <c r="P364" i="43"/>
  <c r="P367" i="43"/>
  <c r="P283" i="43"/>
  <c r="P286" i="43"/>
  <c r="P363" i="43"/>
  <c r="P370" i="43"/>
  <c r="P372" i="43"/>
  <c r="P276" i="43"/>
  <c r="P280" i="43"/>
  <c r="P369" i="43"/>
  <c r="P187" i="43"/>
  <c r="P281" i="43"/>
  <c r="P284" i="43"/>
  <c r="P366" i="43"/>
  <c r="P371" i="43"/>
  <c r="P278" i="43"/>
  <c r="P285" i="43"/>
  <c r="P145" i="40"/>
  <c r="P121" i="40"/>
  <c r="P144" i="40"/>
  <c r="P123" i="40"/>
  <c r="P146" i="40"/>
  <c r="P169" i="40"/>
  <c r="P89" i="40"/>
  <c r="P372" i="40"/>
  <c r="P120" i="40"/>
  <c r="P281" i="40"/>
  <c r="P285" i="40"/>
  <c r="P283" i="40"/>
  <c r="P365" i="40"/>
  <c r="P363" i="40"/>
  <c r="P97" i="40"/>
  <c r="P166" i="40"/>
  <c r="P124" i="38"/>
  <c r="P284" i="38"/>
  <c r="P283" i="38"/>
  <c r="P282" i="38"/>
  <c r="P280" i="38"/>
  <c r="P279" i="38"/>
  <c r="P278" i="38"/>
  <c r="P277" i="38"/>
  <c r="P276" i="38"/>
  <c r="P281" i="38"/>
  <c r="P288" i="38"/>
  <c r="P187" i="38"/>
  <c r="P371" i="38"/>
  <c r="P363" i="38"/>
  <c r="P367" i="38"/>
  <c r="P368" i="38"/>
  <c r="P372" i="38"/>
  <c r="P143" i="35"/>
  <c r="P89" i="35"/>
  <c r="P363" i="35"/>
  <c r="P284" i="35"/>
  <c r="P372" i="35"/>
  <c r="P364" i="35"/>
  <c r="P279" i="35"/>
  <c r="P369" i="35"/>
  <c r="P286" i="35"/>
  <c r="P280" i="35"/>
  <c r="P370" i="35"/>
  <c r="P362" i="35"/>
  <c r="P281" i="35"/>
  <c r="P182" i="35"/>
  <c r="P171" i="34"/>
  <c r="P102" i="34"/>
  <c r="K191" i="50"/>
  <c r="K16" i="65"/>
  <c r="L191" i="50"/>
  <c r="L16" i="65"/>
  <c r="P123" i="31"/>
  <c r="P139" i="31"/>
  <c r="P280" i="31"/>
  <c r="P276" i="31"/>
  <c r="P279" i="31"/>
  <c r="P281" i="31"/>
  <c r="P367" i="31"/>
  <c r="P283" i="31"/>
  <c r="P278" i="31"/>
  <c r="P362" i="31"/>
  <c r="P187" i="31"/>
  <c r="P368" i="31"/>
  <c r="P284" i="31"/>
  <c r="P286" i="31"/>
  <c r="P282" i="31"/>
  <c r="P277" i="31"/>
  <c r="P372" i="31"/>
  <c r="P371" i="31"/>
  <c r="P370" i="31"/>
  <c r="P369" i="31"/>
  <c r="P364" i="31"/>
  <c r="P363" i="31"/>
  <c r="P366" i="31"/>
  <c r="P365" i="28"/>
  <c r="P363" i="28"/>
  <c r="P286" i="28"/>
  <c r="P284" i="28"/>
  <c r="P305" i="28" s="1"/>
  <c r="P282" i="28"/>
  <c r="P366" i="28"/>
  <c r="P372" i="28"/>
  <c r="P370" i="28"/>
  <c r="P368" i="28"/>
  <c r="P280" i="28"/>
  <c r="P281" i="28"/>
  <c r="P276" i="28"/>
  <c r="P297" i="28" s="1"/>
  <c r="P98" i="24"/>
  <c r="P144" i="24"/>
  <c r="P120" i="16"/>
  <c r="P89" i="16"/>
  <c r="P166" i="24"/>
  <c r="P103" i="37"/>
  <c r="P126" i="37"/>
  <c r="P69" i="37"/>
  <c r="P369" i="37"/>
  <c r="P102" i="37"/>
  <c r="P125" i="37"/>
  <c r="P146" i="37"/>
  <c r="P162" i="37"/>
  <c r="P100" i="37"/>
  <c r="P123" i="37"/>
  <c r="P286" i="37"/>
  <c r="P93" i="37"/>
  <c r="P125" i="34"/>
  <c r="U145" i="33"/>
  <c r="T145" i="33"/>
  <c r="X99" i="33"/>
  <c r="Q145" i="33"/>
  <c r="P145" i="33"/>
  <c r="S145" i="33"/>
  <c r="R145" i="33"/>
  <c r="X122" i="33"/>
  <c r="P168" i="33"/>
  <c r="P166" i="33"/>
  <c r="Q374" i="30"/>
  <c r="U261" i="30"/>
  <c r="X261" i="30"/>
  <c r="I173" i="50"/>
  <c r="M173" i="50"/>
  <c r="M191" i="50"/>
  <c r="M16" i="65"/>
  <c r="J219" i="30"/>
  <c r="N219" i="30"/>
  <c r="J191" i="50"/>
  <c r="P371" i="47"/>
  <c r="P369" i="47"/>
  <c r="P285" i="47"/>
  <c r="P363" i="47"/>
  <c r="P286" i="47"/>
  <c r="P276" i="47"/>
  <c r="P288" i="47"/>
  <c r="P362" i="47"/>
  <c r="P370" i="47"/>
  <c r="P372" i="47"/>
  <c r="P364" i="47"/>
  <c r="P367" i="47"/>
  <c r="P366" i="47"/>
  <c r="P368" i="47"/>
  <c r="P123" i="48"/>
  <c r="P139" i="48"/>
  <c r="P122" i="34"/>
  <c r="P288" i="45"/>
  <c r="P123" i="45"/>
  <c r="P139" i="45"/>
  <c r="P288" i="43"/>
  <c r="P136" i="40"/>
  <c r="P207" i="40"/>
  <c r="P279" i="40"/>
  <c r="P371" i="40"/>
  <c r="P366" i="40"/>
  <c r="P282" i="40"/>
  <c r="P278" i="40"/>
  <c r="P368" i="40"/>
  <c r="P284" i="40"/>
  <c r="P367" i="40"/>
  <c r="P277" i="40"/>
  <c r="P362" i="40"/>
  <c r="P370" i="40"/>
  <c r="P276" i="40"/>
  <c r="P286" i="40"/>
  <c r="P369" i="40"/>
  <c r="P280" i="40"/>
  <c r="P364" i="40"/>
  <c r="P182" i="40"/>
  <c r="P143" i="40"/>
  <c r="P159" i="40"/>
  <c r="P113" i="40"/>
  <c r="P116" i="37"/>
  <c r="P283" i="37"/>
  <c r="P281" i="37"/>
  <c r="P367" i="35"/>
  <c r="P136" i="35"/>
  <c r="P283" i="35"/>
  <c r="P278" i="35"/>
  <c r="P365" i="35"/>
  <c r="P285" i="35"/>
  <c r="P276" i="35"/>
  <c r="P277" i="35"/>
  <c r="P282" i="35"/>
  <c r="P288" i="35"/>
  <c r="P371" i="35"/>
  <c r="P207" i="35"/>
  <c r="P366" i="35"/>
  <c r="P368" i="35"/>
  <c r="P159" i="35"/>
  <c r="P113" i="35"/>
  <c r="P148" i="34"/>
  <c r="P26" i="55"/>
  <c r="P288" i="31"/>
  <c r="P369" i="16"/>
  <c r="P364" i="16"/>
  <c r="P285" i="16"/>
  <c r="P276" i="16"/>
  <c r="P207" i="16"/>
  <c r="P372" i="16"/>
  <c r="P368" i="16"/>
  <c r="P363" i="16"/>
  <c r="P284" i="16"/>
  <c r="P281" i="16"/>
  <c r="P371" i="16"/>
  <c r="P367" i="16"/>
  <c r="P366" i="16"/>
  <c r="P362" i="16"/>
  <c r="P283" i="16"/>
  <c r="P280" i="16"/>
  <c r="P278" i="16"/>
  <c r="P370" i="16"/>
  <c r="P365" i="16"/>
  <c r="P286" i="16"/>
  <c r="P282" i="16"/>
  <c r="P279" i="16"/>
  <c r="P277" i="16"/>
  <c r="P143" i="16"/>
  <c r="P159" i="16"/>
  <c r="P136" i="16"/>
  <c r="P276" i="37"/>
  <c r="P363" i="37"/>
  <c r="P368" i="37"/>
  <c r="P362" i="37"/>
  <c r="P284" i="37"/>
  <c r="P372" i="37"/>
  <c r="P285" i="37"/>
  <c r="P187" i="37"/>
  <c r="P277" i="37"/>
  <c r="P280" i="37"/>
  <c r="P371" i="37"/>
  <c r="P370" i="37"/>
  <c r="P282" i="37"/>
  <c r="P367" i="37"/>
  <c r="P365" i="37"/>
  <c r="P278" i="37"/>
  <c r="P366" i="37"/>
  <c r="P364" i="37"/>
  <c r="P279" i="37"/>
  <c r="P139" i="37"/>
  <c r="X145" i="33"/>
  <c r="X168" i="33"/>
  <c r="P173" i="50"/>
  <c r="J16" i="65"/>
  <c r="P191" i="50"/>
  <c r="Q146" i="41"/>
  <c r="Q281" i="46"/>
  <c r="Q145" i="41"/>
  <c r="P143" i="24"/>
  <c r="R144" i="40"/>
  <c r="S145" i="40"/>
  <c r="S146" i="40"/>
  <c r="R145" i="40"/>
  <c r="Q282" i="46"/>
  <c r="Q276" i="46"/>
  <c r="Q283" i="46"/>
  <c r="Q144" i="41"/>
  <c r="P288" i="40"/>
  <c r="P288" i="16"/>
  <c r="P73" i="29"/>
  <c r="P120" i="29" s="1"/>
  <c r="P136" i="29" s="1"/>
  <c r="P208" i="29"/>
  <c r="P73" i="6"/>
  <c r="P208" i="12"/>
  <c r="P73" i="14"/>
  <c r="P73" i="34"/>
  <c r="P288" i="37"/>
  <c r="Q123" i="46"/>
  <c r="Q139" i="46"/>
  <c r="S145" i="41"/>
  <c r="Q286" i="46"/>
  <c r="Q280" i="46"/>
  <c r="Q278" i="46"/>
  <c r="Q279" i="46"/>
  <c r="Q285" i="46"/>
  <c r="Q284" i="46"/>
  <c r="Q277" i="46"/>
  <c r="Q144" i="40"/>
  <c r="Q146" i="40"/>
  <c r="Q145" i="40"/>
  <c r="S146" i="41"/>
  <c r="R146" i="40"/>
  <c r="R146" i="41"/>
  <c r="R123" i="46"/>
  <c r="S279" i="46"/>
  <c r="S278" i="46"/>
  <c r="S280" i="46"/>
  <c r="S277" i="46"/>
  <c r="S282" i="46"/>
  <c r="S286" i="46"/>
  <c r="S284" i="46"/>
  <c r="S281" i="46"/>
  <c r="S276" i="46"/>
  <c r="S285" i="46"/>
  <c r="S283" i="46"/>
  <c r="S123" i="46"/>
  <c r="S139" i="46"/>
  <c r="R279" i="46"/>
  <c r="R278" i="46"/>
  <c r="R280" i="46"/>
  <c r="R284" i="46"/>
  <c r="R277" i="46"/>
  <c r="R282" i="46"/>
  <c r="R286" i="46"/>
  <c r="R283" i="46"/>
  <c r="R276" i="46"/>
  <c r="R281" i="46"/>
  <c r="R285" i="46"/>
  <c r="R145" i="41"/>
  <c r="R144" i="41"/>
  <c r="S144" i="41"/>
  <c r="S144" i="40"/>
  <c r="Q288" i="46"/>
  <c r="P124" i="34"/>
  <c r="P170" i="34"/>
  <c r="P120" i="14"/>
  <c r="P136" i="14"/>
  <c r="P89" i="14"/>
  <c r="P366" i="14"/>
  <c r="P166" i="14"/>
  <c r="P182" i="14"/>
  <c r="P97" i="14"/>
  <c r="P168" i="34"/>
  <c r="P99" i="34"/>
  <c r="P120" i="6"/>
  <c r="P136" i="6"/>
  <c r="P89" i="6"/>
  <c r="P278" i="6"/>
  <c r="P97" i="6"/>
  <c r="P166" i="6"/>
  <c r="P182" i="6"/>
  <c r="U276" i="46"/>
  <c r="T284" i="46"/>
  <c r="T280" i="46"/>
  <c r="T283" i="46"/>
  <c r="R288" i="46"/>
  <c r="S288" i="46"/>
  <c r="R139" i="46"/>
  <c r="U146" i="40"/>
  <c r="U145" i="40"/>
  <c r="U284" i="46"/>
  <c r="P369" i="14"/>
  <c r="P277" i="14"/>
  <c r="P364" i="14"/>
  <c r="P276" i="14"/>
  <c r="P278" i="14"/>
  <c r="P372" i="14"/>
  <c r="P285" i="14"/>
  <c r="P279" i="6"/>
  <c r="P368" i="14"/>
  <c r="P282" i="14"/>
  <c r="P284" i="14"/>
  <c r="P283" i="14"/>
  <c r="P365" i="14"/>
  <c r="P281" i="14"/>
  <c r="P363" i="14"/>
  <c r="P362" i="14"/>
  <c r="P367" i="14"/>
  <c r="P280" i="14"/>
  <c r="P286" i="6"/>
  <c r="P283" i="6"/>
  <c r="P284" i="6"/>
  <c r="P280" i="6"/>
  <c r="P363" i="6"/>
  <c r="P362" i="6"/>
  <c r="P367" i="6"/>
  <c r="P368" i="6"/>
  <c r="P282" i="6"/>
  <c r="P277" i="6"/>
  <c r="P370" i="6"/>
  <c r="P366" i="6"/>
  <c r="P372" i="6"/>
  <c r="P369" i="6"/>
  <c r="P281" i="6"/>
  <c r="P364" i="6"/>
  <c r="P371" i="6"/>
  <c r="P276" i="6"/>
  <c r="P365" i="6"/>
  <c r="P285" i="6"/>
  <c r="P207" i="6"/>
  <c r="P371" i="14"/>
  <c r="P207" i="14"/>
  <c r="P113" i="6"/>
  <c r="P143" i="6"/>
  <c r="P159" i="6"/>
  <c r="P113" i="14"/>
  <c r="P143" i="14"/>
  <c r="P159" i="14"/>
  <c r="X76" i="35"/>
  <c r="X74" i="40"/>
  <c r="U280" i="46"/>
  <c r="U278" i="46"/>
  <c r="U281" i="46"/>
  <c r="U279" i="46"/>
  <c r="U285" i="46"/>
  <c r="U282" i="46"/>
  <c r="U286" i="46"/>
  <c r="U277" i="46"/>
  <c r="U283" i="46"/>
  <c r="T144" i="40"/>
  <c r="T145" i="41"/>
  <c r="T278" i="46"/>
  <c r="T285" i="46"/>
  <c r="T276" i="46"/>
  <c r="T286" i="46"/>
  <c r="T282" i="46"/>
  <c r="T279" i="46"/>
  <c r="T281" i="46"/>
  <c r="T277" i="46"/>
  <c r="T145" i="40"/>
  <c r="T144" i="41"/>
  <c r="T123" i="46"/>
  <c r="U123" i="46"/>
  <c r="U139" i="46"/>
  <c r="T146" i="40"/>
  <c r="T146" i="41"/>
  <c r="U144" i="41"/>
  <c r="U145" i="41"/>
  <c r="U146" i="41"/>
  <c r="P288" i="6"/>
  <c r="X132" i="35"/>
  <c r="X178" i="35"/>
  <c r="X85" i="35"/>
  <c r="X131" i="35"/>
  <c r="X177" i="35"/>
  <c r="X84" i="35"/>
  <c r="X122" i="35"/>
  <c r="X168" i="35"/>
  <c r="X75" i="35"/>
  <c r="X121" i="35"/>
  <c r="X167" i="35"/>
  <c r="X74" i="35"/>
  <c r="X175" i="35"/>
  <c r="X129" i="35"/>
  <c r="X82" i="35"/>
  <c r="T139" i="46"/>
  <c r="X134" i="35"/>
  <c r="X180" i="35"/>
  <c r="X87" i="35"/>
  <c r="X130" i="35"/>
  <c r="X176" i="35"/>
  <c r="X83" i="35"/>
  <c r="X121" i="41"/>
  <c r="X167" i="41"/>
  <c r="X128" i="35"/>
  <c r="X174" i="35"/>
  <c r="X81" i="35"/>
  <c r="X167" i="40"/>
  <c r="X121" i="40"/>
  <c r="U288" i="46"/>
  <c r="X172" i="35"/>
  <c r="X126" i="35"/>
  <c r="X79" i="35"/>
  <c r="U144" i="40"/>
  <c r="X170" i="40"/>
  <c r="X101" i="40"/>
  <c r="X124" i="40"/>
  <c r="X77" i="40"/>
  <c r="X122" i="40"/>
  <c r="X168" i="40"/>
  <c r="X75" i="40"/>
  <c r="X123" i="40"/>
  <c r="X169" i="40"/>
  <c r="X76" i="40"/>
  <c r="X169" i="35"/>
  <c r="X100" i="35"/>
  <c r="X123" i="35"/>
  <c r="T288" i="46"/>
  <c r="X169" i="41"/>
  <c r="X123" i="41"/>
  <c r="V282" i="46"/>
  <c r="V279" i="46"/>
  <c r="X53" i="46"/>
  <c r="X179" i="35"/>
  <c r="X133" i="35"/>
  <c r="X86" i="35"/>
  <c r="X127" i="35"/>
  <c r="X173" i="35"/>
  <c r="X80" i="35"/>
  <c r="X170" i="35"/>
  <c r="X124" i="35"/>
  <c r="X77" i="35"/>
  <c r="X171" i="35"/>
  <c r="X125" i="35"/>
  <c r="X78" i="35"/>
  <c r="X122" i="41"/>
  <c r="X168" i="41"/>
  <c r="X151" i="35"/>
  <c r="X105" i="35"/>
  <c r="X147" i="35"/>
  <c r="X101" i="35"/>
  <c r="V146" i="41"/>
  <c r="X146" i="41"/>
  <c r="X100" i="41"/>
  <c r="V146" i="40"/>
  <c r="X146" i="40"/>
  <c r="X100" i="40"/>
  <c r="V145" i="41"/>
  <c r="X145" i="41"/>
  <c r="X99" i="41"/>
  <c r="X150" i="35"/>
  <c r="X104" i="35"/>
  <c r="X156" i="35"/>
  <c r="X110" i="35"/>
  <c r="V284" i="46"/>
  <c r="V277" i="46"/>
  <c r="V276" i="46"/>
  <c r="V285" i="46"/>
  <c r="X162" i="46"/>
  <c r="X146" i="46"/>
  <c r="X148" i="35"/>
  <c r="X102" i="35"/>
  <c r="V280" i="46"/>
  <c r="V286" i="46"/>
  <c r="X93" i="46"/>
  <c r="V123" i="46"/>
  <c r="X77" i="46"/>
  <c r="X69" i="46"/>
  <c r="X187" i="46"/>
  <c r="V281" i="46"/>
  <c r="V283" i="46"/>
  <c r="V278" i="46"/>
  <c r="X116" i="46"/>
  <c r="X100" i="46"/>
  <c r="X153" i="35"/>
  <c r="X107" i="35"/>
  <c r="X154" i="35"/>
  <c r="X108" i="35"/>
  <c r="V144" i="41"/>
  <c r="X144" i="41"/>
  <c r="X98" i="41"/>
  <c r="X144" i="35"/>
  <c r="X145" i="35"/>
  <c r="X99" i="35"/>
  <c r="X155" i="35"/>
  <c r="X109" i="35"/>
  <c r="X157" i="35"/>
  <c r="X111" i="35"/>
  <c r="X98" i="35"/>
  <c r="X146" i="35"/>
  <c r="V145" i="40"/>
  <c r="X145" i="40"/>
  <c r="X99" i="40"/>
  <c r="X147" i="40"/>
  <c r="X149" i="35"/>
  <c r="X103" i="35"/>
  <c r="V144" i="40"/>
  <c r="X144" i="40"/>
  <c r="X98" i="40"/>
  <c r="X152" i="35"/>
  <c r="X106" i="35"/>
  <c r="P38" i="50"/>
  <c r="V139" i="46"/>
  <c r="X139" i="46"/>
  <c r="X123" i="46"/>
  <c r="V288" i="46"/>
  <c r="P208" i="35"/>
  <c r="P305" i="35"/>
  <c r="P299" i="37"/>
  <c r="P188" i="47"/>
  <c r="P297" i="47"/>
  <c r="P208" i="25"/>
  <c r="P208" i="24"/>
  <c r="P188" i="44"/>
  <c r="P392" i="44"/>
  <c r="P208" i="40"/>
  <c r="P208" i="28"/>
  <c r="P190" i="28"/>
  <c r="P208" i="34"/>
  <c r="P202" i="38"/>
  <c r="P188" i="45"/>
  <c r="P389" i="45"/>
  <c r="P188" i="46"/>
  <c r="P298" i="46"/>
  <c r="P188" i="43"/>
  <c r="P301" i="43"/>
  <c r="P208" i="33"/>
  <c r="P208" i="14"/>
  <c r="P208" i="16"/>
  <c r="P188" i="31"/>
  <c r="P302" i="31"/>
  <c r="P226" i="24"/>
  <c r="P193" i="24"/>
  <c r="P388" i="35"/>
  <c r="P393" i="35"/>
  <c r="P193" i="34"/>
  <c r="P307" i="38"/>
  <c r="P328" i="38"/>
  <c r="P391" i="35"/>
  <c r="P375" i="35"/>
  <c r="P307" i="35"/>
  <c r="P349" i="35"/>
  <c r="P297" i="35"/>
  <c r="P318" i="35"/>
  <c r="P227" i="34"/>
  <c r="P393" i="38"/>
  <c r="P302" i="45"/>
  <c r="P323" i="45"/>
  <c r="P189" i="35"/>
  <c r="P205" i="35"/>
  <c r="P389" i="35"/>
  <c r="P194" i="34"/>
  <c r="P170" i="38"/>
  <c r="P392" i="45"/>
  <c r="P210" i="35"/>
  <c r="P259" i="35"/>
  <c r="P390" i="35"/>
  <c r="P392" i="35"/>
  <c r="P222" i="34"/>
  <c r="P302" i="38"/>
  <c r="P344" i="38"/>
  <c r="P392" i="38"/>
  <c r="P393" i="45"/>
  <c r="P222" i="35"/>
  <c r="P303" i="35"/>
  <c r="P324" i="35"/>
  <c r="P298" i="35"/>
  <c r="P340" i="35"/>
  <c r="P300" i="35"/>
  <c r="P321" i="35"/>
  <c r="P306" i="35"/>
  <c r="P348" i="35"/>
  <c r="P302" i="35"/>
  <c r="P344" i="35"/>
  <c r="P304" i="38"/>
  <c r="P346" i="38"/>
  <c r="P390" i="45"/>
  <c r="P304" i="35"/>
  <c r="P325" i="35"/>
  <c r="P299" i="35"/>
  <c r="P320" i="35"/>
  <c r="P301" i="35"/>
  <c r="P343" i="35"/>
  <c r="P394" i="35"/>
  <c r="P169" i="47"/>
  <c r="P185" i="47"/>
  <c r="P301" i="37"/>
  <c r="P322" i="37"/>
  <c r="P389" i="47"/>
  <c r="P304" i="37"/>
  <c r="P325" i="37"/>
  <c r="P190" i="47"/>
  <c r="P218" i="47"/>
  <c r="P202" i="47"/>
  <c r="P222" i="28"/>
  <c r="P223" i="28"/>
  <c r="P307" i="44"/>
  <c r="P349" i="44" s="1"/>
  <c r="P172" i="37"/>
  <c r="P305" i="46"/>
  <c r="P326" i="46"/>
  <c r="P169" i="37"/>
  <c r="P203" i="37"/>
  <c r="P302" i="37"/>
  <c r="P323" i="37"/>
  <c r="P205" i="37"/>
  <c r="P204" i="37"/>
  <c r="P393" i="37"/>
  <c r="P298" i="37"/>
  <c r="P340" i="37"/>
  <c r="P391" i="37"/>
  <c r="P300" i="31"/>
  <c r="P342" i="31"/>
  <c r="P306" i="46"/>
  <c r="P348" i="46"/>
  <c r="P300" i="37"/>
  <c r="P321" i="37"/>
  <c r="P392" i="37"/>
  <c r="P390" i="37"/>
  <c r="P391" i="31"/>
  <c r="P303" i="31"/>
  <c r="P324" i="31"/>
  <c r="P307" i="31"/>
  <c r="P349" i="31"/>
  <c r="P394" i="28"/>
  <c r="P391" i="28"/>
  <c r="P191" i="28"/>
  <c r="P224" i="28"/>
  <c r="P192" i="28"/>
  <c r="P301" i="28"/>
  <c r="P322" i="28" s="1"/>
  <c r="P306" i="47"/>
  <c r="P348" i="47"/>
  <c r="P299" i="47"/>
  <c r="P341" i="47"/>
  <c r="P393" i="47"/>
  <c r="P392" i="47"/>
  <c r="P303" i="47"/>
  <c r="P324" i="47"/>
  <c r="P304" i="47"/>
  <c r="P346" i="47"/>
  <c r="P305" i="47"/>
  <c r="P347" i="47"/>
  <c r="P307" i="47"/>
  <c r="P349" i="47"/>
  <c r="P298" i="31"/>
  <c r="P340" i="31"/>
  <c r="P302" i="28"/>
  <c r="P344" i="28" s="1"/>
  <c r="P301" i="47"/>
  <c r="P343" i="47"/>
  <c r="P300" i="47"/>
  <c r="P321" i="47"/>
  <c r="P375" i="47"/>
  <c r="P298" i="47"/>
  <c r="P319" i="47"/>
  <c r="P297" i="31"/>
  <c r="P318" i="31"/>
  <c r="P225" i="24"/>
  <c r="P192" i="24"/>
  <c r="P394" i="37"/>
  <c r="P389" i="37"/>
  <c r="P190" i="37"/>
  <c r="P218" i="37"/>
  <c r="P171" i="37"/>
  <c r="P306" i="37"/>
  <c r="P327" i="37"/>
  <c r="P375" i="37"/>
  <c r="P303" i="37"/>
  <c r="P307" i="37"/>
  <c r="P328" i="37"/>
  <c r="P297" i="37"/>
  <c r="P339" i="37"/>
  <c r="P202" i="37"/>
  <c r="P170" i="37"/>
  <c r="P305" i="37"/>
  <c r="P326" i="37"/>
  <c r="P388" i="37"/>
  <c r="P191" i="34"/>
  <c r="P230" i="34"/>
  <c r="P195" i="34"/>
  <c r="P228" i="34"/>
  <c r="P229" i="34"/>
  <c r="P196" i="34"/>
  <c r="P197" i="34"/>
  <c r="P299" i="46"/>
  <c r="P341" i="46"/>
  <c r="P190" i="46"/>
  <c r="P192" i="46"/>
  <c r="P375" i="46"/>
  <c r="P394" i="46"/>
  <c r="P301" i="46"/>
  <c r="P322" i="46"/>
  <c r="P391" i="46"/>
  <c r="P392" i="46"/>
  <c r="P297" i="46"/>
  <c r="P339" i="46"/>
  <c r="P169" i="46"/>
  <c r="P185" i="46"/>
  <c r="P300" i="46"/>
  <c r="P321" i="46"/>
  <c r="P307" i="46"/>
  <c r="P349" i="46"/>
  <c r="P202" i="46"/>
  <c r="P389" i="46"/>
  <c r="P393" i="46"/>
  <c r="P304" i="46"/>
  <c r="P325" i="46"/>
  <c r="P388" i="46"/>
  <c r="P225" i="32"/>
  <c r="P390" i="6"/>
  <c r="P189" i="6"/>
  <c r="P205" i="6"/>
  <c r="P223" i="24"/>
  <c r="P222" i="24"/>
  <c r="P189" i="24"/>
  <c r="P303" i="46"/>
  <c r="P345" i="46"/>
  <c r="P302" i="46"/>
  <c r="P323" i="46"/>
  <c r="P390" i="46"/>
  <c r="P170" i="31"/>
  <c r="P375" i="31"/>
  <c r="P299" i="31"/>
  <c r="P320" i="31"/>
  <c r="P390" i="31"/>
  <c r="P172" i="31"/>
  <c r="P301" i="31"/>
  <c r="P343" i="31"/>
  <c r="P169" i="31"/>
  <c r="P389" i="31"/>
  <c r="P205" i="31"/>
  <c r="P392" i="31"/>
  <c r="P203" i="31"/>
  <c r="P171" i="31"/>
  <c r="P393" i="31"/>
  <c r="P190" i="31"/>
  <c r="P218" i="31"/>
  <c r="P305" i="16"/>
  <c r="P347" i="16"/>
  <c r="P298" i="16"/>
  <c r="P340" i="16"/>
  <c r="P210" i="16"/>
  <c r="P212" i="16"/>
  <c r="P306" i="16"/>
  <c r="P348" i="16"/>
  <c r="P375" i="16"/>
  <c r="P222" i="16"/>
  <c r="P390" i="16"/>
  <c r="P389" i="16"/>
  <c r="P300" i="16"/>
  <c r="P321" i="16"/>
  <c r="P302" i="16"/>
  <c r="P323" i="16"/>
  <c r="P189" i="16"/>
  <c r="P205" i="16"/>
  <c r="P303" i="16"/>
  <c r="P324" i="16"/>
  <c r="P394" i="16"/>
  <c r="P388" i="16"/>
  <c r="P392" i="16"/>
  <c r="P299" i="16"/>
  <c r="P341" i="16"/>
  <c r="P301" i="16"/>
  <c r="P343" i="16"/>
  <c r="P304" i="16"/>
  <c r="P325" i="16"/>
  <c r="P297" i="16"/>
  <c r="P318" i="16"/>
  <c r="P375" i="43"/>
  <c r="P304" i="43"/>
  <c r="P346" i="43"/>
  <c r="P299" i="43"/>
  <c r="P320" i="43"/>
  <c r="P306" i="43"/>
  <c r="P327" i="43"/>
  <c r="P303" i="43"/>
  <c r="P345" i="43"/>
  <c r="P169" i="43"/>
  <c r="P185" i="43"/>
  <c r="P302" i="43"/>
  <c r="P344" i="43"/>
  <c r="P389" i="43"/>
  <c r="P392" i="43"/>
  <c r="P298" i="43"/>
  <c r="P340" i="43"/>
  <c r="P190" i="43"/>
  <c r="P218" i="43"/>
  <c r="P388" i="43"/>
  <c r="P307" i="43"/>
  <c r="P393" i="43"/>
  <c r="P305" i="43"/>
  <c r="P326" i="43"/>
  <c r="P391" i="43"/>
  <c r="P297" i="43"/>
  <c r="P339" i="43"/>
  <c r="P202" i="43"/>
  <c r="P303" i="40"/>
  <c r="P324" i="40"/>
  <c r="P190" i="40"/>
  <c r="P391" i="40"/>
  <c r="P389" i="40"/>
  <c r="P222" i="40"/>
  <c r="P298" i="40"/>
  <c r="P340" i="40"/>
  <c r="P224" i="40"/>
  <c r="P300" i="40"/>
  <c r="P342" i="40"/>
  <c r="P375" i="40"/>
  <c r="P297" i="40"/>
  <c r="P318" i="40"/>
  <c r="P192" i="40"/>
  <c r="P306" i="40"/>
  <c r="P348" i="40"/>
  <c r="P210" i="40"/>
  <c r="P212" i="40"/>
  <c r="P223" i="25"/>
  <c r="P192" i="25"/>
  <c r="P190" i="25"/>
  <c r="P191" i="25"/>
  <c r="P224" i="25"/>
  <c r="P225" i="25"/>
  <c r="P204" i="31"/>
  <c r="P202" i="31"/>
  <c r="P394" i="31"/>
  <c r="P305" i="31"/>
  <c r="P347" i="31"/>
  <c r="P300" i="43"/>
  <c r="P321" i="43"/>
  <c r="P307" i="16"/>
  <c r="P328" i="16"/>
  <c r="P394" i="43"/>
  <c r="P393" i="16"/>
  <c r="P304" i="31"/>
  <c r="P346" i="31"/>
  <c r="P388" i="31"/>
  <c r="P306" i="31"/>
  <c r="P348" i="31"/>
  <c r="P390" i="43"/>
  <c r="P391" i="16"/>
  <c r="P307" i="6"/>
  <c r="P349" i="6"/>
  <c r="P301" i="6"/>
  <c r="P322" i="6"/>
  <c r="P297" i="6"/>
  <c r="P339" i="6"/>
  <c r="P298" i="6"/>
  <c r="P319" i="6"/>
  <c r="P300" i="6"/>
  <c r="P321" i="6"/>
  <c r="P389" i="6"/>
  <c r="P210" i="6"/>
  <c r="P259" i="6"/>
  <c r="P392" i="6"/>
  <c r="P190" i="24"/>
  <c r="P391" i="6"/>
  <c r="P222" i="14"/>
  <c r="P303" i="14"/>
  <c r="P324" i="14"/>
  <c r="P305" i="14"/>
  <c r="P326" i="14"/>
  <c r="P304" i="14"/>
  <c r="P325" i="14"/>
  <c r="P388" i="14"/>
  <c r="P392" i="14"/>
  <c r="P297" i="14"/>
  <c r="P339" i="14"/>
  <c r="P394" i="14"/>
  <c r="P299" i="14"/>
  <c r="P341" i="14"/>
  <c r="P298" i="14"/>
  <c r="P391" i="14"/>
  <c r="P393" i="14"/>
  <c r="P390" i="14"/>
  <c r="P389" i="14"/>
  <c r="X201" i="35"/>
  <c r="P224" i="33"/>
  <c r="P225" i="33"/>
  <c r="P222" i="33"/>
  <c r="P191" i="33"/>
  <c r="P189" i="33"/>
  <c r="P300" i="45"/>
  <c r="P342" i="45"/>
  <c r="P190" i="45"/>
  <c r="P192" i="45"/>
  <c r="P304" i="45"/>
  <c r="P346" i="45"/>
  <c r="P391" i="45"/>
  <c r="P297" i="45"/>
  <c r="P318" i="45"/>
  <c r="P394" i="45"/>
  <c r="P299" i="45"/>
  <c r="P341" i="45"/>
  <c r="P305" i="45"/>
  <c r="P347" i="45"/>
  <c r="P307" i="45"/>
  <c r="P349" i="45"/>
  <c r="P202" i="45"/>
  <c r="P303" i="45"/>
  <c r="P324" i="45"/>
  <c r="P298" i="38"/>
  <c r="P319" i="38"/>
  <c r="P172" i="38"/>
  <c r="P299" i="38"/>
  <c r="P341" i="38"/>
  <c r="P305" i="38"/>
  <c r="P205" i="38"/>
  <c r="P169" i="38"/>
  <c r="P303" i="38"/>
  <c r="P324" i="38"/>
  <c r="P190" i="38"/>
  <c r="P192" i="38"/>
  <c r="P171" i="38"/>
  <c r="P300" i="38"/>
  <c r="P342" i="38"/>
  <c r="P375" i="38"/>
  <c r="P306" i="38"/>
  <c r="P327" i="38"/>
  <c r="P388" i="38"/>
  <c r="P297" i="38"/>
  <c r="P318" i="38"/>
  <c r="P307" i="28"/>
  <c r="P349" i="28" s="1"/>
  <c r="P303" i="28"/>
  <c r="P345" i="28" s="1"/>
  <c r="P391" i="38"/>
  <c r="P394" i="38"/>
  <c r="P204" i="38"/>
  <c r="P390" i="38"/>
  <c r="P298" i="45"/>
  <c r="P375" i="45"/>
  <c r="P388" i="45"/>
  <c r="P394" i="44"/>
  <c r="P302" i="44"/>
  <c r="P323" i="44" s="1"/>
  <c r="P169" i="44"/>
  <c r="P185" i="44"/>
  <c r="P390" i="44"/>
  <c r="P388" i="44"/>
  <c r="P396" i="44" s="1"/>
  <c r="P391" i="44"/>
  <c r="P190" i="44"/>
  <c r="P192" i="44" s="1"/>
  <c r="P202" i="44"/>
  <c r="P389" i="44"/>
  <c r="P393" i="44"/>
  <c r="P299" i="44"/>
  <c r="P320" i="44" s="1"/>
  <c r="P300" i="44"/>
  <c r="P342" i="44" s="1"/>
  <c r="P390" i="28"/>
  <c r="P225" i="28"/>
  <c r="P189" i="28"/>
  <c r="P203" i="38"/>
  <c r="P389" i="38"/>
  <c r="P301" i="38"/>
  <c r="P301" i="45"/>
  <c r="P343" i="45"/>
  <c r="P306" i="45"/>
  <c r="P348" i="45"/>
  <c r="P169" i="45"/>
  <c r="P185" i="45"/>
  <c r="P210" i="14"/>
  <c r="P259" i="14"/>
  <c r="P301" i="14"/>
  <c r="P322" i="14"/>
  <c r="P394" i="40"/>
  <c r="P225" i="40"/>
  <c r="P393" i="40"/>
  <c r="P301" i="40"/>
  <c r="P322" i="40"/>
  <c r="P388" i="40"/>
  <c r="P223" i="40"/>
  <c r="P390" i="40"/>
  <c r="P307" i="40"/>
  <c r="P189" i="40"/>
  <c r="P304" i="40"/>
  <c r="P305" i="40"/>
  <c r="P326" i="40"/>
  <c r="P392" i="40"/>
  <c r="P191" i="40"/>
  <c r="P205" i="40"/>
  <c r="P302" i="40"/>
  <c r="P299" i="40"/>
  <c r="P320" i="40"/>
  <c r="P330" i="40"/>
  <c r="P222" i="6"/>
  <c r="P388" i="6"/>
  <c r="P375" i="6"/>
  <c r="P303" i="6"/>
  <c r="P324" i="6"/>
  <c r="P304" i="6"/>
  <c r="P305" i="6"/>
  <c r="P302" i="6"/>
  <c r="P299" i="6"/>
  <c r="P341" i="6"/>
  <c r="P351" i="6"/>
  <c r="P394" i="6"/>
  <c r="P306" i="6"/>
  <c r="P348" i="6"/>
  <c r="P393" i="6"/>
  <c r="P319" i="46"/>
  <c r="P340" i="46"/>
  <c r="P318" i="47"/>
  <c r="P339" i="47"/>
  <c r="P344" i="31"/>
  <c r="P323" i="31"/>
  <c r="P343" i="43"/>
  <c r="P322" i="43"/>
  <c r="P320" i="37"/>
  <c r="P341" i="37"/>
  <c r="P347" i="35"/>
  <c r="P326" i="35"/>
  <c r="P339" i="35"/>
  <c r="P322" i="35"/>
  <c r="P345" i="35"/>
  <c r="P328" i="35"/>
  <c r="P238" i="35"/>
  <c r="P373" i="35"/>
  <c r="P377" i="35"/>
  <c r="P212" i="35"/>
  <c r="P323" i="38"/>
  <c r="P349" i="38"/>
  <c r="P344" i="45"/>
  <c r="P323" i="35"/>
  <c r="P396" i="35"/>
  <c r="P341" i="35"/>
  <c r="P327" i="35"/>
  <c r="P309" i="35"/>
  <c r="P328" i="44"/>
  <c r="P344" i="37"/>
  <c r="P319" i="35"/>
  <c r="P348" i="37"/>
  <c r="P239" i="47"/>
  <c r="P346" i="35"/>
  <c r="P325" i="38"/>
  <c r="P342" i="35"/>
  <c r="P346" i="37"/>
  <c r="P343" i="37"/>
  <c r="P339" i="31"/>
  <c r="P239" i="46"/>
  <c r="P192" i="47"/>
  <c r="P342" i="46"/>
  <c r="P328" i="47"/>
  <c r="P318" i="37"/>
  <c r="P345" i="31"/>
  <c r="P327" i="47"/>
  <c r="P347" i="46"/>
  <c r="P319" i="37"/>
  <c r="P328" i="31"/>
  <c r="P349" i="37"/>
  <c r="P205" i="28"/>
  <c r="P322" i="16"/>
  <c r="P347" i="37"/>
  <c r="P238" i="16"/>
  <c r="P373" i="16"/>
  <c r="P377" i="16"/>
  <c r="P319" i="31"/>
  <c r="P326" i="47"/>
  <c r="P324" i="46"/>
  <c r="P339" i="16"/>
  <c r="P321" i="31"/>
  <c r="P342" i="37"/>
  <c r="P322" i="47"/>
  <c r="P326" i="16"/>
  <c r="P340" i="38"/>
  <c r="P345" i="47"/>
  <c r="P185" i="37"/>
  <c r="P340" i="47"/>
  <c r="P341" i="40"/>
  <c r="P339" i="45"/>
  <c r="P320" i="47"/>
  <c r="P396" i="37"/>
  <c r="P345" i="16"/>
  <c r="P218" i="46"/>
  <c r="P373" i="46"/>
  <c r="P377" i="46"/>
  <c r="P327" i="46"/>
  <c r="P309" i="37"/>
  <c r="P239" i="37"/>
  <c r="P320" i="45"/>
  <c r="P347" i="40"/>
  <c r="P318" i="14"/>
  <c r="P342" i="43"/>
  <c r="P348" i="43"/>
  <c r="P320" i="16"/>
  <c r="P342" i="47"/>
  <c r="P327" i="31"/>
  <c r="P192" i="37"/>
  <c r="P345" i="37"/>
  <c r="P325" i="43"/>
  <c r="P325" i="47"/>
  <c r="P321" i="44"/>
  <c r="P324" i="37"/>
  <c r="P326" i="45"/>
  <c r="P318" i="46"/>
  <c r="P328" i="6"/>
  <c r="P328" i="46"/>
  <c r="P330" i="46"/>
  <c r="P185" i="38"/>
  <c r="P345" i="45"/>
  <c r="P322" i="31"/>
  <c r="P192" i="31"/>
  <c r="P344" i="46"/>
  <c r="P396" i="46"/>
  <c r="P343" i="46"/>
  <c r="P328" i="45"/>
  <c r="P347" i="43"/>
  <c r="P324" i="43"/>
  <c r="P239" i="43"/>
  <c r="P341" i="43"/>
  <c r="P351" i="43"/>
  <c r="P321" i="40"/>
  <c r="P343" i="40"/>
  <c r="X193" i="40"/>
  <c r="P327" i="40"/>
  <c r="P259" i="40"/>
  <c r="P238" i="40"/>
  <c r="P260" i="40"/>
  <c r="P263" i="40"/>
  <c r="P319" i="40"/>
  <c r="P396" i="38"/>
  <c r="X195" i="35"/>
  <c r="X194" i="35"/>
  <c r="X198" i="35"/>
  <c r="P346" i="16"/>
  <c r="P238" i="14"/>
  <c r="P260" i="14"/>
  <c r="P263" i="14"/>
  <c r="P318" i="6"/>
  <c r="P327" i="6"/>
  <c r="P347" i="14"/>
  <c r="P342" i="6"/>
  <c r="P320" i="6"/>
  <c r="P238" i="6"/>
  <c r="P325" i="6"/>
  <c r="P346" i="6"/>
  <c r="P323" i="40"/>
  <c r="P344" i="40"/>
  <c r="P346" i="40"/>
  <c r="P325" i="40"/>
  <c r="P309" i="46"/>
  <c r="P212" i="6"/>
  <c r="P309" i="16"/>
  <c r="P343" i="14"/>
  <c r="P320" i="14"/>
  <c r="P192" i="43"/>
  <c r="P239" i="31"/>
  <c r="P321" i="45"/>
  <c r="P330" i="45"/>
  <c r="P320" i="38"/>
  <c r="P345" i="14"/>
  <c r="P325" i="31"/>
  <c r="P344" i="6"/>
  <c r="P323" i="6"/>
  <c r="P328" i="40"/>
  <c r="P349" i="40"/>
  <c r="P344" i="44"/>
  <c r="P328" i="43"/>
  <c r="P349" i="43"/>
  <c r="X202" i="35"/>
  <c r="P320" i="46"/>
  <c r="P323" i="43"/>
  <c r="P322" i="45"/>
  <c r="P259" i="16"/>
  <c r="P318" i="43"/>
  <c r="P346" i="46"/>
  <c r="P325" i="45"/>
  <c r="P345" i="38"/>
  <c r="P342" i="16"/>
  <c r="P351" i="16"/>
  <c r="P346" i="14"/>
  <c r="P326" i="31"/>
  <c r="X197" i="35"/>
  <c r="X193" i="35"/>
  <c r="P396" i="45"/>
  <c r="X203" i="35"/>
  <c r="X199" i="35"/>
  <c r="P309" i="40"/>
  <c r="P309" i="43"/>
  <c r="P396" i="16"/>
  <c r="P185" i="31"/>
  <c r="P309" i="31"/>
  <c r="X200" i="35"/>
  <c r="X190" i="35"/>
  <c r="X192" i="35"/>
  <c r="X196" i="35"/>
  <c r="P396" i="31"/>
  <c r="P396" i="40"/>
  <c r="P322" i="38"/>
  <c r="P330" i="38"/>
  <c r="P343" i="38"/>
  <c r="P347" i="38"/>
  <c r="P326" i="38"/>
  <c r="P218" i="45"/>
  <c r="P240" i="45"/>
  <c r="P243" i="45"/>
  <c r="P239" i="45"/>
  <c r="P339" i="40"/>
  <c r="P351" i="40"/>
  <c r="P218" i="38"/>
  <c r="P240" i="38"/>
  <c r="P339" i="38"/>
  <c r="P349" i="16"/>
  <c r="P319" i="14"/>
  <c r="P327" i="45"/>
  <c r="P340" i="6"/>
  <c r="P345" i="40"/>
  <c r="P344" i="16"/>
  <c r="P326" i="6"/>
  <c r="P347" i="6"/>
  <c r="P396" i="6"/>
  <c r="X191" i="35"/>
  <c r="P309" i="45"/>
  <c r="P340" i="45"/>
  <c r="P396" i="14"/>
  <c r="P396" i="43"/>
  <c r="P212" i="14"/>
  <c r="P348" i="38"/>
  <c r="P341" i="31"/>
  <c r="P351" i="31"/>
  <c r="P319" i="43"/>
  <c r="P343" i="6"/>
  <c r="P319" i="16"/>
  <c r="P327" i="16"/>
  <c r="P345" i="6"/>
  <c r="P239" i="38"/>
  <c r="P243" i="38"/>
  <c r="P321" i="38"/>
  <c r="P309" i="38"/>
  <c r="P340" i="14"/>
  <c r="P319" i="45"/>
  <c r="P309" i="6"/>
  <c r="P240" i="47"/>
  <c r="P373" i="47"/>
  <c r="P377" i="47"/>
  <c r="P373" i="43"/>
  <c r="P377" i="43"/>
  <c r="P240" i="43"/>
  <c r="P240" i="31"/>
  <c r="P373" i="31"/>
  <c r="P377" i="31"/>
  <c r="P240" i="37"/>
  <c r="P243" i="37"/>
  <c r="P373" i="37"/>
  <c r="P377" i="37"/>
  <c r="P260" i="35"/>
  <c r="P263" i="35"/>
  <c r="P351" i="35"/>
  <c r="P330" i="35"/>
  <c r="P243" i="47"/>
  <c r="P330" i="37"/>
  <c r="P351" i="37"/>
  <c r="P260" i="16"/>
  <c r="P263" i="16"/>
  <c r="P240" i="46"/>
  <c r="P243" i="46"/>
  <c r="P351" i="45"/>
  <c r="P330" i="31"/>
  <c r="P243" i="43"/>
  <c r="P373" i="45"/>
  <c r="P377" i="45"/>
  <c r="P373" i="40"/>
  <c r="P377" i="40"/>
  <c r="P330" i="16"/>
  <c r="P351" i="46"/>
  <c r="P330" i="43"/>
  <c r="P351" i="38"/>
  <c r="P243" i="31"/>
  <c r="P373" i="14"/>
  <c r="P260" i="6"/>
  <c r="P263" i="6"/>
  <c r="P373" i="6"/>
  <c r="P377" i="6"/>
  <c r="P330" i="6"/>
  <c r="P14" i="19"/>
  <c r="P145" i="34"/>
  <c r="P224" i="34"/>
  <c r="P223" i="34"/>
  <c r="P167" i="34"/>
  <c r="P121" i="34"/>
  <c r="P190" i="34"/>
  <c r="P98" i="34"/>
  <c r="P97" i="34"/>
  <c r="P166" i="34"/>
  <c r="P189" i="34"/>
  <c r="P89" i="34"/>
  <c r="P120" i="34"/>
  <c r="P89" i="24"/>
  <c r="P191" i="24"/>
  <c r="P205" i="24"/>
  <c r="P224" i="24"/>
  <c r="P168" i="24"/>
  <c r="P182" i="24"/>
  <c r="P99" i="24"/>
  <c r="P101" i="34"/>
  <c r="P147" i="34"/>
  <c r="P226" i="34"/>
  <c r="P169" i="34"/>
  <c r="P225" i="34"/>
  <c r="P192" i="34"/>
  <c r="P100" i="34"/>
  <c r="P146" i="34"/>
  <c r="O14" i="19"/>
  <c r="P182" i="34"/>
  <c r="P144" i="34"/>
  <c r="P136" i="34"/>
  <c r="O44" i="19"/>
  <c r="P113" i="34"/>
  <c r="P143" i="34"/>
  <c r="N44" i="19"/>
  <c r="P145" i="24"/>
  <c r="P159" i="24"/>
  <c r="P113" i="24"/>
  <c r="P367" i="24"/>
  <c r="P207" i="24"/>
  <c r="P210" i="24"/>
  <c r="P372" i="24"/>
  <c r="P280" i="24"/>
  <c r="P301" i="24"/>
  <c r="P370" i="24"/>
  <c r="P371" i="24"/>
  <c r="P391" i="24"/>
  <c r="P364" i="24"/>
  <c r="P276" i="24"/>
  <c r="P278" i="24"/>
  <c r="P299" i="24"/>
  <c r="P286" i="24"/>
  <c r="P307" i="24"/>
  <c r="P349" i="24"/>
  <c r="P389" i="24"/>
  <c r="P390" i="24"/>
  <c r="P362" i="24"/>
  <c r="P368" i="24"/>
  <c r="P365" i="24"/>
  <c r="P284" i="24"/>
  <c r="P305" i="24"/>
  <c r="P388" i="24"/>
  <c r="P366" i="24"/>
  <c r="P279" i="24"/>
  <c r="P300" i="24"/>
  <c r="P277" i="24"/>
  <c r="P298" i="24"/>
  <c r="P282" i="24"/>
  <c r="P303" i="24"/>
  <c r="P345" i="24"/>
  <c r="P283" i="24"/>
  <c r="P304" i="24"/>
  <c r="P346" i="24"/>
  <c r="P393" i="24"/>
  <c r="P369" i="24"/>
  <c r="P285" i="24"/>
  <c r="P306" i="24"/>
  <c r="P327" i="24"/>
  <c r="P392" i="24"/>
  <c r="P394" i="24"/>
  <c r="P363" i="24"/>
  <c r="P281" i="24"/>
  <c r="P302" i="24"/>
  <c r="P323" i="24"/>
  <c r="P276" i="34"/>
  <c r="P282" i="34"/>
  <c r="P303" i="34"/>
  <c r="P364" i="34"/>
  <c r="P370" i="34"/>
  <c r="P285" i="34"/>
  <c r="P306" i="34"/>
  <c r="P278" i="34"/>
  <c r="P299" i="34"/>
  <c r="P388" i="34"/>
  <c r="P391" i="34"/>
  <c r="P371" i="34"/>
  <c r="P372" i="34"/>
  <c r="P284" i="34"/>
  <c r="P305" i="34"/>
  <c r="P368" i="34"/>
  <c r="P367" i="34"/>
  <c r="P393" i="34"/>
  <c r="P280" i="34"/>
  <c r="P301" i="34"/>
  <c r="P322" i="34"/>
  <c r="P366" i="34"/>
  <c r="P281" i="34"/>
  <c r="P302" i="34"/>
  <c r="P365" i="34"/>
  <c r="P389" i="34"/>
  <c r="P390" i="34"/>
  <c r="P286" i="34"/>
  <c r="P307" i="34"/>
  <c r="P363" i="34"/>
  <c r="P279" i="34"/>
  <c r="P300" i="34"/>
  <c r="P362" i="34"/>
  <c r="P207" i="34"/>
  <c r="P210" i="34"/>
  <c r="P277" i="34"/>
  <c r="P298" i="34"/>
  <c r="P319" i="34"/>
  <c r="P394" i="34"/>
  <c r="P392" i="34"/>
  <c r="P283" i="34"/>
  <c r="P304" i="34"/>
  <c r="P369" i="34"/>
  <c r="N14" i="19"/>
  <c r="P205" i="34"/>
  <c r="H17" i="65"/>
  <c r="P12" i="19"/>
  <c r="P281" i="20"/>
  <c r="P302" i="20"/>
  <c r="P276" i="20"/>
  <c r="P285" i="20"/>
  <c r="P306" i="20"/>
  <c r="P327" i="20"/>
  <c r="P280" i="20"/>
  <c r="P301" i="20"/>
  <c r="P343" i="20"/>
  <c r="P368" i="20"/>
  <c r="P277" i="20"/>
  <c r="P298" i="20"/>
  <c r="P282" i="20"/>
  <c r="P303" i="20"/>
  <c r="P391" i="20"/>
  <c r="P388" i="20"/>
  <c r="P284" i="20"/>
  <c r="P305" i="20"/>
  <c r="P372" i="20"/>
  <c r="P279" i="20"/>
  <c r="P300" i="20"/>
  <c r="P342" i="20"/>
  <c r="P363" i="20"/>
  <c r="P369" i="20"/>
  <c r="P394" i="20"/>
  <c r="P364" i="20"/>
  <c r="P366" i="20"/>
  <c r="P278" i="20"/>
  <c r="P299" i="20"/>
  <c r="P393" i="20"/>
  <c r="P367" i="20"/>
  <c r="P286" i="20"/>
  <c r="P307" i="20"/>
  <c r="P390" i="20"/>
  <c r="P365" i="20"/>
  <c r="P283" i="20"/>
  <c r="P304" i="20"/>
  <c r="P392" i="20"/>
  <c r="P370" i="20"/>
  <c r="P389" i="20"/>
  <c r="P362" i="20"/>
  <c r="P371" i="20"/>
  <c r="P159" i="34"/>
  <c r="P342" i="34"/>
  <c r="P321" i="34"/>
  <c r="P343" i="34"/>
  <c r="P347" i="34"/>
  <c r="P326" i="34"/>
  <c r="P396" i="34"/>
  <c r="P325" i="24"/>
  <c r="P328" i="24"/>
  <c r="M44" i="19"/>
  <c r="N12" i="19"/>
  <c r="P340" i="34"/>
  <c r="P320" i="34"/>
  <c r="P341" i="34"/>
  <c r="P324" i="34"/>
  <c r="P345" i="34"/>
  <c r="P344" i="24"/>
  <c r="P348" i="24"/>
  <c r="P324" i="24"/>
  <c r="P375" i="24"/>
  <c r="P320" i="24"/>
  <c r="P341" i="24"/>
  <c r="P259" i="24"/>
  <c r="P238" i="24"/>
  <c r="P373" i="24"/>
  <c r="P377" i="24"/>
  <c r="P212" i="24"/>
  <c r="O12" i="19"/>
  <c r="P325" i="34"/>
  <c r="P346" i="34"/>
  <c r="P238" i="34"/>
  <c r="P212" i="34"/>
  <c r="P259" i="34"/>
  <c r="P328" i="34"/>
  <c r="P349" i="34"/>
  <c r="P344" i="34"/>
  <c r="P323" i="34"/>
  <c r="P327" i="34"/>
  <c r="P348" i="34"/>
  <c r="P288" i="34"/>
  <c r="P297" i="34"/>
  <c r="P319" i="24"/>
  <c r="P340" i="24"/>
  <c r="P326" i="24"/>
  <c r="P347" i="24"/>
  <c r="P288" i="24"/>
  <c r="P297" i="24"/>
  <c r="C39" i="83"/>
  <c r="P375" i="34"/>
  <c r="P342" i="24"/>
  <c r="P321" i="24"/>
  <c r="P322" i="24"/>
  <c r="P343" i="24"/>
  <c r="M14" i="19"/>
  <c r="F23" i="5"/>
  <c r="S150" i="34"/>
  <c r="T147" i="34"/>
  <c r="T145" i="34"/>
  <c r="S146" i="34"/>
  <c r="T151" i="34"/>
  <c r="S144" i="34"/>
  <c r="R145" i="34"/>
  <c r="Q150" i="34"/>
  <c r="S145" i="34"/>
  <c r="R144" i="34"/>
  <c r="R146" i="34"/>
  <c r="R150" i="34"/>
  <c r="R149" i="34"/>
  <c r="S148" i="34"/>
  <c r="Q151" i="34"/>
  <c r="Q144" i="34"/>
  <c r="Q148" i="34"/>
  <c r="Q145" i="34"/>
  <c r="R151" i="34"/>
  <c r="R147" i="34"/>
  <c r="R148" i="34"/>
  <c r="Q149" i="34"/>
  <c r="S149" i="34"/>
  <c r="Q146" i="34"/>
  <c r="Q147" i="34"/>
  <c r="C56" i="83"/>
  <c r="C23" i="83"/>
  <c r="P340" i="20"/>
  <c r="P319" i="20"/>
  <c r="P375" i="20"/>
  <c r="P346" i="20"/>
  <c r="P325" i="20"/>
  <c r="P239" i="20"/>
  <c r="P396" i="20"/>
  <c r="P344" i="20"/>
  <c r="P323" i="20"/>
  <c r="P321" i="20"/>
  <c r="P322" i="20"/>
  <c r="P349" i="20"/>
  <c r="P328" i="20"/>
  <c r="P326" i="20"/>
  <c r="P347" i="20"/>
  <c r="P297" i="20"/>
  <c r="P318" i="20"/>
  <c r="P330" i="20"/>
  <c r="P288" i="20"/>
  <c r="P341" i="20"/>
  <c r="P320" i="20"/>
  <c r="P324" i="20"/>
  <c r="P345" i="20"/>
  <c r="P348" i="20"/>
  <c r="P339" i="34"/>
  <c r="P351" i="34"/>
  <c r="P318" i="34"/>
  <c r="P330" i="34"/>
  <c r="P309" i="34"/>
  <c r="P339" i="24"/>
  <c r="P351" i="24"/>
  <c r="P318" i="24"/>
  <c r="P330" i="24"/>
  <c r="P309" i="24"/>
  <c r="P373" i="34"/>
  <c r="P377" i="34"/>
  <c r="P260" i="34"/>
  <c r="P263" i="34"/>
  <c r="M21" i="5"/>
  <c r="L21" i="5" s="1"/>
  <c r="K21" i="5" s="1"/>
  <c r="U150" i="34"/>
  <c r="S147" i="34"/>
  <c r="U149" i="34"/>
  <c r="T149" i="34"/>
  <c r="U151" i="34"/>
  <c r="S151" i="34"/>
  <c r="T146" i="34"/>
  <c r="T148" i="34"/>
  <c r="X78" i="34"/>
  <c r="X74" i="34"/>
  <c r="X75" i="34"/>
  <c r="T144" i="34"/>
  <c r="T150" i="34"/>
  <c r="C68" i="83"/>
  <c r="P240" i="20"/>
  <c r="P243" i="20"/>
  <c r="P339" i="20"/>
  <c r="P351" i="20"/>
  <c r="P373" i="20"/>
  <c r="P377" i="20"/>
  <c r="U147" i="34"/>
  <c r="X127" i="34"/>
  <c r="X104" i="34"/>
  <c r="X80" i="34"/>
  <c r="X173" i="34"/>
  <c r="X170" i="34"/>
  <c r="X77" i="34"/>
  <c r="X124" i="34"/>
  <c r="U144" i="34"/>
  <c r="U146" i="34"/>
  <c r="X169" i="34"/>
  <c r="X123" i="34"/>
  <c r="U145" i="34"/>
  <c r="X128" i="34"/>
  <c r="X174" i="34"/>
  <c r="X81" i="34"/>
  <c r="X125" i="34"/>
  <c r="X171" i="34"/>
  <c r="X76" i="34"/>
  <c r="U148" i="34"/>
  <c r="X122" i="34"/>
  <c r="X168" i="34"/>
  <c r="X99" i="34"/>
  <c r="X121" i="34"/>
  <c r="X167" i="34"/>
  <c r="X126" i="34"/>
  <c r="X79" i="34"/>
  <c r="X172" i="34"/>
  <c r="V150" i="34"/>
  <c r="X150" i="34"/>
  <c r="V144" i="34"/>
  <c r="X144" i="34"/>
  <c r="V145" i="34"/>
  <c r="X145" i="34"/>
  <c r="V146" i="34"/>
  <c r="X146" i="34"/>
  <c r="X98" i="34"/>
  <c r="X100" i="34"/>
  <c r="V149" i="34"/>
  <c r="X149" i="34"/>
  <c r="X103" i="34"/>
  <c r="V148" i="34"/>
  <c r="X148" i="34"/>
  <c r="X102" i="34"/>
  <c r="V151" i="34"/>
  <c r="X151" i="34"/>
  <c r="X105" i="34"/>
  <c r="X101" i="34"/>
  <c r="V147" i="34"/>
  <c r="X147" i="34"/>
  <c r="J21" i="5"/>
  <c r="I21" i="5" s="1"/>
  <c r="F25" i="5" s="1"/>
  <c r="P16" i="65"/>
  <c r="Q80" i="38"/>
  <c r="Q82" i="37"/>
  <c r="Q78" i="37"/>
  <c r="Q124" i="37"/>
  <c r="Q103" i="38"/>
  <c r="Q105" i="37"/>
  <c r="Q54" i="38"/>
  <c r="W35" i="5"/>
  <c r="X35" i="5"/>
  <c r="S71" i="19"/>
  <c r="S73" i="19"/>
  <c r="S90" i="19"/>
  <c r="S92" i="19"/>
  <c r="P309" i="20"/>
  <c r="P260" i="24"/>
  <c r="P263" i="24"/>
  <c r="P396" i="24"/>
  <c r="P373" i="38"/>
  <c r="P377" i="38"/>
  <c r="P306" i="14"/>
  <c r="P189" i="14"/>
  <c r="P205" i="14"/>
  <c r="P116" i="47"/>
  <c r="P123" i="47"/>
  <c r="P139" i="47"/>
  <c r="P302" i="47"/>
  <c r="P391" i="47"/>
  <c r="P394" i="47"/>
  <c r="P390" i="47"/>
  <c r="P388" i="47"/>
  <c r="P396" i="47"/>
  <c r="P302" i="14"/>
  <c r="P369" i="48"/>
  <c r="P367" i="48"/>
  <c r="P391" i="48"/>
  <c r="P389" i="48"/>
  <c r="P370" i="48"/>
  <c r="P371" i="48"/>
  <c r="P394" i="48"/>
  <c r="P281" i="48"/>
  <c r="P302" i="48"/>
  <c r="P279" i="48"/>
  <c r="P300" i="48"/>
  <c r="P280" i="48"/>
  <c r="P301" i="48"/>
  <c r="P283" i="48"/>
  <c r="P304" i="48"/>
  <c r="P284" i="48"/>
  <c r="P305" i="48"/>
  <c r="P286" i="48"/>
  <c r="P307" i="48"/>
  <c r="P364" i="48"/>
  <c r="P277" i="48"/>
  <c r="P298" i="48"/>
  <c r="P278" i="48"/>
  <c r="P299" i="48"/>
  <c r="P363" i="48"/>
  <c r="P392" i="48"/>
  <c r="P366" i="48"/>
  <c r="P368" i="48"/>
  <c r="P187" i="48"/>
  <c r="P190" i="48"/>
  <c r="P282" i="48"/>
  <c r="P303" i="48"/>
  <c r="P365" i="48"/>
  <c r="P276" i="48"/>
  <c r="P388" i="48"/>
  <c r="P362" i="48"/>
  <c r="P390" i="48"/>
  <c r="P393" i="48"/>
  <c r="P372" i="48"/>
  <c r="P285" i="48"/>
  <c r="P306" i="48"/>
  <c r="P370" i="14"/>
  <c r="P286" i="14"/>
  <c r="P307" i="14"/>
  <c r="P279" i="14"/>
  <c r="U42" i="5"/>
  <c r="Q31" i="14"/>
  <c r="Q123" i="17"/>
  <c r="Q146" i="17" s="1"/>
  <c r="Q53" i="38"/>
  <c r="Q55" i="38"/>
  <c r="V42" i="5"/>
  <c r="Q89" i="6"/>
  <c r="Q363" i="6"/>
  <c r="Q372" i="6"/>
  <c r="Q89" i="40"/>
  <c r="Q280" i="40"/>
  <c r="Q166" i="40"/>
  <c r="Q182" i="40"/>
  <c r="Q120" i="40"/>
  <c r="Q143" i="40"/>
  <c r="Q159" i="40"/>
  <c r="Q136" i="40"/>
  <c r="Q97" i="40"/>
  <c r="Q169" i="17"/>
  <c r="Q166" i="41"/>
  <c r="Q182" i="41" s="1"/>
  <c r="Q120" i="41"/>
  <c r="Q136" i="41"/>
  <c r="Q97" i="41"/>
  <c r="Q166" i="17"/>
  <c r="Q120" i="17"/>
  <c r="Q143" i="17" s="1"/>
  <c r="R56" i="38"/>
  <c r="Q372" i="44"/>
  <c r="Q128" i="37"/>
  <c r="Q368" i="6"/>
  <c r="Q371" i="37"/>
  <c r="Q147" i="38"/>
  <c r="Q101" i="38"/>
  <c r="Q78" i="38"/>
  <c r="R54" i="38"/>
  <c r="R147" i="38"/>
  <c r="R146" i="48"/>
  <c r="S100" i="48"/>
  <c r="S116" i="48"/>
  <c r="K28" i="111" s="1"/>
  <c r="K64" i="111" s="1"/>
  <c r="Q369" i="37"/>
  <c r="Q367" i="37"/>
  <c r="Q365" i="37"/>
  <c r="Q363" i="37"/>
  <c r="Q365" i="44"/>
  <c r="Q149" i="37"/>
  <c r="Q103" i="37"/>
  <c r="Q80" i="37"/>
  <c r="Q126" i="37"/>
  <c r="Q126" i="38"/>
  <c r="Q370" i="6"/>
  <c r="Q366" i="6"/>
  <c r="T71" i="19"/>
  <c r="T73" i="19"/>
  <c r="T90" i="19"/>
  <c r="T92" i="19"/>
  <c r="P288" i="14"/>
  <c r="P300" i="14"/>
  <c r="P375" i="14"/>
  <c r="P377" i="14"/>
  <c r="P396" i="48"/>
  <c r="P218" i="48"/>
  <c r="P192" i="48"/>
  <c r="P239" i="48"/>
  <c r="P340" i="48"/>
  <c r="P319" i="48"/>
  <c r="P328" i="48"/>
  <c r="P349" i="48"/>
  <c r="P325" i="48"/>
  <c r="P346" i="48"/>
  <c r="P321" i="48"/>
  <c r="P342" i="48"/>
  <c r="P344" i="47"/>
  <c r="P351" i="47"/>
  <c r="P309" i="47"/>
  <c r="P323" i="47"/>
  <c r="P330" i="47"/>
  <c r="P327" i="14"/>
  <c r="P348" i="14"/>
  <c r="Q364" i="6"/>
  <c r="P349" i="14"/>
  <c r="P328" i="14"/>
  <c r="P327" i="48"/>
  <c r="P348" i="48"/>
  <c r="P375" i="48"/>
  <c r="P288" i="48"/>
  <c r="P297" i="48"/>
  <c r="P324" i="48"/>
  <c r="P345" i="48"/>
  <c r="P320" i="48"/>
  <c r="P341" i="48"/>
  <c r="P326" i="48"/>
  <c r="P347" i="48"/>
  <c r="P343" i="48"/>
  <c r="P322" i="48"/>
  <c r="P344" i="48"/>
  <c r="P323" i="48"/>
  <c r="P344" i="14"/>
  <c r="P323" i="14"/>
  <c r="Q279" i="45"/>
  <c r="Q146" i="45"/>
  <c r="Q162" i="45" s="1"/>
  <c r="Q100" i="45"/>
  <c r="Q116" i="45" s="1"/>
  <c r="Q77" i="45"/>
  <c r="Q148" i="38"/>
  <c r="Q79" i="38"/>
  <c r="Q102" i="38"/>
  <c r="Q81" i="37"/>
  <c r="Q150" i="37"/>
  <c r="Q104" i="37"/>
  <c r="Q146" i="37"/>
  <c r="Q77" i="37"/>
  <c r="Q100" i="37"/>
  <c r="Q89" i="14"/>
  <c r="Q365" i="14"/>
  <c r="Q166" i="14"/>
  <c r="Q182" i="14"/>
  <c r="Q120" i="14"/>
  <c r="Q136" i="14"/>
  <c r="Q97" i="14"/>
  <c r="Q143" i="14"/>
  <c r="Q159" i="14"/>
  <c r="Q283" i="43"/>
  <c r="Q100" i="43"/>
  <c r="Q116" i="43"/>
  <c r="Q281" i="43"/>
  <c r="Q146" i="43"/>
  <c r="Q162" i="43" s="1"/>
  <c r="Q77" i="43"/>
  <c r="Q93" i="43" s="1"/>
  <c r="Q77" i="38"/>
  <c r="Q146" i="38"/>
  <c r="Q100" i="38"/>
  <c r="Q148" i="37"/>
  <c r="Q79" i="37"/>
  <c r="Q102" i="37"/>
  <c r="R55" i="38"/>
  <c r="R61" i="20"/>
  <c r="R53" i="38"/>
  <c r="Q362" i="44"/>
  <c r="Q280" i="44"/>
  <c r="Q371" i="6"/>
  <c r="Q369" i="6"/>
  <c r="Q367" i="6"/>
  <c r="Q365" i="6"/>
  <c r="W42" i="5"/>
  <c r="S53" i="38"/>
  <c r="S55" i="38"/>
  <c r="S54" i="38"/>
  <c r="S56" i="38"/>
  <c r="S61" i="20"/>
  <c r="S120" i="33"/>
  <c r="S166" i="33"/>
  <c r="S97" i="33"/>
  <c r="Y35" i="5"/>
  <c r="U71" i="19"/>
  <c r="U73" i="19"/>
  <c r="U90" i="19"/>
  <c r="U92" i="19"/>
  <c r="Q362" i="6"/>
  <c r="Q277" i="6"/>
  <c r="Q281" i="6"/>
  <c r="Q280" i="6"/>
  <c r="Q279" i="6"/>
  <c r="Q283" i="6"/>
  <c r="Q284" i="6"/>
  <c r="Q207" i="6"/>
  <c r="I15" i="50"/>
  <c r="Q276" i="6"/>
  <c r="Q285" i="6"/>
  <c r="Q282" i="6"/>
  <c r="Q286" i="6"/>
  <c r="Q278" i="6"/>
  <c r="Q281" i="37"/>
  <c r="Q277" i="37"/>
  <c r="Q286" i="37"/>
  <c r="Q278" i="37"/>
  <c r="Q276" i="37"/>
  <c r="Q283" i="37"/>
  <c r="Q282" i="37"/>
  <c r="Q284" i="37"/>
  <c r="Q280" i="37"/>
  <c r="Q285" i="37"/>
  <c r="Q279" i="37"/>
  <c r="R149" i="38"/>
  <c r="R103" i="38"/>
  <c r="R80" i="38"/>
  <c r="R101" i="38"/>
  <c r="R100" i="48"/>
  <c r="R202" i="48"/>
  <c r="S146" i="48"/>
  <c r="S162" i="48" s="1"/>
  <c r="K40" i="111" s="1"/>
  <c r="K76" i="111" s="1"/>
  <c r="S169" i="48"/>
  <c r="Q113" i="41"/>
  <c r="Q143" i="41"/>
  <c r="Q159" i="41"/>
  <c r="Q207" i="40"/>
  <c r="I33" i="50"/>
  <c r="Q283" i="40"/>
  <c r="Q365" i="40"/>
  <c r="Q369" i="40"/>
  <c r="Q281" i="40"/>
  <c r="Q276" i="40"/>
  <c r="S169" i="24"/>
  <c r="S123" i="24"/>
  <c r="S100" i="24"/>
  <c r="Q363" i="41"/>
  <c r="Q364" i="41"/>
  <c r="Q365" i="41"/>
  <c r="Q366" i="41"/>
  <c r="Q367" i="41"/>
  <c r="Q368" i="41"/>
  <c r="Q369" i="41"/>
  <c r="Q370" i="41"/>
  <c r="Q371" i="41"/>
  <c r="Q372" i="41"/>
  <c r="Q362" i="41"/>
  <c r="Q279" i="41"/>
  <c r="Q278" i="41"/>
  <c r="Q280" i="41"/>
  <c r="Q276" i="41"/>
  <c r="Q283" i="41"/>
  <c r="Q277" i="41"/>
  <c r="Q281" i="41"/>
  <c r="Q284" i="41"/>
  <c r="Q285" i="41"/>
  <c r="Q282" i="41"/>
  <c r="Q286" i="41"/>
  <c r="Q113" i="40"/>
  <c r="Q277" i="14"/>
  <c r="Q278" i="14"/>
  <c r="Q276" i="43"/>
  <c r="Q282" i="14"/>
  <c r="Q285" i="43"/>
  <c r="Q284" i="43"/>
  <c r="Q279" i="14"/>
  <c r="Q286" i="14"/>
  <c r="Q285" i="14"/>
  <c r="Q369" i="14"/>
  <c r="Q364" i="37"/>
  <c r="Q368" i="37"/>
  <c r="Q372" i="37"/>
  <c r="Q366" i="37"/>
  <c r="Q370" i="37"/>
  <c r="Q362" i="37"/>
  <c r="S202" i="48"/>
  <c r="S77" i="48"/>
  <c r="S123" i="48" s="1"/>
  <c r="R169" i="48"/>
  <c r="R77" i="48"/>
  <c r="R78" i="38"/>
  <c r="Q279" i="43"/>
  <c r="Q278" i="43"/>
  <c r="Q276" i="14"/>
  <c r="Q288" i="14"/>
  <c r="Q281" i="14"/>
  <c r="Q371" i="14"/>
  <c r="Q280" i="14"/>
  <c r="Q284" i="14"/>
  <c r="Q283" i="14"/>
  <c r="Q367" i="14"/>
  <c r="Q124" i="38"/>
  <c r="Q125" i="38"/>
  <c r="P240" i="48"/>
  <c r="P243" i="48"/>
  <c r="P373" i="48"/>
  <c r="P377" i="48"/>
  <c r="P321" i="14"/>
  <c r="P330" i="14"/>
  <c r="P342" i="14"/>
  <c r="P351" i="14"/>
  <c r="P309" i="14"/>
  <c r="P339" i="48"/>
  <c r="P351" i="48"/>
  <c r="P318" i="48"/>
  <c r="P330" i="48"/>
  <c r="P309" i="48"/>
  <c r="Q280" i="45"/>
  <c r="R100" i="38"/>
  <c r="R146" i="38"/>
  <c r="R77" i="38"/>
  <c r="R123" i="38"/>
  <c r="R108" i="20"/>
  <c r="R154" i="20"/>
  <c r="R85" i="20"/>
  <c r="R131" i="20"/>
  <c r="Q125" i="37"/>
  <c r="Q286" i="43"/>
  <c r="Q280" i="43"/>
  <c r="Q364" i="43"/>
  <c r="Q366" i="43"/>
  <c r="Q368" i="43"/>
  <c r="Q370" i="43"/>
  <c r="Q372" i="43"/>
  <c r="Q362" i="43"/>
  <c r="Q282" i="43"/>
  <c r="Q277" i="43"/>
  <c r="Q363" i="43"/>
  <c r="Q365" i="43"/>
  <c r="Q367" i="43"/>
  <c r="Q369" i="43"/>
  <c r="Q371" i="43"/>
  <c r="Q113" i="14"/>
  <c r="Q362" i="14"/>
  <c r="Q207" i="14"/>
  <c r="I17" i="50"/>
  <c r="Q370" i="14"/>
  <c r="Q366" i="14"/>
  <c r="Q364" i="14"/>
  <c r="Q372" i="14"/>
  <c r="Q368" i="14"/>
  <c r="Q363" i="14"/>
  <c r="R122" i="24"/>
  <c r="R99" i="24"/>
  <c r="R145" i="24" s="1"/>
  <c r="R168" i="24"/>
  <c r="R148" i="38"/>
  <c r="R79" i="38"/>
  <c r="R102" i="38"/>
  <c r="Q123" i="38"/>
  <c r="Q123" i="43"/>
  <c r="Q139" i="43" s="1"/>
  <c r="Q93" i="37"/>
  <c r="Q127" i="37"/>
  <c r="Q93" i="45"/>
  <c r="Q366" i="45"/>
  <c r="S154" i="20"/>
  <c r="S85" i="20"/>
  <c r="S108" i="20"/>
  <c r="S149" i="38"/>
  <c r="S103" i="38"/>
  <c r="S80" i="38"/>
  <c r="S151" i="37"/>
  <c r="S105" i="37"/>
  <c r="S82" i="37"/>
  <c r="S128" i="37" s="1"/>
  <c r="S147" i="37"/>
  <c r="S101" i="37"/>
  <c r="S124" i="37" s="1"/>
  <c r="S78" i="37"/>
  <c r="S151" i="20"/>
  <c r="S105" i="20"/>
  <c r="S128" i="20" s="1"/>
  <c r="S82" i="20"/>
  <c r="S147" i="20"/>
  <c r="S101" i="20"/>
  <c r="S78" i="20"/>
  <c r="S124" i="20" s="1"/>
  <c r="S150" i="38"/>
  <c r="S104" i="38"/>
  <c r="S116" i="38" s="1"/>
  <c r="S81" i="38"/>
  <c r="S146" i="38"/>
  <c r="S100" i="38"/>
  <c r="S77" i="38"/>
  <c r="S100" i="31"/>
  <c r="S146" i="31"/>
  <c r="S162" i="31" s="1"/>
  <c r="S77" i="31"/>
  <c r="S286" i="31"/>
  <c r="S166" i="6"/>
  <c r="S182" i="6"/>
  <c r="S120" i="6"/>
  <c r="S136" i="6"/>
  <c r="S283" i="6"/>
  <c r="S97" i="6"/>
  <c r="S113" i="6" s="1"/>
  <c r="S286" i="6"/>
  <c r="X42" i="5"/>
  <c r="T53" i="38"/>
  <c r="T55" i="38"/>
  <c r="T54" i="38"/>
  <c r="T56" i="38"/>
  <c r="T61" i="20"/>
  <c r="V71" i="19"/>
  <c r="V73" i="19"/>
  <c r="V90" i="19"/>
  <c r="V92" i="19"/>
  <c r="S143" i="33"/>
  <c r="S147" i="38"/>
  <c r="S101" i="38"/>
  <c r="S78" i="38"/>
  <c r="S149" i="37"/>
  <c r="S103" i="37"/>
  <c r="S80" i="37"/>
  <c r="S167" i="24"/>
  <c r="S121" i="24"/>
  <c r="S98" i="24"/>
  <c r="S144" i="24" s="1"/>
  <c r="S153" i="20"/>
  <c r="S107" i="20"/>
  <c r="S84" i="20"/>
  <c r="S130" i="20" s="1"/>
  <c r="S149" i="20"/>
  <c r="S103" i="20"/>
  <c r="S80" i="20"/>
  <c r="S148" i="38"/>
  <c r="S102" i="38"/>
  <c r="S79" i="38"/>
  <c r="S390" i="48"/>
  <c r="S281" i="48"/>
  <c r="S302" i="48"/>
  <c r="S344" i="48" s="1"/>
  <c r="S283" i="48"/>
  <c r="S304" i="48"/>
  <c r="S346" i="48" s="1"/>
  <c r="S393" i="48"/>
  <c r="S276" i="48"/>
  <c r="S297" i="48" s="1"/>
  <c r="S286" i="48"/>
  <c r="S307" i="48"/>
  <c r="S349" i="48" s="1"/>
  <c r="S285" i="48"/>
  <c r="S306" i="48"/>
  <c r="S327" i="48" s="1"/>
  <c r="S389" i="48"/>
  <c r="S277" i="48"/>
  <c r="S298" i="48" s="1"/>
  <c r="S340" i="48" s="1"/>
  <c r="S392" i="48"/>
  <c r="S279" i="48"/>
  <c r="S300" i="48"/>
  <c r="S282" i="48"/>
  <c r="S303" i="48"/>
  <c r="S280" i="48"/>
  <c r="S301" i="48"/>
  <c r="S343" i="48" s="1"/>
  <c r="S278" i="48"/>
  <c r="S299" i="48"/>
  <c r="S391" i="48"/>
  <c r="S394" i="48"/>
  <c r="S284" i="48"/>
  <c r="S305" i="48"/>
  <c r="S388" i="48"/>
  <c r="R116" i="48"/>
  <c r="R388" i="48"/>
  <c r="R390" i="48"/>
  <c r="R391" i="48"/>
  <c r="R389" i="48"/>
  <c r="R392" i="48"/>
  <c r="R393" i="48"/>
  <c r="R394" i="48"/>
  <c r="Q288" i="41"/>
  <c r="S146" i="24"/>
  <c r="S93" i="48"/>
  <c r="K16" i="111" s="1"/>
  <c r="K52" i="111" s="1"/>
  <c r="S139" i="48"/>
  <c r="R185" i="48"/>
  <c r="R93" i="48"/>
  <c r="J16" i="111" s="1"/>
  <c r="R124" i="38"/>
  <c r="R126" i="38"/>
  <c r="S282" i="6"/>
  <c r="S285" i="6"/>
  <c r="S279" i="6"/>
  <c r="S281" i="6"/>
  <c r="S277" i="6"/>
  <c r="S276" i="6"/>
  <c r="S288" i="6" s="1"/>
  <c r="S280" i="6"/>
  <c r="S284" i="6"/>
  <c r="S278" i="6"/>
  <c r="S284" i="31"/>
  <c r="S281" i="31"/>
  <c r="S277" i="31"/>
  <c r="S280" i="31"/>
  <c r="S276" i="31"/>
  <c r="R125" i="38"/>
  <c r="S126" i="37"/>
  <c r="S126" i="38"/>
  <c r="S126" i="20"/>
  <c r="T166" i="33"/>
  <c r="T166" i="35"/>
  <c r="T120" i="35"/>
  <c r="T97" i="35"/>
  <c r="T143" i="35" s="1"/>
  <c r="T285" i="35"/>
  <c r="T123" i="24"/>
  <c r="T169" i="24"/>
  <c r="T100" i="24"/>
  <c r="T106" i="20"/>
  <c r="T148" i="20"/>
  <c r="T79" i="20"/>
  <c r="T125" i="20" s="1"/>
  <c r="T147" i="38"/>
  <c r="T101" i="38"/>
  <c r="T78" i="38"/>
  <c r="T103" i="37"/>
  <c r="T166" i="24"/>
  <c r="T120" i="24"/>
  <c r="T97" i="24"/>
  <c r="T84" i="20"/>
  <c r="T149" i="20"/>
  <c r="T103" i="20"/>
  <c r="T126" i="20" s="1"/>
  <c r="T146" i="47"/>
  <c r="T100" i="47"/>
  <c r="T77" i="47"/>
  <c r="T148" i="38"/>
  <c r="T102" i="38"/>
  <c r="T79" i="38"/>
  <c r="T104" i="37"/>
  <c r="T146" i="37"/>
  <c r="T77" i="37"/>
  <c r="T166" i="14"/>
  <c r="T182" i="14" s="1"/>
  <c r="T120" i="14"/>
  <c r="T136" i="14" s="1"/>
  <c r="T97" i="14"/>
  <c r="T282" i="14"/>
  <c r="T166" i="28"/>
  <c r="T182" i="28" s="1"/>
  <c r="T120" i="28"/>
  <c r="T143" i="28" s="1"/>
  <c r="T97" i="28"/>
  <c r="T281" i="28"/>
  <c r="S143" i="6"/>
  <c r="S159" i="6" s="1"/>
  <c r="S277" i="38"/>
  <c r="S282" i="38"/>
  <c r="S285" i="38"/>
  <c r="S284" i="38"/>
  <c r="S286" i="38"/>
  <c r="S278" i="38"/>
  <c r="S279" i="38"/>
  <c r="S280" i="38"/>
  <c r="S281" i="38"/>
  <c r="S276" i="38"/>
  <c r="S283" i="38"/>
  <c r="S93" i="38"/>
  <c r="S123" i="38"/>
  <c r="S162" i="38"/>
  <c r="S127" i="38"/>
  <c r="S125" i="38"/>
  <c r="S124" i="38"/>
  <c r="T100" i="48"/>
  <c r="T123" i="48" s="1"/>
  <c r="T202" i="48"/>
  <c r="T146" i="48"/>
  <c r="T162" i="48" s="1"/>
  <c r="T77" i="48"/>
  <c r="T169" i="48"/>
  <c r="T166" i="34"/>
  <c r="T97" i="34"/>
  <c r="T143" i="34" s="1"/>
  <c r="T120" i="34"/>
  <c r="T154" i="20"/>
  <c r="T108" i="20"/>
  <c r="T85" i="20"/>
  <c r="T104" i="20"/>
  <c r="T146" i="20"/>
  <c r="T77" i="20"/>
  <c r="T146" i="43"/>
  <c r="T100" i="43"/>
  <c r="T77" i="43"/>
  <c r="T123" i="43" s="1"/>
  <c r="T286" i="43"/>
  <c r="T149" i="38"/>
  <c r="T103" i="38"/>
  <c r="T80" i="38"/>
  <c r="T105" i="37"/>
  <c r="T147" i="37"/>
  <c r="T78" i="37"/>
  <c r="T124" i="37" s="1"/>
  <c r="T168" i="24"/>
  <c r="T122" i="24"/>
  <c r="T99" i="24"/>
  <c r="T145" i="24" s="1"/>
  <c r="T166" i="6"/>
  <c r="T182" i="6" s="1"/>
  <c r="T120" i="6"/>
  <c r="T97" i="6"/>
  <c r="T283" i="6"/>
  <c r="T151" i="20"/>
  <c r="T105" i="20"/>
  <c r="T78" i="20"/>
  <c r="T146" i="44"/>
  <c r="T162" i="44" s="1"/>
  <c r="T100" i="44"/>
  <c r="T77" i="44"/>
  <c r="T93" i="44" s="1"/>
  <c r="T278" i="44"/>
  <c r="T150" i="38"/>
  <c r="T104" i="38"/>
  <c r="T81" i="38"/>
  <c r="T127" i="38" s="1"/>
  <c r="T146" i="38"/>
  <c r="T100" i="38"/>
  <c r="T77" i="38"/>
  <c r="T281" i="38"/>
  <c r="T102" i="37"/>
  <c r="T167" i="24"/>
  <c r="T182" i="24" s="1"/>
  <c r="T121" i="24"/>
  <c r="T98" i="24"/>
  <c r="Y42" i="5"/>
  <c r="U55" i="38"/>
  <c r="U61" i="20"/>
  <c r="U54" i="38"/>
  <c r="U53" i="38"/>
  <c r="U56" i="38"/>
  <c r="S282" i="31"/>
  <c r="S283" i="31"/>
  <c r="S278" i="31"/>
  <c r="S285" i="31"/>
  <c r="S279" i="31"/>
  <c r="S93" i="31"/>
  <c r="S123" i="31"/>
  <c r="S116" i="31"/>
  <c r="S131" i="20"/>
  <c r="S328" i="48"/>
  <c r="S323" i="48"/>
  <c r="J28" i="111"/>
  <c r="J64" i="111" s="1"/>
  <c r="S322" i="48"/>
  <c r="S319" i="48"/>
  <c r="S348" i="48"/>
  <c r="S288" i="48"/>
  <c r="S325" i="48"/>
  <c r="T280" i="44"/>
  <c r="T279" i="44"/>
  <c r="T283" i="14"/>
  <c r="T282" i="44"/>
  <c r="T284" i="44"/>
  <c r="T286" i="44"/>
  <c r="T285" i="14"/>
  <c r="T280" i="14"/>
  <c r="T284" i="14"/>
  <c r="T116" i="38"/>
  <c r="T281" i="44"/>
  <c r="T285" i="44"/>
  <c r="T283" i="44"/>
  <c r="T283" i="35"/>
  <c r="T286" i="38"/>
  <c r="T284" i="43"/>
  <c r="T283" i="28"/>
  <c r="T280" i="47"/>
  <c r="T283" i="47"/>
  <c r="T286" i="35"/>
  <c r="T281" i="35"/>
  <c r="T277" i="35"/>
  <c r="T284" i="38"/>
  <c r="T276" i="43"/>
  <c r="T283" i="43"/>
  <c r="T279" i="43"/>
  <c r="T276" i="28"/>
  <c r="T284" i="28"/>
  <c r="T278" i="28"/>
  <c r="T279" i="14"/>
  <c r="T277" i="14"/>
  <c r="T281" i="14"/>
  <c r="T276" i="14"/>
  <c r="T278" i="14"/>
  <c r="T279" i="47"/>
  <c r="T278" i="47"/>
  <c r="T283" i="38"/>
  <c r="T280" i="6"/>
  <c r="T285" i="6"/>
  <c r="T279" i="35"/>
  <c r="T282" i="35"/>
  <c r="T278" i="35"/>
  <c r="T276" i="35"/>
  <c r="T284" i="35"/>
  <c r="T280" i="35"/>
  <c r="T282" i="38"/>
  <c r="T277" i="6"/>
  <c r="T282" i="6"/>
  <c r="T281" i="6"/>
  <c r="T131" i="20"/>
  <c r="T286" i="14"/>
  <c r="T284" i="47"/>
  <c r="U146" i="47"/>
  <c r="U162" i="47" s="1"/>
  <c r="U100" i="47"/>
  <c r="U116" i="47" s="1"/>
  <c r="U77" i="47"/>
  <c r="U149" i="38"/>
  <c r="U103" i="38"/>
  <c r="U80" i="38"/>
  <c r="U166" i="24"/>
  <c r="U152" i="20"/>
  <c r="U83" i="20"/>
  <c r="U106" i="20"/>
  <c r="U146" i="43"/>
  <c r="U162" i="43"/>
  <c r="U100" i="43"/>
  <c r="U116" i="43"/>
  <c r="U77" i="43"/>
  <c r="U146" i="38"/>
  <c r="U100" i="38"/>
  <c r="U77" i="38"/>
  <c r="U277" i="38"/>
  <c r="U166" i="29"/>
  <c r="U182" i="29" s="1"/>
  <c r="U120" i="29"/>
  <c r="U136" i="29" s="1"/>
  <c r="U97" i="29"/>
  <c r="U113" i="29" s="1"/>
  <c r="U278" i="29"/>
  <c r="U288" i="29" s="1"/>
  <c r="U166" i="34"/>
  <c r="U182" i="34" s="1"/>
  <c r="U120" i="34"/>
  <c r="U97" i="34"/>
  <c r="U103" i="37"/>
  <c r="U122" i="24"/>
  <c r="U154" i="20"/>
  <c r="U85" i="20"/>
  <c r="U108" i="20"/>
  <c r="U146" i="20"/>
  <c r="U77" i="20"/>
  <c r="U100" i="20"/>
  <c r="U148" i="38"/>
  <c r="U102" i="38"/>
  <c r="U79" i="38"/>
  <c r="U146" i="37"/>
  <c r="U100" i="37"/>
  <c r="U77" i="37"/>
  <c r="U100" i="31"/>
  <c r="U100" i="48"/>
  <c r="U116" i="48"/>
  <c r="M28" i="111" s="1"/>
  <c r="M64" i="111" s="1"/>
  <c r="U202" i="48"/>
  <c r="U146" i="48"/>
  <c r="U162" i="48" s="1"/>
  <c r="M40" i="111"/>
  <c r="M76" i="111" s="1"/>
  <c r="U77" i="48"/>
  <c r="U169" i="48"/>
  <c r="U185" i="48"/>
  <c r="U166" i="35"/>
  <c r="U182" i="35"/>
  <c r="U97" i="35"/>
  <c r="U120" i="35"/>
  <c r="U136" i="35" s="1"/>
  <c r="V54" i="38"/>
  <c r="V55" i="38"/>
  <c r="V56" i="38"/>
  <c r="V61" i="20"/>
  <c r="V53" i="38"/>
  <c r="T280" i="38"/>
  <c r="T278" i="38"/>
  <c r="T276" i="38"/>
  <c r="T285" i="38"/>
  <c r="T277" i="38"/>
  <c r="T279" i="38"/>
  <c r="T93" i="38"/>
  <c r="T123" i="38"/>
  <c r="T162" i="38"/>
  <c r="T279" i="6"/>
  <c r="T286" i="6"/>
  <c r="T284" i="6"/>
  <c r="T276" i="6"/>
  <c r="T278" i="6"/>
  <c r="T126" i="38"/>
  <c r="T285" i="43"/>
  <c r="T277" i="43"/>
  <c r="T288" i="43" s="1"/>
  <c r="T281" i="43"/>
  <c r="T280" i="43"/>
  <c r="T282" i="43"/>
  <c r="T93" i="43"/>
  <c r="T278" i="43"/>
  <c r="T282" i="34"/>
  <c r="T279" i="34"/>
  <c r="T278" i="34"/>
  <c r="T283" i="34"/>
  <c r="T286" i="34"/>
  <c r="T277" i="34"/>
  <c r="T285" i="34"/>
  <c r="T276" i="34"/>
  <c r="T280" i="34"/>
  <c r="T284" i="34"/>
  <c r="T281" i="34"/>
  <c r="T182" i="34"/>
  <c r="T93" i="48"/>
  <c r="T282" i="48"/>
  <c r="T303" i="48" s="1"/>
  <c r="T345" i="48" s="1"/>
  <c r="T279" i="48"/>
  <c r="T300" i="48" s="1"/>
  <c r="T392" i="48"/>
  <c r="T396" i="48" s="1"/>
  <c r="T285" i="48"/>
  <c r="T306" i="48"/>
  <c r="T327" i="48" s="1"/>
  <c r="T394" i="48"/>
  <c r="T393" i="48"/>
  <c r="T389" i="48"/>
  <c r="T283" i="48"/>
  <c r="T304" i="48" s="1"/>
  <c r="T325" i="48" s="1"/>
  <c r="T281" i="48"/>
  <c r="T302" i="48" s="1"/>
  <c r="T277" i="48"/>
  <c r="T391" i="48"/>
  <c r="T286" i="48"/>
  <c r="T307" i="48"/>
  <c r="T284" i="48"/>
  <c r="T305" i="48"/>
  <c r="T388" i="48"/>
  <c r="T390" i="48"/>
  <c r="T276" i="48"/>
  <c r="T280" i="48"/>
  <c r="T301" i="48" s="1"/>
  <c r="T278" i="48"/>
  <c r="T299" i="48" s="1"/>
  <c r="T320" i="48" s="1"/>
  <c r="T286" i="28"/>
  <c r="T282" i="28"/>
  <c r="T285" i="28"/>
  <c r="T279" i="28"/>
  <c r="T277" i="28"/>
  <c r="T288" i="28" s="1"/>
  <c r="T280" i="28"/>
  <c r="T136" i="28"/>
  <c r="T113" i="14"/>
  <c r="T125" i="38"/>
  <c r="T277" i="47"/>
  <c r="T282" i="47"/>
  <c r="T281" i="47"/>
  <c r="T276" i="47"/>
  <c r="T288" i="47" s="1"/>
  <c r="T285" i="47"/>
  <c r="T286" i="47"/>
  <c r="T143" i="24"/>
  <c r="T124" i="38"/>
  <c r="T146" i="24"/>
  <c r="T136" i="35"/>
  <c r="S139" i="31"/>
  <c r="U149" i="20"/>
  <c r="U146" i="44"/>
  <c r="U162" i="44"/>
  <c r="U100" i="44"/>
  <c r="U77" i="44"/>
  <c r="U123" i="44" s="1"/>
  <c r="U139" i="44" s="1"/>
  <c r="U82" i="37"/>
  <c r="U148" i="20"/>
  <c r="U79" i="20"/>
  <c r="U102" i="20"/>
  <c r="U150" i="38"/>
  <c r="U104" i="38"/>
  <c r="U116" i="38" s="1"/>
  <c r="U81" i="38"/>
  <c r="U148" i="37"/>
  <c r="U102" i="37"/>
  <c r="U79" i="37"/>
  <c r="U125" i="37" s="1"/>
  <c r="U120" i="14"/>
  <c r="U136" i="14" s="1"/>
  <c r="U97" i="14"/>
  <c r="U166" i="33"/>
  <c r="U120" i="33"/>
  <c r="U97" i="33"/>
  <c r="U147" i="38"/>
  <c r="U101" i="38"/>
  <c r="U78" i="38"/>
  <c r="U150" i="20"/>
  <c r="U81" i="20"/>
  <c r="U104" i="20"/>
  <c r="U150" i="37"/>
  <c r="U104" i="37"/>
  <c r="U81" i="37"/>
  <c r="U127" i="37" s="1"/>
  <c r="U167" i="24"/>
  <c r="U121" i="24"/>
  <c r="U98" i="24"/>
  <c r="U166" i="6"/>
  <c r="U182" i="6"/>
  <c r="U97" i="6"/>
  <c r="U120" i="6"/>
  <c r="U281" i="6"/>
  <c r="U169" i="24"/>
  <c r="U100" i="24"/>
  <c r="U123" i="24"/>
  <c r="U166" i="28"/>
  <c r="U182" i="28" s="1"/>
  <c r="U97" i="28"/>
  <c r="U120" i="28"/>
  <c r="U136" i="28"/>
  <c r="T136" i="6"/>
  <c r="X56" i="38"/>
  <c r="T116" i="43"/>
  <c r="T162" i="43"/>
  <c r="T136" i="34"/>
  <c r="T113" i="34"/>
  <c r="T185" i="48"/>
  <c r="T116" i="48"/>
  <c r="L28" i="111" s="1"/>
  <c r="L64" i="111" s="1"/>
  <c r="S139" i="38"/>
  <c r="T113" i="28"/>
  <c r="T93" i="47"/>
  <c r="T162" i="47"/>
  <c r="X54" i="38"/>
  <c r="T113" i="35"/>
  <c r="T182" i="35"/>
  <c r="S318" i="48"/>
  <c r="S339" i="48"/>
  <c r="U283" i="29"/>
  <c r="U280" i="29"/>
  <c r="U284" i="43"/>
  <c r="U277" i="6"/>
  <c r="U284" i="44"/>
  <c r="U388" i="48"/>
  <c r="U278" i="28"/>
  <c r="U285" i="28"/>
  <c r="U282" i="28"/>
  <c r="U279" i="28"/>
  <c r="U389" i="48"/>
  <c r="U392" i="48"/>
  <c r="U283" i="28"/>
  <c r="U286" i="28"/>
  <c r="U280" i="28"/>
  <c r="U284" i="28"/>
  <c r="U276" i="28"/>
  <c r="U281" i="28"/>
  <c r="U281" i="48"/>
  <c r="U302" i="48"/>
  <c r="U344" i="48" s="1"/>
  <c r="U284" i="48"/>
  <c r="U305" i="48"/>
  <c r="U326" i="48" s="1"/>
  <c r="U391" i="48"/>
  <c r="U285" i="38"/>
  <c r="U282" i="6"/>
  <c r="U278" i="48"/>
  <c r="U299" i="48" s="1"/>
  <c r="U320" i="48" s="1"/>
  <c r="U280" i="48"/>
  <c r="U301" i="48" s="1"/>
  <c r="U322" i="48" s="1"/>
  <c r="U276" i="34"/>
  <c r="U281" i="29"/>
  <c r="U277" i="29"/>
  <c r="U276" i="29"/>
  <c r="U279" i="43"/>
  <c r="U280" i="6"/>
  <c r="U278" i="6"/>
  <c r="U283" i="6"/>
  <c r="U127" i="38"/>
  <c r="U139" i="38" s="1"/>
  <c r="U281" i="35"/>
  <c r="U286" i="48"/>
  <c r="U307" i="48" s="1"/>
  <c r="U328" i="48" s="1"/>
  <c r="U279" i="48"/>
  <c r="U300" i="48" s="1"/>
  <c r="U321" i="48" s="1"/>
  <c r="U394" i="48"/>
  <c r="U390" i="48"/>
  <c r="U393" i="48"/>
  <c r="U276" i="48"/>
  <c r="U283" i="48"/>
  <c r="U304" i="48" s="1"/>
  <c r="U325" i="48" s="1"/>
  <c r="U282" i="48"/>
  <c r="U303" i="48" s="1"/>
  <c r="U345" i="48" s="1"/>
  <c r="U285" i="48"/>
  <c r="U306" i="48" s="1"/>
  <c r="U327" i="48" s="1"/>
  <c r="U277" i="48"/>
  <c r="U279" i="38"/>
  <c r="U278" i="38"/>
  <c r="U129" i="20"/>
  <c r="U286" i="47"/>
  <c r="U277" i="28"/>
  <c r="U144" i="24"/>
  <c r="U278" i="44"/>
  <c r="U281" i="38"/>
  <c r="U288" i="38" s="1"/>
  <c r="U126" i="38"/>
  <c r="U280" i="47"/>
  <c r="L40" i="111"/>
  <c r="L76" i="111" s="1"/>
  <c r="U113" i="6"/>
  <c r="U127" i="20"/>
  <c r="U116" i="44"/>
  <c r="T341" i="48"/>
  <c r="T297" i="48"/>
  <c r="T318" i="48" s="1"/>
  <c r="T349" i="48"/>
  <c r="T328" i="48"/>
  <c r="T348" i="48"/>
  <c r="T342" i="48"/>
  <c r="T321" i="48"/>
  <c r="L16" i="111"/>
  <c r="L52" i="111" s="1"/>
  <c r="T288" i="34"/>
  <c r="T288" i="38"/>
  <c r="V147" i="20"/>
  <c r="V101" i="20"/>
  <c r="V78" i="20"/>
  <c r="V124" i="20" s="1"/>
  <c r="V148" i="38"/>
  <c r="V79" i="38"/>
  <c r="V102" i="38"/>
  <c r="X102" i="38"/>
  <c r="U323" i="48"/>
  <c r="U347" i="48"/>
  <c r="U343" i="48"/>
  <c r="X55" i="38"/>
  <c r="U113" i="34"/>
  <c r="U93" i="38"/>
  <c r="U123" i="38"/>
  <c r="U162" i="38"/>
  <c r="T159" i="28"/>
  <c r="T159" i="35"/>
  <c r="T159" i="34"/>
  <c r="U113" i="28"/>
  <c r="U146" i="24"/>
  <c r="U284" i="6"/>
  <c r="U276" i="6"/>
  <c r="U285" i="6"/>
  <c r="U286" i="6"/>
  <c r="U279" i="6"/>
  <c r="U124" i="38"/>
  <c r="U143" i="33"/>
  <c r="U113" i="14"/>
  <c r="U143" i="14"/>
  <c r="U125" i="20"/>
  <c r="U280" i="44"/>
  <c r="U93" i="44"/>
  <c r="T322" i="48"/>
  <c r="T343" i="48"/>
  <c r="T347" i="48"/>
  <c r="T326" i="48"/>
  <c r="T344" i="48"/>
  <c r="T323" i="48"/>
  <c r="T324" i="48"/>
  <c r="T139" i="48"/>
  <c r="T139" i="43"/>
  <c r="T288" i="6"/>
  <c r="T139" i="38"/>
  <c r="V146" i="38"/>
  <c r="V77" i="38"/>
  <c r="V100" i="38"/>
  <c r="X100" i="38"/>
  <c r="X53" i="38"/>
  <c r="V154" i="20"/>
  <c r="X154" i="20"/>
  <c r="V108" i="20"/>
  <c r="X108" i="20"/>
  <c r="V85" i="20"/>
  <c r="X85" i="20"/>
  <c r="X61" i="20"/>
  <c r="V149" i="38"/>
  <c r="X149" i="38"/>
  <c r="V103" i="38"/>
  <c r="X103" i="38"/>
  <c r="V80" i="38"/>
  <c r="V147" i="38"/>
  <c r="X147" i="38"/>
  <c r="V101" i="38"/>
  <c r="X101" i="38"/>
  <c r="V78" i="38"/>
  <c r="U284" i="35"/>
  <c r="U278" i="35"/>
  <c r="U143" i="35"/>
  <c r="U159" i="35" s="1"/>
  <c r="U113" i="35"/>
  <c r="U349" i="48"/>
  <c r="U342" i="48"/>
  <c r="U297" i="48"/>
  <c r="U346" i="48"/>
  <c r="U348" i="48"/>
  <c r="U93" i="48"/>
  <c r="M16" i="111"/>
  <c r="M52" i="111" s="1"/>
  <c r="U123" i="48"/>
  <c r="U139" i="48" s="1"/>
  <c r="U116" i="31"/>
  <c r="U125" i="38"/>
  <c r="X79" i="38"/>
  <c r="X148" i="38"/>
  <c r="U123" i="20"/>
  <c r="U131" i="20"/>
  <c r="U279" i="34"/>
  <c r="U283" i="34"/>
  <c r="U286" i="29"/>
  <c r="U285" i="29"/>
  <c r="U284" i="29"/>
  <c r="U282" i="29"/>
  <c r="U279" i="29"/>
  <c r="U286" i="38"/>
  <c r="U284" i="38"/>
  <c r="U283" i="38"/>
  <c r="U280" i="38"/>
  <c r="U276" i="38"/>
  <c r="U282" i="38"/>
  <c r="U93" i="43"/>
  <c r="U123" i="43"/>
  <c r="U139" i="43"/>
  <c r="U282" i="47"/>
  <c r="U283" i="47"/>
  <c r="U93" i="47"/>
  <c r="U123" i="47"/>
  <c r="U139" i="47" s="1"/>
  <c r="V124" i="38"/>
  <c r="X124" i="38"/>
  <c r="V131" i="20"/>
  <c r="V125" i="38"/>
  <c r="X125" i="38"/>
  <c r="X146" i="38"/>
  <c r="U159" i="14"/>
  <c r="U288" i="6"/>
  <c r="X78" i="38"/>
  <c r="V126" i="38"/>
  <c r="X126" i="38"/>
  <c r="X80" i="38"/>
  <c r="X131" i="20"/>
  <c r="V123" i="38"/>
  <c r="X123" i="38"/>
  <c r="X77" i="38"/>
  <c r="T339" i="48"/>
  <c r="I185" i="50"/>
  <c r="I191" i="50"/>
  <c r="I16" i="65"/>
  <c r="Q241" i="45"/>
  <c r="Q121" i="17"/>
  <c r="Q144" i="17"/>
  <c r="Q167" i="17"/>
  <c r="Q113" i="6"/>
  <c r="Q371" i="45"/>
  <c r="Q285" i="45"/>
  <c r="Q363" i="45"/>
  <c r="Q364" i="45"/>
  <c r="Q369" i="45"/>
  <c r="Q370" i="45"/>
  <c r="Q367" i="45"/>
  <c r="Q276" i="45"/>
  <c r="Q278" i="45"/>
  <c r="Q277" i="45"/>
  <c r="Q284" i="45"/>
  <c r="Q283" i="45"/>
  <c r="Q372" i="45"/>
  <c r="Q362" i="45"/>
  <c r="Q286" i="45"/>
  <c r="Q368" i="45"/>
  <c r="Q365" i="45"/>
  <c r="Q282" i="45"/>
  <c r="Q281" i="45"/>
  <c r="Q283" i="44"/>
  <c r="Q364" i="44"/>
  <c r="Q146" i="44"/>
  <c r="Q162" i="44" s="1"/>
  <c r="Q286" i="44"/>
  <c r="Q279" i="44"/>
  <c r="Q285" i="44"/>
  <c r="Q366" i="44"/>
  <c r="Q77" i="44"/>
  <c r="Q93" i="44" s="1"/>
  <c r="Q369" i="44"/>
  <c r="Q368" i="44"/>
  <c r="Q288" i="43"/>
  <c r="Q282" i="40"/>
  <c r="Q364" i="40"/>
  <c r="Q277" i="40"/>
  <c r="Q284" i="40"/>
  <c r="Q371" i="40"/>
  <c r="Q367" i="40"/>
  <c r="Q363" i="40"/>
  <c r="Q279" i="40"/>
  <c r="Q288" i="40"/>
  <c r="Q372" i="40"/>
  <c r="Q368" i="40"/>
  <c r="Q278" i="40"/>
  <c r="Q285" i="40"/>
  <c r="Q286" i="40"/>
  <c r="Q370" i="40"/>
  <c r="Q366" i="40"/>
  <c r="Q362" i="40"/>
  <c r="Q116" i="37"/>
  <c r="Q162" i="37"/>
  <c r="Q288" i="37"/>
  <c r="Q123" i="37"/>
  <c r="Q139" i="37"/>
  <c r="Q288" i="6"/>
  <c r="Q123" i="45" l="1"/>
  <c r="Q139" i="45" s="1"/>
  <c r="Q288" i="45"/>
  <c r="P326" i="44"/>
  <c r="P347" i="44"/>
  <c r="P325" i="44"/>
  <c r="P346" i="44"/>
  <c r="Q371" i="44"/>
  <c r="Q282" i="44"/>
  <c r="Q277" i="44"/>
  <c r="Q281" i="44"/>
  <c r="Q363" i="44"/>
  <c r="Q370" i="44"/>
  <c r="Q284" i="44"/>
  <c r="Q278" i="44"/>
  <c r="Q367" i="44"/>
  <c r="Q276" i="44"/>
  <c r="P341" i="44"/>
  <c r="P239" i="44"/>
  <c r="P218" i="44"/>
  <c r="P285" i="44"/>
  <c r="P306" i="44" s="1"/>
  <c r="P282" i="44"/>
  <c r="P303" i="44" s="1"/>
  <c r="P280" i="44"/>
  <c r="P301" i="44" s="1"/>
  <c r="P277" i="44"/>
  <c r="P298" i="44" s="1"/>
  <c r="P276" i="44"/>
  <c r="P362" i="44"/>
  <c r="P368" i="44"/>
  <c r="P370" i="44"/>
  <c r="P363" i="44"/>
  <c r="Q123" i="44"/>
  <c r="Q139" i="44" s="1"/>
  <c r="P89" i="29"/>
  <c r="P364" i="29"/>
  <c r="P166" i="29"/>
  <c r="P182" i="29" s="1"/>
  <c r="P222" i="29"/>
  <c r="P362" i="29"/>
  <c r="P391" i="29"/>
  <c r="P368" i="29"/>
  <c r="P97" i="29"/>
  <c r="P372" i="29"/>
  <c r="P189" i="29"/>
  <c r="P205" i="29" s="1"/>
  <c r="P339" i="28"/>
  <c r="P318" i="28"/>
  <c r="P347" i="28"/>
  <c r="P326" i="28"/>
  <c r="P328" i="28"/>
  <c r="P343" i="28"/>
  <c r="P393" i="28"/>
  <c r="P323" i="28"/>
  <c r="P392" i="28"/>
  <c r="P388" i="28"/>
  <c r="P279" i="28"/>
  <c r="P300" i="28" s="1"/>
  <c r="P369" i="28"/>
  <c r="P277" i="28"/>
  <c r="P283" i="28"/>
  <c r="P304" i="28" s="1"/>
  <c r="P362" i="28"/>
  <c r="P324" i="28"/>
  <c r="P389" i="28"/>
  <c r="P278" i="28"/>
  <c r="P299" i="28" s="1"/>
  <c r="P367" i="28"/>
  <c r="P371" i="28"/>
  <c r="P207" i="28"/>
  <c r="P210" i="28" s="1"/>
  <c r="P285" i="28"/>
  <c r="P306" i="28" s="1"/>
  <c r="U143" i="28"/>
  <c r="U159" i="28" s="1"/>
  <c r="T136" i="24"/>
  <c r="U362" i="24"/>
  <c r="U364" i="24"/>
  <c r="U368" i="24"/>
  <c r="U372" i="24"/>
  <c r="U366" i="24"/>
  <c r="U370" i="24"/>
  <c r="U363" i="24"/>
  <c r="U371" i="24"/>
  <c r="U367" i="24"/>
  <c r="U207" i="24"/>
  <c r="M21" i="50" s="1"/>
  <c r="U365" i="24"/>
  <c r="U282" i="24"/>
  <c r="U284" i="24"/>
  <c r="U277" i="24"/>
  <c r="U280" i="24"/>
  <c r="U286" i="24"/>
  <c r="U278" i="24"/>
  <c r="U279" i="24"/>
  <c r="U283" i="24"/>
  <c r="U369" i="24"/>
  <c r="U285" i="24"/>
  <c r="U281" i="24"/>
  <c r="U276" i="24"/>
  <c r="U298" i="48"/>
  <c r="U288" i="48"/>
  <c r="T298" i="48"/>
  <c r="T288" i="48"/>
  <c r="S342" i="48"/>
  <c r="S321" i="48"/>
  <c r="S185" i="48"/>
  <c r="U105" i="20"/>
  <c r="U82" i="20"/>
  <c r="U128" i="20" s="1"/>
  <c r="U69" i="20"/>
  <c r="U101" i="20"/>
  <c r="U78" i="20"/>
  <c r="U362" i="44"/>
  <c r="U365" i="44"/>
  <c r="U369" i="44"/>
  <c r="U363" i="44"/>
  <c r="U367" i="44"/>
  <c r="U371" i="44"/>
  <c r="U368" i="44"/>
  <c r="U364" i="44"/>
  <c r="U372" i="44"/>
  <c r="U187" i="44"/>
  <c r="M36" i="50" s="1"/>
  <c r="U370" i="44"/>
  <c r="U276" i="44"/>
  <c r="U285" i="44"/>
  <c r="U277" i="44"/>
  <c r="U279" i="44"/>
  <c r="U366" i="44"/>
  <c r="U281" i="44"/>
  <c r="U283" i="44"/>
  <c r="U80" i="37"/>
  <c r="U126" i="37" s="1"/>
  <c r="U149" i="37"/>
  <c r="U362" i="35"/>
  <c r="U365" i="35"/>
  <c r="U369" i="35"/>
  <c r="U363" i="35"/>
  <c r="U367" i="35"/>
  <c r="U371" i="35"/>
  <c r="U364" i="35"/>
  <c r="U372" i="35"/>
  <c r="U368" i="35"/>
  <c r="U366" i="35"/>
  <c r="U207" i="35"/>
  <c r="M30" i="50" s="1"/>
  <c r="U283" i="35"/>
  <c r="U286" i="35"/>
  <c r="U277" i="35"/>
  <c r="U276" i="35"/>
  <c r="U280" i="35"/>
  <c r="U279" i="35"/>
  <c r="T97" i="33"/>
  <c r="T120" i="33"/>
  <c r="U276" i="47"/>
  <c r="U143" i="29"/>
  <c r="U159" i="29" s="1"/>
  <c r="U324" i="48"/>
  <c r="U282" i="35"/>
  <c r="U282" i="44"/>
  <c r="U280" i="43"/>
  <c r="U282" i="43"/>
  <c r="U151" i="20"/>
  <c r="U136" i="34"/>
  <c r="U143" i="34"/>
  <c r="U159" i="34" s="1"/>
  <c r="T143" i="6"/>
  <c r="T159" i="6" s="1"/>
  <c r="T113" i="6"/>
  <c r="T116" i="47"/>
  <c r="T123" i="47"/>
  <c r="T139" i="47" s="1"/>
  <c r="T130" i="20"/>
  <c r="R162" i="48"/>
  <c r="U97" i="24"/>
  <c r="U120" i="24"/>
  <c r="U136" i="24" s="1"/>
  <c r="S288" i="38"/>
  <c r="J52" i="111"/>
  <c r="S326" i="48"/>
  <c r="S347" i="48"/>
  <c r="S341" i="48"/>
  <c r="S309" i="48"/>
  <c r="S324" i="48"/>
  <c r="S345" i="48"/>
  <c r="U84" i="20"/>
  <c r="U153" i="20"/>
  <c r="U103" i="20"/>
  <c r="U80" i="20"/>
  <c r="U362" i="47"/>
  <c r="U366" i="47"/>
  <c r="U370" i="47"/>
  <c r="U364" i="47"/>
  <c r="U368" i="47"/>
  <c r="U372" i="47"/>
  <c r="U369" i="47"/>
  <c r="U187" i="47"/>
  <c r="M39" i="50" s="1"/>
  <c r="U365" i="47"/>
  <c r="U371" i="47"/>
  <c r="U363" i="47"/>
  <c r="U278" i="47"/>
  <c r="U277" i="47"/>
  <c r="U279" i="47"/>
  <c r="U367" i="47"/>
  <c r="U284" i="47"/>
  <c r="U281" i="47"/>
  <c r="U362" i="43"/>
  <c r="U364" i="43"/>
  <c r="U368" i="43"/>
  <c r="U372" i="43"/>
  <c r="U366" i="43"/>
  <c r="U370" i="43"/>
  <c r="U367" i="43"/>
  <c r="U363" i="43"/>
  <c r="U371" i="43"/>
  <c r="U187" i="43"/>
  <c r="M35" i="50" s="1"/>
  <c r="U369" i="43"/>
  <c r="U276" i="43"/>
  <c r="U286" i="43"/>
  <c r="U283" i="43"/>
  <c r="U277" i="43"/>
  <c r="U278" i="43"/>
  <c r="U285" i="43"/>
  <c r="U105" i="37"/>
  <c r="U128" i="37" s="1"/>
  <c r="U151" i="37"/>
  <c r="U69" i="37"/>
  <c r="U78" i="37"/>
  <c r="U147" i="37"/>
  <c r="U101" i="37"/>
  <c r="U116" i="37" s="1"/>
  <c r="U362" i="34"/>
  <c r="U364" i="34"/>
  <c r="U368" i="34"/>
  <c r="U372" i="34"/>
  <c r="U366" i="34"/>
  <c r="U370" i="34"/>
  <c r="U363" i="34"/>
  <c r="U371" i="34"/>
  <c r="U367" i="34"/>
  <c r="U207" i="34"/>
  <c r="M29" i="50" s="1"/>
  <c r="U365" i="34"/>
  <c r="U277" i="34"/>
  <c r="U288" i="34" s="1"/>
  <c r="U280" i="34"/>
  <c r="U285" i="34"/>
  <c r="U284" i="34"/>
  <c r="U281" i="34"/>
  <c r="U369" i="34"/>
  <c r="U286" i="34"/>
  <c r="U123" i="37"/>
  <c r="U318" i="48"/>
  <c r="U339" i="48"/>
  <c r="U341" i="48"/>
  <c r="T346" i="48"/>
  <c r="U288" i="28"/>
  <c r="U281" i="43"/>
  <c r="U278" i="34"/>
  <c r="U285" i="35"/>
  <c r="U396" i="48"/>
  <c r="U136" i="6"/>
  <c r="U143" i="6"/>
  <c r="U159" i="6" s="1"/>
  <c r="U286" i="44"/>
  <c r="U147" i="20"/>
  <c r="U162" i="20" s="1"/>
  <c r="M39" i="111" s="1"/>
  <c r="U107" i="20"/>
  <c r="T288" i="14"/>
  <c r="S320" i="48"/>
  <c r="S330" i="48" s="1"/>
  <c r="T116" i="44"/>
  <c r="T123" i="44"/>
  <c r="T139" i="44" s="1"/>
  <c r="R123" i="48"/>
  <c r="U370" i="35"/>
  <c r="U99" i="24"/>
  <c r="U145" i="24" s="1"/>
  <c r="U168" i="24"/>
  <c r="U182" i="24" s="1"/>
  <c r="T288" i="35"/>
  <c r="T143" i="14"/>
  <c r="T159" i="14" s="1"/>
  <c r="S396" i="48"/>
  <c r="P286" i="29"/>
  <c r="P307" i="29" s="1"/>
  <c r="P367" i="29"/>
  <c r="P279" i="29"/>
  <c r="P300" i="29" s="1"/>
  <c r="P369" i="29"/>
  <c r="P393" i="29"/>
  <c r="P370" i="29"/>
  <c r="P282" i="29"/>
  <c r="P303" i="29" s="1"/>
  <c r="P394" i="29"/>
  <c r="P284" i="29"/>
  <c r="P305" i="29" s="1"/>
  <c r="P207" i="29"/>
  <c r="P210" i="29" s="1"/>
  <c r="P389" i="29"/>
  <c r="P281" i="29"/>
  <c r="P302" i="29" s="1"/>
  <c r="P285" i="29"/>
  <c r="P306" i="29" s="1"/>
  <c r="P371" i="29"/>
  <c r="P392" i="29"/>
  <c r="P366" i="29"/>
  <c r="P365" i="29"/>
  <c r="P280" i="29"/>
  <c r="P301" i="29" s="1"/>
  <c r="P390" i="29"/>
  <c r="P388" i="29"/>
  <c r="P277" i="29"/>
  <c r="P298" i="29" s="1"/>
  <c r="P276" i="29"/>
  <c r="P363" i="29"/>
  <c r="U89" i="14"/>
  <c r="U166" i="14"/>
  <c r="U182" i="14" s="1"/>
  <c r="T107" i="20"/>
  <c r="T153" i="20"/>
  <c r="T128" i="20"/>
  <c r="T101" i="20"/>
  <c r="T124" i="20" s="1"/>
  <c r="T147" i="20"/>
  <c r="T81" i="37"/>
  <c r="T127" i="37" s="1"/>
  <c r="T150" i="37"/>
  <c r="T79" i="37"/>
  <c r="T125" i="37" s="1"/>
  <c r="T148" i="37"/>
  <c r="T69" i="37"/>
  <c r="T100" i="37"/>
  <c r="T69" i="31"/>
  <c r="T100" i="31"/>
  <c r="T116" i="31" s="1"/>
  <c r="T146" i="31"/>
  <c r="T162" i="31" s="1"/>
  <c r="T77" i="31"/>
  <c r="T144" i="24"/>
  <c r="T159" i="24" s="1"/>
  <c r="T113" i="24"/>
  <c r="S288" i="31"/>
  <c r="R396" i="48"/>
  <c r="U69" i="31"/>
  <c r="U77" i="31"/>
  <c r="U146" i="31"/>
  <c r="U162" i="31" s="1"/>
  <c r="T152" i="20"/>
  <c r="T162" i="20" s="1"/>
  <c r="L39" i="111" s="1"/>
  <c r="T83" i="20"/>
  <c r="T129" i="20" s="1"/>
  <c r="T81" i="20"/>
  <c r="T127" i="20" s="1"/>
  <c r="T150" i="20"/>
  <c r="T69" i="20"/>
  <c r="T100" i="20"/>
  <c r="T123" i="20" s="1"/>
  <c r="T139" i="20" s="1"/>
  <c r="T151" i="37"/>
  <c r="T82" i="37"/>
  <c r="T128" i="37" s="1"/>
  <c r="T149" i="37"/>
  <c r="T162" i="37" s="1"/>
  <c r="T80" i="37"/>
  <c r="T126" i="37" s="1"/>
  <c r="U362" i="28"/>
  <c r="U366" i="28"/>
  <c r="U370" i="28"/>
  <c r="U364" i="28"/>
  <c r="U368" i="28"/>
  <c r="U372" i="28"/>
  <c r="U365" i="28"/>
  <c r="U207" i="28"/>
  <c r="M23" i="50" s="1"/>
  <c r="U369" i="28"/>
  <c r="U362" i="6"/>
  <c r="U363" i="6"/>
  <c r="U367" i="6"/>
  <c r="U371" i="6"/>
  <c r="U365" i="6"/>
  <c r="U369" i="6"/>
  <c r="U366" i="6"/>
  <c r="U370" i="6"/>
  <c r="T363" i="34"/>
  <c r="T364" i="34"/>
  <c r="T369" i="34"/>
  <c r="T366" i="34"/>
  <c r="T367" i="34"/>
  <c r="T371" i="34"/>
  <c r="T207" i="34"/>
  <c r="L29" i="50" s="1"/>
  <c r="T362" i="34"/>
  <c r="T89" i="24"/>
  <c r="S364" i="38"/>
  <c r="S367" i="38"/>
  <c r="S371" i="38"/>
  <c r="S362" i="38"/>
  <c r="S365" i="38"/>
  <c r="S369" i="38"/>
  <c r="S363" i="38"/>
  <c r="S368" i="38"/>
  <c r="S372" i="38"/>
  <c r="S187" i="38"/>
  <c r="K32" i="50" s="1"/>
  <c r="S370" i="38"/>
  <c r="W17" i="5"/>
  <c r="W14" i="5"/>
  <c r="U364" i="48"/>
  <c r="U368" i="48"/>
  <c r="U372" i="48"/>
  <c r="U362" i="48"/>
  <c r="U366" i="48"/>
  <c r="U370" i="48"/>
  <c r="U363" i="48"/>
  <c r="U371" i="48"/>
  <c r="U367" i="48"/>
  <c r="U187" i="48"/>
  <c r="U363" i="38"/>
  <c r="U367" i="38"/>
  <c r="U371" i="38"/>
  <c r="U362" i="38"/>
  <c r="U365" i="38"/>
  <c r="U369" i="38"/>
  <c r="U366" i="38"/>
  <c r="U370" i="38"/>
  <c r="U362" i="29"/>
  <c r="U363" i="29"/>
  <c r="U367" i="29"/>
  <c r="U371" i="29"/>
  <c r="U365" i="29"/>
  <c r="U369" i="29"/>
  <c r="U366" i="29"/>
  <c r="U370" i="29"/>
  <c r="T364" i="44"/>
  <c r="T370" i="44"/>
  <c r="T187" i="44"/>
  <c r="L36" i="50" s="1"/>
  <c r="T363" i="44"/>
  <c r="T366" i="44"/>
  <c r="T368" i="44"/>
  <c r="T372" i="44"/>
  <c r="T276" i="44"/>
  <c r="T288" i="44" s="1"/>
  <c r="T277" i="44"/>
  <c r="T362" i="44"/>
  <c r="T367" i="44"/>
  <c r="T371" i="44"/>
  <c r="T369" i="44"/>
  <c r="S364" i="31"/>
  <c r="S369" i="31"/>
  <c r="S362" i="31"/>
  <c r="S363" i="31"/>
  <c r="S367" i="31"/>
  <c r="S371" i="31"/>
  <c r="S370" i="31"/>
  <c r="S187" i="31"/>
  <c r="K26" i="50" s="1"/>
  <c r="S366" i="31"/>
  <c r="S372" i="31"/>
  <c r="V21" i="5"/>
  <c r="W21" i="5" s="1"/>
  <c r="T365" i="47"/>
  <c r="T364" i="47"/>
  <c r="T367" i="47"/>
  <c r="T371" i="47"/>
  <c r="T369" i="47"/>
  <c r="T187" i="47"/>
  <c r="L39" i="50" s="1"/>
  <c r="T364" i="35"/>
  <c r="T370" i="35"/>
  <c r="T207" i="35"/>
  <c r="L30" i="50" s="1"/>
  <c r="T365" i="35"/>
  <c r="T368" i="35"/>
  <c r="T372" i="35"/>
  <c r="S364" i="6"/>
  <c r="S367" i="6"/>
  <c r="S371" i="6"/>
  <c r="S362" i="6"/>
  <c r="S369" i="6"/>
  <c r="S368" i="6"/>
  <c r="S363" i="6"/>
  <c r="S372" i="6"/>
  <c r="S207" i="6"/>
  <c r="K15" i="50" s="1"/>
  <c r="T363" i="48"/>
  <c r="T375" i="48" s="1"/>
  <c r="T366" i="48"/>
  <c r="T369" i="48"/>
  <c r="T364" i="48"/>
  <c r="T367" i="48"/>
  <c r="T371" i="48"/>
  <c r="T187" i="48"/>
  <c r="T363" i="43"/>
  <c r="T365" i="43"/>
  <c r="T369" i="43"/>
  <c r="T367" i="43"/>
  <c r="T371" i="43"/>
  <c r="T187" i="43"/>
  <c r="L35" i="50" s="1"/>
  <c r="T366" i="38"/>
  <c r="T368" i="38"/>
  <c r="T372" i="38"/>
  <c r="T187" i="38"/>
  <c r="L32" i="50" s="1"/>
  <c r="T364" i="38"/>
  <c r="T370" i="38"/>
  <c r="S190" i="48"/>
  <c r="K41" i="50"/>
  <c r="R187" i="48"/>
  <c r="R276" i="48"/>
  <c r="R280" i="48"/>
  <c r="R301" i="48" s="1"/>
  <c r="R284" i="48"/>
  <c r="R305" i="48" s="1"/>
  <c r="R279" i="48"/>
  <c r="R300" i="48" s="1"/>
  <c r="R283" i="48"/>
  <c r="R304" i="48" s="1"/>
  <c r="R364" i="48"/>
  <c r="R277" i="48"/>
  <c r="R298" i="48" s="1"/>
  <c r="R285" i="48"/>
  <c r="R306" i="48" s="1"/>
  <c r="R367" i="48"/>
  <c r="R371" i="48"/>
  <c r="R278" i="48"/>
  <c r="R299" i="48" s="1"/>
  <c r="R362" i="48"/>
  <c r="R366" i="48"/>
  <c r="R370" i="48"/>
  <c r="R281" i="48"/>
  <c r="R302" i="48" s="1"/>
  <c r="R286" i="48"/>
  <c r="R307" i="48" s="1"/>
  <c r="R369" i="48"/>
  <c r="R363" i="48"/>
  <c r="R365" i="48"/>
  <c r="R372" i="48"/>
  <c r="R282" i="48"/>
  <c r="R303" i="48" s="1"/>
  <c r="S363" i="48"/>
  <c r="S364" i="48"/>
  <c r="S368" i="48"/>
  <c r="S372" i="48"/>
  <c r="S366" i="48"/>
  <c r="S370" i="48"/>
  <c r="P31" i="30"/>
  <c r="P35" i="30"/>
  <c r="Q31" i="31"/>
  <c r="Q53" i="31" s="1"/>
  <c r="Q31" i="34"/>
  <c r="Q73" i="34" s="1"/>
  <c r="Q35" i="38"/>
  <c r="Q57" i="38" s="1"/>
  <c r="Q31" i="20"/>
  <c r="Q53" i="20" s="1"/>
  <c r="Q33" i="20"/>
  <c r="Q55" i="20" s="1"/>
  <c r="Q35" i="20"/>
  <c r="Q57" i="20" s="1"/>
  <c r="Q37" i="20"/>
  <c r="Q59" i="20" s="1"/>
  <c r="Q39" i="20"/>
  <c r="Q61" i="20" s="1"/>
  <c r="R31" i="45"/>
  <c r="R53" i="45" s="1"/>
  <c r="V31" i="45"/>
  <c r="V53" i="45" s="1"/>
  <c r="V34" i="24"/>
  <c r="V76" i="24" s="1"/>
  <c r="Q34" i="24"/>
  <c r="Q76" i="24" s="1"/>
  <c r="P33" i="30"/>
  <c r="P37" i="30"/>
  <c r="Q31" i="35"/>
  <c r="Q73" i="35" s="1"/>
  <c r="Q31" i="47"/>
  <c r="Q53" i="47" s="1"/>
  <c r="Q32" i="20"/>
  <c r="Q54" i="20" s="1"/>
  <c r="Q34" i="20"/>
  <c r="Q56" i="20" s="1"/>
  <c r="Q36" i="20"/>
  <c r="Q58" i="20" s="1"/>
  <c r="Q38" i="20"/>
  <c r="Q60" i="20" s="1"/>
  <c r="Q31" i="48"/>
  <c r="Q53" i="48" s="1"/>
  <c r="T31" i="45"/>
  <c r="T53" i="45" s="1"/>
  <c r="Q31" i="44"/>
  <c r="V31" i="14"/>
  <c r="V73" i="14" s="1"/>
  <c r="V31" i="31"/>
  <c r="V53" i="31" s="1"/>
  <c r="V31" i="33"/>
  <c r="V73" i="33" s="1"/>
  <c r="V32" i="37"/>
  <c r="V54" i="37" s="1"/>
  <c r="V34" i="37"/>
  <c r="V56" i="37" s="1"/>
  <c r="P32" i="30"/>
  <c r="S31" i="45"/>
  <c r="S53" i="45" s="1"/>
  <c r="V31" i="37"/>
  <c r="V53" i="37" s="1"/>
  <c r="V36" i="37"/>
  <c r="V58" i="37" s="1"/>
  <c r="V35" i="38"/>
  <c r="V57" i="38" s="1"/>
  <c r="P31" i="40"/>
  <c r="P38" i="30"/>
  <c r="U31" i="45"/>
  <c r="U53" i="45" s="1"/>
  <c r="V31" i="6"/>
  <c r="V73" i="6" s="1"/>
  <c r="V31" i="35"/>
  <c r="V73" i="35" s="1"/>
  <c r="V31" i="43"/>
  <c r="V53" i="43" s="1"/>
  <c r="V31" i="44"/>
  <c r="V53" i="44" s="1"/>
  <c r="V31" i="47"/>
  <c r="V53" i="47" s="1"/>
  <c r="V31" i="20"/>
  <c r="V53" i="20" s="1"/>
  <c r="V33" i="20"/>
  <c r="V55" i="20" s="1"/>
  <c r="V35" i="20"/>
  <c r="V57" i="20" s="1"/>
  <c r="V37" i="20"/>
  <c r="V59" i="20" s="1"/>
  <c r="P36" i="30"/>
  <c r="Q31" i="33"/>
  <c r="Q73" i="33" s="1"/>
  <c r="V34" i="20"/>
  <c r="V56" i="20" s="1"/>
  <c r="V38" i="20"/>
  <c r="V60" i="20" s="1"/>
  <c r="V31" i="34"/>
  <c r="V73" i="34" s="1"/>
  <c r="P31" i="41"/>
  <c r="R31" i="6"/>
  <c r="R73" i="6" s="1"/>
  <c r="R31" i="14"/>
  <c r="R73" i="14" s="1"/>
  <c r="R31" i="31"/>
  <c r="R53" i="31" s="1"/>
  <c r="R31" i="20"/>
  <c r="R53" i="20" s="1"/>
  <c r="R33" i="20"/>
  <c r="R55" i="20" s="1"/>
  <c r="R35" i="20"/>
  <c r="R57" i="20" s="1"/>
  <c r="R37" i="20"/>
  <c r="R59" i="20" s="1"/>
  <c r="Q31" i="45"/>
  <c r="V35" i="37"/>
  <c r="V57" i="37" s="1"/>
  <c r="R31" i="34"/>
  <c r="R73" i="34" s="1"/>
  <c r="R31" i="35"/>
  <c r="R73" i="35" s="1"/>
  <c r="R31" i="37"/>
  <c r="R53" i="37" s="1"/>
  <c r="R34" i="37"/>
  <c r="R56" i="37" s="1"/>
  <c r="R31" i="43"/>
  <c r="R53" i="43" s="1"/>
  <c r="R31" i="44"/>
  <c r="R53" i="44" s="1"/>
  <c r="R31" i="47"/>
  <c r="R53" i="47" s="1"/>
  <c r="R34" i="20"/>
  <c r="R56" i="20" s="1"/>
  <c r="P34" i="30"/>
  <c r="V36" i="20"/>
  <c r="V58" i="20" s="1"/>
  <c r="R32" i="37"/>
  <c r="R54" i="37" s="1"/>
  <c r="R32" i="20"/>
  <c r="R54" i="20" s="1"/>
  <c r="V31" i="48"/>
  <c r="V53" i="48" s="1"/>
  <c r="R34" i="24"/>
  <c r="R76" i="24" s="1"/>
  <c r="R31" i="33"/>
  <c r="R73" i="33" s="1"/>
  <c r="R33" i="37"/>
  <c r="R55" i="37" s="1"/>
  <c r="R35" i="38"/>
  <c r="R57" i="38" s="1"/>
  <c r="R36" i="20"/>
  <c r="R58" i="20" s="1"/>
  <c r="R35" i="37"/>
  <c r="R57" i="37" s="1"/>
  <c r="R38" i="20"/>
  <c r="R60" i="20" s="1"/>
  <c r="S31" i="14"/>
  <c r="S73" i="14" s="1"/>
  <c r="S31" i="34"/>
  <c r="S73" i="34" s="1"/>
  <c r="S31" i="35"/>
  <c r="S73" i="35" s="1"/>
  <c r="S31" i="37"/>
  <c r="S53" i="37" s="1"/>
  <c r="S33" i="37"/>
  <c r="S55" i="37" s="1"/>
  <c r="S35" i="37"/>
  <c r="S57" i="37" s="1"/>
  <c r="S31" i="43"/>
  <c r="S53" i="43" s="1"/>
  <c r="S31" i="44"/>
  <c r="S53" i="44" s="1"/>
  <c r="S31" i="47"/>
  <c r="S53" i="47" s="1"/>
  <c r="S31" i="20"/>
  <c r="S53" i="20" s="1"/>
  <c r="S33" i="20"/>
  <c r="S55" i="20" s="1"/>
  <c r="S35" i="20"/>
  <c r="S57" i="20" s="1"/>
  <c r="S37" i="20"/>
  <c r="S59" i="20" s="1"/>
  <c r="R36" i="37"/>
  <c r="R58" i="37" s="1"/>
  <c r="V33" i="37"/>
  <c r="V55" i="37" s="1"/>
  <c r="Q288" i="44" l="1"/>
  <c r="P373" i="44"/>
  <c r="P240" i="44"/>
  <c r="P243" i="44" s="1"/>
  <c r="P375" i="44"/>
  <c r="P377" i="44" s="1"/>
  <c r="P340" i="44"/>
  <c r="P319" i="44"/>
  <c r="P345" i="44"/>
  <c r="P324" i="44"/>
  <c r="P288" i="44"/>
  <c r="P297" i="44"/>
  <c r="P322" i="44"/>
  <c r="P343" i="44"/>
  <c r="P327" i="44"/>
  <c r="P348" i="44"/>
  <c r="P278" i="29"/>
  <c r="P299" i="29" s="1"/>
  <c r="P283" i="29"/>
  <c r="P304" i="29" s="1"/>
  <c r="P143" i="29"/>
  <c r="P159" i="29" s="1"/>
  <c r="P113" i="29"/>
  <c r="P375" i="28"/>
  <c r="P321" i="28"/>
  <c r="P342" i="28"/>
  <c r="P327" i="28"/>
  <c r="P348" i="28"/>
  <c r="P396" i="28"/>
  <c r="P238" i="28"/>
  <c r="P212" i="28"/>
  <c r="P259" i="28"/>
  <c r="P288" i="28"/>
  <c r="P298" i="28"/>
  <c r="P320" i="28"/>
  <c r="P341" i="28"/>
  <c r="P325" i="28"/>
  <c r="P346" i="28"/>
  <c r="V148" i="37"/>
  <c r="V102" i="37"/>
  <c r="V79" i="37"/>
  <c r="V125" i="37" s="1"/>
  <c r="S150" i="20"/>
  <c r="S104" i="20"/>
  <c r="S81" i="20"/>
  <c r="S77" i="44"/>
  <c r="S146" i="44"/>
  <c r="S162" i="44" s="1"/>
  <c r="S69" i="44"/>
  <c r="S100" i="44"/>
  <c r="S116" i="44" s="1"/>
  <c r="S69" i="37"/>
  <c r="S100" i="37"/>
  <c r="S77" i="37"/>
  <c r="S146" i="37"/>
  <c r="S170" i="24"/>
  <c r="X170" i="24" s="1"/>
  <c r="S101" i="24"/>
  <c r="S124" i="24"/>
  <c r="X124" i="24" s="1"/>
  <c r="X77" i="24"/>
  <c r="R107" i="20"/>
  <c r="R153" i="20"/>
  <c r="R84" i="20"/>
  <c r="X60" i="20"/>
  <c r="R69" i="38"/>
  <c r="R150" i="38"/>
  <c r="R81" i="38"/>
  <c r="X57" i="38"/>
  <c r="R104" i="38"/>
  <c r="R123" i="24"/>
  <c r="X123" i="24" s="1"/>
  <c r="R169" i="24"/>
  <c r="X76" i="24"/>
  <c r="R100" i="24"/>
  <c r="V151" i="20"/>
  <c r="V82" i="20"/>
  <c r="V128" i="20" s="1"/>
  <c r="V105" i="20"/>
  <c r="R69" i="47"/>
  <c r="X53" i="47"/>
  <c r="R100" i="47"/>
  <c r="R146" i="47"/>
  <c r="R77" i="47"/>
  <c r="R69" i="37"/>
  <c r="R77" i="37"/>
  <c r="R100" i="37"/>
  <c r="X53" i="37"/>
  <c r="R146" i="37"/>
  <c r="V81" i="37"/>
  <c r="V150" i="37"/>
  <c r="V104" i="37"/>
  <c r="R102" i="20"/>
  <c r="R148" i="20"/>
  <c r="R79" i="20"/>
  <c r="X55" i="20"/>
  <c r="R89" i="6"/>
  <c r="R97" i="6"/>
  <c r="R166" i="6"/>
  <c r="R120" i="6"/>
  <c r="X73" i="6"/>
  <c r="Q36" i="30"/>
  <c r="Q78" i="30" s="1"/>
  <c r="V36" i="30"/>
  <c r="V78" i="30" s="1"/>
  <c r="R36" i="30"/>
  <c r="R78" i="30" s="1"/>
  <c r="T36" i="30"/>
  <c r="T78" i="30" s="1"/>
  <c r="S36" i="30"/>
  <c r="S78" i="30" s="1"/>
  <c r="P78" i="30"/>
  <c r="U36" i="30"/>
  <c r="U78" i="30" s="1"/>
  <c r="V79" i="20"/>
  <c r="V148" i="20"/>
  <c r="V102" i="20"/>
  <c r="V69" i="43"/>
  <c r="V100" i="43"/>
  <c r="V116" i="43" s="1"/>
  <c r="V146" i="43"/>
  <c r="V162" i="43" s="1"/>
  <c r="V77" i="43"/>
  <c r="V89" i="6"/>
  <c r="V166" i="6"/>
  <c r="V182" i="6" s="1"/>
  <c r="V97" i="6"/>
  <c r="V120" i="6"/>
  <c r="V136" i="6" s="1"/>
  <c r="V31" i="40"/>
  <c r="V73" i="40" s="1"/>
  <c r="R31" i="40"/>
  <c r="R73" i="40" s="1"/>
  <c r="S31" i="40"/>
  <c r="S73" i="40" s="1"/>
  <c r="T31" i="40"/>
  <c r="T73" i="40" s="1"/>
  <c r="Q31" i="40"/>
  <c r="U31" i="40"/>
  <c r="U73" i="40" s="1"/>
  <c r="S69" i="45"/>
  <c r="S146" i="45"/>
  <c r="S162" i="45" s="1"/>
  <c r="S77" i="45"/>
  <c r="S100" i="45"/>
  <c r="S116" i="45" s="1"/>
  <c r="V149" i="37"/>
  <c r="V103" i="37"/>
  <c r="V80" i="37"/>
  <c r="V168" i="24"/>
  <c r="V99" i="24"/>
  <c r="V122" i="24"/>
  <c r="T69" i="45"/>
  <c r="T100" i="45"/>
  <c r="T116" i="45" s="1"/>
  <c r="T146" i="45"/>
  <c r="T162" i="45" s="1"/>
  <c r="T77" i="45"/>
  <c r="Q103" i="20"/>
  <c r="Q149" i="20"/>
  <c r="Q80" i="20"/>
  <c r="Q167" i="24"/>
  <c r="Q98" i="24"/>
  <c r="Q121" i="24"/>
  <c r="V169" i="24"/>
  <c r="V123" i="24"/>
  <c r="V100" i="24"/>
  <c r="V146" i="24" s="1"/>
  <c r="R69" i="45"/>
  <c r="R146" i="45"/>
  <c r="X53" i="45"/>
  <c r="R100" i="45"/>
  <c r="R77" i="45"/>
  <c r="Q79" i="20"/>
  <c r="Q125" i="20" s="1"/>
  <c r="Q102" i="20"/>
  <c r="Q148" i="20"/>
  <c r="P73" i="25"/>
  <c r="Q89" i="29"/>
  <c r="Q166" i="29"/>
  <c r="Q182" i="29" s="1"/>
  <c r="Q120" i="29"/>
  <c r="Q136" i="29" s="1"/>
  <c r="Q97" i="29"/>
  <c r="R322" i="48"/>
  <c r="R343" i="48"/>
  <c r="S218" i="48"/>
  <c r="S192" i="48"/>
  <c r="K78" i="50" s="1"/>
  <c r="S239" i="48"/>
  <c r="U375" i="48"/>
  <c r="X14" i="5"/>
  <c r="X17" i="5"/>
  <c r="X21" i="5" s="1"/>
  <c r="T366" i="20"/>
  <c r="T362" i="20"/>
  <c r="T363" i="20"/>
  <c r="T368" i="20"/>
  <c r="T372" i="20"/>
  <c r="T187" i="20"/>
  <c r="T365" i="20"/>
  <c r="T370" i="20"/>
  <c r="T284" i="20"/>
  <c r="T277" i="20"/>
  <c r="T278" i="20"/>
  <c r="T285" i="20"/>
  <c r="T282" i="20"/>
  <c r="T286" i="20"/>
  <c r="T279" i="20"/>
  <c r="T367" i="20"/>
  <c r="T364" i="20"/>
  <c r="T371" i="20"/>
  <c r="T283" i="20"/>
  <c r="T280" i="20"/>
  <c r="T281" i="20"/>
  <c r="T369" i="20"/>
  <c r="T276" i="20"/>
  <c r="U365" i="31"/>
  <c r="U369" i="31"/>
  <c r="U362" i="31"/>
  <c r="U363" i="31"/>
  <c r="U367" i="31"/>
  <c r="U371" i="31"/>
  <c r="U368" i="31"/>
  <c r="U364" i="31"/>
  <c r="U372" i="31"/>
  <c r="U370" i="31"/>
  <c r="U187" i="31"/>
  <c r="M26" i="50" s="1"/>
  <c r="U281" i="31"/>
  <c r="U276" i="31"/>
  <c r="U278" i="31"/>
  <c r="U279" i="31"/>
  <c r="U280" i="31"/>
  <c r="U277" i="31"/>
  <c r="U282" i="31"/>
  <c r="U286" i="31"/>
  <c r="U284" i="31"/>
  <c r="U283" i="31"/>
  <c r="U366" i="31"/>
  <c r="U285" i="31"/>
  <c r="T365" i="37"/>
  <c r="T363" i="37"/>
  <c r="T366" i="37"/>
  <c r="T367" i="37"/>
  <c r="T371" i="37"/>
  <c r="T362" i="37"/>
  <c r="T369" i="37"/>
  <c r="T187" i="37"/>
  <c r="L31" i="50" s="1"/>
  <c r="T368" i="37"/>
  <c r="T372" i="37"/>
  <c r="T370" i="37"/>
  <c r="T278" i="37"/>
  <c r="T283" i="37"/>
  <c r="T280" i="37"/>
  <c r="T279" i="37"/>
  <c r="T281" i="37"/>
  <c r="T364" i="37"/>
  <c r="T286" i="37"/>
  <c r="T277" i="37"/>
  <c r="T276" i="37"/>
  <c r="T285" i="37"/>
  <c r="T284" i="37"/>
  <c r="T282" i="37"/>
  <c r="P345" i="29"/>
  <c r="P324" i="29"/>
  <c r="P342" i="29"/>
  <c r="P321" i="29"/>
  <c r="T93" i="37"/>
  <c r="J40" i="111"/>
  <c r="U116" i="20"/>
  <c r="M27" i="111" s="1"/>
  <c r="R89" i="24"/>
  <c r="R97" i="24"/>
  <c r="R166" i="24"/>
  <c r="R120" i="24"/>
  <c r="X73" i="24"/>
  <c r="S79" i="20"/>
  <c r="S148" i="20"/>
  <c r="S102" i="20"/>
  <c r="S69" i="43"/>
  <c r="S100" i="43"/>
  <c r="S116" i="43" s="1"/>
  <c r="S146" i="43"/>
  <c r="S162" i="43" s="1"/>
  <c r="S77" i="43"/>
  <c r="S120" i="35"/>
  <c r="S136" i="35" s="1"/>
  <c r="S89" i="35"/>
  <c r="S97" i="35"/>
  <c r="S166" i="35"/>
  <c r="S182" i="35" s="1"/>
  <c r="S168" i="24"/>
  <c r="S99" i="24"/>
  <c r="X75" i="24"/>
  <c r="S122" i="24"/>
  <c r="R81" i="37"/>
  <c r="X57" i="37"/>
  <c r="R150" i="37"/>
  <c r="X150" i="37" s="1"/>
  <c r="R104" i="37"/>
  <c r="R102" i="37"/>
  <c r="X102" i="37" s="1"/>
  <c r="X55" i="37"/>
  <c r="R79" i="37"/>
  <c r="R148" i="37"/>
  <c r="V69" i="48"/>
  <c r="V169" i="48"/>
  <c r="V146" i="48"/>
  <c r="V202" i="48"/>
  <c r="X202" i="48" s="1"/>
  <c r="X53" i="48"/>
  <c r="V77" i="48"/>
  <c r="V100" i="48"/>
  <c r="Q34" i="30"/>
  <c r="Q76" i="30" s="1"/>
  <c r="V34" i="30"/>
  <c r="V76" i="30" s="1"/>
  <c r="R34" i="30"/>
  <c r="R76" i="30" s="1"/>
  <c r="S34" i="30"/>
  <c r="S76" i="30" s="1"/>
  <c r="P76" i="30"/>
  <c r="U34" i="30"/>
  <c r="U76" i="30" s="1"/>
  <c r="T34" i="30"/>
  <c r="T76" i="30" s="1"/>
  <c r="R69" i="44"/>
  <c r="R100" i="44"/>
  <c r="X53" i="44"/>
  <c r="R146" i="44"/>
  <c r="R77" i="44"/>
  <c r="R89" i="35"/>
  <c r="R120" i="35"/>
  <c r="X73" i="35"/>
  <c r="R166" i="35"/>
  <c r="R97" i="35"/>
  <c r="R69" i="20"/>
  <c r="R146" i="20"/>
  <c r="X53" i="20"/>
  <c r="R77" i="20"/>
  <c r="R100" i="20"/>
  <c r="R31" i="41"/>
  <c r="R73" i="41" s="1"/>
  <c r="V31" i="41"/>
  <c r="V73" i="41" s="1"/>
  <c r="S31" i="41"/>
  <c r="S73" i="41" s="1"/>
  <c r="U31" i="41"/>
  <c r="U73" i="41" s="1"/>
  <c r="T31" i="41"/>
  <c r="T73" i="41" s="1"/>
  <c r="Q31" i="41"/>
  <c r="V84" i="20"/>
  <c r="V107" i="20"/>
  <c r="V153" i="20"/>
  <c r="V69" i="20"/>
  <c r="V100" i="20"/>
  <c r="V77" i="20"/>
  <c r="V146" i="20"/>
  <c r="V89" i="35"/>
  <c r="V166" i="35"/>
  <c r="V182" i="35" s="1"/>
  <c r="V120" i="35"/>
  <c r="V136" i="35" s="1"/>
  <c r="V97" i="35"/>
  <c r="U69" i="45"/>
  <c r="U146" i="45"/>
  <c r="U162" i="45" s="1"/>
  <c r="U100" i="45"/>
  <c r="U116" i="45" s="1"/>
  <c r="U77" i="45"/>
  <c r="V69" i="38"/>
  <c r="V104" i="38"/>
  <c r="V116" i="38" s="1"/>
  <c r="V150" i="38"/>
  <c r="V162" i="38" s="1"/>
  <c r="V81" i="38"/>
  <c r="Q32" i="30"/>
  <c r="Q74" i="30" s="1"/>
  <c r="V32" i="30"/>
  <c r="V74" i="30" s="1"/>
  <c r="R32" i="30"/>
  <c r="R74" i="30" s="1"/>
  <c r="T32" i="30"/>
  <c r="T74" i="30" s="1"/>
  <c r="P74" i="30"/>
  <c r="S32" i="30"/>
  <c r="S74" i="30" s="1"/>
  <c r="U32" i="30"/>
  <c r="U74" i="30" s="1"/>
  <c r="V147" i="37"/>
  <c r="V78" i="37"/>
  <c r="V101" i="37"/>
  <c r="V89" i="24"/>
  <c r="V166" i="24"/>
  <c r="V97" i="24"/>
  <c r="V120" i="24"/>
  <c r="V136" i="24" s="1"/>
  <c r="Q69" i="48"/>
  <c r="Q146" i="48"/>
  <c r="Q162" i="48" s="1"/>
  <c r="I40" i="111" s="1"/>
  <c r="I76" i="111" s="1"/>
  <c r="Q77" i="48"/>
  <c r="Q169" i="48"/>
  <c r="Q185" i="48" s="1"/>
  <c r="Q100" i="48"/>
  <c r="Q116" i="48" s="1"/>
  <c r="I28" i="111" s="1"/>
  <c r="I64" i="111" s="1"/>
  <c r="Q202" i="48"/>
  <c r="Q101" i="20"/>
  <c r="Q147" i="20"/>
  <c r="Q78" i="20"/>
  <c r="V37" i="30"/>
  <c r="V79" i="30" s="1"/>
  <c r="Q37" i="30"/>
  <c r="Q79" i="30" s="1"/>
  <c r="R37" i="30"/>
  <c r="R79" i="30" s="1"/>
  <c r="S37" i="30"/>
  <c r="S79" i="30" s="1"/>
  <c r="T37" i="30"/>
  <c r="T79" i="30" s="1"/>
  <c r="P79" i="30"/>
  <c r="U37" i="30"/>
  <c r="U79" i="30" s="1"/>
  <c r="V121" i="24"/>
  <c r="V98" i="24"/>
  <c r="V167" i="24"/>
  <c r="Q108" i="20"/>
  <c r="Q154" i="20"/>
  <c r="Q85" i="20"/>
  <c r="Q131" i="20" s="1"/>
  <c r="Q69" i="20"/>
  <c r="Q100" i="20"/>
  <c r="Q146" i="20"/>
  <c r="Q77" i="20"/>
  <c r="Q69" i="31"/>
  <c r="Q146" i="31"/>
  <c r="Q162" i="31" s="1"/>
  <c r="Q100" i="31"/>
  <c r="Q116" i="31" s="1"/>
  <c r="Q77" i="31"/>
  <c r="Q122" i="24"/>
  <c r="Q168" i="24"/>
  <c r="Q99" i="24"/>
  <c r="Q145" i="24" s="1"/>
  <c r="T89" i="29"/>
  <c r="T120" i="29"/>
  <c r="T136" i="29" s="1"/>
  <c r="T97" i="29"/>
  <c r="T166" i="29"/>
  <c r="T182" i="29" s="1"/>
  <c r="V89" i="29"/>
  <c r="V97" i="29"/>
  <c r="V120" i="29"/>
  <c r="V136" i="29" s="1"/>
  <c r="V166" i="29"/>
  <c r="V182" i="29" s="1"/>
  <c r="R324" i="48"/>
  <c r="R345" i="48"/>
  <c r="R325" i="48"/>
  <c r="R346" i="48"/>
  <c r="R297" i="48"/>
  <c r="R288" i="48"/>
  <c r="T190" i="48"/>
  <c r="L41" i="50"/>
  <c r="T363" i="24"/>
  <c r="T366" i="24"/>
  <c r="T369" i="24"/>
  <c r="T362" i="24"/>
  <c r="T364" i="24"/>
  <c r="T367" i="24"/>
  <c r="T371" i="24"/>
  <c r="T207" i="24"/>
  <c r="L21" i="50" s="1"/>
  <c r="T365" i="24"/>
  <c r="T370" i="24"/>
  <c r="T285" i="24"/>
  <c r="T276" i="24"/>
  <c r="T368" i="24"/>
  <c r="T372" i="24"/>
  <c r="T284" i="24"/>
  <c r="T281" i="24"/>
  <c r="T278" i="24"/>
  <c r="T283" i="24"/>
  <c r="T277" i="24"/>
  <c r="T286" i="24"/>
  <c r="T280" i="24"/>
  <c r="T279" i="24"/>
  <c r="T282" i="24"/>
  <c r="P375" i="29"/>
  <c r="P297" i="29"/>
  <c r="P288" i="29"/>
  <c r="P322" i="29"/>
  <c r="P343" i="29"/>
  <c r="P238" i="29"/>
  <c r="P212" i="29"/>
  <c r="P259" i="29"/>
  <c r="U351" i="48"/>
  <c r="U162" i="37"/>
  <c r="U126" i="20"/>
  <c r="U130" i="20"/>
  <c r="S351" i="48"/>
  <c r="U363" i="20"/>
  <c r="U367" i="20"/>
  <c r="U371" i="20"/>
  <c r="U362" i="20"/>
  <c r="U365" i="20"/>
  <c r="U369" i="20"/>
  <c r="U370" i="20"/>
  <c r="U366" i="20"/>
  <c r="U364" i="20"/>
  <c r="U372" i="20"/>
  <c r="U277" i="20"/>
  <c r="U276" i="20"/>
  <c r="U368" i="20"/>
  <c r="U284" i="20"/>
  <c r="U285" i="20"/>
  <c r="U278" i="20"/>
  <c r="U280" i="20"/>
  <c r="U283" i="20"/>
  <c r="U282" i="20"/>
  <c r="U281" i="20"/>
  <c r="U279" i="20"/>
  <c r="U187" i="20"/>
  <c r="U286" i="20"/>
  <c r="R82" i="37"/>
  <c r="R151" i="37"/>
  <c r="X151" i="37" s="1"/>
  <c r="X58" i="37"/>
  <c r="R105" i="37"/>
  <c r="X105" i="37" s="1"/>
  <c r="S69" i="20"/>
  <c r="S77" i="20"/>
  <c r="S100" i="20"/>
  <c r="S146" i="20"/>
  <c r="S150" i="37"/>
  <c r="S81" i="37"/>
  <c r="S127" i="37" s="1"/>
  <c r="S104" i="37"/>
  <c r="S89" i="34"/>
  <c r="S120" i="34"/>
  <c r="S136" i="34" s="1"/>
  <c r="S166" i="34"/>
  <c r="S182" i="34" s="1"/>
  <c r="S97" i="34"/>
  <c r="S120" i="24"/>
  <c r="S89" i="24"/>
  <c r="S166" i="24"/>
  <c r="S97" i="24"/>
  <c r="R120" i="33"/>
  <c r="R166" i="33"/>
  <c r="X73" i="33"/>
  <c r="R97" i="33"/>
  <c r="R78" i="20"/>
  <c r="R147" i="20"/>
  <c r="X147" i="20" s="1"/>
  <c r="R101" i="20"/>
  <c r="X101" i="20" s="1"/>
  <c r="X54" i="20"/>
  <c r="R69" i="43"/>
  <c r="R146" i="43"/>
  <c r="R100" i="43"/>
  <c r="R77" i="43"/>
  <c r="X53" i="43"/>
  <c r="R120" i="34"/>
  <c r="R166" i="34"/>
  <c r="R89" i="34"/>
  <c r="X73" i="34"/>
  <c r="R97" i="34"/>
  <c r="R106" i="20"/>
  <c r="R152" i="20"/>
  <c r="R83" i="20"/>
  <c r="X59" i="20"/>
  <c r="R69" i="31"/>
  <c r="R100" i="31"/>
  <c r="R146" i="31"/>
  <c r="R77" i="31"/>
  <c r="X53" i="31"/>
  <c r="V89" i="34"/>
  <c r="V166" i="34"/>
  <c r="V182" i="34" s="1"/>
  <c r="V97" i="34"/>
  <c r="V120" i="34"/>
  <c r="V136" i="34" s="1"/>
  <c r="V149" i="20"/>
  <c r="V80" i="20"/>
  <c r="V103" i="20"/>
  <c r="V106" i="20"/>
  <c r="V152" i="20"/>
  <c r="V83" i="20"/>
  <c r="V69" i="47"/>
  <c r="V146" i="47"/>
  <c r="V162" i="47" s="1"/>
  <c r="V100" i="47"/>
  <c r="V116" i="47" s="1"/>
  <c r="V77" i="47"/>
  <c r="V151" i="37"/>
  <c r="V105" i="37"/>
  <c r="V82" i="37"/>
  <c r="V128" i="37" s="1"/>
  <c r="Q89" i="28"/>
  <c r="Q97" i="28"/>
  <c r="Q166" i="28"/>
  <c r="Q182" i="28" s="1"/>
  <c r="Q120" i="28"/>
  <c r="Q136" i="28" s="1"/>
  <c r="V120" i="33"/>
  <c r="V97" i="33"/>
  <c r="V166" i="33"/>
  <c r="V89" i="14"/>
  <c r="V120" i="14"/>
  <c r="V136" i="14" s="1"/>
  <c r="V166" i="14"/>
  <c r="V182" i="14" s="1"/>
  <c r="V97" i="14"/>
  <c r="Q153" i="20"/>
  <c r="Q84" i="20"/>
  <c r="Q130" i="20" s="1"/>
  <c r="Q107" i="20"/>
  <c r="Q69" i="47"/>
  <c r="Q146" i="47"/>
  <c r="Q162" i="47" s="1"/>
  <c r="Q100" i="47"/>
  <c r="Q116" i="47" s="1"/>
  <c r="Q77" i="47"/>
  <c r="V33" i="30"/>
  <c r="V75" i="30" s="1"/>
  <c r="Q33" i="30"/>
  <c r="Q75" i="30" s="1"/>
  <c r="R33" i="30"/>
  <c r="R75" i="30" s="1"/>
  <c r="S33" i="30"/>
  <c r="S75" i="30" s="1"/>
  <c r="T33" i="30"/>
  <c r="T75" i="30" s="1"/>
  <c r="P75" i="30"/>
  <c r="U33" i="30"/>
  <c r="U75" i="30" s="1"/>
  <c r="Q106" i="20"/>
  <c r="Q83" i="20"/>
  <c r="Q129" i="20" s="1"/>
  <c r="Q152" i="20"/>
  <c r="Q69" i="38"/>
  <c r="Q104" i="38"/>
  <c r="Q116" i="38" s="1"/>
  <c r="Q150" i="38"/>
  <c r="Q162" i="38" s="1"/>
  <c r="Q81" i="38"/>
  <c r="V35" i="30"/>
  <c r="V77" i="30" s="1"/>
  <c r="Q35" i="30"/>
  <c r="Q77" i="30" s="1"/>
  <c r="R35" i="30"/>
  <c r="R77" i="30" s="1"/>
  <c r="S35" i="30"/>
  <c r="S77" i="30" s="1"/>
  <c r="T35" i="30"/>
  <c r="T77" i="30" s="1"/>
  <c r="P77" i="30"/>
  <c r="U35" i="30"/>
  <c r="U77" i="30" s="1"/>
  <c r="Q89" i="24"/>
  <c r="Q166" i="24"/>
  <c r="Q97" i="24"/>
  <c r="Q120" i="24"/>
  <c r="S89" i="29"/>
  <c r="S120" i="29"/>
  <c r="S136" i="29" s="1"/>
  <c r="S166" i="29"/>
  <c r="S182" i="29" s="1"/>
  <c r="S97" i="29"/>
  <c r="R328" i="48"/>
  <c r="R349" i="48"/>
  <c r="R375" i="48"/>
  <c r="R327" i="48"/>
  <c r="R348" i="48"/>
  <c r="R321" i="48"/>
  <c r="R342" i="48"/>
  <c r="J41" i="50"/>
  <c r="R190" i="48"/>
  <c r="U190" i="48"/>
  <c r="M41" i="50"/>
  <c r="T364" i="31"/>
  <c r="T363" i="31"/>
  <c r="T366" i="31"/>
  <c r="T370" i="31"/>
  <c r="T187" i="31"/>
  <c r="L26" i="50" s="1"/>
  <c r="T362" i="31"/>
  <c r="T368" i="31"/>
  <c r="T372" i="31"/>
  <c r="T367" i="31"/>
  <c r="T371" i="31"/>
  <c r="T365" i="31"/>
  <c r="T369" i="31"/>
  <c r="T281" i="31"/>
  <c r="T284" i="31"/>
  <c r="T286" i="31"/>
  <c r="T285" i="31"/>
  <c r="T280" i="31"/>
  <c r="T279" i="31"/>
  <c r="T282" i="31"/>
  <c r="T277" i="31"/>
  <c r="T278" i="31"/>
  <c r="T276" i="31"/>
  <c r="T283" i="31"/>
  <c r="P340" i="29"/>
  <c r="P319" i="29"/>
  <c r="P327" i="29"/>
  <c r="P348" i="29"/>
  <c r="P347" i="29"/>
  <c r="P326" i="29"/>
  <c r="P349" i="29"/>
  <c r="P328" i="29"/>
  <c r="U330" i="48"/>
  <c r="U93" i="37"/>
  <c r="U124" i="37"/>
  <c r="U139" i="37" s="1"/>
  <c r="T93" i="20"/>
  <c r="L15" i="111" s="1"/>
  <c r="U288" i="44"/>
  <c r="T340" i="48"/>
  <c r="T351" i="48" s="1"/>
  <c r="T309" i="48"/>
  <c r="T319" i="48"/>
  <c r="T330" i="48" s="1"/>
  <c r="U340" i="48"/>
  <c r="U319" i="48"/>
  <c r="U309" i="48"/>
  <c r="S106" i="20"/>
  <c r="S152" i="20"/>
  <c r="S83" i="20"/>
  <c r="S69" i="47"/>
  <c r="S146" i="47"/>
  <c r="S162" i="47" s="1"/>
  <c r="S77" i="47"/>
  <c r="S100" i="47"/>
  <c r="S116" i="47" s="1"/>
  <c r="S79" i="37"/>
  <c r="S148" i="37"/>
  <c r="S102" i="37"/>
  <c r="S89" i="28"/>
  <c r="S97" i="28"/>
  <c r="S120" i="28"/>
  <c r="S136" i="28" s="1"/>
  <c r="S166" i="28"/>
  <c r="S182" i="28" s="1"/>
  <c r="S89" i="14"/>
  <c r="S97" i="14"/>
  <c r="S120" i="14"/>
  <c r="S136" i="14" s="1"/>
  <c r="S166" i="14"/>
  <c r="S182" i="14" s="1"/>
  <c r="R105" i="20"/>
  <c r="X105" i="20" s="1"/>
  <c r="R151" i="20"/>
  <c r="X151" i="20" s="1"/>
  <c r="R82" i="20"/>
  <c r="X58" i="20"/>
  <c r="R89" i="28"/>
  <c r="R97" i="28"/>
  <c r="R166" i="28"/>
  <c r="X73" i="28"/>
  <c r="R120" i="28"/>
  <c r="R101" i="37"/>
  <c r="R78" i="37"/>
  <c r="R147" i="37"/>
  <c r="X54" i="37"/>
  <c r="R80" i="20"/>
  <c r="X56" i="20"/>
  <c r="R149" i="20"/>
  <c r="X149" i="20" s="1"/>
  <c r="R103" i="20"/>
  <c r="R103" i="37"/>
  <c r="X56" i="37"/>
  <c r="R149" i="37"/>
  <c r="X149" i="37" s="1"/>
  <c r="R80" i="37"/>
  <c r="R167" i="24"/>
  <c r="X74" i="24"/>
  <c r="R98" i="24"/>
  <c r="R121" i="24"/>
  <c r="X121" i="24" s="1"/>
  <c r="R150" i="20"/>
  <c r="R81" i="20"/>
  <c r="X57" i="20"/>
  <c r="R104" i="20"/>
  <c r="X104" i="20" s="1"/>
  <c r="R89" i="14"/>
  <c r="R120" i="14"/>
  <c r="R166" i="14"/>
  <c r="R97" i="14"/>
  <c r="X73" i="14"/>
  <c r="Q166" i="33"/>
  <c r="Q97" i="33"/>
  <c r="Q120" i="33"/>
  <c r="V104" i="20"/>
  <c r="V150" i="20"/>
  <c r="V81" i="20"/>
  <c r="V127" i="20" s="1"/>
  <c r="V69" i="44"/>
  <c r="V100" i="44"/>
  <c r="V116" i="44" s="1"/>
  <c r="V77" i="44"/>
  <c r="V146" i="44"/>
  <c r="V162" i="44" s="1"/>
  <c r="Q38" i="30"/>
  <c r="Q80" i="30" s="1"/>
  <c r="V38" i="30"/>
  <c r="V80" i="30" s="1"/>
  <c r="R38" i="30"/>
  <c r="R80" i="30" s="1"/>
  <c r="P80" i="30"/>
  <c r="S38" i="30"/>
  <c r="S80" i="30" s="1"/>
  <c r="T38" i="30"/>
  <c r="T80" i="30" s="1"/>
  <c r="U38" i="30"/>
  <c r="U80" i="30" s="1"/>
  <c r="V69" i="37"/>
  <c r="V146" i="37"/>
  <c r="V77" i="37"/>
  <c r="V100" i="37"/>
  <c r="V69" i="31"/>
  <c r="V146" i="31"/>
  <c r="V162" i="31" s="1"/>
  <c r="V100" i="31"/>
  <c r="V116" i="31" s="1"/>
  <c r="V77" i="31"/>
  <c r="Q82" i="20"/>
  <c r="Q128" i="20" s="1"/>
  <c r="Q151" i="20"/>
  <c r="Q105" i="20"/>
  <c r="Q89" i="35"/>
  <c r="Q120" i="35"/>
  <c r="Q136" i="35" s="1"/>
  <c r="Q166" i="35"/>
  <c r="Q182" i="35" s="1"/>
  <c r="Q97" i="35"/>
  <c r="Q100" i="24"/>
  <c r="Q169" i="24"/>
  <c r="Q123" i="24"/>
  <c r="V89" i="28"/>
  <c r="V120" i="28"/>
  <c r="V136" i="28" s="1"/>
  <c r="V97" i="28"/>
  <c r="V166" i="28"/>
  <c r="V182" i="28" s="1"/>
  <c r="V69" i="45"/>
  <c r="V100" i="45"/>
  <c r="V116" i="45" s="1"/>
  <c r="V77" i="45"/>
  <c r="V146" i="45"/>
  <c r="V162" i="45" s="1"/>
  <c r="Q150" i="20"/>
  <c r="Q104" i="20"/>
  <c r="Q81" i="20"/>
  <c r="Q89" i="34"/>
  <c r="Q166" i="34"/>
  <c r="Q182" i="34" s="1"/>
  <c r="Q97" i="34"/>
  <c r="Q120" i="34"/>
  <c r="Q136" i="34" s="1"/>
  <c r="V31" i="30"/>
  <c r="V73" i="30" s="1"/>
  <c r="Q31" i="30"/>
  <c r="Q73" i="30" s="1"/>
  <c r="S31" i="30"/>
  <c r="S73" i="30" s="1"/>
  <c r="T31" i="30"/>
  <c r="T73" i="30" s="1"/>
  <c r="P73" i="30"/>
  <c r="U31" i="30"/>
  <c r="U73" i="30" s="1"/>
  <c r="R31" i="30"/>
  <c r="R73" i="30" s="1"/>
  <c r="R89" i="29"/>
  <c r="X73" i="29"/>
  <c r="R166" i="29"/>
  <c r="R120" i="29"/>
  <c r="R97" i="29"/>
  <c r="R323" i="48"/>
  <c r="R344" i="48"/>
  <c r="R320" i="48"/>
  <c r="R341" i="48"/>
  <c r="R319" i="48"/>
  <c r="R340" i="48"/>
  <c r="R347" i="48"/>
  <c r="R326" i="48"/>
  <c r="S77" i="19"/>
  <c r="K115" i="50"/>
  <c r="S375" i="48"/>
  <c r="T116" i="20"/>
  <c r="L27" i="111" s="1"/>
  <c r="U93" i="31"/>
  <c r="U123" i="31"/>
  <c r="U139" i="31" s="1"/>
  <c r="T93" i="31"/>
  <c r="T123" i="31"/>
  <c r="T139" i="31" s="1"/>
  <c r="T116" i="37"/>
  <c r="T123" i="37"/>
  <c r="T139" i="37" s="1"/>
  <c r="U365" i="14"/>
  <c r="U369" i="14"/>
  <c r="U362" i="14"/>
  <c r="U363" i="14"/>
  <c r="U367" i="14"/>
  <c r="U371" i="14"/>
  <c r="U368" i="14"/>
  <c r="U364" i="14"/>
  <c r="U372" i="14"/>
  <c r="U207" i="14"/>
  <c r="M17" i="50" s="1"/>
  <c r="U370" i="14"/>
  <c r="U286" i="14"/>
  <c r="U366" i="14"/>
  <c r="U283" i="14"/>
  <c r="U278" i="14"/>
  <c r="U280" i="14"/>
  <c r="U279" i="14"/>
  <c r="U276" i="14"/>
  <c r="U277" i="14"/>
  <c r="U284" i="14"/>
  <c r="U281" i="14"/>
  <c r="U285" i="14"/>
  <c r="U282" i="14"/>
  <c r="P396" i="29"/>
  <c r="P344" i="29"/>
  <c r="P323" i="29"/>
  <c r="R139" i="48"/>
  <c r="U366" i="37"/>
  <c r="U370" i="37"/>
  <c r="U362" i="37"/>
  <c r="U364" i="37"/>
  <c r="U368" i="37"/>
  <c r="U372" i="37"/>
  <c r="U365" i="37"/>
  <c r="U187" i="37"/>
  <c r="M31" i="50" s="1"/>
  <c r="U369" i="37"/>
  <c r="U367" i="37"/>
  <c r="U371" i="37"/>
  <c r="U279" i="37"/>
  <c r="U284" i="37"/>
  <c r="U286" i="37"/>
  <c r="U278" i="37"/>
  <c r="U277" i="37"/>
  <c r="U363" i="37"/>
  <c r="U281" i="37"/>
  <c r="U280" i="37"/>
  <c r="U283" i="37"/>
  <c r="U276" i="37"/>
  <c r="U285" i="37"/>
  <c r="U282" i="37"/>
  <c r="U288" i="43"/>
  <c r="U113" i="24"/>
  <c r="U143" i="24"/>
  <c r="U159" i="24" s="1"/>
  <c r="U288" i="47"/>
  <c r="T143" i="33"/>
  <c r="U288" i="35"/>
  <c r="U124" i="20"/>
  <c r="U139" i="20" s="1"/>
  <c r="U93" i="20"/>
  <c r="M15" i="111" s="1"/>
  <c r="U288" i="24"/>
  <c r="P339" i="44" l="1"/>
  <c r="P351" i="44" s="1"/>
  <c r="P309" i="44"/>
  <c r="P318" i="44"/>
  <c r="P330" i="44" s="1"/>
  <c r="S136" i="24"/>
  <c r="P346" i="29"/>
  <c r="P325" i="29"/>
  <c r="P341" i="29"/>
  <c r="P320" i="29"/>
  <c r="P319" i="28"/>
  <c r="P330" i="28" s="1"/>
  <c r="P340" i="28"/>
  <c r="P351" i="28" s="1"/>
  <c r="P309" i="28"/>
  <c r="P260" i="28"/>
  <c r="P263" i="28" s="1"/>
  <c r="P373" i="28"/>
  <c r="P377" i="28" s="1"/>
  <c r="Q182" i="24"/>
  <c r="S182" i="24"/>
  <c r="Q144" i="24"/>
  <c r="X168" i="24"/>
  <c r="U288" i="37"/>
  <c r="U288" i="14"/>
  <c r="R182" i="29"/>
  <c r="X182" i="29" s="1"/>
  <c r="X166" i="29"/>
  <c r="U98" i="15"/>
  <c r="U121" i="15"/>
  <c r="U167" i="15"/>
  <c r="V167" i="15"/>
  <c r="V121" i="15"/>
  <c r="V98" i="15"/>
  <c r="P222" i="30"/>
  <c r="P97" i="30"/>
  <c r="P189" i="30"/>
  <c r="P89" i="30"/>
  <c r="P166" i="30"/>
  <c r="P120" i="30"/>
  <c r="V89" i="30"/>
  <c r="V97" i="30"/>
  <c r="V166" i="30"/>
  <c r="V120" i="30"/>
  <c r="Q143" i="34"/>
  <c r="Q159" i="34" s="1"/>
  <c r="Q113" i="34"/>
  <c r="Q146" i="24"/>
  <c r="V123" i="31"/>
  <c r="V139" i="31" s="1"/>
  <c r="V93" i="31"/>
  <c r="U121" i="12"/>
  <c r="U167" i="12"/>
  <c r="U98" i="12"/>
  <c r="U144" i="12" s="1"/>
  <c r="R167" i="12"/>
  <c r="R98" i="12"/>
  <c r="X74" i="12"/>
  <c r="R121" i="12"/>
  <c r="V93" i="37"/>
  <c r="V123" i="37"/>
  <c r="T127" i="30"/>
  <c r="T104" i="30"/>
  <c r="T150" i="30" s="1"/>
  <c r="T173" i="30"/>
  <c r="V127" i="30"/>
  <c r="V173" i="30"/>
  <c r="V104" i="30"/>
  <c r="V150" i="30" s="1"/>
  <c r="P166" i="17"/>
  <c r="P89" i="17"/>
  <c r="P189" i="17"/>
  <c r="P222" i="17"/>
  <c r="P120" i="17"/>
  <c r="V89" i="17"/>
  <c r="V166" i="17"/>
  <c r="V120" i="17"/>
  <c r="V362" i="44"/>
  <c r="V364" i="44"/>
  <c r="V366" i="44"/>
  <c r="V369" i="44"/>
  <c r="V363" i="44"/>
  <c r="V368" i="44"/>
  <c r="V372" i="44"/>
  <c r="V371" i="44"/>
  <c r="V365" i="44"/>
  <c r="V187" i="44"/>
  <c r="N36" i="50" s="1"/>
  <c r="V367" i="44"/>
  <c r="V276" i="44"/>
  <c r="V277" i="44"/>
  <c r="V370" i="44"/>
  <c r="V282" i="44"/>
  <c r="V285" i="44"/>
  <c r="V278" i="44"/>
  <c r="V280" i="44"/>
  <c r="V284" i="44"/>
  <c r="V283" i="44"/>
  <c r="V279" i="44"/>
  <c r="V286" i="44"/>
  <c r="V281" i="44"/>
  <c r="P98" i="33"/>
  <c r="P223" i="33"/>
  <c r="P167" i="33"/>
  <c r="P182" i="33" s="1"/>
  <c r="P121" i="33"/>
  <c r="P136" i="33" s="1"/>
  <c r="P190" i="33"/>
  <c r="P205" i="33" s="1"/>
  <c r="P89" i="33"/>
  <c r="R98" i="33"/>
  <c r="R121" i="33"/>
  <c r="R136" i="33" s="1"/>
  <c r="X74" i="33"/>
  <c r="R167" i="33"/>
  <c r="R113" i="14"/>
  <c r="R143" i="14"/>
  <c r="X97" i="14"/>
  <c r="R127" i="20"/>
  <c r="X81" i="20"/>
  <c r="R136" i="28"/>
  <c r="X136" i="28" s="1"/>
  <c r="X120" i="28"/>
  <c r="R277" i="28"/>
  <c r="R276" i="28"/>
  <c r="R279" i="28"/>
  <c r="R283" i="28"/>
  <c r="R207" i="28"/>
  <c r="J23" i="50" s="1"/>
  <c r="R278" i="28"/>
  <c r="R282" i="28"/>
  <c r="R286" i="28"/>
  <c r="R362" i="28"/>
  <c r="R280" i="28"/>
  <c r="R363" i="28"/>
  <c r="R365" i="28"/>
  <c r="R369" i="28"/>
  <c r="R281" i="28"/>
  <c r="R364" i="28"/>
  <c r="R368" i="28"/>
  <c r="R372" i="28"/>
  <c r="R284" i="28"/>
  <c r="R371" i="28"/>
  <c r="R367" i="28"/>
  <c r="R285" i="28"/>
  <c r="R366" i="28"/>
  <c r="R370" i="28"/>
  <c r="X89" i="28"/>
  <c r="X207" i="28" s="1"/>
  <c r="U218" i="48"/>
  <c r="U239" i="48"/>
  <c r="U192" i="48"/>
  <c r="M78" i="50" s="1"/>
  <c r="S143" i="29"/>
  <c r="S159" i="29" s="1"/>
  <c r="S113" i="29"/>
  <c r="T124" i="30"/>
  <c r="T101" i="30"/>
  <c r="T170" i="30"/>
  <c r="V170" i="30"/>
  <c r="V124" i="30"/>
  <c r="V101" i="30"/>
  <c r="U167" i="17"/>
  <c r="U121" i="17"/>
  <c r="S121" i="17"/>
  <c r="S144" i="17" s="1"/>
  <c r="S167" i="17"/>
  <c r="U122" i="12"/>
  <c r="U168" i="12"/>
  <c r="U99" i="12"/>
  <c r="Q168" i="12"/>
  <c r="Q122" i="12"/>
  <c r="Q99" i="12"/>
  <c r="T168" i="30"/>
  <c r="T99" i="30"/>
  <c r="T145" i="30" s="1"/>
  <c r="T122" i="30"/>
  <c r="V168" i="30"/>
  <c r="V122" i="30"/>
  <c r="V99" i="30"/>
  <c r="V113" i="14"/>
  <c r="V143" i="14"/>
  <c r="V159" i="14" s="1"/>
  <c r="Q113" i="28"/>
  <c r="Q143" i="28"/>
  <c r="Q159" i="28" s="1"/>
  <c r="S167" i="32"/>
  <c r="S98" i="32"/>
  <c r="S121" i="32"/>
  <c r="U123" i="17"/>
  <c r="U146" i="17" s="1"/>
  <c r="U169" i="17"/>
  <c r="S169" i="17"/>
  <c r="S123" i="17"/>
  <c r="V362" i="34"/>
  <c r="V364" i="34"/>
  <c r="V363" i="34"/>
  <c r="V367" i="34"/>
  <c r="V366" i="34"/>
  <c r="V368" i="34"/>
  <c r="V372" i="34"/>
  <c r="V371" i="34"/>
  <c r="V207" i="34"/>
  <c r="N29" i="50" s="1"/>
  <c r="V365" i="34"/>
  <c r="V369" i="34"/>
  <c r="V370" i="34"/>
  <c r="V285" i="34"/>
  <c r="V284" i="34"/>
  <c r="V276" i="34"/>
  <c r="V279" i="34"/>
  <c r="V286" i="34"/>
  <c r="V281" i="34"/>
  <c r="V277" i="34"/>
  <c r="V283" i="34"/>
  <c r="V280" i="34"/>
  <c r="V282" i="34"/>
  <c r="V278" i="34"/>
  <c r="R116" i="31"/>
  <c r="X116" i="31" s="1"/>
  <c r="X100" i="31"/>
  <c r="R129" i="20"/>
  <c r="X83" i="20"/>
  <c r="R113" i="34"/>
  <c r="R143" i="34"/>
  <c r="X97" i="34"/>
  <c r="R136" i="34"/>
  <c r="X136" i="34" s="1"/>
  <c r="X120" i="34"/>
  <c r="R162" i="43"/>
  <c r="X162" i="43" s="1"/>
  <c r="X146" i="43"/>
  <c r="T89" i="15"/>
  <c r="T166" i="15"/>
  <c r="T97" i="15"/>
  <c r="T120" i="15"/>
  <c r="Q89" i="15"/>
  <c r="Q97" i="15"/>
  <c r="Q120" i="15"/>
  <c r="Q166" i="15"/>
  <c r="U168" i="17"/>
  <c r="U122" i="17"/>
  <c r="R168" i="17"/>
  <c r="X75" i="17"/>
  <c r="R122" i="17"/>
  <c r="M40" i="50"/>
  <c r="T288" i="24"/>
  <c r="T77" i="19"/>
  <c r="Q187" i="20"/>
  <c r="Q362" i="20"/>
  <c r="Q364" i="20"/>
  <c r="Q372" i="20"/>
  <c r="Q367" i="20"/>
  <c r="Q277" i="20"/>
  <c r="Q283" i="20"/>
  <c r="Q282" i="20"/>
  <c r="Q370" i="20"/>
  <c r="Q371" i="20"/>
  <c r="Q363" i="20"/>
  <c r="Q276" i="20"/>
  <c r="Q286" i="20"/>
  <c r="Q279" i="20"/>
  <c r="Q368" i="20"/>
  <c r="Q366" i="20"/>
  <c r="Q278" i="20"/>
  <c r="Q369" i="20"/>
  <c r="Q285" i="20"/>
  <c r="Q281" i="20"/>
  <c r="Q284" i="20"/>
  <c r="Q365" i="20"/>
  <c r="Q280" i="20"/>
  <c r="T169" i="15"/>
  <c r="T100" i="15"/>
  <c r="T146" i="15" s="1"/>
  <c r="T123" i="15"/>
  <c r="U126" i="30"/>
  <c r="U172" i="30"/>
  <c r="U103" i="30"/>
  <c r="R126" i="30"/>
  <c r="X79" i="30"/>
  <c r="R172" i="30"/>
  <c r="R103" i="30"/>
  <c r="V182" i="24"/>
  <c r="T98" i="30"/>
  <c r="T144" i="30" s="1"/>
  <c r="T167" i="30"/>
  <c r="T121" i="30"/>
  <c r="V127" i="38"/>
  <c r="V139" i="38" s="1"/>
  <c r="V93" i="38"/>
  <c r="U93" i="45"/>
  <c r="U123" i="45"/>
  <c r="U139" i="45" s="1"/>
  <c r="V113" i="35"/>
  <c r="V143" i="35"/>
  <c r="V159" i="35" s="1"/>
  <c r="V116" i="20"/>
  <c r="N27" i="111" s="1"/>
  <c r="T122" i="15"/>
  <c r="T168" i="15"/>
  <c r="T99" i="15"/>
  <c r="Q99" i="15"/>
  <c r="Q145" i="15" s="1"/>
  <c r="Q168" i="15"/>
  <c r="Q122" i="15"/>
  <c r="U120" i="41"/>
  <c r="U136" i="41" s="1"/>
  <c r="U97" i="41"/>
  <c r="U89" i="41"/>
  <c r="U166" i="41"/>
  <c r="U182" i="41" s="1"/>
  <c r="X100" i="20"/>
  <c r="R116" i="20"/>
  <c r="R162" i="20"/>
  <c r="X146" i="20"/>
  <c r="R182" i="35"/>
  <c r="X182" i="35" s="1"/>
  <c r="X166" i="35"/>
  <c r="R123" i="44"/>
  <c r="R93" i="44"/>
  <c r="X93" i="44" s="1"/>
  <c r="X77" i="44"/>
  <c r="R276" i="44"/>
  <c r="R278" i="44"/>
  <c r="R282" i="44"/>
  <c r="R277" i="44"/>
  <c r="R281" i="44"/>
  <c r="R285" i="44"/>
  <c r="R279" i="44"/>
  <c r="R363" i="44"/>
  <c r="R368" i="44"/>
  <c r="R372" i="44"/>
  <c r="R187" i="44"/>
  <c r="J36" i="50" s="1"/>
  <c r="P36" i="50" s="1"/>
  <c r="R280" i="44"/>
  <c r="R364" i="44"/>
  <c r="R367" i="44"/>
  <c r="R371" i="44"/>
  <c r="R283" i="44"/>
  <c r="R366" i="44"/>
  <c r="R286" i="44"/>
  <c r="R370" i="44"/>
  <c r="R284" i="44"/>
  <c r="R369" i="44"/>
  <c r="R365" i="44"/>
  <c r="R362" i="44"/>
  <c r="X69" i="44"/>
  <c r="X187" i="44" s="1"/>
  <c r="S169" i="30"/>
  <c r="S100" i="30"/>
  <c r="S123" i="30"/>
  <c r="V116" i="48"/>
  <c r="X100" i="48"/>
  <c r="V162" i="48"/>
  <c r="X146" i="48"/>
  <c r="R125" i="37"/>
  <c r="X79" i="37"/>
  <c r="S113" i="35"/>
  <c r="S143" i="35"/>
  <c r="S159" i="35" s="1"/>
  <c r="R207" i="24"/>
  <c r="J21" i="50" s="1"/>
  <c r="R281" i="24"/>
  <c r="R285" i="24"/>
  <c r="R280" i="24"/>
  <c r="R284" i="24"/>
  <c r="R364" i="24"/>
  <c r="R276" i="24"/>
  <c r="R278" i="24"/>
  <c r="R286" i="24"/>
  <c r="R367" i="24"/>
  <c r="R371" i="24"/>
  <c r="R279" i="24"/>
  <c r="R362" i="24"/>
  <c r="R366" i="24"/>
  <c r="R370" i="24"/>
  <c r="R363" i="24"/>
  <c r="R369" i="24"/>
  <c r="R282" i="24"/>
  <c r="R365" i="24"/>
  <c r="R372" i="24"/>
  <c r="R283" i="24"/>
  <c r="R277" i="24"/>
  <c r="X89" i="24"/>
  <c r="X207" i="24" s="1"/>
  <c r="R368" i="24"/>
  <c r="T288" i="20"/>
  <c r="L40" i="50"/>
  <c r="S373" i="48"/>
  <c r="S377" i="48" s="1"/>
  <c r="S240" i="48"/>
  <c r="K152" i="50"/>
  <c r="K226" i="50" s="1"/>
  <c r="Q207" i="29"/>
  <c r="Q276" i="29"/>
  <c r="Q280" i="29"/>
  <c r="Q366" i="29"/>
  <c r="Q283" i="29"/>
  <c r="Q367" i="29"/>
  <c r="Q285" i="29"/>
  <c r="Q284" i="29"/>
  <c r="Q362" i="29"/>
  <c r="Q370" i="29"/>
  <c r="Q363" i="29"/>
  <c r="Q371" i="29"/>
  <c r="Q372" i="29"/>
  <c r="Q279" i="29"/>
  <c r="Q277" i="29"/>
  <c r="Q364" i="29"/>
  <c r="Q365" i="29"/>
  <c r="Q282" i="29"/>
  <c r="Q281" i="29"/>
  <c r="Q368" i="29"/>
  <c r="Q286" i="29"/>
  <c r="Q278" i="29"/>
  <c r="Q369" i="29"/>
  <c r="R89" i="12"/>
  <c r="R166" i="12"/>
  <c r="R97" i="12"/>
  <c r="X73" i="12"/>
  <c r="R120" i="12"/>
  <c r="P189" i="25"/>
  <c r="P205" i="25" s="1"/>
  <c r="P166" i="25"/>
  <c r="P182" i="25" s="1"/>
  <c r="P89" i="25"/>
  <c r="P97" i="25"/>
  <c r="P222" i="25"/>
  <c r="P120" i="25"/>
  <c r="P136" i="25" s="1"/>
  <c r="S89" i="25"/>
  <c r="S120" i="25"/>
  <c r="S136" i="25" s="1"/>
  <c r="S166" i="25"/>
  <c r="S182" i="25" s="1"/>
  <c r="S97" i="25"/>
  <c r="P168" i="32"/>
  <c r="P99" i="32"/>
  <c r="P224" i="32"/>
  <c r="P122" i="32"/>
  <c r="P191" i="32"/>
  <c r="Q168" i="32"/>
  <c r="Q99" i="32"/>
  <c r="Q122" i="32"/>
  <c r="R116" i="45"/>
  <c r="X116" i="45" s="1"/>
  <c r="X100" i="45"/>
  <c r="U89" i="32"/>
  <c r="U166" i="32"/>
  <c r="U97" i="32"/>
  <c r="U120" i="32"/>
  <c r="R89" i="32"/>
  <c r="R120" i="32"/>
  <c r="R166" i="32"/>
  <c r="X73" i="32"/>
  <c r="R97" i="32"/>
  <c r="T93" i="45"/>
  <c r="T123" i="45"/>
  <c r="T139" i="45" s="1"/>
  <c r="T120" i="40"/>
  <c r="T136" i="40" s="1"/>
  <c r="T97" i="40"/>
  <c r="T89" i="40"/>
  <c r="T166" i="40"/>
  <c r="T182" i="40" s="1"/>
  <c r="V123" i="43"/>
  <c r="V139" i="43" s="1"/>
  <c r="V93" i="43"/>
  <c r="V125" i="20"/>
  <c r="T125" i="30"/>
  <c r="T171" i="30"/>
  <c r="T102" i="30"/>
  <c r="P225" i="12"/>
  <c r="P123" i="12"/>
  <c r="P192" i="12"/>
  <c r="P100" i="12"/>
  <c r="P169" i="12"/>
  <c r="R123" i="12"/>
  <c r="R100" i="12"/>
  <c r="R169" i="12"/>
  <c r="X76" i="12"/>
  <c r="X120" i="6"/>
  <c r="R136" i="6"/>
  <c r="X136" i="6" s="1"/>
  <c r="X148" i="20"/>
  <c r="V127" i="37"/>
  <c r="R123" i="37"/>
  <c r="R93" i="37"/>
  <c r="X93" i="37" s="1"/>
  <c r="X77" i="37"/>
  <c r="R116" i="47"/>
  <c r="X116" i="47" s="1"/>
  <c r="X100" i="47"/>
  <c r="R146" i="24"/>
  <c r="X146" i="24" s="1"/>
  <c r="X100" i="24"/>
  <c r="R116" i="38"/>
  <c r="X116" i="38" s="1"/>
  <c r="X104" i="38"/>
  <c r="R280" i="38"/>
  <c r="R284" i="38"/>
  <c r="R187" i="38"/>
  <c r="J32" i="50" s="1"/>
  <c r="R279" i="38"/>
  <c r="R283" i="38"/>
  <c r="R363" i="38"/>
  <c r="R276" i="38"/>
  <c r="R277" i="38"/>
  <c r="R285" i="38"/>
  <c r="R286" i="38"/>
  <c r="R364" i="38"/>
  <c r="R366" i="38"/>
  <c r="R370" i="38"/>
  <c r="R278" i="38"/>
  <c r="R362" i="38"/>
  <c r="R365" i="38"/>
  <c r="R369" i="38"/>
  <c r="R372" i="38"/>
  <c r="R281" i="38"/>
  <c r="R368" i="38"/>
  <c r="R367" i="38"/>
  <c r="R371" i="38"/>
  <c r="X69" i="38"/>
  <c r="X187" i="38" s="1"/>
  <c r="R282" i="38"/>
  <c r="S123" i="37"/>
  <c r="S139" i="37" s="1"/>
  <c r="S93" i="37"/>
  <c r="S364" i="44"/>
  <c r="S363" i="44"/>
  <c r="S365" i="44"/>
  <c r="S369" i="44"/>
  <c r="S362" i="44"/>
  <c r="S367" i="44"/>
  <c r="S371" i="44"/>
  <c r="S370" i="44"/>
  <c r="S187" i="44"/>
  <c r="K36" i="50" s="1"/>
  <c r="S366" i="44"/>
  <c r="S372" i="44"/>
  <c r="S277" i="44"/>
  <c r="S276" i="44"/>
  <c r="S282" i="44"/>
  <c r="S284" i="44"/>
  <c r="S281" i="44"/>
  <c r="S278" i="44"/>
  <c r="S286" i="44"/>
  <c r="S279" i="44"/>
  <c r="S285" i="44"/>
  <c r="S280" i="44"/>
  <c r="S283" i="44"/>
  <c r="S368" i="44"/>
  <c r="S121" i="15"/>
  <c r="S98" i="15"/>
  <c r="S144" i="15" s="1"/>
  <c r="S167" i="15"/>
  <c r="Q121" i="15"/>
  <c r="Q167" i="15"/>
  <c r="Q98" i="15"/>
  <c r="Q144" i="15" s="1"/>
  <c r="T89" i="30"/>
  <c r="T97" i="30"/>
  <c r="T166" i="30"/>
  <c r="T182" i="30" s="1"/>
  <c r="T120" i="30"/>
  <c r="Q127" i="20"/>
  <c r="V93" i="45"/>
  <c r="V123" i="45"/>
  <c r="V139" i="45" s="1"/>
  <c r="V143" i="28"/>
  <c r="V159" i="28" s="1"/>
  <c r="V113" i="28"/>
  <c r="P190" i="12"/>
  <c r="P223" i="12"/>
  <c r="P98" i="12"/>
  <c r="P167" i="12"/>
  <c r="P121" i="12"/>
  <c r="V121" i="12"/>
  <c r="V98" i="12"/>
  <c r="V167" i="12"/>
  <c r="V162" i="37"/>
  <c r="S127" i="30"/>
  <c r="S104" i="30"/>
  <c r="S173" i="30"/>
  <c r="Q104" i="30"/>
  <c r="Q150" i="30" s="1"/>
  <c r="Q173" i="30"/>
  <c r="Q127" i="30"/>
  <c r="S89" i="17"/>
  <c r="S120" i="17"/>
  <c r="S166" i="17"/>
  <c r="Q143" i="33"/>
  <c r="U167" i="33"/>
  <c r="U182" i="33" s="1"/>
  <c r="U98" i="33"/>
  <c r="U121" i="33"/>
  <c r="U136" i="33" s="1"/>
  <c r="U89" i="33"/>
  <c r="V167" i="33"/>
  <c r="V182" i="33" s="1"/>
  <c r="V98" i="33"/>
  <c r="V121" i="33"/>
  <c r="V136" i="33" s="1"/>
  <c r="X166" i="14"/>
  <c r="R182" i="14"/>
  <c r="X182" i="14" s="1"/>
  <c r="X150" i="20"/>
  <c r="X167" i="24"/>
  <c r="X103" i="37"/>
  <c r="X147" i="37"/>
  <c r="S143" i="14"/>
  <c r="S159" i="14" s="1"/>
  <c r="S113" i="14"/>
  <c r="S113" i="28"/>
  <c r="S143" i="28"/>
  <c r="S159" i="28" s="1"/>
  <c r="S125" i="37"/>
  <c r="S366" i="47"/>
  <c r="S370" i="47"/>
  <c r="S364" i="47"/>
  <c r="S368" i="47"/>
  <c r="S372" i="47"/>
  <c r="S371" i="47"/>
  <c r="S367" i="47"/>
  <c r="S362" i="47"/>
  <c r="S363" i="47"/>
  <c r="S369" i="47"/>
  <c r="S282" i="47"/>
  <c r="S279" i="47"/>
  <c r="S286" i="47"/>
  <c r="S365" i="47"/>
  <c r="S285" i="47"/>
  <c r="S276" i="47"/>
  <c r="S280" i="47"/>
  <c r="S187" i="47"/>
  <c r="K39" i="50" s="1"/>
  <c r="S278" i="47"/>
  <c r="S283" i="47"/>
  <c r="S284" i="47"/>
  <c r="S277" i="47"/>
  <c r="S281" i="47"/>
  <c r="T288" i="31"/>
  <c r="Q207" i="24"/>
  <c r="Q281" i="24"/>
  <c r="Q364" i="24"/>
  <c r="Q368" i="24"/>
  <c r="Q372" i="24"/>
  <c r="Q282" i="24"/>
  <c r="Q276" i="24"/>
  <c r="Q362" i="24"/>
  <c r="Q366" i="24"/>
  <c r="Q370" i="24"/>
  <c r="Q280" i="24"/>
  <c r="Q285" i="24"/>
  <c r="Q365" i="24"/>
  <c r="Q283" i="24"/>
  <c r="Q278" i="24"/>
  <c r="Q369" i="24"/>
  <c r="Q279" i="24"/>
  <c r="Q367" i="24"/>
  <c r="Q371" i="24"/>
  <c r="Q277" i="24"/>
  <c r="Q284" i="24"/>
  <c r="Q363" i="24"/>
  <c r="Q286" i="24"/>
  <c r="S101" i="30"/>
  <c r="S170" i="30"/>
  <c r="S124" i="30"/>
  <c r="R121" i="17"/>
  <c r="R167" i="17"/>
  <c r="X74" i="17"/>
  <c r="P191" i="12"/>
  <c r="P224" i="12"/>
  <c r="P168" i="12"/>
  <c r="P122" i="12"/>
  <c r="P99" i="12"/>
  <c r="V99" i="12"/>
  <c r="V168" i="12"/>
  <c r="V122" i="12"/>
  <c r="S99" i="30"/>
  <c r="S168" i="30"/>
  <c r="S122" i="30"/>
  <c r="V113" i="33"/>
  <c r="V143" i="33"/>
  <c r="Q207" i="28"/>
  <c r="Q363" i="28"/>
  <c r="Q367" i="28"/>
  <c r="Q371" i="28"/>
  <c r="Q276" i="28"/>
  <c r="Q285" i="28"/>
  <c r="Q280" i="28"/>
  <c r="Q365" i="28"/>
  <c r="Q369" i="28"/>
  <c r="Q281" i="28"/>
  <c r="Q283" i="28"/>
  <c r="Q284" i="28"/>
  <c r="Q364" i="28"/>
  <c r="Q372" i="28"/>
  <c r="Q282" i="28"/>
  <c r="Q368" i="28"/>
  <c r="Q279" i="28"/>
  <c r="Q362" i="28"/>
  <c r="Q278" i="28"/>
  <c r="Q366" i="28"/>
  <c r="Q277" i="28"/>
  <c r="Q370" i="28"/>
  <c r="Q286" i="28"/>
  <c r="P167" i="32"/>
  <c r="P98" i="32"/>
  <c r="P223" i="32"/>
  <c r="P121" i="32"/>
  <c r="P190" i="32"/>
  <c r="R167" i="32"/>
  <c r="R121" i="32"/>
  <c r="R98" i="32"/>
  <c r="X74" i="32"/>
  <c r="X76" i="17"/>
  <c r="R169" i="17"/>
  <c r="R123" i="17"/>
  <c r="X123" i="17" s="1"/>
  <c r="V129" i="20"/>
  <c r="R276" i="31"/>
  <c r="R278" i="31"/>
  <c r="R282" i="31"/>
  <c r="R281" i="31"/>
  <c r="R285" i="31"/>
  <c r="R187" i="31"/>
  <c r="J26" i="50" s="1"/>
  <c r="R279" i="31"/>
  <c r="R286" i="31"/>
  <c r="R368" i="31"/>
  <c r="R372" i="31"/>
  <c r="R277" i="31"/>
  <c r="R280" i="31"/>
  <c r="R362" i="31"/>
  <c r="R367" i="31"/>
  <c r="R371" i="31"/>
  <c r="R366" i="31"/>
  <c r="R283" i="31"/>
  <c r="R363" i="31"/>
  <c r="R370" i="31"/>
  <c r="R364" i="31"/>
  <c r="R369" i="31"/>
  <c r="R284" i="31"/>
  <c r="R365" i="31"/>
  <c r="X69" i="31"/>
  <c r="X187" i="31" s="1"/>
  <c r="X152" i="20"/>
  <c r="R187" i="43"/>
  <c r="J35" i="50" s="1"/>
  <c r="P35" i="50" s="1"/>
  <c r="R276" i="43"/>
  <c r="R277" i="43"/>
  <c r="R281" i="43"/>
  <c r="R285" i="43"/>
  <c r="R280" i="43"/>
  <c r="R284" i="43"/>
  <c r="R364" i="43"/>
  <c r="R282" i="43"/>
  <c r="R367" i="43"/>
  <c r="R371" i="43"/>
  <c r="R283" i="43"/>
  <c r="R286" i="43"/>
  <c r="R366" i="43"/>
  <c r="R370" i="43"/>
  <c r="R362" i="43"/>
  <c r="R365" i="43"/>
  <c r="R278" i="43"/>
  <c r="R369" i="43"/>
  <c r="R368" i="43"/>
  <c r="R372" i="43"/>
  <c r="R279" i="43"/>
  <c r="R363" i="43"/>
  <c r="X69" i="43"/>
  <c r="X187" i="43" s="1"/>
  <c r="S89" i="15"/>
  <c r="S120" i="15"/>
  <c r="S166" i="15"/>
  <c r="S97" i="15"/>
  <c r="R182" i="33"/>
  <c r="X166" i="33"/>
  <c r="S168" i="17"/>
  <c r="S122" i="17"/>
  <c r="V122" i="17"/>
  <c r="V168" i="17"/>
  <c r="S362" i="24"/>
  <c r="S363" i="24"/>
  <c r="S364" i="24"/>
  <c r="S368" i="24"/>
  <c r="S372" i="24"/>
  <c r="S366" i="24"/>
  <c r="S370" i="24"/>
  <c r="S369" i="24"/>
  <c r="S365" i="24"/>
  <c r="S367" i="24"/>
  <c r="S207" i="24"/>
  <c r="K21" i="50" s="1"/>
  <c r="S283" i="24"/>
  <c r="S285" i="24"/>
  <c r="S280" i="24"/>
  <c r="S282" i="24"/>
  <c r="S286" i="24"/>
  <c r="S278" i="24"/>
  <c r="S276" i="24"/>
  <c r="S277" i="24"/>
  <c r="S281" i="24"/>
  <c r="S371" i="24"/>
  <c r="S279" i="24"/>
  <c r="S284" i="24"/>
  <c r="S116" i="20"/>
  <c r="K27" i="111" s="1"/>
  <c r="T218" i="48"/>
  <c r="T192" i="48"/>
  <c r="L78" i="50" s="1"/>
  <c r="L115" i="50" s="1"/>
  <c r="T239" i="48"/>
  <c r="T113" i="29"/>
  <c r="T143" i="29"/>
  <c r="T159" i="29" s="1"/>
  <c r="S123" i="15"/>
  <c r="S100" i="15"/>
  <c r="S146" i="15" s="1"/>
  <c r="S169" i="15"/>
  <c r="R123" i="15"/>
  <c r="R169" i="15"/>
  <c r="X76" i="15"/>
  <c r="R100" i="15"/>
  <c r="P172" i="30"/>
  <c r="P103" i="30"/>
  <c r="P149" i="30" s="1"/>
  <c r="P228" i="30"/>
  <c r="P126" i="30"/>
  <c r="P195" i="30"/>
  <c r="Q172" i="30"/>
  <c r="Q126" i="30"/>
  <c r="Q103" i="30"/>
  <c r="Q124" i="20"/>
  <c r="Q187" i="48"/>
  <c r="Q283" i="48"/>
  <c r="Q304" i="48" s="1"/>
  <c r="Q393" i="48"/>
  <c r="Q282" i="48"/>
  <c r="Q303" i="48" s="1"/>
  <c r="Q363" i="48"/>
  <c r="Q280" i="48"/>
  <c r="Q301" i="48" s="1"/>
  <c r="Q281" i="48"/>
  <c r="Q302" i="48" s="1"/>
  <c r="Q278" i="48"/>
  <c r="Q299" i="48" s="1"/>
  <c r="Q390" i="48"/>
  <c r="Q364" i="48"/>
  <c r="Q362" i="48"/>
  <c r="Q369" i="48"/>
  <c r="Q365" i="48"/>
  <c r="Q285" i="48"/>
  <c r="Q306" i="48" s="1"/>
  <c r="Q371" i="48"/>
  <c r="Q284" i="48"/>
  <c r="Q305" i="48" s="1"/>
  <c r="Q394" i="48"/>
  <c r="Q277" i="48"/>
  <c r="Q298" i="48" s="1"/>
  <c r="Q279" i="48"/>
  <c r="Q300" i="48" s="1"/>
  <c r="Q368" i="48"/>
  <c r="Q372" i="48"/>
  <c r="Q388" i="48"/>
  <c r="Q391" i="48"/>
  <c r="Q367" i="48"/>
  <c r="Q276" i="48"/>
  <c r="Q286" i="48"/>
  <c r="Q307" i="48" s="1"/>
  <c r="Q366" i="48"/>
  <c r="Q370" i="48"/>
  <c r="Q389" i="48"/>
  <c r="Q392" i="48"/>
  <c r="V362" i="24"/>
  <c r="V364" i="24"/>
  <c r="V363" i="24"/>
  <c r="V367" i="24"/>
  <c r="V368" i="24"/>
  <c r="V372" i="24"/>
  <c r="V371" i="24"/>
  <c r="V207" i="24"/>
  <c r="N21" i="50" s="1"/>
  <c r="V369" i="24"/>
  <c r="V365" i="24"/>
  <c r="V366" i="24"/>
  <c r="V370" i="24"/>
  <c r="V279" i="24"/>
  <c r="V282" i="24"/>
  <c r="V284" i="24"/>
  <c r="V278" i="24"/>
  <c r="V286" i="24"/>
  <c r="V283" i="24"/>
  <c r="V281" i="24"/>
  <c r="V277" i="24"/>
  <c r="V285" i="24"/>
  <c r="V280" i="24"/>
  <c r="V276" i="24"/>
  <c r="U98" i="30"/>
  <c r="U167" i="30"/>
  <c r="U121" i="30"/>
  <c r="R121" i="30"/>
  <c r="R98" i="30"/>
  <c r="X74" i="30"/>
  <c r="R167" i="30"/>
  <c r="V162" i="20"/>
  <c r="N39" i="111" s="1"/>
  <c r="V363" i="20"/>
  <c r="V366" i="20"/>
  <c r="V365" i="20"/>
  <c r="V367" i="20"/>
  <c r="V371" i="20"/>
  <c r="V362" i="20"/>
  <c r="V370" i="20"/>
  <c r="V368" i="20"/>
  <c r="V187" i="20"/>
  <c r="V364" i="20"/>
  <c r="V369" i="20"/>
  <c r="V372" i="20"/>
  <c r="V286" i="20"/>
  <c r="V278" i="20"/>
  <c r="V281" i="20"/>
  <c r="V284" i="20"/>
  <c r="V279" i="20"/>
  <c r="V277" i="20"/>
  <c r="V280" i="20"/>
  <c r="V282" i="20"/>
  <c r="V285" i="20"/>
  <c r="V283" i="20"/>
  <c r="V276" i="20"/>
  <c r="S168" i="15"/>
  <c r="S99" i="15"/>
  <c r="S145" i="15" s="1"/>
  <c r="S122" i="15"/>
  <c r="V130" i="20"/>
  <c r="S97" i="41"/>
  <c r="S89" i="41"/>
  <c r="S166" i="41"/>
  <c r="S182" i="41" s="1"/>
  <c r="S120" i="41"/>
  <c r="S136" i="41" s="1"/>
  <c r="R123" i="20"/>
  <c r="R93" i="20"/>
  <c r="X77" i="20"/>
  <c r="R162" i="44"/>
  <c r="X162" i="44" s="1"/>
  <c r="X146" i="44"/>
  <c r="T123" i="30"/>
  <c r="T100" i="30"/>
  <c r="T169" i="30"/>
  <c r="R169" i="30"/>
  <c r="R100" i="30"/>
  <c r="R123" i="30"/>
  <c r="X76" i="30"/>
  <c r="V93" i="48"/>
  <c r="V123" i="48"/>
  <c r="X77" i="48"/>
  <c r="V185" i="48"/>
  <c r="X185" i="48" s="1"/>
  <c r="X188" i="48" s="1"/>
  <c r="X169" i="48"/>
  <c r="S145" i="24"/>
  <c r="X99" i="24"/>
  <c r="S362" i="35"/>
  <c r="S364" i="35"/>
  <c r="S365" i="35"/>
  <c r="S369" i="35"/>
  <c r="S367" i="35"/>
  <c r="S371" i="35"/>
  <c r="S366" i="35"/>
  <c r="S207" i="35"/>
  <c r="K30" i="50" s="1"/>
  <c r="S370" i="35"/>
  <c r="S368" i="35"/>
  <c r="S283" i="35"/>
  <c r="S278" i="35"/>
  <c r="S286" i="35"/>
  <c r="S282" i="35"/>
  <c r="S280" i="35"/>
  <c r="S363" i="35"/>
  <c r="S279" i="35"/>
  <c r="S285" i="35"/>
  <c r="S281" i="35"/>
  <c r="S277" i="35"/>
  <c r="S284" i="35"/>
  <c r="S372" i="35"/>
  <c r="S276" i="35"/>
  <c r="R136" i="24"/>
  <c r="X120" i="24"/>
  <c r="T288" i="37"/>
  <c r="Q143" i="29"/>
  <c r="Q159" i="29" s="1"/>
  <c r="Q113" i="29"/>
  <c r="Q89" i="12"/>
  <c r="Q166" i="12"/>
  <c r="Q120" i="12"/>
  <c r="Q97" i="12"/>
  <c r="S89" i="12"/>
  <c r="S97" i="12"/>
  <c r="S166" i="12"/>
  <c r="S120" i="12"/>
  <c r="U89" i="25"/>
  <c r="U97" i="25"/>
  <c r="U166" i="25"/>
  <c r="U182" i="25" s="1"/>
  <c r="U120" i="25"/>
  <c r="U136" i="25" s="1"/>
  <c r="Q89" i="25"/>
  <c r="Q97" i="25"/>
  <c r="Q166" i="25"/>
  <c r="Q182" i="25" s="1"/>
  <c r="Q120" i="25"/>
  <c r="Q136" i="25" s="1"/>
  <c r="S99" i="32"/>
  <c r="S168" i="32"/>
  <c r="S122" i="32"/>
  <c r="V122" i="32"/>
  <c r="V168" i="32"/>
  <c r="V99" i="32"/>
  <c r="T89" i="32"/>
  <c r="T166" i="32"/>
  <c r="T120" i="32"/>
  <c r="T97" i="32"/>
  <c r="Q89" i="32"/>
  <c r="Q166" i="32"/>
  <c r="Q120" i="32"/>
  <c r="Q97" i="32"/>
  <c r="Q126" i="20"/>
  <c r="V145" i="24"/>
  <c r="S365" i="45"/>
  <c r="S362" i="45"/>
  <c r="S366" i="45"/>
  <c r="S370" i="45"/>
  <c r="S363" i="45"/>
  <c r="S368" i="45"/>
  <c r="S372" i="45"/>
  <c r="S367" i="45"/>
  <c r="S364" i="45"/>
  <c r="S371" i="45"/>
  <c r="S369" i="45"/>
  <c r="S276" i="45"/>
  <c r="S277" i="45"/>
  <c r="S187" i="45"/>
  <c r="K37" i="50" s="1"/>
  <c r="S280" i="45"/>
  <c r="S286" i="45"/>
  <c r="S285" i="45"/>
  <c r="S278" i="45"/>
  <c r="S282" i="45"/>
  <c r="S279" i="45"/>
  <c r="S281" i="45"/>
  <c r="S284" i="45"/>
  <c r="S283" i="45"/>
  <c r="S89" i="40"/>
  <c r="S120" i="40"/>
  <c r="S136" i="40" s="1"/>
  <c r="S97" i="40"/>
  <c r="S166" i="40"/>
  <c r="S182" i="40" s="1"/>
  <c r="V143" i="6"/>
  <c r="V159" i="6" s="1"/>
  <c r="V113" i="6"/>
  <c r="U125" i="30"/>
  <c r="U102" i="30"/>
  <c r="U171" i="30"/>
  <c r="R125" i="30"/>
  <c r="X125" i="30" s="1"/>
  <c r="R102" i="30"/>
  <c r="X78" i="30"/>
  <c r="R171" i="30"/>
  <c r="U123" i="12"/>
  <c r="U169" i="12"/>
  <c r="U100" i="12"/>
  <c r="S100" i="12"/>
  <c r="S146" i="12" s="1"/>
  <c r="S169" i="12"/>
  <c r="S123" i="12"/>
  <c r="X166" i="6"/>
  <c r="R182" i="6"/>
  <c r="X182" i="6" s="1"/>
  <c r="R125" i="20"/>
  <c r="X125" i="20" s="1"/>
  <c r="X79" i="20"/>
  <c r="X102" i="20"/>
  <c r="R162" i="37"/>
  <c r="X146" i="37"/>
  <c r="R187" i="37"/>
  <c r="J31" i="50" s="1"/>
  <c r="R279" i="37"/>
  <c r="R283" i="37"/>
  <c r="R278" i="37"/>
  <c r="R282" i="37"/>
  <c r="R286" i="37"/>
  <c r="R362" i="37"/>
  <c r="R280" i="37"/>
  <c r="R365" i="37"/>
  <c r="R369" i="37"/>
  <c r="R281" i="37"/>
  <c r="R368" i="37"/>
  <c r="R372" i="37"/>
  <c r="R363" i="37"/>
  <c r="R371" i="37"/>
  <c r="R284" i="37"/>
  <c r="R367" i="37"/>
  <c r="R277" i="37"/>
  <c r="R366" i="37"/>
  <c r="R285" i="37"/>
  <c r="R370" i="37"/>
  <c r="R276" i="37"/>
  <c r="R364" i="37"/>
  <c r="X69" i="37"/>
  <c r="X187" i="37" s="1"/>
  <c r="X101" i="24"/>
  <c r="S147" i="24"/>
  <c r="X147" i="24" s="1"/>
  <c r="S116" i="37"/>
  <c r="S127" i="20"/>
  <c r="R113" i="29"/>
  <c r="R143" i="29"/>
  <c r="X97" i="29"/>
  <c r="R277" i="29"/>
  <c r="R280" i="29"/>
  <c r="R284" i="29"/>
  <c r="R207" i="29"/>
  <c r="J24" i="50" s="1"/>
  <c r="R276" i="29"/>
  <c r="R279" i="29"/>
  <c r="R283" i="29"/>
  <c r="R363" i="29"/>
  <c r="R285" i="29"/>
  <c r="R366" i="29"/>
  <c r="R370" i="29"/>
  <c r="R278" i="29"/>
  <c r="R365" i="29"/>
  <c r="R369" i="29"/>
  <c r="R281" i="29"/>
  <c r="R372" i="29"/>
  <c r="R286" i="29"/>
  <c r="R364" i="29"/>
  <c r="R368" i="29"/>
  <c r="R282" i="29"/>
  <c r="R367" i="29"/>
  <c r="R362" i="29"/>
  <c r="R371" i="29"/>
  <c r="X89" i="29"/>
  <c r="X207" i="29" s="1"/>
  <c r="T121" i="15"/>
  <c r="T167" i="15"/>
  <c r="T98" i="15"/>
  <c r="R89" i="30"/>
  <c r="R120" i="30"/>
  <c r="R97" i="30"/>
  <c r="X73" i="30"/>
  <c r="R166" i="30"/>
  <c r="S89" i="30"/>
  <c r="S120" i="30"/>
  <c r="S97" i="30"/>
  <c r="S166" i="30"/>
  <c r="Q207" i="34"/>
  <c r="Q285" i="34"/>
  <c r="Q280" i="34"/>
  <c r="Q282" i="34"/>
  <c r="Q281" i="34"/>
  <c r="Q276" i="34"/>
  <c r="Q286" i="34"/>
  <c r="Q362" i="34"/>
  <c r="Q364" i="34"/>
  <c r="Q365" i="34"/>
  <c r="Q284" i="34"/>
  <c r="Q283" i="34"/>
  <c r="Q368" i="34"/>
  <c r="Q369" i="34"/>
  <c r="Q372" i="34"/>
  <c r="Q277" i="34"/>
  <c r="Q367" i="34"/>
  <c r="Q278" i="34"/>
  <c r="Q366" i="34"/>
  <c r="Q279" i="34"/>
  <c r="Q371" i="34"/>
  <c r="Q363" i="34"/>
  <c r="Q370" i="34"/>
  <c r="Q143" i="35"/>
  <c r="Q159" i="35" s="1"/>
  <c r="Q113" i="35"/>
  <c r="Q207" i="35"/>
  <c r="Q365" i="35"/>
  <c r="Q369" i="35"/>
  <c r="Q282" i="35"/>
  <c r="Q284" i="35"/>
  <c r="Q277" i="35"/>
  <c r="Q363" i="35"/>
  <c r="Q367" i="35"/>
  <c r="Q371" i="35"/>
  <c r="Q283" i="35"/>
  <c r="Q281" i="35"/>
  <c r="Q285" i="35"/>
  <c r="Q366" i="35"/>
  <c r="Q276" i="35"/>
  <c r="Q280" i="35"/>
  <c r="Q362" i="35"/>
  <c r="Q370" i="35"/>
  <c r="Q278" i="35"/>
  <c r="Q364" i="35"/>
  <c r="Q286" i="35"/>
  <c r="Q368" i="35"/>
  <c r="Q372" i="35"/>
  <c r="Q279" i="35"/>
  <c r="T121" i="12"/>
  <c r="T98" i="12"/>
  <c r="T167" i="12"/>
  <c r="Q98" i="12"/>
  <c r="Q167" i="12"/>
  <c r="Q121" i="12"/>
  <c r="V365" i="37"/>
  <c r="V363" i="37"/>
  <c r="V370" i="37"/>
  <c r="V369" i="37"/>
  <c r="V187" i="37"/>
  <c r="N31" i="50" s="1"/>
  <c r="V371" i="37"/>
  <c r="V362" i="37"/>
  <c r="V366" i="37"/>
  <c r="V368" i="37"/>
  <c r="V364" i="37"/>
  <c r="V367" i="37"/>
  <c r="V372" i="37"/>
  <c r="V279" i="37"/>
  <c r="V277" i="37"/>
  <c r="V284" i="37"/>
  <c r="V282" i="37"/>
  <c r="V285" i="37"/>
  <c r="V283" i="37"/>
  <c r="V286" i="37"/>
  <c r="V281" i="37"/>
  <c r="V278" i="37"/>
  <c r="V276" i="37"/>
  <c r="V280" i="37"/>
  <c r="P127" i="30"/>
  <c r="P196" i="30"/>
  <c r="P104" i="30"/>
  <c r="P150" i="30" s="1"/>
  <c r="P229" i="30"/>
  <c r="P173" i="30"/>
  <c r="T89" i="17"/>
  <c r="T120" i="17"/>
  <c r="T166" i="17"/>
  <c r="V123" i="44"/>
  <c r="V139" i="44" s="1"/>
  <c r="V93" i="44"/>
  <c r="T121" i="33"/>
  <c r="T136" i="33" s="1"/>
  <c r="T98" i="33"/>
  <c r="T167" i="33"/>
  <c r="T182" i="33" s="1"/>
  <c r="T89" i="33"/>
  <c r="Q167" i="33"/>
  <c r="Q182" i="33" s="1"/>
  <c r="Q98" i="33"/>
  <c r="Q113" i="33" s="1"/>
  <c r="Q121" i="33"/>
  <c r="Q136" i="33" s="1"/>
  <c r="R136" i="14"/>
  <c r="X136" i="14" s="1"/>
  <c r="X120" i="14"/>
  <c r="R126" i="37"/>
  <c r="X80" i="37"/>
  <c r="X78" i="37"/>
  <c r="R124" i="37"/>
  <c r="R182" i="28"/>
  <c r="X182" i="28" s="1"/>
  <c r="X166" i="28"/>
  <c r="S362" i="14"/>
  <c r="S364" i="14"/>
  <c r="S363" i="14"/>
  <c r="S369" i="14"/>
  <c r="S367" i="14"/>
  <c r="S371" i="14"/>
  <c r="S365" i="14"/>
  <c r="S370" i="14"/>
  <c r="S207" i="14"/>
  <c r="K17" i="50" s="1"/>
  <c r="S366" i="14"/>
  <c r="S372" i="14"/>
  <c r="S279" i="14"/>
  <c r="S285" i="14"/>
  <c r="S284" i="14"/>
  <c r="S278" i="14"/>
  <c r="S282" i="14"/>
  <c r="S276" i="14"/>
  <c r="S277" i="14"/>
  <c r="S283" i="14"/>
  <c r="S281" i="14"/>
  <c r="S368" i="14"/>
  <c r="S280" i="14"/>
  <c r="S286" i="14"/>
  <c r="S362" i="28"/>
  <c r="S365" i="28"/>
  <c r="S363" i="28"/>
  <c r="S366" i="28"/>
  <c r="S370" i="28"/>
  <c r="S368" i="28"/>
  <c r="S372" i="28"/>
  <c r="S367" i="28"/>
  <c r="S371" i="28"/>
  <c r="S364" i="28"/>
  <c r="S369" i="28"/>
  <c r="S207" i="28"/>
  <c r="K23" i="50" s="1"/>
  <c r="S285" i="28"/>
  <c r="S278" i="28"/>
  <c r="S284" i="28"/>
  <c r="S279" i="28"/>
  <c r="S281" i="28"/>
  <c r="S283" i="28"/>
  <c r="S282" i="28"/>
  <c r="S276" i="28"/>
  <c r="S280" i="28"/>
  <c r="S286" i="28"/>
  <c r="S277" i="28"/>
  <c r="R218" i="48"/>
  <c r="R192" i="48"/>
  <c r="J78" i="50" s="1"/>
  <c r="R239" i="48"/>
  <c r="Q136" i="24"/>
  <c r="U101" i="30"/>
  <c r="U147" i="30" s="1"/>
  <c r="U170" i="30"/>
  <c r="U124" i="30"/>
  <c r="R124" i="30"/>
  <c r="R170" i="30"/>
  <c r="X170" i="30" s="1"/>
  <c r="R101" i="30"/>
  <c r="X77" i="30"/>
  <c r="Q187" i="38"/>
  <c r="Q280" i="38"/>
  <c r="Q278" i="38"/>
  <c r="Q282" i="38"/>
  <c r="Q285" i="38"/>
  <c r="Q283" i="38"/>
  <c r="Q365" i="38"/>
  <c r="Q372" i="38"/>
  <c r="Q370" i="38"/>
  <c r="Q286" i="38"/>
  <c r="Q284" i="38"/>
  <c r="Q362" i="38"/>
  <c r="Q369" i="38"/>
  <c r="Q366" i="38"/>
  <c r="Q276" i="38"/>
  <c r="Q279" i="38"/>
  <c r="Q371" i="38"/>
  <c r="Q277" i="38"/>
  <c r="Q363" i="38"/>
  <c r="Q368" i="38"/>
  <c r="Q281" i="38"/>
  <c r="Q367" i="38"/>
  <c r="Q364" i="38"/>
  <c r="P167" i="17"/>
  <c r="P121" i="17"/>
  <c r="P190" i="17"/>
  <c r="P223" i="17"/>
  <c r="P144" i="17"/>
  <c r="V167" i="17"/>
  <c r="V121" i="17"/>
  <c r="T99" i="12"/>
  <c r="T168" i="12"/>
  <c r="T122" i="12"/>
  <c r="U122" i="30"/>
  <c r="U168" i="30"/>
  <c r="U99" i="30"/>
  <c r="R168" i="30"/>
  <c r="X75" i="30"/>
  <c r="R122" i="30"/>
  <c r="R99" i="30"/>
  <c r="Q187" i="47"/>
  <c r="Q285" i="47"/>
  <c r="Q367" i="47"/>
  <c r="Q280" i="47"/>
  <c r="Q283" i="47"/>
  <c r="Q364" i="47"/>
  <c r="Q286" i="47"/>
  <c r="Q372" i="47"/>
  <c r="Q279" i="47"/>
  <c r="Q368" i="47"/>
  <c r="Q365" i="47"/>
  <c r="Q281" i="47"/>
  <c r="Q363" i="47"/>
  <c r="Q371" i="47"/>
  <c r="Q277" i="47"/>
  <c r="Q369" i="47"/>
  <c r="Q284" i="47"/>
  <c r="Q282" i="47"/>
  <c r="Q370" i="47"/>
  <c r="Q278" i="47"/>
  <c r="Q362" i="47"/>
  <c r="Q366" i="47"/>
  <c r="Q276" i="47"/>
  <c r="U121" i="32"/>
  <c r="U98" i="32"/>
  <c r="U144" i="32" s="1"/>
  <c r="U167" i="32"/>
  <c r="Q121" i="32"/>
  <c r="Q98" i="32"/>
  <c r="Q167" i="32"/>
  <c r="P169" i="17"/>
  <c r="P192" i="17"/>
  <c r="P146" i="17"/>
  <c r="P123" i="17"/>
  <c r="P225" i="17"/>
  <c r="V123" i="17"/>
  <c r="V169" i="17"/>
  <c r="V362" i="47"/>
  <c r="V365" i="47"/>
  <c r="V370" i="47"/>
  <c r="V364" i="47"/>
  <c r="V366" i="47"/>
  <c r="V369" i="47"/>
  <c r="V187" i="47"/>
  <c r="N39" i="50" s="1"/>
  <c r="V367" i="47"/>
  <c r="V363" i="47"/>
  <c r="V372" i="47"/>
  <c r="V368" i="47"/>
  <c r="V371" i="47"/>
  <c r="V285" i="47"/>
  <c r="V280" i="47"/>
  <c r="V277" i="47"/>
  <c r="V283" i="47"/>
  <c r="V278" i="47"/>
  <c r="V276" i="47"/>
  <c r="V281" i="47"/>
  <c r="V284" i="47"/>
  <c r="V282" i="47"/>
  <c r="V279" i="47"/>
  <c r="V286" i="47"/>
  <c r="V113" i="34"/>
  <c r="V143" i="34"/>
  <c r="V159" i="34" s="1"/>
  <c r="R123" i="31"/>
  <c r="X77" i="31"/>
  <c r="R93" i="31"/>
  <c r="R207" i="34"/>
  <c r="J29" i="50" s="1"/>
  <c r="R277" i="34"/>
  <c r="R281" i="34"/>
  <c r="R285" i="34"/>
  <c r="R276" i="34"/>
  <c r="R280" i="34"/>
  <c r="R284" i="34"/>
  <c r="R364" i="34"/>
  <c r="R278" i="34"/>
  <c r="R363" i="34"/>
  <c r="R367" i="34"/>
  <c r="R371" i="34"/>
  <c r="R279" i="34"/>
  <c r="R366" i="34"/>
  <c r="R370" i="34"/>
  <c r="R282" i="34"/>
  <c r="R286" i="34"/>
  <c r="R369" i="34"/>
  <c r="R365" i="34"/>
  <c r="R283" i="34"/>
  <c r="R362" i="34"/>
  <c r="R372" i="34"/>
  <c r="R368" i="34"/>
  <c r="X89" i="34"/>
  <c r="X207" i="34" s="1"/>
  <c r="R93" i="43"/>
  <c r="X77" i="43"/>
  <c r="R123" i="43"/>
  <c r="U89" i="15"/>
  <c r="U166" i="15"/>
  <c r="U97" i="15"/>
  <c r="U120" i="15"/>
  <c r="R89" i="15"/>
  <c r="R120" i="15"/>
  <c r="X73" i="15"/>
  <c r="R166" i="15"/>
  <c r="R97" i="15"/>
  <c r="R124" i="20"/>
  <c r="X124" i="20" s="1"/>
  <c r="X78" i="20"/>
  <c r="X120" i="33"/>
  <c r="P191" i="17"/>
  <c r="P224" i="17"/>
  <c r="P122" i="17"/>
  <c r="P168" i="17"/>
  <c r="Q89" i="17"/>
  <c r="Q122" i="17"/>
  <c r="Q136" i="17" s="1"/>
  <c r="Q168" i="17"/>
  <c r="Q182" i="17" s="1"/>
  <c r="S362" i="34"/>
  <c r="S363" i="34"/>
  <c r="S368" i="34"/>
  <c r="S372" i="34"/>
  <c r="S364" i="34"/>
  <c r="S366" i="34"/>
  <c r="S370" i="34"/>
  <c r="S365" i="34"/>
  <c r="S369" i="34"/>
  <c r="S207" i="34"/>
  <c r="K29" i="50" s="1"/>
  <c r="S367" i="34"/>
  <c r="S285" i="34"/>
  <c r="S282" i="34"/>
  <c r="S277" i="34"/>
  <c r="S371" i="34"/>
  <c r="S279" i="34"/>
  <c r="S276" i="34"/>
  <c r="S286" i="34"/>
  <c r="S281" i="34"/>
  <c r="S284" i="34"/>
  <c r="S283" i="34"/>
  <c r="S280" i="34"/>
  <c r="S278" i="34"/>
  <c r="S93" i="20"/>
  <c r="K15" i="111" s="1"/>
  <c r="S123" i="20"/>
  <c r="V113" i="29"/>
  <c r="V143" i="29"/>
  <c r="V159" i="29" s="1"/>
  <c r="Q187" i="31"/>
  <c r="Q279" i="31"/>
  <c r="Q372" i="31"/>
  <c r="Q366" i="31"/>
  <c r="Q278" i="31"/>
  <c r="Q286" i="31"/>
  <c r="Q369" i="31"/>
  <c r="Q280" i="31"/>
  <c r="Q362" i="31"/>
  <c r="Q282" i="31"/>
  <c r="Q364" i="31"/>
  <c r="Q285" i="31"/>
  <c r="Q365" i="31"/>
  <c r="Q368" i="31"/>
  <c r="Q284" i="31"/>
  <c r="Q367" i="31"/>
  <c r="Q370" i="31"/>
  <c r="Q371" i="31"/>
  <c r="Q276" i="31"/>
  <c r="Q277" i="31"/>
  <c r="Q363" i="31"/>
  <c r="Q281" i="31"/>
  <c r="Q283" i="31"/>
  <c r="Q162" i="20"/>
  <c r="I39" i="111" s="1"/>
  <c r="U123" i="15"/>
  <c r="U100" i="15"/>
  <c r="U146" i="15" s="1"/>
  <c r="U169" i="15"/>
  <c r="V123" i="15"/>
  <c r="V100" i="15"/>
  <c r="V169" i="15"/>
  <c r="T126" i="30"/>
  <c r="T103" i="30"/>
  <c r="T172" i="30"/>
  <c r="V126" i="30"/>
  <c r="V172" i="30"/>
  <c r="V103" i="30"/>
  <c r="S121" i="30"/>
  <c r="S98" i="30"/>
  <c r="S144" i="30" s="1"/>
  <c r="S167" i="30"/>
  <c r="V121" i="30"/>
  <c r="V167" i="30"/>
  <c r="V98" i="30"/>
  <c r="V144" i="30" s="1"/>
  <c r="U168" i="15"/>
  <c r="U99" i="15"/>
  <c r="U145" i="15" s="1"/>
  <c r="U122" i="15"/>
  <c r="R168" i="15"/>
  <c r="X75" i="15"/>
  <c r="R99" i="15"/>
  <c r="R122" i="15"/>
  <c r="V89" i="41"/>
  <c r="V97" i="41"/>
  <c r="V120" i="41"/>
  <c r="V136" i="41" s="1"/>
  <c r="V166" i="41"/>
  <c r="V182" i="41" s="1"/>
  <c r="R187" i="20"/>
  <c r="R277" i="20"/>
  <c r="R281" i="20"/>
  <c r="R285" i="20"/>
  <c r="R280" i="20"/>
  <c r="R284" i="20"/>
  <c r="R363" i="20"/>
  <c r="R278" i="20"/>
  <c r="R286" i="20"/>
  <c r="R362" i="20"/>
  <c r="R366" i="20"/>
  <c r="R370" i="20"/>
  <c r="R279" i="20"/>
  <c r="R365" i="20"/>
  <c r="R369" i="20"/>
  <c r="R368" i="20"/>
  <c r="R276" i="20"/>
  <c r="R282" i="20"/>
  <c r="R372" i="20"/>
  <c r="R364" i="20"/>
  <c r="R371" i="20"/>
  <c r="R367" i="20"/>
  <c r="R283" i="20"/>
  <c r="X69" i="20"/>
  <c r="X187" i="20" s="1"/>
  <c r="R136" i="35"/>
  <c r="X136" i="35" s="1"/>
  <c r="X120" i="35"/>
  <c r="U100" i="30"/>
  <c r="U146" i="30" s="1"/>
  <c r="U169" i="30"/>
  <c r="U123" i="30"/>
  <c r="V123" i="30"/>
  <c r="V169" i="30"/>
  <c r="V100" i="30"/>
  <c r="V364" i="48"/>
  <c r="V363" i="48"/>
  <c r="V368" i="48"/>
  <c r="V372" i="48"/>
  <c r="V365" i="48"/>
  <c r="V367" i="48"/>
  <c r="V371" i="48"/>
  <c r="V187" i="48"/>
  <c r="V362" i="48"/>
  <c r="V369" i="48"/>
  <c r="V370" i="48"/>
  <c r="V366" i="48"/>
  <c r="V283" i="48"/>
  <c r="V304" i="48" s="1"/>
  <c r="V278" i="48"/>
  <c r="V299" i="48" s="1"/>
  <c r="V281" i="48"/>
  <c r="V302" i="48" s="1"/>
  <c r="V389" i="48"/>
  <c r="X69" i="48"/>
  <c r="X187" i="48" s="1"/>
  <c r="V394" i="48"/>
  <c r="V392" i="48"/>
  <c r="V388" i="48"/>
  <c r="V282" i="48"/>
  <c r="V303" i="48" s="1"/>
  <c r="V276" i="48"/>
  <c r="V284" i="48"/>
  <c r="V305" i="48" s="1"/>
  <c r="V393" i="48"/>
  <c r="V279" i="48"/>
  <c r="V300" i="48" s="1"/>
  <c r="V285" i="48"/>
  <c r="V306" i="48" s="1"/>
  <c r="V280" i="48"/>
  <c r="V301" i="48" s="1"/>
  <c r="V277" i="48"/>
  <c r="V298" i="48" s="1"/>
  <c r="V286" i="48"/>
  <c r="V307" i="48" s="1"/>
  <c r="V391" i="48"/>
  <c r="V390" i="48"/>
  <c r="X81" i="37"/>
  <c r="R127" i="37"/>
  <c r="X127" i="37" s="1"/>
  <c r="S363" i="43"/>
  <c r="S368" i="43"/>
  <c r="S372" i="43"/>
  <c r="S366" i="43"/>
  <c r="S370" i="43"/>
  <c r="S362" i="43"/>
  <c r="S369" i="43"/>
  <c r="S365" i="43"/>
  <c r="S364" i="43"/>
  <c r="S371" i="43"/>
  <c r="S187" i="43"/>
  <c r="K35" i="50" s="1"/>
  <c r="S282" i="43"/>
  <c r="S283" i="43"/>
  <c r="S281" i="43"/>
  <c r="S286" i="43"/>
  <c r="S285" i="43"/>
  <c r="S277" i="43"/>
  <c r="S280" i="43"/>
  <c r="S276" i="43"/>
  <c r="S279" i="43"/>
  <c r="S278" i="43"/>
  <c r="S367" i="43"/>
  <c r="S284" i="43"/>
  <c r="R182" i="24"/>
  <c r="X166" i="24"/>
  <c r="S243" i="48"/>
  <c r="P97" i="12"/>
  <c r="P89" i="12"/>
  <c r="P166" i="12"/>
  <c r="P189" i="12"/>
  <c r="P120" i="12"/>
  <c r="P222" i="12"/>
  <c r="T89" i="12"/>
  <c r="T120" i="12"/>
  <c r="T166" i="12"/>
  <c r="T97" i="12"/>
  <c r="R89" i="25"/>
  <c r="R120" i="25"/>
  <c r="X73" i="25"/>
  <c r="R166" i="25"/>
  <c r="R97" i="25"/>
  <c r="V89" i="25"/>
  <c r="V166" i="25"/>
  <c r="V182" i="25" s="1"/>
  <c r="V120" i="25"/>
  <c r="V136" i="25" s="1"/>
  <c r="V97" i="25"/>
  <c r="T122" i="32"/>
  <c r="T168" i="32"/>
  <c r="T99" i="32"/>
  <c r="T145" i="32" s="1"/>
  <c r="R162" i="45"/>
  <c r="X162" i="45" s="1"/>
  <c r="X146" i="45"/>
  <c r="P189" i="32"/>
  <c r="P97" i="32"/>
  <c r="P222" i="32"/>
  <c r="P89" i="32"/>
  <c r="P166" i="32"/>
  <c r="P120" i="32"/>
  <c r="P136" i="32" s="1"/>
  <c r="V89" i="32"/>
  <c r="V97" i="32"/>
  <c r="V166" i="32"/>
  <c r="V120" i="32"/>
  <c r="U120" i="40"/>
  <c r="U136" i="40" s="1"/>
  <c r="U166" i="40"/>
  <c r="U182" i="40" s="1"/>
  <c r="U89" i="40"/>
  <c r="U97" i="40"/>
  <c r="R120" i="40"/>
  <c r="R97" i="40"/>
  <c r="R166" i="40"/>
  <c r="R89" i="40"/>
  <c r="X73" i="40"/>
  <c r="P125" i="30"/>
  <c r="P102" i="30"/>
  <c r="P148" i="30" s="1"/>
  <c r="P227" i="30"/>
  <c r="P194" i="30"/>
  <c r="P171" i="30"/>
  <c r="V125" i="30"/>
  <c r="V171" i="30"/>
  <c r="V102" i="30"/>
  <c r="V169" i="12"/>
  <c r="V100" i="12"/>
  <c r="V123" i="12"/>
  <c r="Q123" i="12"/>
  <c r="Q100" i="12"/>
  <c r="Q169" i="12"/>
  <c r="R143" i="6"/>
  <c r="R113" i="6"/>
  <c r="X97" i="6"/>
  <c r="R93" i="47"/>
  <c r="R123" i="47"/>
  <c r="X77" i="47"/>
  <c r="R280" i="47"/>
  <c r="R284" i="47"/>
  <c r="R279" i="47"/>
  <c r="R283" i="47"/>
  <c r="R362" i="47"/>
  <c r="R281" i="47"/>
  <c r="R365" i="47"/>
  <c r="R369" i="47"/>
  <c r="R276" i="47"/>
  <c r="R288" i="47" s="1"/>
  <c r="R282" i="47"/>
  <c r="R363" i="47"/>
  <c r="R368" i="47"/>
  <c r="R372" i="47"/>
  <c r="R277" i="47"/>
  <c r="R367" i="47"/>
  <c r="R285" i="47"/>
  <c r="R364" i="47"/>
  <c r="R371" i="47"/>
  <c r="R278" i="47"/>
  <c r="R286" i="47"/>
  <c r="R370" i="47"/>
  <c r="R187" i="47"/>
  <c r="J39" i="50" s="1"/>
  <c r="R366" i="47"/>
  <c r="X69" i="47"/>
  <c r="X187" i="47" s="1"/>
  <c r="X169" i="24"/>
  <c r="R93" i="38"/>
  <c r="R127" i="38"/>
  <c r="X81" i="38"/>
  <c r="R130" i="20"/>
  <c r="X130" i="20" s="1"/>
  <c r="X84" i="20"/>
  <c r="X107" i="20"/>
  <c r="S362" i="37"/>
  <c r="S366" i="37"/>
  <c r="S370" i="37"/>
  <c r="S363" i="37"/>
  <c r="S368" i="37"/>
  <c r="S372" i="37"/>
  <c r="S364" i="37"/>
  <c r="S367" i="37"/>
  <c r="S371" i="37"/>
  <c r="S365" i="37"/>
  <c r="S369" i="37"/>
  <c r="S277" i="37"/>
  <c r="S285" i="37"/>
  <c r="S187" i="37"/>
  <c r="K31" i="50" s="1"/>
  <c r="S283" i="37"/>
  <c r="S281" i="37"/>
  <c r="S279" i="37"/>
  <c r="S280" i="37"/>
  <c r="S278" i="37"/>
  <c r="S282" i="37"/>
  <c r="S284" i="37"/>
  <c r="S286" i="37"/>
  <c r="S276" i="37"/>
  <c r="S93" i="44"/>
  <c r="S123" i="44"/>
  <c r="S139" i="44" s="1"/>
  <c r="R136" i="29"/>
  <c r="X136" i="29" s="1"/>
  <c r="X120" i="29"/>
  <c r="P98" i="15"/>
  <c r="P144" i="15" s="1"/>
  <c r="P223" i="15"/>
  <c r="P190" i="15"/>
  <c r="P121" i="15"/>
  <c r="P167" i="15"/>
  <c r="R98" i="15"/>
  <c r="R167" i="15"/>
  <c r="R121" i="15"/>
  <c r="X74" i="15"/>
  <c r="U89" i="30"/>
  <c r="U120" i="30"/>
  <c r="U97" i="30"/>
  <c r="U166" i="30"/>
  <c r="U182" i="30" s="1"/>
  <c r="Q89" i="30"/>
  <c r="Q97" i="30"/>
  <c r="Q120" i="30"/>
  <c r="Q166" i="30"/>
  <c r="V362" i="45"/>
  <c r="V363" i="45"/>
  <c r="V366" i="45"/>
  <c r="V364" i="45"/>
  <c r="V367" i="45"/>
  <c r="V371" i="45"/>
  <c r="V370" i="45"/>
  <c r="V365" i="45"/>
  <c r="V372" i="45"/>
  <c r="V187" i="45"/>
  <c r="N37" i="50" s="1"/>
  <c r="V369" i="45"/>
  <c r="V368" i="45"/>
  <c r="V276" i="45"/>
  <c r="V285" i="45"/>
  <c r="V278" i="45"/>
  <c r="V282" i="45"/>
  <c r="V281" i="45"/>
  <c r="V286" i="45"/>
  <c r="V284" i="45"/>
  <c r="V279" i="45"/>
  <c r="V277" i="45"/>
  <c r="V283" i="45"/>
  <c r="V280" i="45"/>
  <c r="V362" i="28"/>
  <c r="V365" i="28"/>
  <c r="V363" i="28"/>
  <c r="V366" i="28"/>
  <c r="V370" i="28"/>
  <c r="V367" i="28"/>
  <c r="V369" i="28"/>
  <c r="V207" i="28"/>
  <c r="N23" i="50" s="1"/>
  <c r="V364" i="28"/>
  <c r="V371" i="28"/>
  <c r="V368" i="28"/>
  <c r="V372" i="28"/>
  <c r="V284" i="28"/>
  <c r="V281" i="28"/>
  <c r="V285" i="28"/>
  <c r="V286" i="28"/>
  <c r="V279" i="28"/>
  <c r="V277" i="28"/>
  <c r="V278" i="28"/>
  <c r="V276" i="28"/>
  <c r="V283" i="28"/>
  <c r="V282" i="28"/>
  <c r="V280" i="28"/>
  <c r="V362" i="31"/>
  <c r="V364" i="31"/>
  <c r="V369" i="31"/>
  <c r="V363" i="31"/>
  <c r="V365" i="31"/>
  <c r="V368" i="31"/>
  <c r="V372" i="31"/>
  <c r="V367" i="31"/>
  <c r="V371" i="31"/>
  <c r="V366" i="31"/>
  <c r="V370" i="31"/>
  <c r="V187" i="31"/>
  <c r="N26" i="50" s="1"/>
  <c r="V276" i="31"/>
  <c r="V285" i="31"/>
  <c r="V279" i="31"/>
  <c r="V283" i="31"/>
  <c r="V284" i="31"/>
  <c r="V277" i="31"/>
  <c r="V280" i="31"/>
  <c r="V286" i="31"/>
  <c r="V281" i="31"/>
  <c r="V278" i="31"/>
  <c r="V282" i="31"/>
  <c r="S121" i="12"/>
  <c r="S98" i="12"/>
  <c r="S167" i="12"/>
  <c r="V116" i="37"/>
  <c r="U127" i="30"/>
  <c r="U173" i="30"/>
  <c r="U104" i="30"/>
  <c r="R173" i="30"/>
  <c r="R104" i="30"/>
  <c r="X80" i="30"/>
  <c r="R127" i="30"/>
  <c r="U89" i="17"/>
  <c r="U166" i="17"/>
  <c r="U182" i="17" s="1"/>
  <c r="U120" i="17"/>
  <c r="R89" i="17"/>
  <c r="R166" i="17"/>
  <c r="R120" i="17"/>
  <c r="X73" i="17"/>
  <c r="Q89" i="33"/>
  <c r="S89" i="33"/>
  <c r="S98" i="33"/>
  <c r="S121" i="33"/>
  <c r="S136" i="33" s="1"/>
  <c r="S167" i="33"/>
  <c r="S182" i="33" s="1"/>
  <c r="R276" i="14"/>
  <c r="R277" i="14"/>
  <c r="R278" i="14"/>
  <c r="R282" i="14"/>
  <c r="R286" i="14"/>
  <c r="R207" i="14"/>
  <c r="J17" i="50" s="1"/>
  <c r="R281" i="14"/>
  <c r="R285" i="14"/>
  <c r="R279" i="14"/>
  <c r="R363" i="14"/>
  <c r="R368" i="14"/>
  <c r="R372" i="14"/>
  <c r="R280" i="14"/>
  <c r="R364" i="14"/>
  <c r="R367" i="14"/>
  <c r="R371" i="14"/>
  <c r="R283" i="14"/>
  <c r="R366" i="14"/>
  <c r="R370" i="14"/>
  <c r="R284" i="14"/>
  <c r="R362" i="14"/>
  <c r="R369" i="14"/>
  <c r="R365" i="14"/>
  <c r="X89" i="14"/>
  <c r="X207" i="14" s="1"/>
  <c r="R144" i="24"/>
  <c r="X98" i="24"/>
  <c r="X103" i="20"/>
  <c r="R126" i="20"/>
  <c r="X126" i="20" s="1"/>
  <c r="X80" i="20"/>
  <c r="X101" i="37"/>
  <c r="R143" i="28"/>
  <c r="R113" i="28"/>
  <c r="X113" i="28" s="1"/>
  <c r="X97" i="28"/>
  <c r="R128" i="20"/>
  <c r="X128" i="20" s="1"/>
  <c r="X82" i="20"/>
  <c r="S123" i="47"/>
  <c r="S139" i="47" s="1"/>
  <c r="S93" i="47"/>
  <c r="S129" i="20"/>
  <c r="U77" i="19"/>
  <c r="M115" i="50"/>
  <c r="R77" i="19"/>
  <c r="J115" i="50"/>
  <c r="S362" i="29"/>
  <c r="S367" i="29"/>
  <c r="S371" i="29"/>
  <c r="S364" i="29"/>
  <c r="S369" i="29"/>
  <c r="S368" i="29"/>
  <c r="S365" i="29"/>
  <c r="S372" i="29"/>
  <c r="S207" i="29"/>
  <c r="K24" i="50" s="1"/>
  <c r="S363" i="29"/>
  <c r="S370" i="29"/>
  <c r="S283" i="29"/>
  <c r="S286" i="29"/>
  <c r="S279" i="29"/>
  <c r="S285" i="29"/>
  <c r="S276" i="29"/>
  <c r="S284" i="29"/>
  <c r="S280" i="29"/>
  <c r="S366" i="29"/>
  <c r="S277" i="29"/>
  <c r="S278" i="29"/>
  <c r="S282" i="29"/>
  <c r="S281" i="29"/>
  <c r="Q113" i="24"/>
  <c r="Q143" i="24"/>
  <c r="P193" i="30"/>
  <c r="P124" i="30"/>
  <c r="P101" i="30"/>
  <c r="P147" i="30" s="1"/>
  <c r="P170" i="30"/>
  <c r="P226" i="30"/>
  <c r="Q170" i="30"/>
  <c r="Q124" i="30"/>
  <c r="Q101" i="30"/>
  <c r="Q93" i="38"/>
  <c r="Q127" i="38"/>
  <c r="Q139" i="38" s="1"/>
  <c r="T167" i="17"/>
  <c r="T121" i="17"/>
  <c r="S99" i="12"/>
  <c r="S168" i="12"/>
  <c r="S122" i="12"/>
  <c r="R122" i="12"/>
  <c r="R99" i="12"/>
  <c r="X75" i="12"/>
  <c r="R168" i="12"/>
  <c r="P122" i="30"/>
  <c r="P224" i="30"/>
  <c r="P191" i="30"/>
  <c r="P99" i="30"/>
  <c r="P168" i="30"/>
  <c r="Q122" i="30"/>
  <c r="Q99" i="30"/>
  <c r="Q168" i="30"/>
  <c r="Q93" i="47"/>
  <c r="Q123" i="47"/>
  <c r="Q139" i="47" s="1"/>
  <c r="V365" i="14"/>
  <c r="V362" i="14"/>
  <c r="V363" i="14"/>
  <c r="V370" i="14"/>
  <c r="V369" i="14"/>
  <c r="V207" i="14"/>
  <c r="N17" i="50" s="1"/>
  <c r="V367" i="14"/>
  <c r="V371" i="14"/>
  <c r="V368" i="14"/>
  <c r="V366" i="14"/>
  <c r="V372" i="14"/>
  <c r="V364" i="14"/>
  <c r="V278" i="14"/>
  <c r="V286" i="14"/>
  <c r="V279" i="14"/>
  <c r="V280" i="14"/>
  <c r="V285" i="14"/>
  <c r="V277" i="14"/>
  <c r="V284" i="14"/>
  <c r="V281" i="14"/>
  <c r="V276" i="14"/>
  <c r="V288" i="14" s="1"/>
  <c r="V283" i="14"/>
  <c r="V282" i="14"/>
  <c r="V89" i="33"/>
  <c r="T98" i="32"/>
  <c r="T144" i="32" s="1"/>
  <c r="T167" i="32"/>
  <c r="T121" i="32"/>
  <c r="V121" i="32"/>
  <c r="V167" i="32"/>
  <c r="V98" i="32"/>
  <c r="T123" i="17"/>
  <c r="T146" i="17"/>
  <c r="T169" i="17"/>
  <c r="V93" i="47"/>
  <c r="V123" i="47"/>
  <c r="V139" i="47" s="1"/>
  <c r="V126" i="20"/>
  <c r="R162" i="31"/>
  <c r="X162" i="31" s="1"/>
  <c r="X146" i="31"/>
  <c r="X106" i="20"/>
  <c r="R182" i="34"/>
  <c r="X182" i="34" s="1"/>
  <c r="X166" i="34"/>
  <c r="R116" i="43"/>
  <c r="X116" i="43" s="1"/>
  <c r="X100" i="43"/>
  <c r="P97" i="15"/>
  <c r="P89" i="15"/>
  <c r="P222" i="15"/>
  <c r="P189" i="15"/>
  <c r="P166" i="15"/>
  <c r="P120" i="15"/>
  <c r="V89" i="15"/>
  <c r="V120" i="15"/>
  <c r="V166" i="15"/>
  <c r="V97" i="15"/>
  <c r="R143" i="33"/>
  <c r="X97" i="33"/>
  <c r="R89" i="33"/>
  <c r="T168" i="17"/>
  <c r="T122" i="17"/>
  <c r="S143" i="24"/>
  <c r="S159" i="24" s="1"/>
  <c r="S113" i="24"/>
  <c r="S143" i="34"/>
  <c r="S159" i="34" s="1"/>
  <c r="S113" i="34"/>
  <c r="S162" i="20"/>
  <c r="K39" i="111" s="1"/>
  <c r="S367" i="20"/>
  <c r="S371" i="20"/>
  <c r="S362" i="20"/>
  <c r="S363" i="20"/>
  <c r="S365" i="20"/>
  <c r="S369" i="20"/>
  <c r="S372" i="20"/>
  <c r="S364" i="20"/>
  <c r="S368" i="20"/>
  <c r="S187" i="20"/>
  <c r="S366" i="20"/>
  <c r="S370" i="20"/>
  <c r="S280" i="20"/>
  <c r="S279" i="20"/>
  <c r="S278" i="20"/>
  <c r="S284" i="20"/>
  <c r="S286" i="20"/>
  <c r="S285" i="20"/>
  <c r="S276" i="20"/>
  <c r="S282" i="20"/>
  <c r="S283" i="20"/>
  <c r="S277" i="20"/>
  <c r="S281" i="20"/>
  <c r="R128" i="37"/>
  <c r="X128" i="37" s="1"/>
  <c r="X82" i="37"/>
  <c r="U288" i="20"/>
  <c r="P373" i="29"/>
  <c r="P377" i="29" s="1"/>
  <c r="P260" i="29"/>
  <c r="P263" i="29" s="1"/>
  <c r="P318" i="29"/>
  <c r="P309" i="29"/>
  <c r="P339" i="29"/>
  <c r="R318" i="48"/>
  <c r="R330" i="48" s="1"/>
  <c r="R339" i="48"/>
  <c r="R351" i="48" s="1"/>
  <c r="R309" i="48"/>
  <c r="V363" i="29"/>
  <c r="V366" i="29"/>
  <c r="V364" i="29"/>
  <c r="V371" i="29"/>
  <c r="V370" i="29"/>
  <c r="V362" i="29"/>
  <c r="V372" i="29"/>
  <c r="V207" i="29"/>
  <c r="N24" i="50" s="1"/>
  <c r="V369" i="29"/>
  <c r="V367" i="29"/>
  <c r="V368" i="29"/>
  <c r="V365" i="29"/>
  <c r="V278" i="29"/>
  <c r="V283" i="29"/>
  <c r="V285" i="29"/>
  <c r="V279" i="29"/>
  <c r="V280" i="29"/>
  <c r="V281" i="29"/>
  <c r="V276" i="29"/>
  <c r="V282" i="29"/>
  <c r="V277" i="29"/>
  <c r="V284" i="29"/>
  <c r="V286" i="29"/>
  <c r="T366" i="29"/>
  <c r="T364" i="29"/>
  <c r="T368" i="29"/>
  <c r="T372" i="29"/>
  <c r="T207" i="29"/>
  <c r="L24" i="50" s="1"/>
  <c r="T362" i="29"/>
  <c r="T370" i="29"/>
  <c r="T285" i="29"/>
  <c r="T280" i="29"/>
  <c r="T363" i="29"/>
  <c r="T365" i="29"/>
  <c r="T276" i="29"/>
  <c r="T277" i="29"/>
  <c r="T282" i="29"/>
  <c r="T281" i="29"/>
  <c r="T369" i="29"/>
  <c r="T278" i="29"/>
  <c r="T283" i="29"/>
  <c r="T371" i="29"/>
  <c r="T279" i="29"/>
  <c r="T286" i="29"/>
  <c r="T367" i="29"/>
  <c r="T284" i="29"/>
  <c r="Q123" i="31"/>
  <c r="Q139" i="31" s="1"/>
  <c r="Q93" i="31"/>
  <c r="Q93" i="20"/>
  <c r="I15" i="111" s="1"/>
  <c r="Q123" i="20"/>
  <c r="Q139" i="20" s="1"/>
  <c r="Q116" i="20"/>
  <c r="I27" i="111" s="1"/>
  <c r="V144" i="24"/>
  <c r="P123" i="15"/>
  <c r="P225" i="15"/>
  <c r="P100" i="15"/>
  <c r="P192" i="15"/>
  <c r="P169" i="15"/>
  <c r="Q100" i="15"/>
  <c r="Q123" i="15"/>
  <c r="Q169" i="15"/>
  <c r="S126" i="30"/>
  <c r="S172" i="30"/>
  <c r="S103" i="30"/>
  <c r="S149" i="30" s="1"/>
  <c r="Q93" i="48"/>
  <c r="I16" i="111" s="1"/>
  <c r="I52" i="111" s="1"/>
  <c r="Q123" i="48"/>
  <c r="Q139" i="48" s="1"/>
  <c r="V143" i="24"/>
  <c r="V113" i="24"/>
  <c r="V124" i="37"/>
  <c r="P167" i="30"/>
  <c r="P190" i="30"/>
  <c r="P98" i="30"/>
  <c r="P121" i="30"/>
  <c r="P223" i="30"/>
  <c r="Q121" i="30"/>
  <c r="Q167" i="30"/>
  <c r="Q98" i="30"/>
  <c r="Q144" i="30" s="1"/>
  <c r="V363" i="38"/>
  <c r="V366" i="38"/>
  <c r="V362" i="38"/>
  <c r="V364" i="38"/>
  <c r="V367" i="38"/>
  <c r="V371" i="38"/>
  <c r="V365" i="38"/>
  <c r="V370" i="38"/>
  <c r="V372" i="38"/>
  <c r="V187" i="38"/>
  <c r="N32" i="50" s="1"/>
  <c r="V369" i="38"/>
  <c r="V368" i="38"/>
  <c r="V283" i="38"/>
  <c r="V279" i="38"/>
  <c r="V277" i="38"/>
  <c r="V280" i="38"/>
  <c r="V286" i="38"/>
  <c r="V276" i="38"/>
  <c r="V282" i="38"/>
  <c r="V284" i="38"/>
  <c r="V278" i="38"/>
  <c r="V285" i="38"/>
  <c r="V281" i="38"/>
  <c r="U362" i="45"/>
  <c r="U366" i="45"/>
  <c r="U370" i="45"/>
  <c r="U364" i="45"/>
  <c r="U368" i="45"/>
  <c r="U372" i="45"/>
  <c r="U365" i="45"/>
  <c r="U187" i="45"/>
  <c r="M37" i="50" s="1"/>
  <c r="U369" i="45"/>
  <c r="U367" i="45"/>
  <c r="U279" i="45"/>
  <c r="U284" i="45"/>
  <c r="U281" i="45"/>
  <c r="U286" i="45"/>
  <c r="U371" i="45"/>
  <c r="U282" i="45"/>
  <c r="U283" i="45"/>
  <c r="U277" i="45"/>
  <c r="U280" i="45"/>
  <c r="U285" i="45"/>
  <c r="U276" i="45"/>
  <c r="U363" i="45"/>
  <c r="U278" i="45"/>
  <c r="V364" i="35"/>
  <c r="V362" i="35"/>
  <c r="V365" i="35"/>
  <c r="V369" i="35"/>
  <c r="V366" i="35"/>
  <c r="V368" i="35"/>
  <c r="V372" i="35"/>
  <c r="V363" i="35"/>
  <c r="V370" i="35"/>
  <c r="V367" i="35"/>
  <c r="V371" i="35"/>
  <c r="V207" i="35"/>
  <c r="N30" i="50" s="1"/>
  <c r="V278" i="35"/>
  <c r="V281" i="35"/>
  <c r="V276" i="35"/>
  <c r="V279" i="35"/>
  <c r="V286" i="35"/>
  <c r="V283" i="35"/>
  <c r="V282" i="35"/>
  <c r="V285" i="35"/>
  <c r="V280" i="35"/>
  <c r="V277" i="35"/>
  <c r="V284" i="35"/>
  <c r="V93" i="20"/>
  <c r="N15" i="111" s="1"/>
  <c r="V123" i="20"/>
  <c r="P191" i="15"/>
  <c r="P99" i="15"/>
  <c r="P145" i="15" s="1"/>
  <c r="P224" i="15"/>
  <c r="P168" i="15"/>
  <c r="P122" i="15"/>
  <c r="V122" i="15"/>
  <c r="V168" i="15"/>
  <c r="V99" i="15"/>
  <c r="T120" i="41"/>
  <c r="T136" i="41" s="1"/>
  <c r="T89" i="41"/>
  <c r="T166" i="41"/>
  <c r="T182" i="41" s="1"/>
  <c r="T97" i="41"/>
  <c r="R120" i="41"/>
  <c r="R97" i="41"/>
  <c r="R166" i="41"/>
  <c r="R89" i="41"/>
  <c r="X73" i="41"/>
  <c r="R113" i="35"/>
  <c r="X113" i="35" s="1"/>
  <c r="R143" i="35"/>
  <c r="X97" i="35"/>
  <c r="R276" i="35"/>
  <c r="R278" i="35"/>
  <c r="R282" i="35"/>
  <c r="R277" i="35"/>
  <c r="R281" i="35"/>
  <c r="R285" i="35"/>
  <c r="R283" i="35"/>
  <c r="R362" i="35"/>
  <c r="R368" i="35"/>
  <c r="R372" i="35"/>
  <c r="R207" i="35"/>
  <c r="J30" i="50" s="1"/>
  <c r="P30" i="50" s="1"/>
  <c r="R284" i="35"/>
  <c r="R363" i="35"/>
  <c r="R367" i="35"/>
  <c r="R371" i="35"/>
  <c r="R279" i="35"/>
  <c r="R364" i="35"/>
  <c r="R370" i="35"/>
  <c r="R366" i="35"/>
  <c r="R280" i="35"/>
  <c r="R365" i="35"/>
  <c r="R286" i="35"/>
  <c r="R369" i="35"/>
  <c r="X89" i="35"/>
  <c r="X207" i="35" s="1"/>
  <c r="R116" i="44"/>
  <c r="X116" i="44" s="1"/>
  <c r="X100" i="44"/>
  <c r="P192" i="30"/>
  <c r="P123" i="30"/>
  <c r="P100" i="30"/>
  <c r="P225" i="30"/>
  <c r="P169" i="30"/>
  <c r="Q100" i="30"/>
  <c r="Q146" i="30" s="1"/>
  <c r="Q123" i="30"/>
  <c r="Q169" i="30"/>
  <c r="X148" i="37"/>
  <c r="X104" i="37"/>
  <c r="X122" i="24"/>
  <c r="S93" i="43"/>
  <c r="S123" i="43"/>
  <c r="S139" i="43" s="1"/>
  <c r="S125" i="20"/>
  <c r="R143" i="24"/>
  <c r="X97" i="24"/>
  <c r="R113" i="24"/>
  <c r="J76" i="111"/>
  <c r="U288" i="31"/>
  <c r="Y14" i="5"/>
  <c r="Y17" i="5"/>
  <c r="Y21" i="5" s="1"/>
  <c r="U89" i="12"/>
  <c r="U97" i="12"/>
  <c r="U166" i="12"/>
  <c r="U120" i="12"/>
  <c r="V89" i="12"/>
  <c r="V166" i="12"/>
  <c r="V97" i="12"/>
  <c r="V120" i="12"/>
  <c r="T89" i="25"/>
  <c r="T166" i="25"/>
  <c r="T182" i="25" s="1"/>
  <c r="T97" i="25"/>
  <c r="T120" i="25"/>
  <c r="T136" i="25" s="1"/>
  <c r="U122" i="32"/>
  <c r="U168" i="32"/>
  <c r="U99" i="32"/>
  <c r="R168" i="32"/>
  <c r="X75" i="32"/>
  <c r="R122" i="32"/>
  <c r="X122" i="32" s="1"/>
  <c r="R99" i="32"/>
  <c r="R123" i="45"/>
  <c r="X77" i="45"/>
  <c r="R93" i="45"/>
  <c r="X93" i="45" s="1"/>
  <c r="R279" i="45"/>
  <c r="R283" i="45"/>
  <c r="R187" i="45"/>
  <c r="J37" i="50" s="1"/>
  <c r="R276" i="45"/>
  <c r="R278" i="45"/>
  <c r="R282" i="45"/>
  <c r="R286" i="45"/>
  <c r="R362" i="45"/>
  <c r="R284" i="45"/>
  <c r="R365" i="45"/>
  <c r="R369" i="45"/>
  <c r="R277" i="45"/>
  <c r="R285" i="45"/>
  <c r="R368" i="45"/>
  <c r="R372" i="45"/>
  <c r="R280" i="45"/>
  <c r="R371" i="45"/>
  <c r="R363" i="45"/>
  <c r="R367" i="45"/>
  <c r="R366" i="45"/>
  <c r="R281" i="45"/>
  <c r="R364" i="45"/>
  <c r="R370" i="45"/>
  <c r="X69" i="45"/>
  <c r="X187" i="45" s="1"/>
  <c r="S89" i="32"/>
  <c r="S120" i="32"/>
  <c r="S166" i="32"/>
  <c r="S182" i="32" s="1"/>
  <c r="S97" i="32"/>
  <c r="T365" i="45"/>
  <c r="T362" i="45"/>
  <c r="T363" i="45"/>
  <c r="T366" i="45"/>
  <c r="T371" i="45"/>
  <c r="T369" i="45"/>
  <c r="T187" i="45"/>
  <c r="L37" i="50" s="1"/>
  <c r="T364" i="45"/>
  <c r="T370" i="45"/>
  <c r="T368" i="45"/>
  <c r="T372" i="45"/>
  <c r="T277" i="45"/>
  <c r="T367" i="45"/>
  <c r="T283" i="45"/>
  <c r="T285" i="45"/>
  <c r="T276" i="45"/>
  <c r="T280" i="45"/>
  <c r="T281" i="45"/>
  <c r="T286" i="45"/>
  <c r="T282" i="45"/>
  <c r="T284" i="45"/>
  <c r="T279" i="45"/>
  <c r="T278" i="45"/>
  <c r="V126" i="37"/>
  <c r="S123" i="45"/>
  <c r="S139" i="45" s="1"/>
  <c r="S93" i="45"/>
  <c r="V120" i="40"/>
  <c r="V136" i="40" s="1"/>
  <c r="V97" i="40"/>
  <c r="V166" i="40"/>
  <c r="V182" i="40" s="1"/>
  <c r="V89" i="40"/>
  <c r="V362" i="6"/>
  <c r="V364" i="6"/>
  <c r="V363" i="6"/>
  <c r="V367" i="6"/>
  <c r="V365" i="6"/>
  <c r="V368" i="6"/>
  <c r="V372" i="6"/>
  <c r="V371" i="6"/>
  <c r="V207" i="6"/>
  <c r="N15" i="50" s="1"/>
  <c r="V366" i="6"/>
  <c r="V370" i="6"/>
  <c r="V369" i="6"/>
  <c r="V281" i="6"/>
  <c r="V278" i="6"/>
  <c r="V279" i="6"/>
  <c r="V276" i="6"/>
  <c r="V283" i="6"/>
  <c r="V277" i="6"/>
  <c r="V285" i="6"/>
  <c r="V282" i="6"/>
  <c r="V284" i="6"/>
  <c r="V286" i="6"/>
  <c r="V280" i="6"/>
  <c r="V362" i="43"/>
  <c r="V364" i="43"/>
  <c r="V363" i="43"/>
  <c r="V368" i="43"/>
  <c r="V372" i="43"/>
  <c r="V367" i="43"/>
  <c r="V371" i="43"/>
  <c r="V187" i="43"/>
  <c r="N35" i="50" s="1"/>
  <c r="V365" i="43"/>
  <c r="V370" i="43"/>
  <c r="V366" i="43"/>
  <c r="V369" i="43"/>
  <c r="V282" i="43"/>
  <c r="V279" i="43"/>
  <c r="V284" i="43"/>
  <c r="V283" i="43"/>
  <c r="V278" i="43"/>
  <c r="V276" i="43"/>
  <c r="V277" i="43"/>
  <c r="V280" i="43"/>
  <c r="V286" i="43"/>
  <c r="V285" i="43"/>
  <c r="V281" i="43"/>
  <c r="S102" i="30"/>
  <c r="S171" i="30"/>
  <c r="S125" i="30"/>
  <c r="Q171" i="30"/>
  <c r="Q125" i="30"/>
  <c r="Q102" i="30"/>
  <c r="T169" i="12"/>
  <c r="T100" i="12"/>
  <c r="T123" i="12"/>
  <c r="R280" i="6"/>
  <c r="R284" i="6"/>
  <c r="R207" i="6"/>
  <c r="J15" i="50" s="1"/>
  <c r="R279" i="6"/>
  <c r="R283" i="6"/>
  <c r="R363" i="6"/>
  <c r="R285" i="6"/>
  <c r="R364" i="6"/>
  <c r="R366" i="6"/>
  <c r="R370" i="6"/>
  <c r="R277" i="6"/>
  <c r="R278" i="6"/>
  <c r="R286" i="6"/>
  <c r="R362" i="6"/>
  <c r="R365" i="6"/>
  <c r="R369" i="6"/>
  <c r="R372" i="6"/>
  <c r="R276" i="6"/>
  <c r="R281" i="6"/>
  <c r="R368" i="6"/>
  <c r="R367" i="6"/>
  <c r="R282" i="6"/>
  <c r="R371" i="6"/>
  <c r="X89" i="6"/>
  <c r="X207" i="6" s="1"/>
  <c r="R116" i="37"/>
  <c r="X116" i="37" s="1"/>
  <c r="X100" i="37"/>
  <c r="R162" i="47"/>
  <c r="X162" i="47" s="1"/>
  <c r="X146" i="47"/>
  <c r="R162" i="38"/>
  <c r="X162" i="38" s="1"/>
  <c r="X150" i="38"/>
  <c r="X153" i="20"/>
  <c r="S162" i="37"/>
  <c r="X136" i="24" l="1"/>
  <c r="S144" i="32"/>
  <c r="V136" i="32"/>
  <c r="V145" i="32"/>
  <c r="U136" i="32"/>
  <c r="P330" i="29"/>
  <c r="P351" i="29"/>
  <c r="P24" i="50"/>
  <c r="S288" i="28"/>
  <c r="X182" i="24"/>
  <c r="Q159" i="24"/>
  <c r="P182" i="17"/>
  <c r="X168" i="17"/>
  <c r="S182" i="17"/>
  <c r="P136" i="15"/>
  <c r="T145" i="15"/>
  <c r="Q146" i="15"/>
  <c r="Q136" i="15"/>
  <c r="U136" i="15"/>
  <c r="S136" i="15"/>
  <c r="U144" i="15"/>
  <c r="U182" i="12"/>
  <c r="X122" i="12"/>
  <c r="V182" i="12"/>
  <c r="X168" i="12"/>
  <c r="T144" i="12"/>
  <c r="S113" i="32"/>
  <c r="S143" i="32"/>
  <c r="R276" i="33"/>
  <c r="R280" i="33"/>
  <c r="R284" i="33"/>
  <c r="R279" i="33"/>
  <c r="R283" i="33"/>
  <c r="R363" i="33"/>
  <c r="R281" i="33"/>
  <c r="R366" i="33"/>
  <c r="R370" i="33"/>
  <c r="R282" i="33"/>
  <c r="R286" i="33"/>
  <c r="R364" i="33"/>
  <c r="R365" i="33"/>
  <c r="R369" i="33"/>
  <c r="R207" i="33"/>
  <c r="J28" i="50" s="1"/>
  <c r="R285" i="33"/>
  <c r="R368" i="33"/>
  <c r="R277" i="33"/>
  <c r="R362" i="33"/>
  <c r="R372" i="33"/>
  <c r="R371" i="33"/>
  <c r="R278" i="33"/>
  <c r="R367" i="33"/>
  <c r="X89" i="33"/>
  <c r="X207" i="33" s="1"/>
  <c r="V143" i="15"/>
  <c r="V113" i="15"/>
  <c r="P372" i="15"/>
  <c r="P281" i="15"/>
  <c r="P302" i="15" s="1"/>
  <c r="P280" i="15"/>
  <c r="P301" i="15" s="1"/>
  <c r="P207" i="15"/>
  <c r="P210" i="15" s="1"/>
  <c r="P388" i="15"/>
  <c r="P368" i="15"/>
  <c r="P394" i="15"/>
  <c r="P389" i="15"/>
  <c r="P371" i="15"/>
  <c r="P367" i="15"/>
  <c r="P390" i="15"/>
  <c r="P285" i="15"/>
  <c r="P306" i="15" s="1"/>
  <c r="P391" i="15"/>
  <c r="P276" i="15"/>
  <c r="P370" i="15"/>
  <c r="P369" i="15"/>
  <c r="P278" i="15"/>
  <c r="P299" i="15" s="1"/>
  <c r="P393" i="15"/>
  <c r="P362" i="15"/>
  <c r="P279" i="15"/>
  <c r="P300" i="15" s="1"/>
  <c r="P286" i="15"/>
  <c r="P307" i="15" s="1"/>
  <c r="P392" i="15"/>
  <c r="P363" i="15"/>
  <c r="P366" i="15"/>
  <c r="P284" i="15"/>
  <c r="P305" i="15" s="1"/>
  <c r="P364" i="15"/>
  <c r="P282" i="15"/>
  <c r="P303" i="15" s="1"/>
  <c r="P277" i="15"/>
  <c r="P298" i="15" s="1"/>
  <c r="P283" i="15"/>
  <c r="P304" i="15" s="1"/>
  <c r="P365" i="15"/>
  <c r="S288" i="29"/>
  <c r="Q182" i="30"/>
  <c r="U113" i="40"/>
  <c r="U143" i="40"/>
  <c r="U159" i="40" s="1"/>
  <c r="P113" i="32"/>
  <c r="P143" i="32"/>
  <c r="P362" i="12"/>
  <c r="P278" i="12"/>
  <c r="P299" i="12" s="1"/>
  <c r="P369" i="12"/>
  <c r="P279" i="12"/>
  <c r="P300" i="12" s="1"/>
  <c r="P282" i="12"/>
  <c r="P303" i="12" s="1"/>
  <c r="P368" i="12"/>
  <c r="P392" i="12"/>
  <c r="P390" i="12"/>
  <c r="P277" i="12"/>
  <c r="P298" i="12" s="1"/>
  <c r="P394" i="12"/>
  <c r="P363" i="12"/>
  <c r="P372" i="12"/>
  <c r="P366" i="12"/>
  <c r="P283" i="12"/>
  <c r="P304" i="12" s="1"/>
  <c r="P286" i="12"/>
  <c r="P307" i="12" s="1"/>
  <c r="P388" i="12"/>
  <c r="P285" i="12"/>
  <c r="P306" i="12" s="1"/>
  <c r="P370" i="12"/>
  <c r="P276" i="12"/>
  <c r="P365" i="12"/>
  <c r="P284" i="12"/>
  <c r="P305" i="12" s="1"/>
  <c r="P207" i="12"/>
  <c r="P210" i="12" s="1"/>
  <c r="P364" i="12"/>
  <c r="P371" i="12"/>
  <c r="P389" i="12"/>
  <c r="P281" i="12"/>
  <c r="P302" i="12" s="1"/>
  <c r="P367" i="12"/>
  <c r="P280" i="12"/>
  <c r="P301" i="12" s="1"/>
  <c r="P391" i="12"/>
  <c r="P393" i="12"/>
  <c r="V326" i="48"/>
  <c r="V347" i="48"/>
  <c r="V344" i="48"/>
  <c r="V323" i="48"/>
  <c r="V143" i="41"/>
  <c r="V159" i="41" s="1"/>
  <c r="V113" i="41"/>
  <c r="R182" i="15"/>
  <c r="X166" i="15"/>
  <c r="R373" i="48"/>
  <c r="R377" i="48" s="1"/>
  <c r="R240" i="48"/>
  <c r="J152" i="50"/>
  <c r="T182" i="17"/>
  <c r="I29" i="50"/>
  <c r="S363" i="30"/>
  <c r="S362" i="30"/>
  <c r="S365" i="30"/>
  <c r="S368" i="30"/>
  <c r="S372" i="30"/>
  <c r="S366" i="30"/>
  <c r="S370" i="30"/>
  <c r="S369" i="30"/>
  <c r="S364" i="30"/>
  <c r="S371" i="30"/>
  <c r="S207" i="30"/>
  <c r="K25" i="50" s="1"/>
  <c r="S367" i="30"/>
  <c r="S277" i="30"/>
  <c r="S281" i="30"/>
  <c r="S278" i="30"/>
  <c r="S282" i="30"/>
  <c r="S284" i="30"/>
  <c r="S285" i="30"/>
  <c r="S280" i="30"/>
  <c r="S286" i="30"/>
  <c r="S276" i="30"/>
  <c r="S279" i="30"/>
  <c r="S283" i="30"/>
  <c r="R136" i="30"/>
  <c r="X120" i="30"/>
  <c r="Q207" i="32"/>
  <c r="Q365" i="32"/>
  <c r="Q369" i="32"/>
  <c r="Q282" i="32"/>
  <c r="Q281" i="32"/>
  <c r="Q277" i="32"/>
  <c r="Q363" i="32"/>
  <c r="Q367" i="32"/>
  <c r="Q371" i="32"/>
  <c r="Q284" i="32"/>
  <c r="Q280" i="32"/>
  <c r="Q285" i="32"/>
  <c r="Q366" i="32"/>
  <c r="Q286" i="32"/>
  <c r="Q278" i="32"/>
  <c r="Q362" i="32"/>
  <c r="Q370" i="32"/>
  <c r="Q279" i="32"/>
  <c r="Q276" i="32"/>
  <c r="Q364" i="32"/>
  <c r="Q283" i="32"/>
  <c r="Q368" i="32"/>
  <c r="Q372" i="32"/>
  <c r="Q207" i="25"/>
  <c r="Q364" i="25"/>
  <c r="Q368" i="25"/>
  <c r="Q372" i="25"/>
  <c r="Q277" i="25"/>
  <c r="Q281" i="25"/>
  <c r="Q276" i="25"/>
  <c r="Q366" i="25"/>
  <c r="Q370" i="25"/>
  <c r="Q284" i="25"/>
  <c r="Q282" i="25"/>
  <c r="Q286" i="25"/>
  <c r="Q365" i="25"/>
  <c r="Q279" i="25"/>
  <c r="Q280" i="25"/>
  <c r="Q369" i="25"/>
  <c r="Q362" i="25"/>
  <c r="Q283" i="25"/>
  <c r="Q363" i="25"/>
  <c r="Q278" i="25"/>
  <c r="Q367" i="25"/>
  <c r="Q285" i="25"/>
  <c r="Q371" i="25"/>
  <c r="S362" i="12"/>
  <c r="S363" i="12"/>
  <c r="S368" i="12"/>
  <c r="S372" i="12"/>
  <c r="S365" i="12"/>
  <c r="S366" i="12"/>
  <c r="S370" i="12"/>
  <c r="S369" i="12"/>
  <c r="S371" i="12"/>
  <c r="S207" i="12"/>
  <c r="K16" i="50" s="1"/>
  <c r="S283" i="12"/>
  <c r="S280" i="12"/>
  <c r="S278" i="12"/>
  <c r="S364" i="12"/>
  <c r="S281" i="12"/>
  <c r="S276" i="12"/>
  <c r="S286" i="12"/>
  <c r="S367" i="12"/>
  <c r="S284" i="12"/>
  <c r="S285" i="12"/>
  <c r="S282" i="12"/>
  <c r="S279" i="12"/>
  <c r="S277" i="12"/>
  <c r="N16" i="111"/>
  <c r="X93" i="48"/>
  <c r="X167" i="30"/>
  <c r="Q326" i="48"/>
  <c r="Q347" i="48"/>
  <c r="Q320" i="48"/>
  <c r="Q341" i="48"/>
  <c r="R288" i="43"/>
  <c r="R144" i="17"/>
  <c r="X98" i="17"/>
  <c r="S362" i="17"/>
  <c r="S365" i="17"/>
  <c r="S367" i="17"/>
  <c r="S371" i="17"/>
  <c r="S363" i="17"/>
  <c r="S369" i="17"/>
  <c r="S364" i="17"/>
  <c r="S372" i="17"/>
  <c r="S368" i="17"/>
  <c r="S207" i="17"/>
  <c r="K20" i="50" s="1"/>
  <c r="S366" i="17"/>
  <c r="S280" i="17"/>
  <c r="S283" i="17"/>
  <c r="S285" i="17"/>
  <c r="S370" i="17"/>
  <c r="S277" i="17"/>
  <c r="S276" i="17"/>
  <c r="S284" i="17"/>
  <c r="S279" i="17"/>
  <c r="S281" i="17"/>
  <c r="S282" i="17"/>
  <c r="S278" i="17"/>
  <c r="S286" i="17"/>
  <c r="S143" i="25"/>
  <c r="S159" i="25" s="1"/>
  <c r="S113" i="25"/>
  <c r="R143" i="12"/>
  <c r="X97" i="12"/>
  <c r="R113" i="12"/>
  <c r="X172" i="30"/>
  <c r="T143" i="15"/>
  <c r="T113" i="15"/>
  <c r="X113" i="14"/>
  <c r="X98" i="33"/>
  <c r="R144" i="33"/>
  <c r="V182" i="17"/>
  <c r="X167" i="12"/>
  <c r="V364" i="30"/>
  <c r="V363" i="30"/>
  <c r="V367" i="30"/>
  <c r="V362" i="30"/>
  <c r="V365" i="30"/>
  <c r="V368" i="30"/>
  <c r="V372" i="30"/>
  <c r="V366" i="30"/>
  <c r="V371" i="30"/>
  <c r="V207" i="30"/>
  <c r="N25" i="50" s="1"/>
  <c r="V370" i="30"/>
  <c r="V282" i="30"/>
  <c r="V369" i="30"/>
  <c r="V286" i="30"/>
  <c r="V280" i="30"/>
  <c r="V284" i="30"/>
  <c r="V279" i="30"/>
  <c r="V281" i="30"/>
  <c r="V278" i="30"/>
  <c r="V277" i="30"/>
  <c r="V283" i="30"/>
  <c r="V285" i="30"/>
  <c r="V276" i="30"/>
  <c r="P205" i="30"/>
  <c r="V362" i="12"/>
  <c r="V365" i="12"/>
  <c r="V364" i="12"/>
  <c r="V366" i="12"/>
  <c r="V369" i="12"/>
  <c r="V363" i="12"/>
  <c r="V367" i="12"/>
  <c r="V368" i="12"/>
  <c r="V372" i="12"/>
  <c r="V371" i="12"/>
  <c r="V207" i="12"/>
  <c r="N16" i="50" s="1"/>
  <c r="V370" i="12"/>
  <c r="V284" i="12"/>
  <c r="V283" i="12"/>
  <c r="V285" i="12"/>
  <c r="V282" i="12"/>
  <c r="V280" i="12"/>
  <c r="V286" i="12"/>
  <c r="V276" i="12"/>
  <c r="V279" i="12"/>
  <c r="V278" i="12"/>
  <c r="V281" i="12"/>
  <c r="V277" i="12"/>
  <c r="U364" i="12"/>
  <c r="U368" i="12"/>
  <c r="U372" i="12"/>
  <c r="U362" i="12"/>
  <c r="U366" i="12"/>
  <c r="U370" i="12"/>
  <c r="U367" i="12"/>
  <c r="U363" i="12"/>
  <c r="U371" i="12"/>
  <c r="U207" i="12"/>
  <c r="M16" i="50" s="1"/>
  <c r="U369" i="12"/>
  <c r="U281" i="12"/>
  <c r="U279" i="12"/>
  <c r="U282" i="12"/>
  <c r="U285" i="12"/>
  <c r="U286" i="12"/>
  <c r="U284" i="12"/>
  <c r="U277" i="12"/>
  <c r="U278" i="12"/>
  <c r="U365" i="12"/>
  <c r="U283" i="12"/>
  <c r="U280" i="12"/>
  <c r="U276" i="12"/>
  <c r="X97" i="41"/>
  <c r="R113" i="41"/>
  <c r="R143" i="41"/>
  <c r="P144" i="30"/>
  <c r="V182" i="15"/>
  <c r="N38" i="111" s="1"/>
  <c r="T144" i="17"/>
  <c r="J226" i="50"/>
  <c r="X173" i="30"/>
  <c r="V288" i="45"/>
  <c r="Q136" i="30"/>
  <c r="U143" i="30"/>
  <c r="U113" i="30"/>
  <c r="X113" i="6"/>
  <c r="R182" i="40"/>
  <c r="X182" i="40" s="1"/>
  <c r="X166" i="40"/>
  <c r="V182" i="32"/>
  <c r="P205" i="32"/>
  <c r="P136" i="12"/>
  <c r="V288" i="48"/>
  <c r="V297" i="48"/>
  <c r="V341" i="48"/>
  <c r="V320" i="48"/>
  <c r="V285" i="41"/>
  <c r="V366" i="41"/>
  <c r="V278" i="41"/>
  <c r="V279" i="41"/>
  <c r="V365" i="41"/>
  <c r="V282" i="41"/>
  <c r="V281" i="41"/>
  <c r="V367" i="41"/>
  <c r="V280" i="41"/>
  <c r="V286" i="41"/>
  <c r="V368" i="41"/>
  <c r="V283" i="41"/>
  <c r="V363" i="41"/>
  <c r="V284" i="41"/>
  <c r="V369" i="41"/>
  <c r="V276" i="41"/>
  <c r="V277" i="41"/>
  <c r="V370" i="41"/>
  <c r="V207" i="41"/>
  <c r="N34" i="50" s="1"/>
  <c r="V364" i="41"/>
  <c r="V372" i="41"/>
  <c r="V362" i="41"/>
  <c r="V371" i="41"/>
  <c r="R139" i="31"/>
  <c r="X139" i="31" s="1"/>
  <c r="X123" i="31"/>
  <c r="V288" i="47"/>
  <c r="X168" i="30"/>
  <c r="I32" i="50"/>
  <c r="T136" i="17"/>
  <c r="R182" i="30"/>
  <c r="X166" i="30"/>
  <c r="X162" i="37"/>
  <c r="X171" i="30"/>
  <c r="S136" i="12"/>
  <c r="Q342" i="48"/>
  <c r="Q321" i="48"/>
  <c r="Q375" i="48"/>
  <c r="X169" i="15"/>
  <c r="P26" i="50"/>
  <c r="X169" i="17"/>
  <c r="X98" i="32"/>
  <c r="R144" i="32"/>
  <c r="T113" i="30"/>
  <c r="T143" i="30"/>
  <c r="R182" i="32"/>
  <c r="X166" i="32"/>
  <c r="N40" i="111"/>
  <c r="X162" i="48"/>
  <c r="X123" i="44"/>
  <c r="R139" i="44"/>
  <c r="X139" i="44" s="1"/>
  <c r="J39" i="111"/>
  <c r="X162" i="20"/>
  <c r="U94" i="19"/>
  <c r="U96" i="19" s="1"/>
  <c r="U76" i="19"/>
  <c r="Q143" i="15"/>
  <c r="Q159" i="15" s="1"/>
  <c r="Q113" i="15"/>
  <c r="T182" i="15"/>
  <c r="X113" i="34"/>
  <c r="Q145" i="12"/>
  <c r="U144" i="17"/>
  <c r="U373" i="48"/>
  <c r="U377" i="48" s="1"/>
  <c r="M152" i="50"/>
  <c r="U240" i="48"/>
  <c r="U243" i="48" s="1"/>
  <c r="P23" i="50"/>
  <c r="X127" i="20"/>
  <c r="X167" i="33"/>
  <c r="P365" i="33"/>
  <c r="P368" i="33"/>
  <c r="P280" i="33"/>
  <c r="P301" i="33" s="1"/>
  <c r="P366" i="33"/>
  <c r="P282" i="33"/>
  <c r="P303" i="33" s="1"/>
  <c r="P277" i="33"/>
  <c r="P298" i="33" s="1"/>
  <c r="P370" i="33"/>
  <c r="P371" i="33"/>
  <c r="P369" i="33"/>
  <c r="P207" i="33"/>
  <c r="P210" i="33" s="1"/>
  <c r="P363" i="33"/>
  <c r="P388" i="33"/>
  <c r="P394" i="33"/>
  <c r="P364" i="33"/>
  <c r="P283" i="33"/>
  <c r="P304" i="33" s="1"/>
  <c r="P390" i="33"/>
  <c r="P276" i="33"/>
  <c r="P372" i="33"/>
  <c r="P285" i="33"/>
  <c r="P306" i="33" s="1"/>
  <c r="P284" i="33"/>
  <c r="P305" i="33" s="1"/>
  <c r="P393" i="33"/>
  <c r="P281" i="33"/>
  <c r="P302" i="33" s="1"/>
  <c r="P279" i="33"/>
  <c r="P300" i="33" s="1"/>
  <c r="P278" i="33"/>
  <c r="P299" i="33" s="1"/>
  <c r="P367" i="33"/>
  <c r="P389" i="33"/>
  <c r="P362" i="33"/>
  <c r="P392" i="33"/>
  <c r="P391" i="33"/>
  <c r="P286" i="33"/>
  <c r="P307" i="33" s="1"/>
  <c r="V143" i="17"/>
  <c r="V113" i="17"/>
  <c r="X121" i="12"/>
  <c r="V136" i="30"/>
  <c r="P136" i="30"/>
  <c r="P113" i="30"/>
  <c r="P143" i="30"/>
  <c r="P15" i="50"/>
  <c r="T146" i="12"/>
  <c r="Q148" i="30"/>
  <c r="V288" i="6"/>
  <c r="V368" i="40"/>
  <c r="V280" i="40"/>
  <c r="V277" i="40"/>
  <c r="V367" i="40"/>
  <c r="V362" i="40"/>
  <c r="V369" i="40"/>
  <c r="V370" i="40"/>
  <c r="V371" i="40"/>
  <c r="V364" i="40"/>
  <c r="V372" i="40"/>
  <c r="V284" i="40"/>
  <c r="V283" i="40"/>
  <c r="V286" i="40"/>
  <c r="V281" i="40"/>
  <c r="V366" i="40"/>
  <c r="V207" i="40"/>
  <c r="N33" i="50" s="1"/>
  <c r="V278" i="40"/>
  <c r="V363" i="40"/>
  <c r="V365" i="40"/>
  <c r="V285" i="40"/>
  <c r="V279" i="40"/>
  <c r="V282" i="40"/>
  <c r="V276" i="40"/>
  <c r="S136" i="32"/>
  <c r="R139" i="45"/>
  <c r="X139" i="45" s="1"/>
  <c r="X123" i="45"/>
  <c r="X168" i="32"/>
  <c r="V136" i="12"/>
  <c r="U136" i="12"/>
  <c r="X113" i="24"/>
  <c r="P146" i="30"/>
  <c r="R288" i="35"/>
  <c r="R136" i="41"/>
  <c r="X136" i="41" s="1"/>
  <c r="X120" i="41"/>
  <c r="U288" i="45"/>
  <c r="V159" i="24"/>
  <c r="K40" i="50"/>
  <c r="R113" i="33"/>
  <c r="V136" i="15"/>
  <c r="P205" i="15"/>
  <c r="Q145" i="30"/>
  <c r="P17" i="50"/>
  <c r="S144" i="33"/>
  <c r="S159" i="33" s="1"/>
  <c r="S113" i="33"/>
  <c r="R143" i="17"/>
  <c r="R113" i="17"/>
  <c r="X97" i="17"/>
  <c r="U113" i="17"/>
  <c r="U143" i="17"/>
  <c r="X127" i="30"/>
  <c r="U150" i="30"/>
  <c r="Q143" i="30"/>
  <c r="Q113" i="30"/>
  <c r="U136" i="30"/>
  <c r="X167" i="15"/>
  <c r="R139" i="38"/>
  <c r="X139" i="38" s="1"/>
  <c r="X127" i="38"/>
  <c r="R139" i="47"/>
  <c r="X139" i="47" s="1"/>
  <c r="X123" i="47"/>
  <c r="R159" i="6"/>
  <c r="X159" i="6" s="1"/>
  <c r="X143" i="6"/>
  <c r="Q146" i="12"/>
  <c r="R113" i="40"/>
  <c r="X97" i="40"/>
  <c r="R143" i="40"/>
  <c r="V113" i="32"/>
  <c r="V143" i="32"/>
  <c r="P278" i="32"/>
  <c r="P299" i="32" s="1"/>
  <c r="P284" i="32"/>
  <c r="P305" i="32" s="1"/>
  <c r="P363" i="32"/>
  <c r="P389" i="32"/>
  <c r="P277" i="32"/>
  <c r="P298" i="32" s="1"/>
  <c r="P369" i="32"/>
  <c r="P391" i="32"/>
  <c r="P370" i="32"/>
  <c r="P280" i="32"/>
  <c r="P301" i="32" s="1"/>
  <c r="P366" i="32"/>
  <c r="P392" i="32"/>
  <c r="P285" i="32"/>
  <c r="P306" i="32" s="1"/>
  <c r="P365" i="32"/>
  <c r="P372" i="32"/>
  <c r="P281" i="32"/>
  <c r="P302" i="32" s="1"/>
  <c r="P283" i="32"/>
  <c r="P304" i="32" s="1"/>
  <c r="P279" i="32"/>
  <c r="P300" i="32" s="1"/>
  <c r="P388" i="32"/>
  <c r="P362" i="32"/>
  <c r="P282" i="32"/>
  <c r="P303" i="32" s="1"/>
  <c r="P393" i="32"/>
  <c r="P394" i="32"/>
  <c r="P368" i="32"/>
  <c r="P286" i="32"/>
  <c r="P307" i="32" s="1"/>
  <c r="P276" i="32"/>
  <c r="P364" i="32"/>
  <c r="P367" i="32"/>
  <c r="P371" i="32"/>
  <c r="P390" i="32"/>
  <c r="P207" i="32"/>
  <c r="P210" i="32" s="1"/>
  <c r="V365" i="25"/>
  <c r="V364" i="25"/>
  <c r="V367" i="25"/>
  <c r="V369" i="25"/>
  <c r="V362" i="25"/>
  <c r="V368" i="25"/>
  <c r="V372" i="25"/>
  <c r="V370" i="25"/>
  <c r="V363" i="25"/>
  <c r="V371" i="25"/>
  <c r="V207" i="25"/>
  <c r="N22" i="50" s="1"/>
  <c r="V366" i="25"/>
  <c r="V285" i="25"/>
  <c r="V279" i="25"/>
  <c r="V281" i="25"/>
  <c r="V284" i="25"/>
  <c r="V277" i="25"/>
  <c r="V276" i="25"/>
  <c r="V282" i="25"/>
  <c r="V286" i="25"/>
  <c r="V278" i="25"/>
  <c r="V280" i="25"/>
  <c r="V283" i="25"/>
  <c r="R136" i="25"/>
  <c r="X136" i="25" s="1"/>
  <c r="X120" i="25"/>
  <c r="T136" i="12"/>
  <c r="P205" i="12"/>
  <c r="V328" i="48"/>
  <c r="V349" i="48"/>
  <c r="V321" i="48"/>
  <c r="V342" i="48"/>
  <c r="V324" i="48"/>
  <c r="V345" i="48"/>
  <c r="X190" i="48"/>
  <c r="X192" i="48" s="1"/>
  <c r="V325" i="48"/>
  <c r="V346" i="48"/>
  <c r="V375" i="48"/>
  <c r="X122" i="15"/>
  <c r="V146" i="15"/>
  <c r="Q288" i="31"/>
  <c r="R136" i="15"/>
  <c r="X120" i="15"/>
  <c r="U182" i="15"/>
  <c r="X93" i="43"/>
  <c r="R288" i="34"/>
  <c r="P29" i="50"/>
  <c r="Q144" i="32"/>
  <c r="Q288" i="47"/>
  <c r="X99" i="30"/>
  <c r="R145" i="30"/>
  <c r="U145" i="30"/>
  <c r="V144" i="17"/>
  <c r="R243" i="48"/>
  <c r="S288" i="14"/>
  <c r="Q144" i="33"/>
  <c r="Q159" i="33" s="1"/>
  <c r="T144" i="33"/>
  <c r="T159" i="33" s="1"/>
  <c r="T113" i="33"/>
  <c r="T366" i="17"/>
  <c r="T363" i="17"/>
  <c r="T368" i="17"/>
  <c r="T372" i="17"/>
  <c r="T207" i="17"/>
  <c r="L20" i="50" s="1"/>
  <c r="T365" i="17"/>
  <c r="T370" i="17"/>
  <c r="T367" i="17"/>
  <c r="T371" i="17"/>
  <c r="T369" i="17"/>
  <c r="T362" i="17"/>
  <c r="T284" i="17"/>
  <c r="T286" i="17"/>
  <c r="T364" i="17"/>
  <c r="T281" i="17"/>
  <c r="T280" i="17"/>
  <c r="T285" i="17"/>
  <c r="T278" i="17"/>
  <c r="T279" i="17"/>
  <c r="T283" i="17"/>
  <c r="T276" i="17"/>
  <c r="T282" i="17"/>
  <c r="T277" i="17"/>
  <c r="S113" i="30"/>
  <c r="S143" i="30"/>
  <c r="T144" i="15"/>
  <c r="R159" i="29"/>
  <c r="X159" i="29" s="1"/>
  <c r="X143" i="29"/>
  <c r="R288" i="37"/>
  <c r="U146" i="12"/>
  <c r="U148" i="30"/>
  <c r="Q136" i="32"/>
  <c r="T136" i="32"/>
  <c r="S145" i="32"/>
  <c r="S182" i="12"/>
  <c r="Q143" i="12"/>
  <c r="Q113" i="12"/>
  <c r="Q207" i="12"/>
  <c r="Q364" i="12"/>
  <c r="Q371" i="12"/>
  <c r="Q281" i="12"/>
  <c r="Q285" i="12"/>
  <c r="Q365" i="12"/>
  <c r="Q282" i="12"/>
  <c r="Q278" i="12"/>
  <c r="Q367" i="12"/>
  <c r="Q286" i="12"/>
  <c r="Q277" i="12"/>
  <c r="Q368" i="12"/>
  <c r="Q372" i="12"/>
  <c r="Q276" i="12"/>
  <c r="Q363" i="12"/>
  <c r="Q370" i="12"/>
  <c r="Q279" i="12"/>
  <c r="Q280" i="12"/>
  <c r="Q283" i="12"/>
  <c r="Q284" i="12"/>
  <c r="Q366" i="12"/>
  <c r="Q362" i="12"/>
  <c r="Q369" i="12"/>
  <c r="X123" i="30"/>
  <c r="T146" i="30"/>
  <c r="N40" i="50"/>
  <c r="R144" i="30"/>
  <c r="X98" i="30"/>
  <c r="U144" i="30"/>
  <c r="Q328" i="48"/>
  <c r="Q349" i="48"/>
  <c r="Q396" i="48"/>
  <c r="Q319" i="48"/>
  <c r="Q340" i="48"/>
  <c r="Q327" i="48"/>
  <c r="Q348" i="48"/>
  <c r="Q322" i="48"/>
  <c r="Q343" i="48"/>
  <c r="Q346" i="48"/>
  <c r="Q325" i="48"/>
  <c r="X123" i="15"/>
  <c r="T373" i="48"/>
  <c r="T377" i="48" s="1"/>
  <c r="T240" i="48"/>
  <c r="L152" i="50"/>
  <c r="L226" i="50" s="1"/>
  <c r="V145" i="17"/>
  <c r="S143" i="15"/>
  <c r="S159" i="15" s="1"/>
  <c r="S113" i="15"/>
  <c r="R288" i="31"/>
  <c r="X121" i="32"/>
  <c r="Q288" i="28"/>
  <c r="I23" i="50"/>
  <c r="V145" i="12"/>
  <c r="X167" i="17"/>
  <c r="S147" i="30"/>
  <c r="Q288" i="24"/>
  <c r="S143" i="17"/>
  <c r="S113" i="17"/>
  <c r="T363" i="30"/>
  <c r="T369" i="30"/>
  <c r="T365" i="30"/>
  <c r="T367" i="30"/>
  <c r="T371" i="30"/>
  <c r="T207" i="30"/>
  <c r="L25" i="50" s="1"/>
  <c r="T366" i="30"/>
  <c r="T364" i="30"/>
  <c r="T368" i="30"/>
  <c r="T372" i="30"/>
  <c r="T279" i="30"/>
  <c r="T276" i="30"/>
  <c r="T370" i="30"/>
  <c r="T286" i="30"/>
  <c r="T283" i="30"/>
  <c r="T285" i="30"/>
  <c r="T362" i="30"/>
  <c r="T281" i="30"/>
  <c r="T284" i="30"/>
  <c r="T280" i="30"/>
  <c r="T277" i="30"/>
  <c r="T278" i="30"/>
  <c r="T282" i="30"/>
  <c r="S288" i="44"/>
  <c r="R288" i="38"/>
  <c r="P32" i="50"/>
  <c r="T283" i="40"/>
  <c r="T365" i="40"/>
  <c r="T278" i="40"/>
  <c r="T372" i="40"/>
  <c r="T362" i="40"/>
  <c r="T366" i="40"/>
  <c r="T285" i="40"/>
  <c r="T276" i="40"/>
  <c r="T284" i="40"/>
  <c r="T280" i="40"/>
  <c r="T369" i="40"/>
  <c r="T364" i="40"/>
  <c r="T277" i="40"/>
  <c r="T282" i="40"/>
  <c r="T286" i="40"/>
  <c r="T363" i="40"/>
  <c r="T371" i="40"/>
  <c r="T368" i="40"/>
  <c r="T279" i="40"/>
  <c r="T281" i="40"/>
  <c r="T367" i="40"/>
  <c r="T207" i="40"/>
  <c r="L33" i="50" s="1"/>
  <c r="T370" i="40"/>
  <c r="R136" i="32"/>
  <c r="X120" i="32"/>
  <c r="U182" i="32"/>
  <c r="P145" i="32"/>
  <c r="P113" i="25"/>
  <c r="P143" i="25"/>
  <c r="P159" i="25" s="1"/>
  <c r="R136" i="12"/>
  <c r="X120" i="12"/>
  <c r="R276" i="12"/>
  <c r="R281" i="12"/>
  <c r="R285" i="12"/>
  <c r="R207" i="12"/>
  <c r="J16" i="50" s="1"/>
  <c r="R280" i="12"/>
  <c r="R284" i="12"/>
  <c r="R364" i="12"/>
  <c r="R282" i="12"/>
  <c r="R367" i="12"/>
  <c r="R371" i="12"/>
  <c r="R283" i="12"/>
  <c r="R366" i="12"/>
  <c r="R370" i="12"/>
  <c r="R277" i="12"/>
  <c r="R286" i="12"/>
  <c r="R365" i="12"/>
  <c r="R278" i="12"/>
  <c r="R362" i="12"/>
  <c r="R369" i="12"/>
  <c r="R368" i="12"/>
  <c r="R363" i="12"/>
  <c r="R372" i="12"/>
  <c r="R279" i="12"/>
  <c r="X89" i="12"/>
  <c r="X207" i="12" s="1"/>
  <c r="R288" i="44"/>
  <c r="J27" i="111"/>
  <c r="X116" i="20"/>
  <c r="U113" i="41"/>
  <c r="U143" i="41"/>
  <c r="U159" i="41" s="1"/>
  <c r="X126" i="30"/>
  <c r="I40" i="50"/>
  <c r="X122" i="17"/>
  <c r="U145" i="17"/>
  <c r="Q207" i="15"/>
  <c r="Q365" i="15"/>
  <c r="Q369" i="15"/>
  <c r="Q283" i="15"/>
  <c r="Q280" i="15"/>
  <c r="Q281" i="15"/>
  <c r="Q363" i="15"/>
  <c r="Q367" i="15"/>
  <c r="Q371" i="15"/>
  <c r="Q278" i="15"/>
  <c r="Q276" i="15"/>
  <c r="Q277" i="15"/>
  <c r="Q366" i="15"/>
  <c r="Q286" i="15"/>
  <c r="Q282" i="15"/>
  <c r="Q362" i="15"/>
  <c r="Q370" i="15"/>
  <c r="Q284" i="15"/>
  <c r="Q368" i="15"/>
  <c r="Q372" i="15"/>
  <c r="Q279" i="15"/>
  <c r="Q364" i="15"/>
  <c r="Q285" i="15"/>
  <c r="T365" i="15"/>
  <c r="T362" i="15"/>
  <c r="T364" i="15"/>
  <c r="T367" i="15"/>
  <c r="T371" i="15"/>
  <c r="T369" i="15"/>
  <c r="T207" i="15"/>
  <c r="L18" i="50" s="1"/>
  <c r="T363" i="15"/>
  <c r="T370" i="15"/>
  <c r="T368" i="15"/>
  <c r="T372" i="15"/>
  <c r="T366" i="15"/>
  <c r="T281" i="15"/>
  <c r="T285" i="15"/>
  <c r="T279" i="15"/>
  <c r="T283" i="15"/>
  <c r="T286" i="15"/>
  <c r="T278" i="15"/>
  <c r="T284" i="15"/>
  <c r="T282" i="15"/>
  <c r="T280" i="15"/>
  <c r="T277" i="15"/>
  <c r="T276" i="15"/>
  <c r="V288" i="34"/>
  <c r="U145" i="12"/>
  <c r="P144" i="33"/>
  <c r="P159" i="33" s="1"/>
  <c r="P113" i="33"/>
  <c r="V363" i="17"/>
  <c r="V366" i="17"/>
  <c r="V371" i="17"/>
  <c r="V365" i="17"/>
  <c r="V370" i="17"/>
  <c r="V368" i="17"/>
  <c r="V207" i="17"/>
  <c r="N20" i="50" s="1"/>
  <c r="V362" i="17"/>
  <c r="V364" i="17"/>
  <c r="V369" i="17"/>
  <c r="V367" i="17"/>
  <c r="V372" i="17"/>
  <c r="V277" i="17"/>
  <c r="V278" i="17"/>
  <c r="V276" i="17"/>
  <c r="V282" i="17"/>
  <c r="V281" i="17"/>
  <c r="V284" i="17"/>
  <c r="V283" i="17"/>
  <c r="V286" i="17"/>
  <c r="V285" i="17"/>
  <c r="V280" i="17"/>
  <c r="V279" i="17"/>
  <c r="P205" i="17"/>
  <c r="V182" i="30"/>
  <c r="P182" i="30"/>
  <c r="V113" i="40"/>
  <c r="V143" i="40"/>
  <c r="V159" i="40" s="1"/>
  <c r="T288" i="45"/>
  <c r="R288" i="45"/>
  <c r="U143" i="12"/>
  <c r="U113" i="12"/>
  <c r="R159" i="24"/>
  <c r="X159" i="24" s="1"/>
  <c r="X143" i="24"/>
  <c r="R159" i="35"/>
  <c r="X159" i="35" s="1"/>
  <c r="X143" i="35"/>
  <c r="R182" i="41"/>
  <c r="X182" i="41" s="1"/>
  <c r="X166" i="41"/>
  <c r="V288" i="38"/>
  <c r="Q207" i="33"/>
  <c r="Q363" i="33"/>
  <c r="Q371" i="33"/>
  <c r="Q276" i="33"/>
  <c r="Q277" i="33"/>
  <c r="Q367" i="33"/>
  <c r="Q285" i="33"/>
  <c r="Q284" i="33"/>
  <c r="Q282" i="33"/>
  <c r="Q366" i="33"/>
  <c r="Q369" i="33"/>
  <c r="Q279" i="33"/>
  <c r="Q372" i="33"/>
  <c r="Q362" i="33"/>
  <c r="Q281" i="33"/>
  <c r="Q278" i="33"/>
  <c r="Q368" i="33"/>
  <c r="Q286" i="33"/>
  <c r="Q365" i="33"/>
  <c r="Q370" i="33"/>
  <c r="Q280" i="33"/>
  <c r="Q283" i="33"/>
  <c r="Q364" i="33"/>
  <c r="R182" i="17"/>
  <c r="X166" i="17"/>
  <c r="R150" i="30"/>
  <c r="X104" i="30"/>
  <c r="R281" i="40"/>
  <c r="R285" i="40"/>
  <c r="R363" i="40"/>
  <c r="R371" i="40"/>
  <c r="R362" i="40"/>
  <c r="R364" i="40"/>
  <c r="R282" i="40"/>
  <c r="R365" i="40"/>
  <c r="R370" i="40"/>
  <c r="R207" i="40"/>
  <c r="J33" i="50" s="1"/>
  <c r="R283" i="40"/>
  <c r="R277" i="40"/>
  <c r="R367" i="40"/>
  <c r="R366" i="40"/>
  <c r="X89" i="40"/>
  <c r="X207" i="40" s="1"/>
  <c r="R279" i="40"/>
  <c r="R284" i="40"/>
  <c r="R286" i="40"/>
  <c r="R369" i="40"/>
  <c r="R368" i="40"/>
  <c r="R372" i="40"/>
  <c r="R276" i="40"/>
  <c r="R280" i="40"/>
  <c r="R278" i="40"/>
  <c r="R182" i="25"/>
  <c r="X182" i="25" s="1"/>
  <c r="X166" i="25"/>
  <c r="T113" i="12"/>
  <c r="T143" i="12"/>
  <c r="V343" i="48"/>
  <c r="V322" i="48"/>
  <c r="X136" i="33"/>
  <c r="R139" i="43"/>
  <c r="X139" i="43" s="1"/>
  <c r="X123" i="43"/>
  <c r="X126" i="37"/>
  <c r="T366" i="33"/>
  <c r="T365" i="33"/>
  <c r="T368" i="33"/>
  <c r="T372" i="33"/>
  <c r="T207" i="33"/>
  <c r="L28" i="50" s="1"/>
  <c r="T363" i="33"/>
  <c r="T370" i="33"/>
  <c r="T364" i="33"/>
  <c r="T362" i="33"/>
  <c r="T367" i="33"/>
  <c r="T371" i="33"/>
  <c r="T283" i="33"/>
  <c r="T282" i="33"/>
  <c r="T281" i="33"/>
  <c r="T369" i="33"/>
  <c r="T277" i="33"/>
  <c r="T286" i="33"/>
  <c r="T284" i="33"/>
  <c r="T285" i="33"/>
  <c r="T276" i="33"/>
  <c r="T279" i="33"/>
  <c r="T280" i="33"/>
  <c r="T278" i="33"/>
  <c r="I30" i="50"/>
  <c r="R288" i="29"/>
  <c r="T365" i="32"/>
  <c r="T362" i="32"/>
  <c r="T367" i="32"/>
  <c r="T371" i="32"/>
  <c r="T364" i="32"/>
  <c r="T369" i="32"/>
  <c r="T207" i="32"/>
  <c r="L27" i="50" s="1"/>
  <c r="T363" i="32"/>
  <c r="T370" i="32"/>
  <c r="T368" i="32"/>
  <c r="T372" i="32"/>
  <c r="T279" i="32"/>
  <c r="T282" i="32"/>
  <c r="T366" i="32"/>
  <c r="T284" i="32"/>
  <c r="T281" i="32"/>
  <c r="T278" i="32"/>
  <c r="T286" i="32"/>
  <c r="T283" i="32"/>
  <c r="T285" i="32"/>
  <c r="T276" i="32"/>
  <c r="T280" i="32"/>
  <c r="T277" i="32"/>
  <c r="U362" i="25"/>
  <c r="U365" i="25"/>
  <c r="U369" i="25"/>
  <c r="U363" i="25"/>
  <c r="U367" i="25"/>
  <c r="U371" i="25"/>
  <c r="U364" i="25"/>
  <c r="U372" i="25"/>
  <c r="U368" i="25"/>
  <c r="U366" i="25"/>
  <c r="U207" i="25"/>
  <c r="M22" i="50" s="1"/>
  <c r="U370" i="25"/>
  <c r="U284" i="25"/>
  <c r="U276" i="25"/>
  <c r="U281" i="25"/>
  <c r="U278" i="25"/>
  <c r="U282" i="25"/>
  <c r="U279" i="25"/>
  <c r="U283" i="25"/>
  <c r="U286" i="25"/>
  <c r="U277" i="25"/>
  <c r="U280" i="25"/>
  <c r="U285" i="25"/>
  <c r="Q136" i="12"/>
  <c r="X169" i="30"/>
  <c r="R139" i="20"/>
  <c r="X123" i="20"/>
  <c r="S143" i="41"/>
  <c r="S159" i="41" s="1"/>
  <c r="S113" i="41"/>
  <c r="Q345" i="48"/>
  <c r="Q324" i="48"/>
  <c r="T243" i="48"/>
  <c r="S288" i="24"/>
  <c r="I21" i="50"/>
  <c r="R146" i="12"/>
  <c r="X100" i="12"/>
  <c r="I24" i="50"/>
  <c r="R159" i="34"/>
  <c r="X159" i="34" s="1"/>
  <c r="X143" i="34"/>
  <c r="R288" i="28"/>
  <c r="P136" i="17"/>
  <c r="V288" i="43"/>
  <c r="P37" i="50"/>
  <c r="T364" i="25"/>
  <c r="T362" i="25"/>
  <c r="T365" i="25"/>
  <c r="T370" i="25"/>
  <c r="T207" i="25"/>
  <c r="L22" i="50" s="1"/>
  <c r="T368" i="25"/>
  <c r="T372" i="25"/>
  <c r="T366" i="25"/>
  <c r="T363" i="25"/>
  <c r="T286" i="25"/>
  <c r="T283" i="25"/>
  <c r="T280" i="25"/>
  <c r="T282" i="25"/>
  <c r="T276" i="25"/>
  <c r="T369" i="25"/>
  <c r="T281" i="25"/>
  <c r="T277" i="25"/>
  <c r="T371" i="25"/>
  <c r="T367" i="25"/>
  <c r="T284" i="25"/>
  <c r="T285" i="25"/>
  <c r="T279" i="25"/>
  <c r="T278" i="25"/>
  <c r="T365" i="41"/>
  <c r="T369" i="41"/>
  <c r="T281" i="41"/>
  <c r="T280" i="41"/>
  <c r="T278" i="41"/>
  <c r="T362" i="41"/>
  <c r="T277" i="41"/>
  <c r="T279" i="41"/>
  <c r="T363" i="41"/>
  <c r="T367" i="41"/>
  <c r="T371" i="41"/>
  <c r="T285" i="41"/>
  <c r="T286" i="41"/>
  <c r="T276" i="41"/>
  <c r="T364" i="41"/>
  <c r="T368" i="41"/>
  <c r="T372" i="41"/>
  <c r="T207" i="41"/>
  <c r="L34" i="50" s="1"/>
  <c r="T282" i="41"/>
  <c r="T284" i="41"/>
  <c r="T366" i="41"/>
  <c r="T370" i="41"/>
  <c r="T283" i="41"/>
  <c r="V288" i="35"/>
  <c r="P182" i="15"/>
  <c r="P143" i="15"/>
  <c r="P113" i="15"/>
  <c r="V363" i="33"/>
  <c r="V362" i="33"/>
  <c r="V366" i="33"/>
  <c r="V371" i="33"/>
  <c r="V367" i="33"/>
  <c r="V370" i="33"/>
  <c r="V368" i="33"/>
  <c r="V207" i="33"/>
  <c r="N28" i="50" s="1"/>
  <c r="V364" i="33"/>
  <c r="V365" i="33"/>
  <c r="V369" i="33"/>
  <c r="V372" i="33"/>
  <c r="V276" i="33"/>
  <c r="V281" i="33"/>
  <c r="V285" i="33"/>
  <c r="V284" i="33"/>
  <c r="V286" i="33"/>
  <c r="V277" i="33"/>
  <c r="V283" i="33"/>
  <c r="V282" i="33"/>
  <c r="V280" i="33"/>
  <c r="V278" i="33"/>
  <c r="V279" i="33"/>
  <c r="P145" i="30"/>
  <c r="R159" i="28"/>
  <c r="X159" i="28" s="1"/>
  <c r="X143" i="28"/>
  <c r="R280" i="17"/>
  <c r="R284" i="17"/>
  <c r="R207" i="17"/>
  <c r="J20" i="50" s="1"/>
  <c r="R277" i="17"/>
  <c r="R279" i="17"/>
  <c r="R283" i="17"/>
  <c r="R363" i="17"/>
  <c r="R281" i="17"/>
  <c r="R362" i="17"/>
  <c r="R366" i="17"/>
  <c r="R370" i="17"/>
  <c r="R282" i="17"/>
  <c r="R365" i="17"/>
  <c r="R369" i="17"/>
  <c r="R368" i="17"/>
  <c r="R285" i="17"/>
  <c r="R372" i="17"/>
  <c r="R276" i="17"/>
  <c r="R278" i="17"/>
  <c r="R371" i="17"/>
  <c r="R364" i="17"/>
  <c r="R367" i="17"/>
  <c r="R286" i="17"/>
  <c r="X89" i="17"/>
  <c r="X207" i="17" s="1"/>
  <c r="U363" i="17"/>
  <c r="U367" i="17"/>
  <c r="U371" i="17"/>
  <c r="U362" i="17"/>
  <c r="U365" i="17"/>
  <c r="U369" i="17"/>
  <c r="U370" i="17"/>
  <c r="U366" i="17"/>
  <c r="U364" i="17"/>
  <c r="U372" i="17"/>
  <c r="U368" i="17"/>
  <c r="U283" i="17"/>
  <c r="U280" i="17"/>
  <c r="U282" i="17"/>
  <c r="U281" i="17"/>
  <c r="U277" i="17"/>
  <c r="U285" i="17"/>
  <c r="U279" i="17"/>
  <c r="U286" i="17"/>
  <c r="U284" i="17"/>
  <c r="U278" i="17"/>
  <c r="U207" i="17"/>
  <c r="M20" i="50" s="1"/>
  <c r="U276" i="17"/>
  <c r="X121" i="15"/>
  <c r="V146" i="12"/>
  <c r="U284" i="40"/>
  <c r="U366" i="40"/>
  <c r="U207" i="40"/>
  <c r="M33" i="50" s="1"/>
  <c r="U367" i="40"/>
  <c r="U281" i="40"/>
  <c r="U276" i="40"/>
  <c r="U277" i="40"/>
  <c r="U371" i="40"/>
  <c r="U369" i="40"/>
  <c r="U362" i="40"/>
  <c r="U370" i="40"/>
  <c r="U280" i="40"/>
  <c r="U285" i="40"/>
  <c r="U283" i="40"/>
  <c r="U279" i="40"/>
  <c r="U364" i="40"/>
  <c r="U372" i="40"/>
  <c r="U363" i="40"/>
  <c r="U278" i="40"/>
  <c r="U365" i="40"/>
  <c r="U368" i="40"/>
  <c r="U286" i="40"/>
  <c r="U282" i="40"/>
  <c r="P182" i="32"/>
  <c r="T182" i="12"/>
  <c r="P113" i="12"/>
  <c r="P143" i="12"/>
  <c r="V348" i="48"/>
  <c r="V327" i="48"/>
  <c r="R288" i="20"/>
  <c r="J40" i="50"/>
  <c r="X168" i="15"/>
  <c r="I26" i="50"/>
  <c r="Q207" i="17"/>
  <c r="Q367" i="17"/>
  <c r="Q372" i="17"/>
  <c r="Q281" i="17"/>
  <c r="Q365" i="17"/>
  <c r="Q279" i="17"/>
  <c r="Q366" i="17"/>
  <c r="Q362" i="17"/>
  <c r="Q282" i="17"/>
  <c r="Q371" i="17"/>
  <c r="Q277" i="17"/>
  <c r="Q364" i="17"/>
  <c r="Q280" i="17"/>
  <c r="Q363" i="17"/>
  <c r="Q278" i="17"/>
  <c r="Q285" i="17"/>
  <c r="Q369" i="17"/>
  <c r="Q286" i="17"/>
  <c r="Q368" i="17"/>
  <c r="Q276" i="17"/>
  <c r="Q284" i="17"/>
  <c r="Q283" i="17"/>
  <c r="Q370" i="17"/>
  <c r="U143" i="15"/>
  <c r="U159" i="15" s="1"/>
  <c r="U113" i="15"/>
  <c r="I39" i="50"/>
  <c r="X124" i="30"/>
  <c r="X124" i="37"/>
  <c r="V288" i="37"/>
  <c r="S182" i="30"/>
  <c r="R281" i="30"/>
  <c r="R285" i="30"/>
  <c r="R277" i="30"/>
  <c r="R280" i="30"/>
  <c r="R284" i="30"/>
  <c r="R364" i="30"/>
  <c r="R282" i="30"/>
  <c r="R362" i="30"/>
  <c r="R367" i="30"/>
  <c r="R371" i="30"/>
  <c r="R276" i="30"/>
  <c r="R283" i="30"/>
  <c r="R363" i="30"/>
  <c r="R366" i="30"/>
  <c r="R370" i="30"/>
  <c r="R207" i="30"/>
  <c r="J25" i="50" s="1"/>
  <c r="R278" i="30"/>
  <c r="R365" i="30"/>
  <c r="R369" i="30"/>
  <c r="R279" i="30"/>
  <c r="R286" i="30"/>
  <c r="R368" i="30"/>
  <c r="X89" i="30"/>
  <c r="X207" i="30" s="1"/>
  <c r="R372" i="30"/>
  <c r="S364" i="40"/>
  <c r="S372" i="40"/>
  <c r="S280" i="40"/>
  <c r="S363" i="40"/>
  <c r="S369" i="40"/>
  <c r="S277" i="40"/>
  <c r="S207" i="40"/>
  <c r="K33" i="50" s="1"/>
  <c r="S367" i="40"/>
  <c r="S278" i="40"/>
  <c r="S368" i="40"/>
  <c r="S279" i="40"/>
  <c r="S286" i="40"/>
  <c r="S371" i="40"/>
  <c r="S282" i="40"/>
  <c r="S362" i="40"/>
  <c r="S370" i="40"/>
  <c r="S285" i="40"/>
  <c r="S281" i="40"/>
  <c r="S283" i="40"/>
  <c r="S365" i="40"/>
  <c r="S366" i="40"/>
  <c r="S284" i="40"/>
  <c r="S276" i="40"/>
  <c r="S288" i="45"/>
  <c r="Q113" i="32"/>
  <c r="Q143" i="32"/>
  <c r="Q159" i="32" s="1"/>
  <c r="T143" i="32"/>
  <c r="T159" i="32" s="1"/>
  <c r="T113" i="32"/>
  <c r="Q182" i="12"/>
  <c r="I38" i="111" s="1"/>
  <c r="Q344" i="48"/>
  <c r="Q323" i="48"/>
  <c r="X182" i="33"/>
  <c r="S365" i="15"/>
  <c r="S366" i="15"/>
  <c r="S370" i="15"/>
  <c r="S362" i="15"/>
  <c r="S364" i="15"/>
  <c r="S368" i="15"/>
  <c r="S372" i="15"/>
  <c r="S371" i="15"/>
  <c r="S367" i="15"/>
  <c r="S363" i="15"/>
  <c r="S279" i="15"/>
  <c r="S281" i="15"/>
  <c r="S286" i="15"/>
  <c r="S369" i="15"/>
  <c r="S276" i="15"/>
  <c r="S285" i="15"/>
  <c r="S282" i="15"/>
  <c r="S207" i="15"/>
  <c r="K18" i="50" s="1"/>
  <c r="S277" i="15"/>
  <c r="S284" i="15"/>
  <c r="S280" i="15"/>
  <c r="S278" i="15"/>
  <c r="S283" i="15"/>
  <c r="S288" i="47"/>
  <c r="V144" i="33"/>
  <c r="U144" i="33"/>
  <c r="U159" i="33" s="1"/>
  <c r="U113" i="33"/>
  <c r="R139" i="37"/>
  <c r="X123" i="37"/>
  <c r="X123" i="12"/>
  <c r="U143" i="32"/>
  <c r="U159" i="32" s="1"/>
  <c r="U113" i="32"/>
  <c r="Q145" i="32"/>
  <c r="R182" i="12"/>
  <c r="X166" i="12"/>
  <c r="T76" i="19"/>
  <c r="T94" i="19"/>
  <c r="T96" i="19" s="1"/>
  <c r="R288" i="24"/>
  <c r="S146" i="30"/>
  <c r="U280" i="41"/>
  <c r="U281" i="41"/>
  <c r="U367" i="41"/>
  <c r="U283" i="41"/>
  <c r="U364" i="41"/>
  <c r="U276" i="41"/>
  <c r="U370" i="41"/>
  <c r="U286" i="41"/>
  <c r="U368" i="41"/>
  <c r="U284" i="41"/>
  <c r="U278" i="41"/>
  <c r="U371" i="41"/>
  <c r="U207" i="41"/>
  <c r="M34" i="50" s="1"/>
  <c r="U279" i="41"/>
  <c r="U372" i="41"/>
  <c r="U282" i="41"/>
  <c r="U369" i="41"/>
  <c r="U363" i="41"/>
  <c r="U285" i="41"/>
  <c r="U366" i="41"/>
  <c r="U365" i="41"/>
  <c r="U362" i="41"/>
  <c r="U277" i="41"/>
  <c r="R145" i="17"/>
  <c r="X99" i="17"/>
  <c r="R288" i="6"/>
  <c r="S148" i="30"/>
  <c r="S365" i="32"/>
  <c r="S364" i="32"/>
  <c r="S366" i="32"/>
  <c r="S370" i="32"/>
  <c r="S362" i="32"/>
  <c r="S368" i="32"/>
  <c r="S372" i="32"/>
  <c r="S371" i="32"/>
  <c r="S363" i="32"/>
  <c r="S367" i="32"/>
  <c r="S285" i="32"/>
  <c r="S286" i="32"/>
  <c r="S282" i="32"/>
  <c r="S281" i="32"/>
  <c r="S276" i="32"/>
  <c r="S280" i="32"/>
  <c r="S277" i="32"/>
  <c r="S369" i="32"/>
  <c r="S284" i="32"/>
  <c r="S278" i="32"/>
  <c r="S207" i="32"/>
  <c r="K27" i="50" s="1"/>
  <c r="S283" i="32"/>
  <c r="S279" i="32"/>
  <c r="R145" i="32"/>
  <c r="X145" i="32" s="1"/>
  <c r="X99" i="32"/>
  <c r="U145" i="32"/>
  <c r="T143" i="25"/>
  <c r="T159" i="25" s="1"/>
  <c r="T113" i="25"/>
  <c r="V143" i="12"/>
  <c r="V113" i="12"/>
  <c r="M38" i="111"/>
  <c r="M42" i="111" s="1"/>
  <c r="R372" i="41"/>
  <c r="R278" i="41"/>
  <c r="R282" i="41"/>
  <c r="R286" i="41"/>
  <c r="R366" i="41"/>
  <c r="X89" i="41"/>
  <c r="X207" i="41" s="1"/>
  <c r="R207" i="41"/>
  <c r="J34" i="50" s="1"/>
  <c r="R279" i="41"/>
  <c r="R362" i="41"/>
  <c r="R368" i="41"/>
  <c r="R276" i="41"/>
  <c r="R280" i="41"/>
  <c r="R284" i="41"/>
  <c r="R363" i="41"/>
  <c r="R369" i="41"/>
  <c r="R370" i="41"/>
  <c r="R277" i="41"/>
  <c r="R281" i="41"/>
  <c r="R285" i="41"/>
  <c r="R364" i="41"/>
  <c r="R371" i="41"/>
  <c r="R365" i="41"/>
  <c r="R283" i="41"/>
  <c r="R367" i="41"/>
  <c r="T143" i="41"/>
  <c r="T159" i="41" s="1"/>
  <c r="T113" i="41"/>
  <c r="V145" i="15"/>
  <c r="V139" i="20"/>
  <c r="P146" i="15"/>
  <c r="T288" i="29"/>
  <c r="V288" i="29"/>
  <c r="S288" i="20"/>
  <c r="T145" i="17"/>
  <c r="X143" i="33"/>
  <c r="V362" i="15"/>
  <c r="V365" i="15"/>
  <c r="V370" i="15"/>
  <c r="V364" i="15"/>
  <c r="V366" i="15"/>
  <c r="V369" i="15"/>
  <c r="V207" i="15"/>
  <c r="N18" i="50" s="1"/>
  <c r="V363" i="15"/>
  <c r="V367" i="15"/>
  <c r="V372" i="15"/>
  <c r="V368" i="15"/>
  <c r="V371" i="15"/>
  <c r="V286" i="15"/>
  <c r="V280" i="15"/>
  <c r="V285" i="15"/>
  <c r="V278" i="15"/>
  <c r="V279" i="15"/>
  <c r="V283" i="15"/>
  <c r="V276" i="15"/>
  <c r="V282" i="15"/>
  <c r="V277" i="15"/>
  <c r="V281" i="15"/>
  <c r="V284" i="15"/>
  <c r="V144" i="32"/>
  <c r="R145" i="12"/>
  <c r="X99" i="12"/>
  <c r="S145" i="12"/>
  <c r="Q147" i="30"/>
  <c r="M226" i="50"/>
  <c r="X144" i="24"/>
  <c r="R288" i="14"/>
  <c r="S362" i="33"/>
  <c r="S363" i="33"/>
  <c r="S367" i="33"/>
  <c r="S371" i="33"/>
  <c r="S365" i="33"/>
  <c r="S369" i="33"/>
  <c r="S372" i="33"/>
  <c r="S368" i="33"/>
  <c r="S207" i="33"/>
  <c r="K28" i="50" s="1"/>
  <c r="S366" i="33"/>
  <c r="S276" i="33"/>
  <c r="S285" i="33"/>
  <c r="S286" i="33"/>
  <c r="S277" i="33"/>
  <c r="S280" i="33"/>
  <c r="S282" i="33"/>
  <c r="S370" i="33"/>
  <c r="S279" i="33"/>
  <c r="S284" i="33"/>
  <c r="S283" i="33"/>
  <c r="S281" i="33"/>
  <c r="S364" i="33"/>
  <c r="S278" i="33"/>
  <c r="R136" i="17"/>
  <c r="X120" i="17"/>
  <c r="U136" i="17"/>
  <c r="S144" i="12"/>
  <c r="V288" i="31"/>
  <c r="V288" i="28"/>
  <c r="Q207" i="30"/>
  <c r="Q372" i="30"/>
  <c r="Q371" i="30"/>
  <c r="Q363" i="30"/>
  <c r="Q370" i="30"/>
  <c r="Q362" i="30"/>
  <c r="Q367" i="30"/>
  <c r="Q366" i="30"/>
  <c r="Q277" i="30"/>
  <c r="Q282" i="30"/>
  <c r="Q280" i="30"/>
  <c r="Q368" i="30"/>
  <c r="Q369" i="30"/>
  <c r="Q284" i="30"/>
  <c r="Q286" i="30"/>
  <c r="Q279" i="30"/>
  <c r="Q276" i="30"/>
  <c r="Q285" i="30"/>
  <c r="Q283" i="30"/>
  <c r="Q364" i="30"/>
  <c r="Q278" i="30"/>
  <c r="Q365" i="30"/>
  <c r="Q281" i="30"/>
  <c r="U364" i="30"/>
  <c r="U368" i="30"/>
  <c r="U372" i="30"/>
  <c r="U362" i="30"/>
  <c r="U366" i="30"/>
  <c r="U370" i="30"/>
  <c r="U367" i="30"/>
  <c r="U363" i="30"/>
  <c r="U371" i="30"/>
  <c r="U207" i="30"/>
  <c r="M25" i="50" s="1"/>
  <c r="U369" i="30"/>
  <c r="U279" i="30"/>
  <c r="U282" i="30"/>
  <c r="U286" i="30"/>
  <c r="U280" i="30"/>
  <c r="U365" i="30"/>
  <c r="U278" i="30"/>
  <c r="U276" i="30"/>
  <c r="U283" i="30"/>
  <c r="U285" i="30"/>
  <c r="U284" i="30"/>
  <c r="U281" i="30"/>
  <c r="U277" i="30"/>
  <c r="X98" i="15"/>
  <c r="R144" i="15"/>
  <c r="S288" i="37"/>
  <c r="X93" i="38"/>
  <c r="P39" i="50"/>
  <c r="X93" i="47"/>
  <c r="V148" i="30"/>
  <c r="R136" i="40"/>
  <c r="X136" i="40" s="1"/>
  <c r="X120" i="40"/>
  <c r="V362" i="32"/>
  <c r="V365" i="32"/>
  <c r="V367" i="32"/>
  <c r="V370" i="32"/>
  <c r="V364" i="32"/>
  <c r="V369" i="32"/>
  <c r="V207" i="32"/>
  <c r="N27" i="50" s="1"/>
  <c r="V366" i="32"/>
  <c r="V372" i="32"/>
  <c r="V363" i="32"/>
  <c r="V368" i="32"/>
  <c r="V371" i="32"/>
  <c r="V277" i="32"/>
  <c r="V276" i="32"/>
  <c r="V282" i="32"/>
  <c r="V281" i="32"/>
  <c r="V286" i="32"/>
  <c r="V285" i="32"/>
  <c r="V278" i="32"/>
  <c r="V280" i="32"/>
  <c r="V279" i="32"/>
  <c r="V283" i="32"/>
  <c r="V284" i="32"/>
  <c r="V113" i="25"/>
  <c r="V143" i="25"/>
  <c r="V159" i="25" s="1"/>
  <c r="R113" i="25"/>
  <c r="X97" i="25"/>
  <c r="R143" i="25"/>
  <c r="R276" i="25"/>
  <c r="R278" i="25"/>
  <c r="R282" i="25"/>
  <c r="R207" i="25"/>
  <c r="J22" i="50" s="1"/>
  <c r="R281" i="25"/>
  <c r="R285" i="25"/>
  <c r="R277" i="25"/>
  <c r="R283" i="25"/>
  <c r="R364" i="25"/>
  <c r="R368" i="25"/>
  <c r="R372" i="25"/>
  <c r="R284" i="25"/>
  <c r="R286" i="25"/>
  <c r="R367" i="25"/>
  <c r="R371" i="25"/>
  <c r="R362" i="25"/>
  <c r="R370" i="25"/>
  <c r="R279" i="25"/>
  <c r="R366" i="25"/>
  <c r="R365" i="25"/>
  <c r="R363" i="25"/>
  <c r="R369" i="25"/>
  <c r="R280" i="25"/>
  <c r="X89" i="25"/>
  <c r="X207" i="25" s="1"/>
  <c r="T363" i="12"/>
  <c r="T367" i="12"/>
  <c r="T362" i="12"/>
  <c r="T365" i="12"/>
  <c r="T369" i="12"/>
  <c r="T371" i="12"/>
  <c r="T207" i="12"/>
  <c r="L16" i="50" s="1"/>
  <c r="T368" i="12"/>
  <c r="T372" i="12"/>
  <c r="T364" i="12"/>
  <c r="T370" i="12"/>
  <c r="T285" i="12"/>
  <c r="T286" i="12"/>
  <c r="T366" i="12"/>
  <c r="T277" i="12"/>
  <c r="T279" i="12"/>
  <c r="T278" i="12"/>
  <c r="T282" i="12"/>
  <c r="T283" i="12"/>
  <c r="T281" i="12"/>
  <c r="T276" i="12"/>
  <c r="T280" i="12"/>
  <c r="T284" i="12"/>
  <c r="P182" i="12"/>
  <c r="S288" i="43"/>
  <c r="V340" i="48"/>
  <c r="V319" i="48"/>
  <c r="V396" i="48"/>
  <c r="N41" i="50"/>
  <c r="V190" i="48"/>
  <c r="V146" i="30"/>
  <c r="R145" i="15"/>
  <c r="X145" i="15" s="1"/>
  <c r="X99" i="15"/>
  <c r="V149" i="30"/>
  <c r="T149" i="30"/>
  <c r="S139" i="20"/>
  <c r="S288" i="34"/>
  <c r="Q113" i="17"/>
  <c r="Q145" i="17"/>
  <c r="Q159" i="17" s="1"/>
  <c r="P145" i="17"/>
  <c r="R113" i="15"/>
  <c r="X97" i="15"/>
  <c r="R143" i="15"/>
  <c r="R277" i="15"/>
  <c r="R279" i="15"/>
  <c r="R283" i="15"/>
  <c r="R207" i="15"/>
  <c r="J18" i="50" s="1"/>
  <c r="R276" i="15"/>
  <c r="R278" i="15"/>
  <c r="R282" i="15"/>
  <c r="R286" i="15"/>
  <c r="R362" i="15"/>
  <c r="R284" i="15"/>
  <c r="R365" i="15"/>
  <c r="R369" i="15"/>
  <c r="R285" i="15"/>
  <c r="R363" i="15"/>
  <c r="R368" i="15"/>
  <c r="R372" i="15"/>
  <c r="R280" i="15"/>
  <c r="R364" i="15"/>
  <c r="R367" i="15"/>
  <c r="R371" i="15"/>
  <c r="R281" i="15"/>
  <c r="R370" i="15"/>
  <c r="R366" i="15"/>
  <c r="X89" i="15"/>
  <c r="X207" i="15" s="1"/>
  <c r="U362" i="15"/>
  <c r="U366" i="15"/>
  <c r="U370" i="15"/>
  <c r="U364" i="15"/>
  <c r="U368" i="15"/>
  <c r="U372" i="15"/>
  <c r="U369" i="15"/>
  <c r="U207" i="15"/>
  <c r="M18" i="50" s="1"/>
  <c r="U365" i="15"/>
  <c r="U371" i="15"/>
  <c r="U363" i="15"/>
  <c r="U280" i="15"/>
  <c r="U283" i="15"/>
  <c r="U284" i="15"/>
  <c r="U286" i="15"/>
  <c r="U278" i="15"/>
  <c r="U282" i="15"/>
  <c r="U367" i="15"/>
  <c r="U279" i="15"/>
  <c r="U281" i="15"/>
  <c r="U285" i="15"/>
  <c r="U277" i="15"/>
  <c r="U276" i="15"/>
  <c r="X93" i="31"/>
  <c r="V146" i="17"/>
  <c r="X122" i="30"/>
  <c r="T145" i="12"/>
  <c r="Q288" i="38"/>
  <c r="R147" i="30"/>
  <c r="X101" i="30"/>
  <c r="T113" i="17"/>
  <c r="T143" i="17"/>
  <c r="Q144" i="12"/>
  <c r="Q288" i="35"/>
  <c r="Q288" i="34"/>
  <c r="S136" i="30"/>
  <c r="R143" i="30"/>
  <c r="R113" i="30"/>
  <c r="X113" i="30" s="1"/>
  <c r="X97" i="30"/>
  <c r="X113" i="29"/>
  <c r="P31" i="50"/>
  <c r="R148" i="30"/>
  <c r="X102" i="30"/>
  <c r="S143" i="40"/>
  <c r="S159" i="40" s="1"/>
  <c r="S113" i="40"/>
  <c r="Q182" i="32"/>
  <c r="T182" i="32"/>
  <c r="Q143" i="25"/>
  <c r="Q159" i="25" s="1"/>
  <c r="Q113" i="25"/>
  <c r="U113" i="25"/>
  <c r="U143" i="25"/>
  <c r="U159" i="25" s="1"/>
  <c r="S113" i="12"/>
  <c r="S143" i="12"/>
  <c r="S288" i="35"/>
  <c r="X145" i="24"/>
  <c r="V139" i="48"/>
  <c r="X139" i="48" s="1"/>
  <c r="X123" i="48"/>
  <c r="R146" i="30"/>
  <c r="X146" i="30" s="1"/>
  <c r="X100" i="30"/>
  <c r="J15" i="111"/>
  <c r="X93" i="20"/>
  <c r="S282" i="41"/>
  <c r="S286" i="41"/>
  <c r="S207" i="41"/>
  <c r="K34" i="50" s="1"/>
  <c r="S366" i="41"/>
  <c r="S365" i="41"/>
  <c r="S283" i="41"/>
  <c r="S276" i="41"/>
  <c r="S372" i="41"/>
  <c r="S364" i="41"/>
  <c r="S278" i="41"/>
  <c r="S281" i="41"/>
  <c r="S362" i="41"/>
  <c r="S284" i="41"/>
  <c r="S367" i="41"/>
  <c r="S285" i="41"/>
  <c r="S277" i="41"/>
  <c r="S370" i="41"/>
  <c r="S368" i="41"/>
  <c r="S371" i="41"/>
  <c r="S369" i="41"/>
  <c r="S280" i="41"/>
  <c r="S279" i="41"/>
  <c r="S363" i="41"/>
  <c r="V288" i="20"/>
  <c r="X121" i="30"/>
  <c r="V288" i="24"/>
  <c r="Q297" i="48"/>
  <c r="Q288" i="48"/>
  <c r="I41" i="50"/>
  <c r="Q190" i="48"/>
  <c r="Q149" i="30"/>
  <c r="X100" i="15"/>
  <c r="R146" i="15"/>
  <c r="S145" i="17"/>
  <c r="S182" i="15"/>
  <c r="R146" i="17"/>
  <c r="X100" i="17"/>
  <c r="X167" i="32"/>
  <c r="P144" i="32"/>
  <c r="V159" i="33"/>
  <c r="S145" i="30"/>
  <c r="P145" i="12"/>
  <c r="X121" i="17"/>
  <c r="U362" i="33"/>
  <c r="U363" i="33"/>
  <c r="U367" i="33"/>
  <c r="U371" i="33"/>
  <c r="U365" i="33"/>
  <c r="U369" i="33"/>
  <c r="U370" i="33"/>
  <c r="U366" i="33"/>
  <c r="U372" i="33"/>
  <c r="U364" i="33"/>
  <c r="U286" i="33"/>
  <c r="U283" i="33"/>
  <c r="U368" i="33"/>
  <c r="U284" i="33"/>
  <c r="U279" i="33"/>
  <c r="U282" i="33"/>
  <c r="U207" i="33"/>
  <c r="M28" i="50" s="1"/>
  <c r="U278" i="33"/>
  <c r="U277" i="33"/>
  <c r="U276" i="33"/>
  <c r="U285" i="33"/>
  <c r="U281" i="33"/>
  <c r="U280" i="33"/>
  <c r="S136" i="17"/>
  <c r="K26" i="111" s="1"/>
  <c r="K30" i="111" s="1"/>
  <c r="S150" i="30"/>
  <c r="V144" i="12"/>
  <c r="P144" i="12"/>
  <c r="T136" i="30"/>
  <c r="X169" i="12"/>
  <c r="P146" i="12"/>
  <c r="T148" i="30"/>
  <c r="T143" i="40"/>
  <c r="T159" i="40" s="1"/>
  <c r="T113" i="40"/>
  <c r="R143" i="32"/>
  <c r="X97" i="32"/>
  <c r="R113" i="32"/>
  <c r="X113" i="32" s="1"/>
  <c r="R207" i="32"/>
  <c r="J27" i="50" s="1"/>
  <c r="R277" i="32"/>
  <c r="R279" i="32"/>
  <c r="R283" i="32"/>
  <c r="R278" i="32"/>
  <c r="R282" i="32"/>
  <c r="R286" i="32"/>
  <c r="R362" i="32"/>
  <c r="R284" i="32"/>
  <c r="R364" i="32"/>
  <c r="R365" i="32"/>
  <c r="R369" i="32"/>
  <c r="R285" i="32"/>
  <c r="R368" i="32"/>
  <c r="R372" i="32"/>
  <c r="R276" i="32"/>
  <c r="R367" i="32"/>
  <c r="R280" i="32"/>
  <c r="R371" i="32"/>
  <c r="R363" i="32"/>
  <c r="R370" i="32"/>
  <c r="R366" i="32"/>
  <c r="R281" i="32"/>
  <c r="X89" i="32"/>
  <c r="X207" i="32" s="1"/>
  <c r="U366" i="32"/>
  <c r="U370" i="32"/>
  <c r="U362" i="32"/>
  <c r="U364" i="32"/>
  <c r="U368" i="32"/>
  <c r="U372" i="32"/>
  <c r="U369" i="32"/>
  <c r="U207" i="32"/>
  <c r="M27" i="50" s="1"/>
  <c r="U365" i="32"/>
  <c r="U363" i="32"/>
  <c r="U371" i="32"/>
  <c r="U279" i="32"/>
  <c r="U285" i="32"/>
  <c r="U278" i="32"/>
  <c r="U276" i="32"/>
  <c r="U281" i="32"/>
  <c r="U283" i="32"/>
  <c r="U284" i="32"/>
  <c r="U286" i="32"/>
  <c r="U367" i="32"/>
  <c r="U277" i="32"/>
  <c r="U280" i="32"/>
  <c r="U282" i="32"/>
  <c r="S362" i="25"/>
  <c r="S364" i="25"/>
  <c r="S369" i="25"/>
  <c r="S365" i="25"/>
  <c r="S367" i="25"/>
  <c r="S371" i="25"/>
  <c r="S363" i="25"/>
  <c r="S366" i="25"/>
  <c r="S207" i="25"/>
  <c r="K22" i="50" s="1"/>
  <c r="S370" i="25"/>
  <c r="S368" i="25"/>
  <c r="S372" i="25"/>
  <c r="S277" i="25"/>
  <c r="S276" i="25"/>
  <c r="S278" i="25"/>
  <c r="S283" i="25"/>
  <c r="S279" i="25"/>
  <c r="S281" i="25"/>
  <c r="S286" i="25"/>
  <c r="S280" i="25"/>
  <c r="S284" i="25"/>
  <c r="S282" i="25"/>
  <c r="S285" i="25"/>
  <c r="P365" i="25"/>
  <c r="P362" i="25"/>
  <c r="P364" i="25"/>
  <c r="P283" i="25"/>
  <c r="P304" i="25" s="1"/>
  <c r="P367" i="25"/>
  <c r="P281" i="25"/>
  <c r="P302" i="25" s="1"/>
  <c r="P285" i="25"/>
  <c r="P306" i="25" s="1"/>
  <c r="P363" i="25"/>
  <c r="P388" i="25"/>
  <c r="P277" i="25"/>
  <c r="P298" i="25" s="1"/>
  <c r="P393" i="25"/>
  <c r="P390" i="25"/>
  <c r="P286" i="25"/>
  <c r="P307" i="25" s="1"/>
  <c r="P282" i="25"/>
  <c r="P303" i="25" s="1"/>
  <c r="P284" i="25"/>
  <c r="P305" i="25" s="1"/>
  <c r="P370" i="25"/>
  <c r="P394" i="25"/>
  <c r="P366" i="25"/>
  <c r="P280" i="25"/>
  <c r="P301" i="25" s="1"/>
  <c r="P276" i="25"/>
  <c r="P207" i="25"/>
  <c r="P210" i="25" s="1"/>
  <c r="P392" i="25"/>
  <c r="P369" i="25"/>
  <c r="P368" i="25"/>
  <c r="P389" i="25"/>
  <c r="P278" i="25"/>
  <c r="P299" i="25" s="1"/>
  <c r="P371" i="25"/>
  <c r="P279" i="25"/>
  <c r="P300" i="25" s="1"/>
  <c r="P372" i="25"/>
  <c r="P391" i="25"/>
  <c r="Q288" i="29"/>
  <c r="P21" i="50"/>
  <c r="X125" i="37"/>
  <c r="N28" i="111"/>
  <c r="X116" i="48"/>
  <c r="R149" i="30"/>
  <c r="X103" i="30"/>
  <c r="U149" i="30"/>
  <c r="Q288" i="20"/>
  <c r="Q182" i="15"/>
  <c r="T136" i="15"/>
  <c r="X129" i="20"/>
  <c r="S146" i="17"/>
  <c r="V145" i="30"/>
  <c r="V147" i="30"/>
  <c r="T147" i="30"/>
  <c r="R159" i="14"/>
  <c r="X159" i="14" s="1"/>
  <c r="X143" i="14"/>
  <c r="X121" i="33"/>
  <c r="V288" i="44"/>
  <c r="V136" i="17"/>
  <c r="N26" i="111" s="1"/>
  <c r="N30" i="111" s="1"/>
  <c r="P143" i="17"/>
  <c r="P113" i="17"/>
  <c r="P284" i="17"/>
  <c r="P305" i="17" s="1"/>
  <c r="P371" i="17"/>
  <c r="P389" i="17"/>
  <c r="P276" i="17"/>
  <c r="P365" i="17"/>
  <c r="P283" i="17"/>
  <c r="P304" i="17" s="1"/>
  <c r="P281" i="17"/>
  <c r="P302" i="17" s="1"/>
  <c r="P363" i="17"/>
  <c r="P279" i="17"/>
  <c r="P300" i="17" s="1"/>
  <c r="P388" i="17"/>
  <c r="P372" i="17"/>
  <c r="P370" i="17"/>
  <c r="P362" i="17"/>
  <c r="P367" i="17"/>
  <c r="P369" i="17"/>
  <c r="P282" i="17"/>
  <c r="P303" i="17" s="1"/>
  <c r="P280" i="17"/>
  <c r="P301" i="17" s="1"/>
  <c r="P277" i="17"/>
  <c r="P298" i="17" s="1"/>
  <c r="P285" i="17"/>
  <c r="P306" i="17" s="1"/>
  <c r="P278" i="17"/>
  <c r="P299" i="17" s="1"/>
  <c r="P390" i="17"/>
  <c r="P366" i="17"/>
  <c r="P207" i="17"/>
  <c r="P210" i="17" s="1"/>
  <c r="P364" i="17"/>
  <c r="P394" i="17"/>
  <c r="P286" i="17"/>
  <c r="P307" i="17" s="1"/>
  <c r="P368" i="17"/>
  <c r="P393" i="17"/>
  <c r="P392" i="17"/>
  <c r="P391" i="17"/>
  <c r="V139" i="37"/>
  <c r="R144" i="12"/>
  <c r="X144" i="12" s="1"/>
  <c r="X98" i="12"/>
  <c r="V113" i="30"/>
  <c r="V143" i="30"/>
  <c r="P286" i="30"/>
  <c r="P307" i="30" s="1"/>
  <c r="P285" i="30"/>
  <c r="P306" i="30" s="1"/>
  <c r="P278" i="30"/>
  <c r="P299" i="30" s="1"/>
  <c r="P388" i="30"/>
  <c r="P282" i="30"/>
  <c r="P303" i="30" s="1"/>
  <c r="P394" i="30"/>
  <c r="P363" i="30"/>
  <c r="P389" i="30"/>
  <c r="P280" i="30"/>
  <c r="P301" i="30" s="1"/>
  <c r="P283" i="30"/>
  <c r="P304" i="30" s="1"/>
  <c r="P370" i="30"/>
  <c r="P392" i="30"/>
  <c r="P284" i="30"/>
  <c r="P305" i="30" s="1"/>
  <c r="P365" i="30"/>
  <c r="P368" i="30"/>
  <c r="P366" i="30"/>
  <c r="P207" i="30"/>
  <c r="P210" i="30" s="1"/>
  <c r="P369" i="30"/>
  <c r="P362" i="30"/>
  <c r="P276" i="30"/>
  <c r="P372" i="30"/>
  <c r="P279" i="30"/>
  <c r="P300" i="30" s="1"/>
  <c r="P367" i="30"/>
  <c r="P393" i="30"/>
  <c r="P277" i="30"/>
  <c r="P298" i="30" s="1"/>
  <c r="P371" i="30"/>
  <c r="P364" i="30"/>
  <c r="P281" i="30"/>
  <c r="P302" i="30" s="1"/>
  <c r="P390" i="30"/>
  <c r="P391" i="30"/>
  <c r="V144" i="15"/>
  <c r="P33" i="50"/>
  <c r="R288" i="32" l="1"/>
  <c r="S159" i="32"/>
  <c r="M43" i="50"/>
  <c r="P159" i="32"/>
  <c r="X113" i="25"/>
  <c r="X182" i="17"/>
  <c r="X145" i="17"/>
  <c r="S288" i="17"/>
  <c r="X146" i="17"/>
  <c r="P159" i="17"/>
  <c r="S159" i="17"/>
  <c r="X146" i="15"/>
  <c r="X113" i="15"/>
  <c r="L26" i="111"/>
  <c r="L30" i="111" s="1"/>
  <c r="T159" i="15"/>
  <c r="X182" i="15"/>
  <c r="K38" i="111"/>
  <c r="K42" i="111" s="1"/>
  <c r="K18" i="55"/>
  <c r="X144" i="15"/>
  <c r="X113" i="12"/>
  <c r="L38" i="111"/>
  <c r="L42" i="111" s="1"/>
  <c r="U159" i="12"/>
  <c r="N14" i="111"/>
  <c r="N18" i="111" s="1"/>
  <c r="Q159" i="12"/>
  <c r="P396" i="12"/>
  <c r="L18" i="54"/>
  <c r="L23" i="55"/>
  <c r="L19" i="55"/>
  <c r="J43" i="50"/>
  <c r="R75" i="19" s="1"/>
  <c r="R78" i="19" s="1"/>
  <c r="N43" i="50"/>
  <c r="L43" i="50"/>
  <c r="L13" i="65" s="1"/>
  <c r="N19" i="54"/>
  <c r="L20" i="54"/>
  <c r="J19" i="55"/>
  <c r="K43" i="50"/>
  <c r="S75" i="19" s="1"/>
  <c r="J18" i="55"/>
  <c r="J20" i="54"/>
  <c r="K21" i="55"/>
  <c r="K16" i="55"/>
  <c r="J18" i="54"/>
  <c r="J21" i="55"/>
  <c r="J24" i="54"/>
  <c r="N23" i="54"/>
  <c r="J21" i="54"/>
  <c r="J22" i="54"/>
  <c r="N24" i="54"/>
  <c r="N16" i="54"/>
  <c r="P238" i="30"/>
  <c r="P259" i="30"/>
  <c r="P212" i="30"/>
  <c r="P322" i="30"/>
  <c r="P343" i="30"/>
  <c r="P349" i="30"/>
  <c r="P328" i="30"/>
  <c r="P341" i="17"/>
  <c r="P320" i="17"/>
  <c r="P288" i="17"/>
  <c r="P297" i="17"/>
  <c r="P320" i="25"/>
  <c r="P341" i="25"/>
  <c r="P340" i="25"/>
  <c r="P319" i="25"/>
  <c r="P375" i="25"/>
  <c r="S41" i="50"/>
  <c r="T41" i="50" s="1"/>
  <c r="Q77" i="19"/>
  <c r="V288" i="32"/>
  <c r="S288" i="15"/>
  <c r="S39" i="50"/>
  <c r="T39" i="50" s="1"/>
  <c r="M17" i="55"/>
  <c r="M19" i="55"/>
  <c r="P159" i="15"/>
  <c r="J24" i="55"/>
  <c r="J14" i="55"/>
  <c r="J23" i="55"/>
  <c r="V94" i="19"/>
  <c r="V96" i="19" s="1"/>
  <c r="V76" i="19"/>
  <c r="I23" i="55"/>
  <c r="P345" i="32"/>
  <c r="P324" i="32"/>
  <c r="P327" i="32"/>
  <c r="P348" i="32"/>
  <c r="V159" i="32"/>
  <c r="N19" i="55"/>
  <c r="J14" i="111"/>
  <c r="P212" i="33"/>
  <c r="P259" i="33"/>
  <c r="P238" i="33"/>
  <c r="X72" i="5"/>
  <c r="U188" i="20" s="1"/>
  <c r="M75" i="111"/>
  <c r="M51" i="111"/>
  <c r="M63" i="111"/>
  <c r="N76" i="111"/>
  <c r="P76" i="111" s="1"/>
  <c r="P40" i="111"/>
  <c r="X182" i="32"/>
  <c r="M16" i="54"/>
  <c r="N21" i="54"/>
  <c r="K20" i="54"/>
  <c r="K16" i="54"/>
  <c r="Q288" i="25"/>
  <c r="I27" i="50"/>
  <c r="P259" i="15"/>
  <c r="P212" i="15"/>
  <c r="P238" i="15"/>
  <c r="N42" i="111"/>
  <c r="P396" i="30"/>
  <c r="V159" i="30"/>
  <c r="P348" i="17"/>
  <c r="P327" i="17"/>
  <c r="X149" i="30"/>
  <c r="P238" i="25"/>
  <c r="P212" i="25"/>
  <c r="P259" i="25"/>
  <c r="P396" i="25"/>
  <c r="U288" i="33"/>
  <c r="V77" i="19"/>
  <c r="P41" i="50"/>
  <c r="L24" i="54"/>
  <c r="L15" i="55"/>
  <c r="R288" i="25"/>
  <c r="X136" i="17"/>
  <c r="K17" i="55"/>
  <c r="K15" i="55"/>
  <c r="I20" i="50"/>
  <c r="X146" i="12"/>
  <c r="T159" i="12"/>
  <c r="P27" i="111"/>
  <c r="J16" i="54"/>
  <c r="R288" i="12"/>
  <c r="J14" i="54"/>
  <c r="L16" i="55"/>
  <c r="L24" i="55"/>
  <c r="I21" i="55"/>
  <c r="I21" i="54"/>
  <c r="I17" i="54"/>
  <c r="I19" i="55"/>
  <c r="I16" i="55"/>
  <c r="X145" i="30"/>
  <c r="X136" i="15"/>
  <c r="P375" i="32"/>
  <c r="X113" i="33"/>
  <c r="V288" i="40"/>
  <c r="N18" i="55"/>
  <c r="N22" i="55"/>
  <c r="P345" i="33"/>
  <c r="P324" i="33"/>
  <c r="R159" i="41"/>
  <c r="X159" i="41" s="1"/>
  <c r="X143" i="41"/>
  <c r="M15" i="54"/>
  <c r="N22" i="54"/>
  <c r="N14" i="55"/>
  <c r="K23" i="54"/>
  <c r="S288" i="12"/>
  <c r="K14" i="54"/>
  <c r="P297" i="12"/>
  <c r="P288" i="12"/>
  <c r="P349" i="12"/>
  <c r="P328" i="12"/>
  <c r="P375" i="15"/>
  <c r="P343" i="15"/>
  <c r="P322" i="15"/>
  <c r="V159" i="15"/>
  <c r="R288" i="33"/>
  <c r="P375" i="30"/>
  <c r="P320" i="30"/>
  <c r="P341" i="30"/>
  <c r="P349" i="17"/>
  <c r="P328" i="17"/>
  <c r="P340" i="17"/>
  <c r="P319" i="17"/>
  <c r="P396" i="17"/>
  <c r="P325" i="17"/>
  <c r="P346" i="17"/>
  <c r="P342" i="25"/>
  <c r="P321" i="25"/>
  <c r="P297" i="25"/>
  <c r="P288" i="25"/>
  <c r="P346" i="25"/>
  <c r="P325" i="25"/>
  <c r="R159" i="32"/>
  <c r="X159" i="32" s="1"/>
  <c r="X143" i="32"/>
  <c r="Q309" i="48"/>
  <c r="Q318" i="48"/>
  <c r="Q330" i="48" s="1"/>
  <c r="Q339" i="48"/>
  <c r="Q351" i="48" s="1"/>
  <c r="S159" i="12"/>
  <c r="R159" i="30"/>
  <c r="X143" i="30"/>
  <c r="P18" i="50"/>
  <c r="R159" i="15"/>
  <c r="X143" i="15"/>
  <c r="L19" i="54"/>
  <c r="L17" i="54"/>
  <c r="L23" i="54"/>
  <c r="P22" i="50"/>
  <c r="R159" i="25"/>
  <c r="X159" i="25" s="1"/>
  <c r="X143" i="25"/>
  <c r="S288" i="33"/>
  <c r="R288" i="41"/>
  <c r="P34" i="50"/>
  <c r="J26" i="111"/>
  <c r="W72" i="5"/>
  <c r="T188" i="20" s="1"/>
  <c r="L75" i="111"/>
  <c r="L63" i="111"/>
  <c r="L51" i="111"/>
  <c r="S288" i="40"/>
  <c r="R288" i="30"/>
  <c r="M15" i="55"/>
  <c r="U288" i="40"/>
  <c r="M18" i="55"/>
  <c r="U288" i="17"/>
  <c r="P20" i="50"/>
  <c r="V288" i="33"/>
  <c r="S24" i="50"/>
  <c r="T24" i="50" s="1"/>
  <c r="S30" i="50"/>
  <c r="T30" i="50" s="1"/>
  <c r="T288" i="33"/>
  <c r="X150" i="30"/>
  <c r="I28" i="50"/>
  <c r="J20" i="55"/>
  <c r="J17" i="55"/>
  <c r="P16" i="50"/>
  <c r="L22" i="55"/>
  <c r="L21" i="55"/>
  <c r="S23" i="50"/>
  <c r="T23" i="50" s="1"/>
  <c r="X144" i="30"/>
  <c r="I18" i="54"/>
  <c r="I22" i="55"/>
  <c r="I20" i="55"/>
  <c r="I16" i="54"/>
  <c r="I23" i="54"/>
  <c r="I16" i="50"/>
  <c r="P212" i="32"/>
  <c r="P238" i="32"/>
  <c r="P259" i="32"/>
  <c r="P396" i="32"/>
  <c r="P347" i="32"/>
  <c r="P326" i="32"/>
  <c r="X143" i="40"/>
  <c r="R159" i="40"/>
  <c r="X159" i="40" s="1"/>
  <c r="U159" i="17"/>
  <c r="R159" i="17"/>
  <c r="X143" i="17"/>
  <c r="N15" i="55"/>
  <c r="N24" i="55"/>
  <c r="N21" i="55"/>
  <c r="P341" i="33"/>
  <c r="P320" i="33"/>
  <c r="P347" i="33"/>
  <c r="P326" i="33"/>
  <c r="P396" i="33"/>
  <c r="T159" i="30"/>
  <c r="X182" i="30"/>
  <c r="S32" i="50"/>
  <c r="T32" i="50" s="1"/>
  <c r="V288" i="41"/>
  <c r="V318" i="48"/>
  <c r="V330" i="48" s="1"/>
  <c r="V339" i="48"/>
  <c r="V351" i="48" s="1"/>
  <c r="V309" i="48"/>
  <c r="X113" i="41"/>
  <c r="M21" i="54"/>
  <c r="M22" i="54"/>
  <c r="M17" i="54"/>
  <c r="N17" i="54"/>
  <c r="N20" i="54"/>
  <c r="X144" i="17"/>
  <c r="K15" i="54"/>
  <c r="K22" i="54"/>
  <c r="K19" i="54"/>
  <c r="K21" i="54"/>
  <c r="K22" i="55"/>
  <c r="I22" i="50"/>
  <c r="Q288" i="32"/>
  <c r="S288" i="30"/>
  <c r="P344" i="12"/>
  <c r="P323" i="12"/>
  <c r="P238" i="12"/>
  <c r="P259" i="12"/>
  <c r="P212" i="12"/>
  <c r="P325" i="12"/>
  <c r="P346" i="12"/>
  <c r="P341" i="12"/>
  <c r="P320" i="12"/>
  <c r="P288" i="15"/>
  <c r="P297" i="15"/>
  <c r="P344" i="15"/>
  <c r="P323" i="15"/>
  <c r="P340" i="30"/>
  <c r="P319" i="30"/>
  <c r="P326" i="30"/>
  <c r="P347" i="30"/>
  <c r="P324" i="30"/>
  <c r="P345" i="30"/>
  <c r="P324" i="17"/>
  <c r="P345" i="17"/>
  <c r="P345" i="25"/>
  <c r="P324" i="25"/>
  <c r="P344" i="25"/>
  <c r="P323" i="25"/>
  <c r="V218" i="48"/>
  <c r="V239" i="48"/>
  <c r="V192" i="48"/>
  <c r="N78" i="50" s="1"/>
  <c r="P78" i="50" s="1"/>
  <c r="U288" i="30"/>
  <c r="I42" i="111"/>
  <c r="K23" i="55"/>
  <c r="M16" i="55"/>
  <c r="M23" i="55"/>
  <c r="V288" i="17"/>
  <c r="J15" i="54"/>
  <c r="J19" i="54"/>
  <c r="I14" i="55"/>
  <c r="I14" i="54"/>
  <c r="Q288" i="12"/>
  <c r="I24" i="54"/>
  <c r="S159" i="30"/>
  <c r="V288" i="25"/>
  <c r="P328" i="32"/>
  <c r="P349" i="32"/>
  <c r="P346" i="32"/>
  <c r="P325" i="32"/>
  <c r="X113" i="40"/>
  <c r="N23" i="55"/>
  <c r="P349" i="33"/>
  <c r="P328" i="33"/>
  <c r="P323" i="33"/>
  <c r="P344" i="33"/>
  <c r="P319" i="33"/>
  <c r="P340" i="33"/>
  <c r="P39" i="111"/>
  <c r="U288" i="12"/>
  <c r="M14" i="54"/>
  <c r="M23" i="54"/>
  <c r="X144" i="33"/>
  <c r="K24" i="54"/>
  <c r="K14" i="55"/>
  <c r="S29" i="50"/>
  <c r="T29" i="50" s="1"/>
  <c r="P322" i="12"/>
  <c r="P343" i="12"/>
  <c r="P342" i="12"/>
  <c r="P321" i="12"/>
  <c r="P319" i="15"/>
  <c r="P340" i="15"/>
  <c r="P321" i="15"/>
  <c r="P342" i="15"/>
  <c r="P348" i="15"/>
  <c r="P327" i="15"/>
  <c r="P323" i="30"/>
  <c r="P344" i="30"/>
  <c r="P297" i="30"/>
  <c r="P288" i="30"/>
  <c r="P259" i="17"/>
  <c r="P212" i="17"/>
  <c r="P238" i="17"/>
  <c r="P323" i="17"/>
  <c r="P344" i="17"/>
  <c r="P328" i="25"/>
  <c r="P349" i="25"/>
  <c r="U288" i="32"/>
  <c r="X148" i="30"/>
  <c r="R288" i="15"/>
  <c r="T288" i="12"/>
  <c r="L14" i="54"/>
  <c r="L16" i="54"/>
  <c r="V288" i="15"/>
  <c r="R159" i="33"/>
  <c r="X159" i="33" s="1"/>
  <c r="S288" i="32"/>
  <c r="U288" i="41"/>
  <c r="X182" i="12"/>
  <c r="J38" i="111"/>
  <c r="K19" i="55"/>
  <c r="P25" i="50"/>
  <c r="P159" i="12"/>
  <c r="M22" i="55"/>
  <c r="I26" i="111"/>
  <c r="Q288" i="15"/>
  <c r="J15" i="55"/>
  <c r="J22" i="55"/>
  <c r="X136" i="32"/>
  <c r="T288" i="40"/>
  <c r="I18" i="55"/>
  <c r="I24" i="55"/>
  <c r="I17" i="55"/>
  <c r="T288" i="17"/>
  <c r="P323" i="32"/>
  <c r="P344" i="32"/>
  <c r="X113" i="17"/>
  <c r="N17" i="55"/>
  <c r="P159" i="30"/>
  <c r="P288" i="33"/>
  <c r="P297" i="33"/>
  <c r="M18" i="54"/>
  <c r="M20" i="54"/>
  <c r="N18" i="54"/>
  <c r="N52" i="111"/>
  <c r="P52" i="111" s="1"/>
  <c r="P16" i="111"/>
  <c r="K18" i="54"/>
  <c r="P345" i="15"/>
  <c r="P324" i="15"/>
  <c r="P321" i="30"/>
  <c r="P342" i="30"/>
  <c r="P325" i="30"/>
  <c r="P346" i="30"/>
  <c r="P348" i="30"/>
  <c r="P327" i="30"/>
  <c r="P343" i="17"/>
  <c r="P322" i="17"/>
  <c r="P375" i="17"/>
  <c r="P321" i="17"/>
  <c r="P342" i="17"/>
  <c r="P326" i="17"/>
  <c r="P347" i="17"/>
  <c r="N64" i="111"/>
  <c r="P64" i="111" s="1"/>
  <c r="P28" i="111"/>
  <c r="P322" i="25"/>
  <c r="P343" i="25"/>
  <c r="P326" i="25"/>
  <c r="P347" i="25"/>
  <c r="P348" i="25"/>
  <c r="P327" i="25"/>
  <c r="S288" i="25"/>
  <c r="P27" i="50"/>
  <c r="L14" i="111"/>
  <c r="L18" i="111" s="1"/>
  <c r="Q192" i="48"/>
  <c r="I78" i="50" s="1"/>
  <c r="I115" i="50" s="1"/>
  <c r="Q218" i="48"/>
  <c r="Q239" i="48"/>
  <c r="S288" i="41"/>
  <c r="P15" i="111"/>
  <c r="K14" i="111"/>
  <c r="K18" i="111" s="1"/>
  <c r="T159" i="17"/>
  <c r="X147" i="30"/>
  <c r="U288" i="15"/>
  <c r="L22" i="54"/>
  <c r="L21" i="54"/>
  <c r="L15" i="54"/>
  <c r="L14" i="55"/>
  <c r="Q288" i="30"/>
  <c r="I25" i="50"/>
  <c r="X145" i="12"/>
  <c r="V159" i="12"/>
  <c r="X139" i="37"/>
  <c r="K20" i="55"/>
  <c r="K24" i="55"/>
  <c r="Q288" i="17"/>
  <c r="S26" i="50"/>
  <c r="T26" i="50" s="1"/>
  <c r="R76" i="19"/>
  <c r="R94" i="19"/>
  <c r="R96" i="19" s="1"/>
  <c r="U72" i="5" s="1"/>
  <c r="R188" i="20" s="1"/>
  <c r="P40" i="50"/>
  <c r="M20" i="55"/>
  <c r="M24" i="55"/>
  <c r="M21" i="55"/>
  <c r="R288" i="17"/>
  <c r="T288" i="41"/>
  <c r="T288" i="25"/>
  <c r="S21" i="50"/>
  <c r="T21" i="50" s="1"/>
  <c r="X139" i="20"/>
  <c r="U288" i="25"/>
  <c r="T288" i="32"/>
  <c r="R288" i="40"/>
  <c r="J16" i="55"/>
  <c r="Q288" i="33"/>
  <c r="M14" i="111"/>
  <c r="M18" i="111" s="1"/>
  <c r="T288" i="15"/>
  <c r="I18" i="50"/>
  <c r="Q76" i="19"/>
  <c r="S40" i="50"/>
  <c r="T40" i="50" s="1"/>
  <c r="Q94" i="19"/>
  <c r="Q96" i="19" s="1"/>
  <c r="J17" i="54"/>
  <c r="J23" i="54"/>
  <c r="X136" i="12"/>
  <c r="L20" i="55"/>
  <c r="L18" i="55"/>
  <c r="L17" i="55"/>
  <c r="T288" i="30"/>
  <c r="I22" i="54"/>
  <c r="I15" i="55"/>
  <c r="I15" i="54"/>
  <c r="I20" i="54"/>
  <c r="I19" i="54"/>
  <c r="I14" i="111"/>
  <c r="P297" i="32"/>
  <c r="P288" i="32"/>
  <c r="P342" i="32"/>
  <c r="P321" i="32"/>
  <c r="P343" i="32"/>
  <c r="P322" i="32"/>
  <c r="P340" i="32"/>
  <c r="P319" i="32"/>
  <c r="P320" i="32"/>
  <c r="P341" i="32"/>
  <c r="Q159" i="30"/>
  <c r="S76" i="19"/>
  <c r="S94" i="19"/>
  <c r="S96" i="19" s="1"/>
  <c r="M26" i="111"/>
  <c r="M30" i="111" s="1"/>
  <c r="N16" i="55"/>
  <c r="N20" i="55"/>
  <c r="V159" i="17"/>
  <c r="P375" i="33"/>
  <c r="P321" i="33"/>
  <c r="P342" i="33"/>
  <c r="P348" i="33"/>
  <c r="P327" i="33"/>
  <c r="P325" i="33"/>
  <c r="P346" i="33"/>
  <c r="P322" i="33"/>
  <c r="P343" i="33"/>
  <c r="X144" i="32"/>
  <c r="U159" i="30"/>
  <c r="M24" i="54"/>
  <c r="M19" i="54"/>
  <c r="M14" i="55"/>
  <c r="N15" i="54"/>
  <c r="V288" i="12"/>
  <c r="N14" i="54"/>
  <c r="V288" i="30"/>
  <c r="R159" i="12"/>
  <c r="X159" i="12" s="1"/>
  <c r="X143" i="12"/>
  <c r="K17" i="54"/>
  <c r="X136" i="30"/>
  <c r="P326" i="12"/>
  <c r="P347" i="12"/>
  <c r="P348" i="12"/>
  <c r="P327" i="12"/>
  <c r="P340" i="12"/>
  <c r="P319" i="12"/>
  <c r="P324" i="12"/>
  <c r="P345" i="12"/>
  <c r="P375" i="12"/>
  <c r="P325" i="15"/>
  <c r="P346" i="15"/>
  <c r="P326" i="15"/>
  <c r="P347" i="15"/>
  <c r="P349" i="15"/>
  <c r="P328" i="15"/>
  <c r="P341" i="15"/>
  <c r="P320" i="15"/>
  <c r="P396" i="15"/>
  <c r="P28" i="50"/>
  <c r="N13" i="65"/>
  <c r="V75" i="19"/>
  <c r="V78" i="19" s="1"/>
  <c r="U75" i="19"/>
  <c r="U78" i="19" s="1"/>
  <c r="M13" i="65"/>
  <c r="K13" i="65" l="1"/>
  <c r="X159" i="15"/>
  <c r="T75" i="19"/>
  <c r="T78" i="19" s="1"/>
  <c r="T80" i="19" s="1"/>
  <c r="P21" i="55"/>
  <c r="P22" i="55"/>
  <c r="P43" i="50"/>
  <c r="J13" i="65"/>
  <c r="P19" i="55"/>
  <c r="P24" i="54"/>
  <c r="P20" i="54"/>
  <c r="P18" i="55"/>
  <c r="P18" i="54"/>
  <c r="P20" i="55"/>
  <c r="P22" i="54"/>
  <c r="P21" i="54"/>
  <c r="N26" i="54"/>
  <c r="I18" i="111"/>
  <c r="P17" i="54"/>
  <c r="J51" i="111"/>
  <c r="P373" i="17"/>
  <c r="P377" i="17" s="1"/>
  <c r="P260" i="17"/>
  <c r="P318" i="30"/>
  <c r="P330" i="30" s="1"/>
  <c r="P309" i="30"/>
  <c r="P339" i="30"/>
  <c r="P351" i="30" s="1"/>
  <c r="M26" i="54"/>
  <c r="J30" i="111"/>
  <c r="P30" i="111" s="1"/>
  <c r="P26" i="111"/>
  <c r="P318" i="25"/>
  <c r="P330" i="25" s="1"/>
  <c r="P339" i="25"/>
  <c r="P351" i="25" s="1"/>
  <c r="P309" i="25"/>
  <c r="K26" i="54"/>
  <c r="U210" i="20"/>
  <c r="U206" i="20"/>
  <c r="U173" i="20"/>
  <c r="U169" i="20"/>
  <c r="U177" i="20"/>
  <c r="U208" i="20"/>
  <c r="U175" i="20"/>
  <c r="U174" i="20"/>
  <c r="U171" i="20"/>
  <c r="U202" i="20"/>
  <c r="U375" i="20"/>
  <c r="U204" i="20"/>
  <c r="U172" i="20"/>
  <c r="U207" i="20"/>
  <c r="U209" i="20"/>
  <c r="U203" i="20"/>
  <c r="U170" i="20"/>
  <c r="U176" i="20"/>
  <c r="U205" i="20"/>
  <c r="U390" i="20"/>
  <c r="U389" i="20"/>
  <c r="U394" i="20"/>
  <c r="U392" i="20"/>
  <c r="U393" i="20"/>
  <c r="U391" i="20"/>
  <c r="U388" i="20"/>
  <c r="U396" i="20" s="1"/>
  <c r="U306" i="20"/>
  <c r="U300" i="20"/>
  <c r="U297" i="20"/>
  <c r="U303" i="20"/>
  <c r="U190" i="20"/>
  <c r="U301" i="20"/>
  <c r="U298" i="20"/>
  <c r="U307" i="20"/>
  <c r="U304" i="20"/>
  <c r="U302" i="20"/>
  <c r="U299" i="20"/>
  <c r="U305" i="20"/>
  <c r="J18" i="111"/>
  <c r="P18" i="111" s="1"/>
  <c r="P14" i="111"/>
  <c r="P14" i="55"/>
  <c r="S78" i="19"/>
  <c r="S80" i="19" s="1"/>
  <c r="T72" i="5"/>
  <c r="Q188" i="20" s="1"/>
  <c r="I63" i="111"/>
  <c r="I75" i="111"/>
  <c r="I51" i="111"/>
  <c r="P339" i="33"/>
  <c r="P351" i="33" s="1"/>
  <c r="P318" i="33"/>
  <c r="P330" i="33" s="1"/>
  <c r="P309" i="33"/>
  <c r="P19" i="54"/>
  <c r="S22" i="50"/>
  <c r="T22" i="50" s="1"/>
  <c r="P263" i="32"/>
  <c r="P17" i="55"/>
  <c r="P16" i="54"/>
  <c r="N115" i="50"/>
  <c r="P260" i="33"/>
  <c r="P263" i="33" s="1"/>
  <c r="P373" i="33"/>
  <c r="P377" i="33" s="1"/>
  <c r="P24" i="55"/>
  <c r="P339" i="17"/>
  <c r="P351" i="17" s="1"/>
  <c r="P309" i="17"/>
  <c r="P318" i="17"/>
  <c r="P330" i="17" s="1"/>
  <c r="S18" i="50"/>
  <c r="T18" i="50" s="1"/>
  <c r="R375" i="20"/>
  <c r="R210" i="20"/>
  <c r="R177" i="20"/>
  <c r="R171" i="20"/>
  <c r="R202" i="20"/>
  <c r="R208" i="20"/>
  <c r="R206" i="20"/>
  <c r="R204" i="20"/>
  <c r="R175" i="20"/>
  <c r="R174" i="20"/>
  <c r="R172" i="20"/>
  <c r="R205" i="20"/>
  <c r="R173" i="20"/>
  <c r="R209" i="20"/>
  <c r="R169" i="20"/>
  <c r="R170" i="20"/>
  <c r="R203" i="20"/>
  <c r="R207" i="20"/>
  <c r="R176" i="20"/>
  <c r="R390" i="20"/>
  <c r="R394" i="20"/>
  <c r="R388" i="20"/>
  <c r="R392" i="20"/>
  <c r="R391" i="20"/>
  <c r="R393" i="20"/>
  <c r="R389" i="20"/>
  <c r="R300" i="20"/>
  <c r="R299" i="20"/>
  <c r="R301" i="20"/>
  <c r="R306" i="20"/>
  <c r="R303" i="20"/>
  <c r="R297" i="20"/>
  <c r="R190" i="20"/>
  <c r="R304" i="20"/>
  <c r="R305" i="20"/>
  <c r="R302" i="20"/>
  <c r="R298" i="20"/>
  <c r="R307" i="20"/>
  <c r="S25" i="50"/>
  <c r="T25" i="50" s="1"/>
  <c r="J42" i="111"/>
  <c r="P42" i="111" s="1"/>
  <c r="P38" i="111"/>
  <c r="P263" i="17"/>
  <c r="I26" i="54"/>
  <c r="P15" i="54"/>
  <c r="X239" i="48"/>
  <c r="P318" i="15"/>
  <c r="P330" i="15" s="1"/>
  <c r="P309" i="15"/>
  <c r="P339" i="15"/>
  <c r="P351" i="15" s="1"/>
  <c r="P260" i="12"/>
  <c r="P263" i="12" s="1"/>
  <c r="P373" i="12"/>
  <c r="P377" i="12" s="1"/>
  <c r="X159" i="17"/>
  <c r="P260" i="32"/>
  <c r="P373" i="32"/>
  <c r="P377" i="32" s="1"/>
  <c r="I43" i="50"/>
  <c r="S16" i="50"/>
  <c r="T16" i="50" s="1"/>
  <c r="S28" i="50"/>
  <c r="T28" i="50" s="1"/>
  <c r="X159" i="30"/>
  <c r="S20" i="50"/>
  <c r="T20" i="50" s="1"/>
  <c r="P373" i="15"/>
  <c r="P377" i="15" s="1"/>
  <c r="P260" i="15"/>
  <c r="P263" i="15" s="1"/>
  <c r="Y72" i="5"/>
  <c r="V188" i="20" s="1"/>
  <c r="N75" i="111"/>
  <c r="N51" i="111"/>
  <c r="N63" i="111"/>
  <c r="V72" i="5"/>
  <c r="S188" i="20" s="1"/>
  <c r="K75" i="111"/>
  <c r="K51" i="111"/>
  <c r="K63" i="111"/>
  <c r="P318" i="32"/>
  <c r="P330" i="32" s="1"/>
  <c r="P339" i="32"/>
  <c r="P351" i="32" s="1"/>
  <c r="P309" i="32"/>
  <c r="P23" i="54"/>
  <c r="P16" i="55"/>
  <c r="Q373" i="48"/>
  <c r="Q377" i="48" s="1"/>
  <c r="I152" i="50"/>
  <c r="I226" i="50" s="1"/>
  <c r="Q240" i="48"/>
  <c r="Q243" i="48" s="1"/>
  <c r="P15" i="55"/>
  <c r="I30" i="111"/>
  <c r="L26" i="54"/>
  <c r="J75" i="111"/>
  <c r="V373" i="48"/>
  <c r="V377" i="48" s="1"/>
  <c r="V240" i="48"/>
  <c r="X240" i="48" s="1"/>
  <c r="N152" i="50"/>
  <c r="P152" i="50" s="1"/>
  <c r="X218" i="48"/>
  <c r="T375" i="20"/>
  <c r="T171" i="20"/>
  <c r="T169" i="20"/>
  <c r="T185" i="20" s="1"/>
  <c r="T204" i="20"/>
  <c r="T172" i="20"/>
  <c r="T205" i="20"/>
  <c r="T208" i="20"/>
  <c r="T173" i="20"/>
  <c r="T206" i="20"/>
  <c r="T176" i="20"/>
  <c r="T203" i="20"/>
  <c r="T209" i="20"/>
  <c r="T175" i="20"/>
  <c r="T177" i="20"/>
  <c r="T210" i="20"/>
  <c r="T170" i="20"/>
  <c r="T202" i="20"/>
  <c r="T174" i="20"/>
  <c r="T207" i="20"/>
  <c r="T391" i="20"/>
  <c r="T393" i="20"/>
  <c r="T389" i="20"/>
  <c r="T394" i="20"/>
  <c r="T388" i="20"/>
  <c r="T392" i="20"/>
  <c r="T390" i="20"/>
  <c r="T297" i="20"/>
  <c r="T298" i="20"/>
  <c r="T306" i="20"/>
  <c r="T301" i="20"/>
  <c r="T305" i="20"/>
  <c r="T302" i="20"/>
  <c r="T190" i="20"/>
  <c r="T303" i="20"/>
  <c r="T304" i="20"/>
  <c r="T300" i="20"/>
  <c r="T307" i="20"/>
  <c r="T299" i="20"/>
  <c r="P318" i="12"/>
  <c r="P330" i="12" s="1"/>
  <c r="P339" i="12"/>
  <c r="P351" i="12" s="1"/>
  <c r="P309" i="12"/>
  <c r="P14" i="54"/>
  <c r="J26" i="54"/>
  <c r="J63" i="111"/>
  <c r="P260" i="25"/>
  <c r="P263" i="25" s="1"/>
  <c r="P373" i="25"/>
  <c r="P377" i="25" s="1"/>
  <c r="S27" i="50"/>
  <c r="T27" i="50" s="1"/>
  <c r="P23" i="55"/>
  <c r="P373" i="30"/>
  <c r="P377" i="30" s="1"/>
  <c r="P260" i="30"/>
  <c r="P263" i="30" s="1"/>
  <c r="V98" i="19"/>
  <c r="V80" i="19"/>
  <c r="U80" i="19"/>
  <c r="U98" i="19"/>
  <c r="T98" i="19"/>
  <c r="R80" i="19"/>
  <c r="R98" i="19"/>
  <c r="P13" i="65" l="1"/>
  <c r="P26" i="54"/>
  <c r="S98" i="19"/>
  <c r="T349" i="20"/>
  <c r="T328" i="20"/>
  <c r="T218" i="20"/>
  <c r="T239" i="20"/>
  <c r="T192" i="20"/>
  <c r="L77" i="50" s="1"/>
  <c r="L114" i="50" s="1"/>
  <c r="T348" i="20"/>
  <c r="T327" i="20"/>
  <c r="R328" i="20"/>
  <c r="R349" i="20"/>
  <c r="R325" i="20"/>
  <c r="R346" i="20"/>
  <c r="R327" i="20"/>
  <c r="R348" i="20"/>
  <c r="R396" i="20"/>
  <c r="U323" i="20"/>
  <c r="U344" i="20"/>
  <c r="U343" i="20"/>
  <c r="U322" i="20"/>
  <c r="U342" i="20"/>
  <c r="U321" i="20"/>
  <c r="U185" i="20"/>
  <c r="P63" i="111"/>
  <c r="T342" i="20"/>
  <c r="T321" i="20"/>
  <c r="T323" i="20"/>
  <c r="T344" i="20"/>
  <c r="T319" i="20"/>
  <c r="T340" i="20"/>
  <c r="T396" i="20"/>
  <c r="P75" i="111"/>
  <c r="S375" i="20"/>
  <c r="S203" i="20"/>
  <c r="S172" i="20"/>
  <c r="S174" i="20"/>
  <c r="X174" i="20" s="1"/>
  <c r="S209" i="20"/>
  <c r="S207" i="20"/>
  <c r="S205" i="20"/>
  <c r="S210" i="20"/>
  <c r="S176" i="20"/>
  <c r="X176" i="20" s="1"/>
  <c r="S170" i="20"/>
  <c r="S177" i="20"/>
  <c r="X177" i="20" s="1"/>
  <c r="S173" i="20"/>
  <c r="S171" i="20"/>
  <c r="S202" i="20"/>
  <c r="S208" i="20"/>
  <c r="S204" i="20"/>
  <c r="S206" i="20"/>
  <c r="S169" i="20"/>
  <c r="S175" i="20"/>
  <c r="X175" i="20" s="1"/>
  <c r="S391" i="20"/>
  <c r="S394" i="20"/>
  <c r="S392" i="20"/>
  <c r="S393" i="20"/>
  <c r="S388" i="20"/>
  <c r="S389" i="20"/>
  <c r="S390" i="20"/>
  <c r="S305" i="20"/>
  <c r="S299" i="20"/>
  <c r="S298" i="20"/>
  <c r="S304" i="20"/>
  <c r="S301" i="20"/>
  <c r="S306" i="20"/>
  <c r="S307" i="20"/>
  <c r="S303" i="20"/>
  <c r="S190" i="20"/>
  <c r="S297" i="20"/>
  <c r="S300" i="20"/>
  <c r="S302" i="20"/>
  <c r="S43" i="50"/>
  <c r="T43" i="50" s="1"/>
  <c r="Q75" i="19"/>
  <c r="Q78" i="19" s="1"/>
  <c r="I13" i="65"/>
  <c r="R340" i="20"/>
  <c r="R319" i="20"/>
  <c r="R218" i="20"/>
  <c r="R192" i="20"/>
  <c r="J77" i="50" s="1"/>
  <c r="R239" i="20"/>
  <c r="R322" i="20"/>
  <c r="R343" i="20"/>
  <c r="X173" i="20"/>
  <c r="Q375" i="20"/>
  <c r="Q205" i="20"/>
  <c r="Q171" i="20"/>
  <c r="Q203" i="20"/>
  <c r="Q176" i="20"/>
  <c r="Q174" i="20"/>
  <c r="Q206" i="20"/>
  <c r="Q204" i="20"/>
  <c r="Q210" i="20"/>
  <c r="Q169" i="20"/>
  <c r="Q175" i="20"/>
  <c r="Q172" i="20"/>
  <c r="Q170" i="20"/>
  <c r="Q177" i="20"/>
  <c r="Q202" i="20"/>
  <c r="Q209" i="20"/>
  <c r="Q208" i="20"/>
  <c r="Q207" i="20"/>
  <c r="Q173" i="20"/>
  <c r="Q390" i="20"/>
  <c r="Q393" i="20"/>
  <c r="Q392" i="20"/>
  <c r="Q391" i="20"/>
  <c r="Q394" i="20"/>
  <c r="Q389" i="20"/>
  <c r="Q388" i="20"/>
  <c r="Q304" i="20"/>
  <c r="Q302" i="20"/>
  <c r="Q297" i="20"/>
  <c r="Q306" i="20"/>
  <c r="Q299" i="20"/>
  <c r="Q301" i="20"/>
  <c r="Q190" i="20"/>
  <c r="Q300" i="20"/>
  <c r="Q305" i="20"/>
  <c r="Q303" i="20"/>
  <c r="Q298" i="20"/>
  <c r="Q307" i="20"/>
  <c r="U346" i="20"/>
  <c r="U325" i="20"/>
  <c r="U218" i="20"/>
  <c r="U192" i="20"/>
  <c r="M77" i="50" s="1"/>
  <c r="M114" i="50" s="1"/>
  <c r="U239" i="20"/>
  <c r="U348" i="20"/>
  <c r="U327" i="20"/>
  <c r="T346" i="20"/>
  <c r="T325" i="20"/>
  <c r="T326" i="20"/>
  <c r="T347" i="20"/>
  <c r="T318" i="20"/>
  <c r="T339" i="20"/>
  <c r="T309" i="20"/>
  <c r="V375" i="20"/>
  <c r="V203" i="20"/>
  <c r="V210" i="20"/>
  <c r="V170" i="20"/>
  <c r="V177" i="20"/>
  <c r="V207" i="20"/>
  <c r="V204" i="20"/>
  <c r="V176" i="20"/>
  <c r="V175" i="20"/>
  <c r="V171" i="20"/>
  <c r="V202" i="20"/>
  <c r="V173" i="20"/>
  <c r="V209" i="20"/>
  <c r="V172" i="20"/>
  <c r="V206" i="20"/>
  <c r="V174" i="20"/>
  <c r="V169" i="20"/>
  <c r="V185" i="20" s="1"/>
  <c r="V205" i="20"/>
  <c r="V208" i="20"/>
  <c r="V391" i="20"/>
  <c r="V390" i="20"/>
  <c r="V394" i="20"/>
  <c r="V393" i="20"/>
  <c r="V389" i="20"/>
  <c r="V392" i="20"/>
  <c r="V388" i="20"/>
  <c r="V303" i="20"/>
  <c r="V190" i="20"/>
  <c r="V302" i="20"/>
  <c r="V304" i="20"/>
  <c r="V301" i="20"/>
  <c r="V307" i="20"/>
  <c r="V306" i="20"/>
  <c r="V300" i="20"/>
  <c r="V298" i="20"/>
  <c r="V305" i="20"/>
  <c r="V299" i="20"/>
  <c r="V297" i="20"/>
  <c r="R323" i="20"/>
  <c r="R344" i="20"/>
  <c r="R318" i="20"/>
  <c r="R330" i="20" s="1"/>
  <c r="R309" i="20"/>
  <c r="R339" i="20"/>
  <c r="R320" i="20"/>
  <c r="R341" i="20"/>
  <c r="X170" i="20"/>
  <c r="X171" i="20"/>
  <c r="U347" i="20"/>
  <c r="U326" i="20"/>
  <c r="U349" i="20"/>
  <c r="U328" i="20"/>
  <c r="U345" i="20"/>
  <c r="U324" i="20"/>
  <c r="P51" i="111"/>
  <c r="T341" i="20"/>
  <c r="T320" i="20"/>
  <c r="T345" i="20"/>
  <c r="T324" i="20"/>
  <c r="T322" i="20"/>
  <c r="T343" i="20"/>
  <c r="V243" i="48"/>
  <c r="X243" i="48" s="1"/>
  <c r="R326" i="20"/>
  <c r="R347" i="20"/>
  <c r="R324" i="20"/>
  <c r="R345" i="20"/>
  <c r="R321" i="20"/>
  <c r="R342" i="20"/>
  <c r="R185" i="20"/>
  <c r="X172" i="20"/>
  <c r="N226" i="50"/>
  <c r="P226" i="50" s="1"/>
  <c r="P115" i="50"/>
  <c r="U320" i="20"/>
  <c r="U341" i="20"/>
  <c r="U340" i="20"/>
  <c r="U319" i="20"/>
  <c r="U309" i="20"/>
  <c r="U318" i="20"/>
  <c r="U339" i="20"/>
  <c r="U351" i="20" s="1"/>
  <c r="Y47" i="5"/>
  <c r="Y51" i="5"/>
  <c r="V208" i="16" s="1"/>
  <c r="Y55" i="5"/>
  <c r="V208" i="28" s="1"/>
  <c r="Y63" i="5"/>
  <c r="V188" i="37" s="1"/>
  <c r="Y67" i="5"/>
  <c r="V188" i="43" s="1"/>
  <c r="Y70" i="5"/>
  <c r="V188" i="46" s="1"/>
  <c r="Y62" i="5"/>
  <c r="V208" i="35" s="1"/>
  <c r="Y66" i="5"/>
  <c r="V208" i="41" s="1"/>
  <c r="Y50" i="5"/>
  <c r="V208" i="15" s="1"/>
  <c r="Y54" i="5"/>
  <c r="V208" i="25" s="1"/>
  <c r="Y58" i="5"/>
  <c r="V188" i="31" s="1"/>
  <c r="Y59" i="5"/>
  <c r="V208" i="32" s="1"/>
  <c r="Y48" i="5"/>
  <c r="V208" i="12" s="1"/>
  <c r="Y56" i="5"/>
  <c r="V208" i="29" s="1"/>
  <c r="Y64" i="5"/>
  <c r="V188" i="38" s="1"/>
  <c r="Y68" i="5"/>
  <c r="V188" i="44" s="1"/>
  <c r="Y71" i="5"/>
  <c r="V188" i="47" s="1"/>
  <c r="Y49" i="5"/>
  <c r="V208" i="14" s="1"/>
  <c r="Y57" i="5"/>
  <c r="V208" i="30" s="1"/>
  <c r="Y52" i="5"/>
  <c r="V208" i="17" s="1"/>
  <c r="Y60" i="5"/>
  <c r="V208" i="33" s="1"/>
  <c r="Y61" i="5"/>
  <c r="V208" i="34" s="1"/>
  <c r="Y69" i="5"/>
  <c r="Y53" i="5"/>
  <c r="V208" i="24" s="1"/>
  <c r="Y65" i="5"/>
  <c r="V208" i="40" s="1"/>
  <c r="N62" i="111"/>
  <c r="N66" i="111" s="1"/>
  <c r="N74" i="111"/>
  <c r="N78" i="111" s="1"/>
  <c r="N50" i="111"/>
  <c r="N54" i="111" s="1"/>
  <c r="X50" i="5"/>
  <c r="U208" i="15" s="1"/>
  <c r="X54" i="5"/>
  <c r="U208" i="25" s="1"/>
  <c r="X58" i="5"/>
  <c r="U188" i="31" s="1"/>
  <c r="X62" i="5"/>
  <c r="U208" i="35" s="1"/>
  <c r="X66" i="5"/>
  <c r="U208" i="41" s="1"/>
  <c r="X71" i="5"/>
  <c r="U188" i="47" s="1"/>
  <c r="X69" i="5"/>
  <c r="X47" i="5"/>
  <c r="X51" i="5"/>
  <c r="U208" i="16" s="1"/>
  <c r="X55" i="5"/>
  <c r="U208" i="28" s="1"/>
  <c r="X59" i="5"/>
  <c r="U208" i="32" s="1"/>
  <c r="X63" i="5"/>
  <c r="U188" i="37" s="1"/>
  <c r="X67" i="5"/>
  <c r="U188" i="43" s="1"/>
  <c r="X53" i="5"/>
  <c r="U208" i="24" s="1"/>
  <c r="X61" i="5"/>
  <c r="U208" i="34" s="1"/>
  <c r="X52" i="5"/>
  <c r="U208" i="17" s="1"/>
  <c r="X60" i="5"/>
  <c r="U208" i="33" s="1"/>
  <c r="X68" i="5"/>
  <c r="U188" i="44" s="1"/>
  <c r="X56" i="5"/>
  <c r="U208" i="29" s="1"/>
  <c r="X57" i="5"/>
  <c r="U208" i="30" s="1"/>
  <c r="X70" i="5"/>
  <c r="U188" i="46" s="1"/>
  <c r="X49" i="5"/>
  <c r="U208" i="14" s="1"/>
  <c r="X64" i="5"/>
  <c r="U188" i="38" s="1"/>
  <c r="X65" i="5"/>
  <c r="U208" i="40" s="1"/>
  <c r="X48" i="5"/>
  <c r="U208" i="12" s="1"/>
  <c r="M62" i="111"/>
  <c r="M66" i="111" s="1"/>
  <c r="M74" i="111"/>
  <c r="M78" i="111" s="1"/>
  <c r="M50" i="111"/>
  <c r="M54" i="111" s="1"/>
  <c r="W48" i="5"/>
  <c r="T208" i="12" s="1"/>
  <c r="W52" i="5"/>
  <c r="T208" i="17" s="1"/>
  <c r="W56" i="5"/>
  <c r="T208" i="29" s="1"/>
  <c r="W60" i="5"/>
  <c r="T208" i="33" s="1"/>
  <c r="W64" i="5"/>
  <c r="T188" i="38" s="1"/>
  <c r="W68" i="5"/>
  <c r="T188" i="44" s="1"/>
  <c r="W69" i="5"/>
  <c r="W49" i="5"/>
  <c r="T208" i="14" s="1"/>
  <c r="W53" i="5"/>
  <c r="T208" i="24" s="1"/>
  <c r="W57" i="5"/>
  <c r="T208" i="30" s="1"/>
  <c r="W61" i="5"/>
  <c r="T208" i="34" s="1"/>
  <c r="W65" i="5"/>
  <c r="T208" i="40" s="1"/>
  <c r="W70" i="5"/>
  <c r="T188" i="46" s="1"/>
  <c r="W50" i="5"/>
  <c r="T208" i="15" s="1"/>
  <c r="W58" i="5"/>
  <c r="T188" i="31" s="1"/>
  <c r="W66" i="5"/>
  <c r="T208" i="41" s="1"/>
  <c r="W71" i="5"/>
  <c r="T188" i="47" s="1"/>
  <c r="W47" i="5"/>
  <c r="W55" i="5"/>
  <c r="T208" i="28" s="1"/>
  <c r="W63" i="5"/>
  <c r="T188" i="37" s="1"/>
  <c r="W51" i="5"/>
  <c r="T208" i="16" s="1"/>
  <c r="W67" i="5"/>
  <c r="T188" i="43" s="1"/>
  <c r="W62" i="5"/>
  <c r="T208" i="35" s="1"/>
  <c r="W59" i="5"/>
  <c r="T208" i="32" s="1"/>
  <c r="W54" i="5"/>
  <c r="T208" i="25" s="1"/>
  <c r="L62" i="111"/>
  <c r="L66" i="111" s="1"/>
  <c r="L74" i="111"/>
  <c r="L78" i="111" s="1"/>
  <c r="L50" i="111"/>
  <c r="L54" i="111" s="1"/>
  <c r="V47" i="5"/>
  <c r="V51" i="5"/>
  <c r="S208" i="16" s="1"/>
  <c r="V55" i="5"/>
  <c r="S208" i="28" s="1"/>
  <c r="V59" i="5"/>
  <c r="S208" i="32" s="1"/>
  <c r="V63" i="5"/>
  <c r="S188" i="37" s="1"/>
  <c r="V67" i="5"/>
  <c r="S188" i="43" s="1"/>
  <c r="V48" i="5"/>
  <c r="S208" i="12" s="1"/>
  <c r="V52" i="5"/>
  <c r="S208" i="17" s="1"/>
  <c r="V56" i="5"/>
  <c r="S208" i="29" s="1"/>
  <c r="V60" i="5"/>
  <c r="S208" i="33" s="1"/>
  <c r="V64" i="5"/>
  <c r="S188" i="38" s="1"/>
  <c r="V68" i="5"/>
  <c r="S188" i="44" s="1"/>
  <c r="V69" i="5"/>
  <c r="V54" i="5"/>
  <c r="S208" i="25" s="1"/>
  <c r="V62" i="5"/>
  <c r="S208" i="35" s="1"/>
  <c r="V53" i="5"/>
  <c r="S208" i="24" s="1"/>
  <c r="V61" i="5"/>
  <c r="S208" i="34" s="1"/>
  <c r="V57" i="5"/>
  <c r="S208" i="30" s="1"/>
  <c r="V70" i="5"/>
  <c r="S188" i="46" s="1"/>
  <c r="V58" i="5"/>
  <c r="S188" i="31" s="1"/>
  <c r="V71" i="5"/>
  <c r="S188" i="47" s="1"/>
  <c r="V50" i="5"/>
  <c r="S208" i="15" s="1"/>
  <c r="V65" i="5"/>
  <c r="S208" i="40" s="1"/>
  <c r="V49" i="5"/>
  <c r="S208" i="14" s="1"/>
  <c r="V66" i="5"/>
  <c r="S208" i="41" s="1"/>
  <c r="K74" i="111"/>
  <c r="K78" i="111" s="1"/>
  <c r="K62" i="111"/>
  <c r="K66" i="111" s="1"/>
  <c r="K50" i="111"/>
  <c r="K54" i="111" s="1"/>
  <c r="U50" i="5"/>
  <c r="R208" i="15" s="1"/>
  <c r="U55" i="5"/>
  <c r="R208" i="28" s="1"/>
  <c r="U59" i="5"/>
  <c r="R208" i="32" s="1"/>
  <c r="U63" i="5"/>
  <c r="R188" i="37" s="1"/>
  <c r="U67" i="5"/>
  <c r="R188" i="43" s="1"/>
  <c r="U47" i="5"/>
  <c r="U51" i="5"/>
  <c r="R208" i="16" s="1"/>
  <c r="U52" i="5"/>
  <c r="R208" i="17" s="1"/>
  <c r="U56" i="5"/>
  <c r="R208" i="29" s="1"/>
  <c r="U60" i="5"/>
  <c r="R208" i="33" s="1"/>
  <c r="U64" i="5"/>
  <c r="R188" i="38" s="1"/>
  <c r="U68" i="5"/>
  <c r="R188" i="44" s="1"/>
  <c r="U48" i="5"/>
  <c r="R208" i="12" s="1"/>
  <c r="U53" i="5"/>
  <c r="R208" i="24" s="1"/>
  <c r="U57" i="5"/>
  <c r="R208" i="30" s="1"/>
  <c r="U61" i="5"/>
  <c r="R208" i="34" s="1"/>
  <c r="U65" i="5"/>
  <c r="R208" i="40" s="1"/>
  <c r="U70" i="5"/>
  <c r="R188" i="46" s="1"/>
  <c r="U71" i="5"/>
  <c r="R188" i="47" s="1"/>
  <c r="U54" i="5"/>
  <c r="R208" i="25" s="1"/>
  <c r="U58" i="5"/>
  <c r="R188" i="31" s="1"/>
  <c r="U62" i="5"/>
  <c r="R208" i="35" s="1"/>
  <c r="U49" i="5"/>
  <c r="R208" i="14" s="1"/>
  <c r="U66" i="5"/>
  <c r="R208" i="41" s="1"/>
  <c r="U69" i="5"/>
  <c r="J74" i="111"/>
  <c r="J62" i="111"/>
  <c r="J50" i="111"/>
  <c r="R351" i="20" l="1"/>
  <c r="V340" i="20"/>
  <c r="V319" i="20"/>
  <c r="V343" i="20"/>
  <c r="V322" i="20"/>
  <c r="V324" i="20"/>
  <c r="V345" i="20"/>
  <c r="T351" i="20"/>
  <c r="Q347" i="20"/>
  <c r="Q326" i="20"/>
  <c r="Q320" i="20"/>
  <c r="Q341" i="20"/>
  <c r="Q346" i="20"/>
  <c r="Q325" i="20"/>
  <c r="J114" i="50"/>
  <c r="S342" i="20"/>
  <c r="S321" i="20"/>
  <c r="S349" i="20"/>
  <c r="S328" i="20"/>
  <c r="S340" i="20"/>
  <c r="S319" i="20"/>
  <c r="T243" i="20"/>
  <c r="X169" i="20"/>
  <c r="V309" i="20"/>
  <c r="V318" i="20"/>
  <c r="V339" i="20"/>
  <c r="V321" i="20"/>
  <c r="V342" i="20"/>
  <c r="V325" i="20"/>
  <c r="V346" i="20"/>
  <c r="V396" i="20"/>
  <c r="T330" i="20"/>
  <c r="Q349" i="20"/>
  <c r="Q328" i="20"/>
  <c r="Q342" i="20"/>
  <c r="Q321" i="20"/>
  <c r="Q348" i="20"/>
  <c r="Q327" i="20"/>
  <c r="Q396" i="20"/>
  <c r="Q185" i="20"/>
  <c r="R373" i="20"/>
  <c r="R377" i="20" s="1"/>
  <c r="R240" i="20"/>
  <c r="R243" i="20" s="1"/>
  <c r="J151" i="50"/>
  <c r="Q80" i="19"/>
  <c r="Q98" i="19"/>
  <c r="S318" i="20"/>
  <c r="S339" i="20"/>
  <c r="S309" i="20"/>
  <c r="S327" i="20"/>
  <c r="S348" i="20"/>
  <c r="S341" i="20"/>
  <c r="S320" i="20"/>
  <c r="S396" i="20"/>
  <c r="T373" i="20"/>
  <c r="T377" i="20" s="1"/>
  <c r="L151" i="50"/>
  <c r="L225" i="50" s="1"/>
  <c r="T240" i="20"/>
  <c r="X185" i="20"/>
  <c r="V341" i="20"/>
  <c r="V320" i="20"/>
  <c r="V327" i="20"/>
  <c r="V348" i="20"/>
  <c r="V323" i="20"/>
  <c r="V344" i="20"/>
  <c r="U373" i="20"/>
  <c r="U377" i="20" s="1"/>
  <c r="M151" i="50"/>
  <c r="M225" i="50" s="1"/>
  <c r="U240" i="20"/>
  <c r="U243" i="20" s="1"/>
  <c r="Q319" i="20"/>
  <c r="Q340" i="20"/>
  <c r="Q218" i="20"/>
  <c r="Q192" i="20"/>
  <c r="I77" i="50" s="1"/>
  <c r="I114" i="50" s="1"/>
  <c r="Q239" i="20"/>
  <c r="Q309" i="20"/>
  <c r="Q318" i="20"/>
  <c r="Q330" i="20" s="1"/>
  <c r="Q339" i="20"/>
  <c r="S218" i="20"/>
  <c r="S239" i="20"/>
  <c r="S192" i="20"/>
  <c r="K77" i="50" s="1"/>
  <c r="K114" i="50" s="1"/>
  <c r="S322" i="20"/>
  <c r="S343" i="20"/>
  <c r="S347" i="20"/>
  <c r="S326" i="20"/>
  <c r="U330" i="20"/>
  <c r="V347" i="20"/>
  <c r="V326" i="20"/>
  <c r="V349" i="20"/>
  <c r="V328" i="20"/>
  <c r="V218" i="20"/>
  <c r="V239" i="20"/>
  <c r="V192" i="20"/>
  <c r="N77" i="50" s="1"/>
  <c r="N114" i="50" s="1"/>
  <c r="Q324" i="20"/>
  <c r="Q345" i="20"/>
  <c r="Q322" i="20"/>
  <c r="Q343" i="20"/>
  <c r="Q323" i="20"/>
  <c r="Q344" i="20"/>
  <c r="S323" i="20"/>
  <c r="S344" i="20"/>
  <c r="S324" i="20"/>
  <c r="S345" i="20"/>
  <c r="S346" i="20"/>
  <c r="S325" i="20"/>
  <c r="S185" i="20"/>
  <c r="V210" i="34"/>
  <c r="V190" i="34"/>
  <c r="V223" i="34"/>
  <c r="V189" i="34"/>
  <c r="V297" i="34"/>
  <c r="V301" i="34"/>
  <c r="V195" i="34"/>
  <c r="V229" i="34"/>
  <c r="V389" i="34"/>
  <c r="V307" i="34"/>
  <c r="V225" i="34"/>
  <c r="V394" i="34"/>
  <c r="V298" i="34"/>
  <c r="V224" i="34"/>
  <c r="V391" i="34"/>
  <c r="V299" i="34"/>
  <c r="V197" i="34"/>
  <c r="V194" i="34"/>
  <c r="V393" i="34"/>
  <c r="V196" i="34"/>
  <c r="V230" i="34"/>
  <c r="V390" i="34"/>
  <c r="V302" i="34"/>
  <c r="V193" i="34"/>
  <c r="V228" i="34"/>
  <c r="V388" i="34"/>
  <c r="V392" i="34"/>
  <c r="V226" i="34"/>
  <c r="V304" i="34"/>
  <c r="V300" i="34"/>
  <c r="V303" i="34"/>
  <c r="V192" i="34"/>
  <c r="V227" i="34"/>
  <c r="V191" i="34"/>
  <c r="V222" i="34"/>
  <c r="V306" i="34"/>
  <c r="V305" i="34"/>
  <c r="V210" i="25"/>
  <c r="V307" i="25"/>
  <c r="V394" i="25"/>
  <c r="V306" i="25"/>
  <c r="V302" i="25"/>
  <c r="V303" i="25"/>
  <c r="V301" i="25"/>
  <c r="V305" i="25"/>
  <c r="V222" i="25"/>
  <c r="V224" i="25"/>
  <c r="V300" i="25"/>
  <c r="V393" i="25"/>
  <c r="V299" i="25"/>
  <c r="V392" i="25"/>
  <c r="V191" i="25"/>
  <c r="V192" i="25"/>
  <c r="V297" i="25"/>
  <c r="V375" i="25"/>
  <c r="V390" i="25"/>
  <c r="V391" i="25"/>
  <c r="V190" i="25"/>
  <c r="V389" i="25"/>
  <c r="V223" i="25"/>
  <c r="V189" i="25"/>
  <c r="V304" i="25"/>
  <c r="V388" i="25"/>
  <c r="V298" i="25"/>
  <c r="V225" i="25"/>
  <c r="V225" i="40"/>
  <c r="V224" i="40"/>
  <c r="V223" i="40"/>
  <c r="V222" i="40"/>
  <c r="V189" i="40"/>
  <c r="V191" i="40"/>
  <c r="V190" i="40"/>
  <c r="V192" i="40"/>
  <c r="V394" i="40"/>
  <c r="V390" i="40"/>
  <c r="V392" i="40"/>
  <c r="V388" i="40"/>
  <c r="V393" i="40"/>
  <c r="V391" i="40"/>
  <c r="V389" i="40"/>
  <c r="V304" i="40"/>
  <c r="V301" i="40"/>
  <c r="V299" i="40"/>
  <c r="V306" i="40"/>
  <c r="V300" i="40"/>
  <c r="V305" i="40"/>
  <c r="V307" i="40"/>
  <c r="V210" i="40"/>
  <c r="V303" i="40"/>
  <c r="V302" i="40"/>
  <c r="V297" i="40"/>
  <c r="V298" i="40"/>
  <c r="V210" i="33"/>
  <c r="V392" i="33"/>
  <c r="V304" i="33"/>
  <c r="V305" i="33"/>
  <c r="V189" i="33"/>
  <c r="V306" i="33"/>
  <c r="V303" i="33"/>
  <c r="V389" i="33"/>
  <c r="V301" i="33"/>
  <c r="V190" i="33"/>
  <c r="V307" i="33"/>
  <c r="V225" i="33"/>
  <c r="V390" i="33"/>
  <c r="V298" i="33"/>
  <c r="V394" i="33"/>
  <c r="V299" i="33"/>
  <c r="V224" i="33"/>
  <c r="V191" i="33"/>
  <c r="V302" i="33"/>
  <c r="V222" i="33"/>
  <c r="V223" i="33"/>
  <c r="V297" i="33"/>
  <c r="V393" i="33"/>
  <c r="V391" i="33"/>
  <c r="V300" i="33"/>
  <c r="V388" i="33"/>
  <c r="V375" i="47"/>
  <c r="V190" i="47"/>
  <c r="V303" i="47"/>
  <c r="V388" i="47"/>
  <c r="V394" i="47"/>
  <c r="V305" i="47"/>
  <c r="V389" i="47"/>
  <c r="V391" i="47"/>
  <c r="V393" i="47"/>
  <c r="V304" i="47"/>
  <c r="V307" i="47"/>
  <c r="V300" i="47"/>
  <c r="V392" i="47"/>
  <c r="V306" i="47"/>
  <c r="V202" i="47"/>
  <c r="V390" i="47"/>
  <c r="V299" i="47"/>
  <c r="V169" i="47"/>
  <c r="V185" i="47" s="1"/>
  <c r="V301" i="47"/>
  <c r="V302" i="47"/>
  <c r="V297" i="47"/>
  <c r="V298" i="47"/>
  <c r="V210" i="12"/>
  <c r="V375" i="12"/>
  <c r="V223" i="12"/>
  <c r="V390" i="12"/>
  <c r="V302" i="12"/>
  <c r="V190" i="12"/>
  <c r="V393" i="12"/>
  <c r="V306" i="12"/>
  <c r="V189" i="12"/>
  <c r="V389" i="12"/>
  <c r="V297" i="12"/>
  <c r="V298" i="12"/>
  <c r="V191" i="12"/>
  <c r="V388" i="12"/>
  <c r="V300" i="12"/>
  <c r="V392" i="12"/>
  <c r="V304" i="12"/>
  <c r="V307" i="12"/>
  <c r="V394" i="12"/>
  <c r="V222" i="12"/>
  <c r="V305" i="12"/>
  <c r="V303" i="12"/>
  <c r="V299" i="12"/>
  <c r="V301" i="12"/>
  <c r="V192" i="12"/>
  <c r="V391" i="12"/>
  <c r="V225" i="12"/>
  <c r="V224" i="12"/>
  <c r="V222" i="15"/>
  <c r="V392" i="15"/>
  <c r="V303" i="15"/>
  <c r="V306" i="15"/>
  <c r="V223" i="15"/>
  <c r="V302" i="15"/>
  <c r="V307" i="15"/>
  <c r="V224" i="15"/>
  <c r="V388" i="15"/>
  <c r="V299" i="15"/>
  <c r="V192" i="15"/>
  <c r="V390" i="15"/>
  <c r="V300" i="15"/>
  <c r="V297" i="15"/>
  <c r="V375" i="15"/>
  <c r="V389" i="15"/>
  <c r="V191" i="15"/>
  <c r="V298" i="15"/>
  <c r="V225" i="15"/>
  <c r="V305" i="15"/>
  <c r="V394" i="15"/>
  <c r="V304" i="15"/>
  <c r="V210" i="15"/>
  <c r="V189" i="15"/>
  <c r="V391" i="15"/>
  <c r="V301" i="15"/>
  <c r="V190" i="15"/>
  <c r="V393" i="15"/>
  <c r="V190" i="43"/>
  <c r="V304" i="43"/>
  <c r="V306" i="43"/>
  <c r="V303" i="43"/>
  <c r="V202" i="43"/>
  <c r="V297" i="43"/>
  <c r="V305" i="43"/>
  <c r="V390" i="43"/>
  <c r="V393" i="43"/>
  <c r="V299" i="43"/>
  <c r="V389" i="43"/>
  <c r="V394" i="43"/>
  <c r="V302" i="43"/>
  <c r="V301" i="43"/>
  <c r="V298" i="43"/>
  <c r="V169" i="43"/>
  <c r="V185" i="43" s="1"/>
  <c r="V300" i="43"/>
  <c r="V388" i="43"/>
  <c r="V391" i="43"/>
  <c r="V392" i="43"/>
  <c r="V375" i="43"/>
  <c r="V307" i="43"/>
  <c r="V375" i="32"/>
  <c r="V208" i="6"/>
  <c r="V375" i="33"/>
  <c r="V375" i="34"/>
  <c r="V375" i="40"/>
  <c r="V188" i="45"/>
  <c r="V375" i="41"/>
  <c r="V375" i="35"/>
  <c r="V375" i="24"/>
  <c r="V210" i="24"/>
  <c r="V191" i="24"/>
  <c r="V388" i="24"/>
  <c r="V300" i="24"/>
  <c r="V307" i="24"/>
  <c r="V190" i="24"/>
  <c r="V394" i="24"/>
  <c r="V297" i="24"/>
  <c r="V193" i="24"/>
  <c r="V392" i="24"/>
  <c r="V303" i="24"/>
  <c r="V189" i="24"/>
  <c r="V192" i="24"/>
  <c r="V390" i="24"/>
  <c r="V306" i="24"/>
  <c r="V224" i="24"/>
  <c r="V298" i="24"/>
  <c r="V393" i="24"/>
  <c r="V301" i="24"/>
  <c r="V225" i="24"/>
  <c r="V304" i="24"/>
  <c r="V389" i="24"/>
  <c r="V391" i="24"/>
  <c r="V302" i="24"/>
  <c r="V299" i="24"/>
  <c r="V305" i="24"/>
  <c r="V222" i="24"/>
  <c r="V226" i="24"/>
  <c r="V223" i="24"/>
  <c r="V210" i="17"/>
  <c r="V375" i="17"/>
  <c r="V223" i="17"/>
  <c r="V301" i="17"/>
  <c r="V307" i="17"/>
  <c r="V192" i="17"/>
  <c r="V389" i="17"/>
  <c r="V302" i="17"/>
  <c r="V189" i="17"/>
  <c r="V299" i="17"/>
  <c r="V191" i="17"/>
  <c r="V393" i="17"/>
  <c r="V305" i="17"/>
  <c r="V390" i="17"/>
  <c r="V300" i="17"/>
  <c r="V224" i="17"/>
  <c r="V394" i="17"/>
  <c r="V304" i="17"/>
  <c r="V392" i="17"/>
  <c r="V391" i="17"/>
  <c r="V222" i="17"/>
  <c r="V306" i="17"/>
  <c r="V303" i="17"/>
  <c r="V225" i="17"/>
  <c r="V297" i="17"/>
  <c r="V298" i="17"/>
  <c r="V190" i="17"/>
  <c r="V388" i="17"/>
  <c r="V190" i="44"/>
  <c r="V297" i="44"/>
  <c r="V394" i="44"/>
  <c r="V388" i="44"/>
  <c r="V307" i="44"/>
  <c r="V390" i="44"/>
  <c r="V375" i="44"/>
  <c r="V298" i="44"/>
  <c r="V169" i="44"/>
  <c r="V185" i="44" s="1"/>
  <c r="V202" i="44"/>
  <c r="V391" i="44"/>
  <c r="V304" i="44"/>
  <c r="V392" i="44"/>
  <c r="V299" i="44"/>
  <c r="V301" i="44"/>
  <c r="V303" i="44"/>
  <c r="V305" i="44"/>
  <c r="V302" i="44"/>
  <c r="V389" i="44"/>
  <c r="V393" i="44"/>
  <c r="V300" i="44"/>
  <c r="V306" i="44"/>
  <c r="V190" i="32"/>
  <c r="V393" i="32"/>
  <c r="V224" i="32"/>
  <c r="V392" i="32"/>
  <c r="V298" i="32"/>
  <c r="V222" i="32"/>
  <c r="V389" i="32"/>
  <c r="V306" i="32"/>
  <c r="V223" i="32"/>
  <c r="V299" i="32"/>
  <c r="V303" i="32"/>
  <c r="V189" i="32"/>
  <c r="V391" i="32"/>
  <c r="V302" i="32"/>
  <c r="V210" i="32"/>
  <c r="V191" i="32"/>
  <c r="V304" i="32"/>
  <c r="V307" i="32"/>
  <c r="V388" i="32"/>
  <c r="V225" i="32"/>
  <c r="V297" i="32"/>
  <c r="V390" i="32"/>
  <c r="V394" i="32"/>
  <c r="V301" i="32"/>
  <c r="V300" i="32"/>
  <c r="V305" i="32"/>
  <c r="V210" i="41"/>
  <c r="V388" i="41"/>
  <c r="V392" i="41"/>
  <c r="V304" i="41"/>
  <c r="V297" i="41"/>
  <c r="V301" i="41"/>
  <c r="V391" i="41"/>
  <c r="V225" i="41"/>
  <c r="V223" i="41"/>
  <c r="V298" i="41"/>
  <c r="V393" i="41"/>
  <c r="V192" i="41"/>
  <c r="V300" i="41"/>
  <c r="V302" i="41"/>
  <c r="V224" i="41"/>
  <c r="V307" i="41"/>
  <c r="V305" i="41"/>
  <c r="V189" i="41"/>
  <c r="V191" i="41"/>
  <c r="V394" i="41"/>
  <c r="V306" i="41"/>
  <c r="V389" i="41"/>
  <c r="V190" i="41"/>
  <c r="V222" i="41"/>
  <c r="V299" i="41"/>
  <c r="V390" i="41"/>
  <c r="V303" i="41"/>
  <c r="V190" i="37"/>
  <c r="V207" i="37"/>
  <c r="V301" i="37"/>
  <c r="V303" i="37"/>
  <c r="V299" i="37"/>
  <c r="V205" i="37"/>
  <c r="V389" i="37"/>
  <c r="V300" i="37"/>
  <c r="V304" i="37"/>
  <c r="V375" i="37"/>
  <c r="V204" i="37"/>
  <c r="V203" i="37"/>
  <c r="V172" i="37"/>
  <c r="V171" i="37"/>
  <c r="V170" i="37"/>
  <c r="V394" i="37"/>
  <c r="V388" i="37"/>
  <c r="V173" i="37"/>
  <c r="V305" i="37"/>
  <c r="V307" i="37"/>
  <c r="V174" i="37"/>
  <c r="V297" i="37"/>
  <c r="V306" i="37"/>
  <c r="V391" i="37"/>
  <c r="V302" i="37"/>
  <c r="V393" i="37"/>
  <c r="V206" i="37"/>
  <c r="V392" i="37"/>
  <c r="V202" i="37"/>
  <c r="V298" i="37"/>
  <c r="V169" i="37"/>
  <c r="V390" i="37"/>
  <c r="V375" i="30"/>
  <c r="V392" i="30"/>
  <c r="V228" i="30"/>
  <c r="V192" i="30"/>
  <c r="V302" i="30"/>
  <c r="V301" i="30"/>
  <c r="V390" i="30"/>
  <c r="V297" i="30"/>
  <c r="V189" i="30"/>
  <c r="V304" i="30"/>
  <c r="V305" i="30"/>
  <c r="V225" i="30"/>
  <c r="V196" i="30"/>
  <c r="V388" i="30"/>
  <c r="V195" i="30"/>
  <c r="V224" i="30"/>
  <c r="V300" i="30"/>
  <c r="V394" i="30"/>
  <c r="V190" i="30"/>
  <c r="V299" i="30"/>
  <c r="V306" i="30"/>
  <c r="V393" i="30"/>
  <c r="V307" i="30"/>
  <c r="V193" i="30"/>
  <c r="V389" i="30"/>
  <c r="V391" i="30"/>
  <c r="V227" i="30"/>
  <c r="V222" i="30"/>
  <c r="V229" i="30"/>
  <c r="V226" i="30"/>
  <c r="V303" i="30"/>
  <c r="V298" i="30"/>
  <c r="V191" i="30"/>
  <c r="V210" i="30"/>
  <c r="V194" i="30"/>
  <c r="V223" i="30"/>
  <c r="V190" i="38"/>
  <c r="V375" i="38"/>
  <c r="V306" i="38"/>
  <c r="V170" i="38"/>
  <c r="V388" i="38"/>
  <c r="V304" i="38"/>
  <c r="V299" i="38"/>
  <c r="V172" i="38"/>
  <c r="V307" i="38"/>
  <c r="V389" i="38"/>
  <c r="V204" i="38"/>
  <c r="V173" i="38"/>
  <c r="V171" i="38"/>
  <c r="V394" i="38"/>
  <c r="V206" i="38"/>
  <c r="V302" i="38"/>
  <c r="V205" i="38"/>
  <c r="V300" i="38"/>
  <c r="V203" i="38"/>
  <c r="V392" i="38"/>
  <c r="V298" i="38"/>
  <c r="V297" i="38"/>
  <c r="V202" i="38"/>
  <c r="V301" i="38"/>
  <c r="V303" i="38"/>
  <c r="V169" i="38"/>
  <c r="V305" i="38"/>
  <c r="V391" i="38"/>
  <c r="V393" i="38"/>
  <c r="V390" i="38"/>
  <c r="V375" i="31"/>
  <c r="V306" i="31"/>
  <c r="V391" i="31"/>
  <c r="V297" i="31"/>
  <c r="V390" i="31"/>
  <c r="V203" i="31"/>
  <c r="V172" i="31"/>
  <c r="V298" i="31"/>
  <c r="V170" i="31"/>
  <c r="V299" i="31"/>
  <c r="V300" i="31"/>
  <c r="V301" i="31"/>
  <c r="V169" i="31"/>
  <c r="V302" i="31"/>
  <c r="V171" i="31"/>
  <c r="V392" i="31"/>
  <c r="V388" i="31"/>
  <c r="V393" i="31"/>
  <c r="V205" i="31"/>
  <c r="V389" i="31"/>
  <c r="V305" i="31"/>
  <c r="V307" i="31"/>
  <c r="V303" i="31"/>
  <c r="V190" i="31"/>
  <c r="V304" i="31"/>
  <c r="V202" i="31"/>
  <c r="V394" i="31"/>
  <c r="V204" i="31"/>
  <c r="V210" i="35"/>
  <c r="V392" i="35"/>
  <c r="V391" i="35"/>
  <c r="V388" i="35"/>
  <c r="V299" i="35"/>
  <c r="V394" i="35"/>
  <c r="V297" i="35"/>
  <c r="V298" i="35"/>
  <c r="V307" i="35"/>
  <c r="V389" i="35"/>
  <c r="V393" i="35"/>
  <c r="V189" i="35"/>
  <c r="V205" i="35" s="1"/>
  <c r="V305" i="35"/>
  <c r="V301" i="35"/>
  <c r="V304" i="35"/>
  <c r="V302" i="35"/>
  <c r="V222" i="35"/>
  <c r="V303" i="35"/>
  <c r="V300" i="35"/>
  <c r="V390" i="35"/>
  <c r="V306" i="35"/>
  <c r="V210" i="28"/>
  <c r="V392" i="28"/>
  <c r="V225" i="28"/>
  <c r="V389" i="28"/>
  <c r="V305" i="28"/>
  <c r="V191" i="28"/>
  <c r="V307" i="28"/>
  <c r="V222" i="28"/>
  <c r="V297" i="28"/>
  <c r="V390" i="28"/>
  <c r="V306" i="28"/>
  <c r="V300" i="28"/>
  <c r="V224" i="28"/>
  <c r="V393" i="28"/>
  <c r="V375" i="28"/>
  <c r="V301" i="28"/>
  <c r="V302" i="28"/>
  <c r="V223" i="28"/>
  <c r="V190" i="28"/>
  <c r="V391" i="28"/>
  <c r="V388" i="28"/>
  <c r="V303" i="28"/>
  <c r="V394" i="28"/>
  <c r="V189" i="28"/>
  <c r="V299" i="28"/>
  <c r="V192" i="28"/>
  <c r="V298" i="28"/>
  <c r="V304" i="28"/>
  <c r="V375" i="14"/>
  <c r="V392" i="14"/>
  <c r="V391" i="14"/>
  <c r="V388" i="14"/>
  <c r="V301" i="14"/>
  <c r="V389" i="14"/>
  <c r="V297" i="14"/>
  <c r="V305" i="14"/>
  <c r="V300" i="14"/>
  <c r="V189" i="14"/>
  <c r="V205" i="14" s="1"/>
  <c r="V394" i="14"/>
  <c r="V222" i="14"/>
  <c r="V303" i="14"/>
  <c r="V299" i="14"/>
  <c r="V298" i="14"/>
  <c r="V302" i="14"/>
  <c r="V306" i="14"/>
  <c r="V210" i="14"/>
  <c r="V304" i="14"/>
  <c r="V393" i="14"/>
  <c r="V307" i="14"/>
  <c r="V390" i="14"/>
  <c r="V210" i="29"/>
  <c r="V375" i="29"/>
  <c r="V222" i="29"/>
  <c r="V303" i="29"/>
  <c r="V297" i="29"/>
  <c r="V393" i="29"/>
  <c r="V302" i="29"/>
  <c r="V389" i="29"/>
  <c r="V307" i="29"/>
  <c r="V300" i="29"/>
  <c r="V388" i="29"/>
  <c r="V189" i="29"/>
  <c r="V205" i="29" s="1"/>
  <c r="V299" i="29"/>
  <c r="V306" i="29"/>
  <c r="V301" i="29"/>
  <c r="V305" i="29"/>
  <c r="V392" i="29"/>
  <c r="V390" i="29"/>
  <c r="V391" i="29"/>
  <c r="V304" i="29"/>
  <c r="V394" i="29"/>
  <c r="V298" i="29"/>
  <c r="V389" i="46"/>
  <c r="V297" i="46"/>
  <c r="V391" i="46"/>
  <c r="V394" i="46"/>
  <c r="V300" i="46"/>
  <c r="V390" i="46"/>
  <c r="V301" i="46"/>
  <c r="V298" i="46"/>
  <c r="V305" i="46"/>
  <c r="V306" i="46"/>
  <c r="V375" i="46"/>
  <c r="V169" i="46"/>
  <c r="V185" i="46" s="1"/>
  <c r="V299" i="46"/>
  <c r="V307" i="46"/>
  <c r="V304" i="46"/>
  <c r="V303" i="46"/>
  <c r="V392" i="46"/>
  <c r="V190" i="46"/>
  <c r="V388" i="46"/>
  <c r="V302" i="46"/>
  <c r="V202" i="46"/>
  <c r="V393" i="46"/>
  <c r="V210" i="16"/>
  <c r="V375" i="16"/>
  <c r="V298" i="16"/>
  <c r="V300" i="16"/>
  <c r="V391" i="16"/>
  <c r="V394" i="16"/>
  <c r="V304" i="16"/>
  <c r="V393" i="16"/>
  <c r="V302" i="16"/>
  <c r="V299" i="16"/>
  <c r="V392" i="16"/>
  <c r="V306" i="16"/>
  <c r="V388" i="16"/>
  <c r="V301" i="16"/>
  <c r="V303" i="16"/>
  <c r="V189" i="16"/>
  <c r="V205" i="16" s="1"/>
  <c r="V389" i="16"/>
  <c r="V297" i="16"/>
  <c r="V390" i="16"/>
  <c r="V222" i="16"/>
  <c r="V307" i="16"/>
  <c r="V305" i="16"/>
  <c r="U210" i="12"/>
  <c r="U375" i="12"/>
  <c r="U190" i="12"/>
  <c r="U393" i="12"/>
  <c r="U298" i="12"/>
  <c r="U297" i="12"/>
  <c r="U225" i="12"/>
  <c r="U299" i="12"/>
  <c r="U222" i="12"/>
  <c r="U391" i="12"/>
  <c r="U300" i="12"/>
  <c r="U301" i="12"/>
  <c r="U224" i="12"/>
  <c r="U306" i="12"/>
  <c r="U189" i="12"/>
  <c r="U394" i="12"/>
  <c r="U305" i="12"/>
  <c r="U388" i="12"/>
  <c r="U192" i="12"/>
  <c r="U307" i="12"/>
  <c r="U390" i="12"/>
  <c r="U191" i="12"/>
  <c r="U304" i="12"/>
  <c r="U223" i="12"/>
  <c r="U389" i="12"/>
  <c r="U302" i="12"/>
  <c r="U303" i="12"/>
  <c r="U392" i="12"/>
  <c r="U190" i="46"/>
  <c r="U375" i="46"/>
  <c r="U300" i="46"/>
  <c r="U392" i="46"/>
  <c r="U391" i="46"/>
  <c r="U303" i="46"/>
  <c r="U394" i="46"/>
  <c r="U390" i="46"/>
  <c r="U389" i="46"/>
  <c r="U302" i="46"/>
  <c r="U305" i="46"/>
  <c r="U388" i="46"/>
  <c r="U307" i="46"/>
  <c r="U306" i="46"/>
  <c r="U393" i="46"/>
  <c r="U304" i="46"/>
  <c r="U301" i="46"/>
  <c r="U298" i="46"/>
  <c r="U202" i="46"/>
  <c r="U297" i="46"/>
  <c r="U169" i="46"/>
  <c r="U185" i="46" s="1"/>
  <c r="U299" i="46"/>
  <c r="U210" i="33"/>
  <c r="U303" i="33"/>
  <c r="U298" i="33"/>
  <c r="U307" i="33"/>
  <c r="U301" i="33"/>
  <c r="U392" i="33"/>
  <c r="U394" i="33"/>
  <c r="U388" i="33"/>
  <c r="U393" i="33"/>
  <c r="U224" i="33"/>
  <c r="U306" i="33"/>
  <c r="U299" i="33"/>
  <c r="U302" i="33"/>
  <c r="U223" i="33"/>
  <c r="U300" i="33"/>
  <c r="U304" i="33"/>
  <c r="U222" i="33"/>
  <c r="U390" i="33"/>
  <c r="U191" i="33"/>
  <c r="U391" i="33"/>
  <c r="U189" i="33"/>
  <c r="U297" i="33"/>
  <c r="U190" i="33"/>
  <c r="U225" i="33"/>
  <c r="U389" i="33"/>
  <c r="U305" i="33"/>
  <c r="U375" i="43"/>
  <c r="U297" i="43"/>
  <c r="U299" i="43"/>
  <c r="U392" i="43"/>
  <c r="U304" i="43"/>
  <c r="U391" i="43"/>
  <c r="U298" i="43"/>
  <c r="U307" i="43"/>
  <c r="U302" i="43"/>
  <c r="U169" i="43"/>
  <c r="U185" i="43" s="1"/>
  <c r="U389" i="43"/>
  <c r="U190" i="43"/>
  <c r="U390" i="43"/>
  <c r="U301" i="43"/>
  <c r="U300" i="43"/>
  <c r="U305" i="43"/>
  <c r="U394" i="43"/>
  <c r="U303" i="43"/>
  <c r="U202" i="43"/>
  <c r="U306" i="43"/>
  <c r="U393" i="43"/>
  <c r="U388" i="43"/>
  <c r="U375" i="16"/>
  <c r="U189" i="16"/>
  <c r="U205" i="16" s="1"/>
  <c r="U297" i="16"/>
  <c r="U301" i="16"/>
  <c r="U210" i="16"/>
  <c r="U390" i="16"/>
  <c r="U389" i="16"/>
  <c r="U391" i="16"/>
  <c r="U300" i="16"/>
  <c r="U304" i="16"/>
  <c r="U302" i="16"/>
  <c r="U307" i="16"/>
  <c r="U305" i="16"/>
  <c r="U388" i="16"/>
  <c r="U394" i="16"/>
  <c r="U306" i="16"/>
  <c r="U392" i="16"/>
  <c r="U222" i="16"/>
  <c r="U393" i="16"/>
  <c r="U299" i="16"/>
  <c r="U303" i="16"/>
  <c r="U298" i="16"/>
  <c r="U390" i="41"/>
  <c r="U224" i="41"/>
  <c r="U225" i="41"/>
  <c r="U307" i="41"/>
  <c r="U222" i="41"/>
  <c r="U192" i="41"/>
  <c r="U306" i="41"/>
  <c r="U210" i="41"/>
  <c r="U299" i="41"/>
  <c r="U190" i="41"/>
  <c r="U191" i="41"/>
  <c r="U394" i="41"/>
  <c r="U392" i="41"/>
  <c r="U300" i="41"/>
  <c r="U393" i="41"/>
  <c r="U389" i="41"/>
  <c r="U298" i="41"/>
  <c r="U391" i="41"/>
  <c r="U305" i="41"/>
  <c r="U223" i="41"/>
  <c r="U388" i="41"/>
  <c r="U301" i="41"/>
  <c r="U297" i="41"/>
  <c r="U304" i="41"/>
  <c r="U302" i="41"/>
  <c r="U303" i="41"/>
  <c r="U189" i="41"/>
  <c r="U210" i="15"/>
  <c r="U190" i="15"/>
  <c r="U394" i="15"/>
  <c r="U303" i="15"/>
  <c r="U191" i="15"/>
  <c r="U389" i="15"/>
  <c r="U302" i="15"/>
  <c r="U224" i="15"/>
  <c r="U391" i="15"/>
  <c r="U306" i="15"/>
  <c r="U297" i="15"/>
  <c r="U189" i="15"/>
  <c r="U392" i="15"/>
  <c r="U298" i="15"/>
  <c r="U393" i="15"/>
  <c r="U192" i="15"/>
  <c r="U305" i="15"/>
  <c r="U225" i="15"/>
  <c r="U299" i="15"/>
  <c r="U222" i="15"/>
  <c r="U307" i="15"/>
  <c r="U300" i="15"/>
  <c r="U301" i="15"/>
  <c r="U223" i="15"/>
  <c r="U390" i="15"/>
  <c r="U388" i="15"/>
  <c r="U375" i="15"/>
  <c r="U304" i="15"/>
  <c r="U223" i="40"/>
  <c r="U190" i="40"/>
  <c r="U191" i="40"/>
  <c r="U224" i="40"/>
  <c r="U192" i="40"/>
  <c r="U225" i="40"/>
  <c r="U222" i="40"/>
  <c r="U189" i="40"/>
  <c r="U388" i="40"/>
  <c r="U392" i="40"/>
  <c r="U394" i="40"/>
  <c r="U389" i="40"/>
  <c r="U391" i="40"/>
  <c r="U393" i="40"/>
  <c r="U390" i="40"/>
  <c r="U304" i="40"/>
  <c r="U303" i="40"/>
  <c r="U302" i="40"/>
  <c r="U307" i="40"/>
  <c r="U298" i="40"/>
  <c r="U301" i="40"/>
  <c r="U210" i="40"/>
  <c r="U306" i="40"/>
  <c r="U297" i="40"/>
  <c r="U299" i="40"/>
  <c r="U300" i="40"/>
  <c r="U305" i="40"/>
  <c r="U210" i="30"/>
  <c r="U375" i="30"/>
  <c r="U225" i="30"/>
  <c r="U300" i="30"/>
  <c r="U189" i="30"/>
  <c r="U306" i="30"/>
  <c r="U307" i="30"/>
  <c r="U302" i="30"/>
  <c r="U224" i="30"/>
  <c r="U390" i="30"/>
  <c r="U394" i="30"/>
  <c r="U393" i="30"/>
  <c r="U223" i="30"/>
  <c r="U194" i="30"/>
  <c r="U195" i="30"/>
  <c r="U227" i="30"/>
  <c r="U193" i="30"/>
  <c r="U196" i="30"/>
  <c r="U222" i="30"/>
  <c r="U301" i="30"/>
  <c r="U228" i="30"/>
  <c r="U190" i="30"/>
  <c r="U226" i="30"/>
  <c r="U191" i="30"/>
  <c r="U305" i="30"/>
  <c r="U303" i="30"/>
  <c r="U392" i="30"/>
  <c r="U388" i="30"/>
  <c r="U299" i="30"/>
  <c r="U304" i="30"/>
  <c r="U391" i="30"/>
  <c r="U229" i="30"/>
  <c r="U192" i="30"/>
  <c r="U298" i="30"/>
  <c r="U389" i="30"/>
  <c r="U297" i="30"/>
  <c r="U210" i="17"/>
  <c r="U222" i="17"/>
  <c r="U391" i="17"/>
  <c r="U307" i="17"/>
  <c r="U223" i="17"/>
  <c r="U389" i="17"/>
  <c r="U305" i="17"/>
  <c r="U299" i="17"/>
  <c r="U375" i="17"/>
  <c r="U225" i="17"/>
  <c r="U388" i="17"/>
  <c r="U301" i="17"/>
  <c r="U190" i="17"/>
  <c r="U394" i="17"/>
  <c r="U304" i="17"/>
  <c r="U224" i="17"/>
  <c r="U303" i="17"/>
  <c r="U392" i="17"/>
  <c r="U390" i="17"/>
  <c r="U306" i="17"/>
  <c r="U393" i="17"/>
  <c r="U298" i="17"/>
  <c r="U297" i="17"/>
  <c r="U300" i="17"/>
  <c r="U302" i="17"/>
  <c r="U189" i="17"/>
  <c r="U191" i="17"/>
  <c r="U192" i="17"/>
  <c r="U375" i="37"/>
  <c r="U171" i="37"/>
  <c r="U300" i="37"/>
  <c r="U169" i="37"/>
  <c r="U202" i="37"/>
  <c r="U304" i="37"/>
  <c r="U390" i="37"/>
  <c r="U392" i="37"/>
  <c r="U299" i="37"/>
  <c r="U307" i="37"/>
  <c r="U303" i="37"/>
  <c r="U170" i="37"/>
  <c r="U302" i="37"/>
  <c r="U391" i="37"/>
  <c r="U301" i="37"/>
  <c r="U203" i="37"/>
  <c r="U190" i="37"/>
  <c r="U298" i="37"/>
  <c r="U389" i="37"/>
  <c r="U388" i="37"/>
  <c r="U173" i="37"/>
  <c r="U393" i="37"/>
  <c r="U172" i="37"/>
  <c r="U305" i="37"/>
  <c r="U207" i="37"/>
  <c r="U206" i="37"/>
  <c r="U394" i="37"/>
  <c r="U174" i="37"/>
  <c r="U306" i="37"/>
  <c r="U204" i="37"/>
  <c r="U205" i="37"/>
  <c r="U297" i="37"/>
  <c r="U375" i="32"/>
  <c r="U375" i="33"/>
  <c r="U188" i="45"/>
  <c r="U375" i="34"/>
  <c r="U208" i="6"/>
  <c r="U375" i="35"/>
  <c r="U375" i="41"/>
  <c r="U375" i="40"/>
  <c r="U210" i="35"/>
  <c r="U306" i="35"/>
  <c r="U307" i="35"/>
  <c r="U389" i="35"/>
  <c r="U298" i="35"/>
  <c r="U392" i="35"/>
  <c r="U302" i="35"/>
  <c r="U300" i="35"/>
  <c r="U391" i="35"/>
  <c r="U301" i="35"/>
  <c r="U189" i="35"/>
  <c r="U205" i="35" s="1"/>
  <c r="U303" i="35"/>
  <c r="U304" i="35"/>
  <c r="U390" i="35"/>
  <c r="U222" i="35"/>
  <c r="U299" i="35"/>
  <c r="U305" i="35"/>
  <c r="U394" i="35"/>
  <c r="U393" i="35"/>
  <c r="U388" i="35"/>
  <c r="U297" i="35"/>
  <c r="U190" i="38"/>
  <c r="U305" i="38"/>
  <c r="U394" i="38"/>
  <c r="U172" i="38"/>
  <c r="U303" i="38"/>
  <c r="U169" i="38"/>
  <c r="U171" i="38"/>
  <c r="U389" i="38"/>
  <c r="U375" i="38"/>
  <c r="U206" i="38"/>
  <c r="U203" i="38"/>
  <c r="U202" i="38"/>
  <c r="U301" i="38"/>
  <c r="U298" i="38"/>
  <c r="U302" i="38"/>
  <c r="U306" i="38"/>
  <c r="U391" i="38"/>
  <c r="U390" i="38"/>
  <c r="U205" i="38"/>
  <c r="U304" i="38"/>
  <c r="U297" i="38"/>
  <c r="U307" i="38"/>
  <c r="U392" i="38"/>
  <c r="U299" i="38"/>
  <c r="U170" i="38"/>
  <c r="U173" i="38"/>
  <c r="U300" i="38"/>
  <c r="U204" i="38"/>
  <c r="U393" i="38"/>
  <c r="U388" i="38"/>
  <c r="U210" i="29"/>
  <c r="U375" i="29"/>
  <c r="U394" i="29"/>
  <c r="U302" i="29"/>
  <c r="U391" i="29"/>
  <c r="U297" i="29"/>
  <c r="U389" i="29"/>
  <c r="U222" i="29"/>
  <c r="U393" i="29"/>
  <c r="U306" i="29"/>
  <c r="U392" i="29"/>
  <c r="U390" i="29"/>
  <c r="U301" i="29"/>
  <c r="U300" i="29"/>
  <c r="U304" i="29"/>
  <c r="U305" i="29"/>
  <c r="U303" i="29"/>
  <c r="U189" i="29"/>
  <c r="U205" i="29" s="1"/>
  <c r="U299" i="29"/>
  <c r="U307" i="29"/>
  <c r="U388" i="29"/>
  <c r="U298" i="29"/>
  <c r="U210" i="34"/>
  <c r="U230" i="34"/>
  <c r="U300" i="34"/>
  <c r="U390" i="34"/>
  <c r="U392" i="34"/>
  <c r="U388" i="34"/>
  <c r="U393" i="34"/>
  <c r="U196" i="34"/>
  <c r="U306" i="34"/>
  <c r="U226" i="34"/>
  <c r="U227" i="34"/>
  <c r="U194" i="34"/>
  <c r="U301" i="34"/>
  <c r="U222" i="34"/>
  <c r="U225" i="34"/>
  <c r="U302" i="34"/>
  <c r="U307" i="34"/>
  <c r="U229" i="34"/>
  <c r="U223" i="34"/>
  <c r="U193" i="34"/>
  <c r="U303" i="34"/>
  <c r="U305" i="34"/>
  <c r="U224" i="34"/>
  <c r="U228" i="34"/>
  <c r="U297" i="34"/>
  <c r="U189" i="34"/>
  <c r="U197" i="34"/>
  <c r="U394" i="34"/>
  <c r="U191" i="34"/>
  <c r="U190" i="34"/>
  <c r="U304" i="34"/>
  <c r="U298" i="34"/>
  <c r="U192" i="34"/>
  <c r="U389" i="34"/>
  <c r="U391" i="34"/>
  <c r="U299" i="34"/>
  <c r="U195" i="34"/>
  <c r="U210" i="32"/>
  <c r="U190" i="32"/>
  <c r="U389" i="32"/>
  <c r="U300" i="32"/>
  <c r="U189" i="32"/>
  <c r="U392" i="32"/>
  <c r="U302" i="32"/>
  <c r="U393" i="32"/>
  <c r="U299" i="32"/>
  <c r="U305" i="32"/>
  <c r="U388" i="32"/>
  <c r="U307" i="32"/>
  <c r="U390" i="32"/>
  <c r="U222" i="32"/>
  <c r="U303" i="32"/>
  <c r="U191" i="32"/>
  <c r="U297" i="32"/>
  <c r="U224" i="32"/>
  <c r="U301" i="32"/>
  <c r="U298" i="32"/>
  <c r="U391" i="32"/>
  <c r="U223" i="32"/>
  <c r="U225" i="32"/>
  <c r="U394" i="32"/>
  <c r="U304" i="32"/>
  <c r="U306" i="32"/>
  <c r="U190" i="31"/>
  <c r="U172" i="31"/>
  <c r="U202" i="31"/>
  <c r="U169" i="31"/>
  <c r="U393" i="31"/>
  <c r="U204" i="31"/>
  <c r="U205" i="31"/>
  <c r="U306" i="31"/>
  <c r="U375" i="31"/>
  <c r="U298" i="31"/>
  <c r="U394" i="31"/>
  <c r="U388" i="31"/>
  <c r="U304" i="31"/>
  <c r="U302" i="31"/>
  <c r="U171" i="31"/>
  <c r="U305" i="31"/>
  <c r="U303" i="31"/>
  <c r="U391" i="31"/>
  <c r="U299" i="31"/>
  <c r="U170" i="31"/>
  <c r="U300" i="31"/>
  <c r="U297" i="31"/>
  <c r="U389" i="31"/>
  <c r="U301" i="31"/>
  <c r="U390" i="31"/>
  <c r="U307" i="31"/>
  <c r="U392" i="31"/>
  <c r="U203" i="31"/>
  <c r="U210" i="14"/>
  <c r="U300" i="14"/>
  <c r="U303" i="14"/>
  <c r="U388" i="14"/>
  <c r="U299" i="14"/>
  <c r="U189" i="14"/>
  <c r="U205" i="14" s="1"/>
  <c r="U298" i="14"/>
  <c r="U307" i="14"/>
  <c r="U394" i="14"/>
  <c r="U304" i="14"/>
  <c r="U297" i="14"/>
  <c r="U390" i="14"/>
  <c r="U375" i="14"/>
  <c r="U306" i="14"/>
  <c r="U302" i="14"/>
  <c r="U392" i="14"/>
  <c r="U393" i="14"/>
  <c r="U222" i="14"/>
  <c r="U305" i="14"/>
  <c r="U389" i="14"/>
  <c r="U301" i="14"/>
  <c r="U391" i="14"/>
  <c r="U190" i="44"/>
  <c r="U297" i="44"/>
  <c r="U375" i="44"/>
  <c r="U392" i="44"/>
  <c r="U391" i="44"/>
  <c r="U394" i="44"/>
  <c r="U388" i="44"/>
  <c r="U298" i="44"/>
  <c r="U390" i="44"/>
  <c r="U307" i="44"/>
  <c r="U300" i="44"/>
  <c r="U304" i="44"/>
  <c r="U305" i="44"/>
  <c r="U306" i="44"/>
  <c r="U169" i="44"/>
  <c r="U185" i="44" s="1"/>
  <c r="U202" i="44"/>
  <c r="U303" i="44"/>
  <c r="U302" i="44"/>
  <c r="U389" i="44"/>
  <c r="U299" i="44"/>
  <c r="U393" i="44"/>
  <c r="U301" i="44"/>
  <c r="U210" i="24"/>
  <c r="U375" i="24"/>
  <c r="U191" i="24"/>
  <c r="U389" i="24"/>
  <c r="U225" i="24"/>
  <c r="U300" i="24"/>
  <c r="U222" i="24"/>
  <c r="U394" i="24"/>
  <c r="U303" i="24"/>
  <c r="U224" i="24"/>
  <c r="U391" i="24"/>
  <c r="U297" i="24"/>
  <c r="U306" i="24"/>
  <c r="U223" i="24"/>
  <c r="U388" i="24"/>
  <c r="U305" i="24"/>
  <c r="U193" i="24"/>
  <c r="U304" i="24"/>
  <c r="U192" i="24"/>
  <c r="U301" i="24"/>
  <c r="U393" i="24"/>
  <c r="U226" i="24"/>
  <c r="U302" i="24"/>
  <c r="U189" i="24"/>
  <c r="U392" i="24"/>
  <c r="U298" i="24"/>
  <c r="U299" i="24"/>
  <c r="U390" i="24"/>
  <c r="U307" i="24"/>
  <c r="U190" i="24"/>
  <c r="U375" i="28"/>
  <c r="U191" i="28"/>
  <c r="U394" i="28"/>
  <c r="U305" i="28"/>
  <c r="U192" i="28"/>
  <c r="U391" i="28"/>
  <c r="U303" i="28"/>
  <c r="U300" i="28"/>
  <c r="U223" i="28"/>
  <c r="U392" i="28"/>
  <c r="U302" i="28"/>
  <c r="U225" i="28"/>
  <c r="U393" i="28"/>
  <c r="U306" i="28"/>
  <c r="U298" i="28"/>
  <c r="U210" i="28"/>
  <c r="U299" i="28"/>
  <c r="U189" i="28"/>
  <c r="U301" i="28"/>
  <c r="U190" i="28"/>
  <c r="U307" i="28"/>
  <c r="U390" i="28"/>
  <c r="U224" i="28"/>
  <c r="U304" i="28"/>
  <c r="U222" i="28"/>
  <c r="U388" i="28"/>
  <c r="U389" i="28"/>
  <c r="U297" i="28"/>
  <c r="U375" i="47"/>
  <c r="U190" i="47"/>
  <c r="U302" i="47"/>
  <c r="U202" i="47"/>
  <c r="U300" i="47"/>
  <c r="U305" i="47"/>
  <c r="U394" i="47"/>
  <c r="U389" i="47"/>
  <c r="U301" i="47"/>
  <c r="U297" i="47"/>
  <c r="U299" i="47"/>
  <c r="U392" i="47"/>
  <c r="U391" i="47"/>
  <c r="U388" i="47"/>
  <c r="U306" i="47"/>
  <c r="U393" i="47"/>
  <c r="U303" i="47"/>
  <c r="U304" i="47"/>
  <c r="U390" i="47"/>
  <c r="U307" i="47"/>
  <c r="U298" i="47"/>
  <c r="U169" i="47"/>
  <c r="U185" i="47" s="1"/>
  <c r="U302" i="25"/>
  <c r="U306" i="25"/>
  <c r="U225" i="25"/>
  <c r="U307" i="25"/>
  <c r="U394" i="25"/>
  <c r="U298" i="25"/>
  <c r="U375" i="25"/>
  <c r="U391" i="25"/>
  <c r="U297" i="25"/>
  <c r="U192" i="25"/>
  <c r="U222" i="25"/>
  <c r="U392" i="25"/>
  <c r="U191" i="25"/>
  <c r="U299" i="25"/>
  <c r="U304" i="25"/>
  <c r="U190" i="25"/>
  <c r="U224" i="25"/>
  <c r="U390" i="25"/>
  <c r="U388" i="25"/>
  <c r="U301" i="25"/>
  <c r="U303" i="25"/>
  <c r="U389" i="25"/>
  <c r="U393" i="25"/>
  <c r="U300" i="25"/>
  <c r="U223" i="25"/>
  <c r="U305" i="25"/>
  <c r="U210" i="25"/>
  <c r="U189" i="25"/>
  <c r="T210" i="16"/>
  <c r="T375" i="16"/>
  <c r="T302" i="16"/>
  <c r="T389" i="16"/>
  <c r="T307" i="16"/>
  <c r="T390" i="16"/>
  <c r="T392" i="16"/>
  <c r="T306" i="16"/>
  <c r="T388" i="16"/>
  <c r="T300" i="16"/>
  <c r="T305" i="16"/>
  <c r="T393" i="16"/>
  <c r="T303" i="16"/>
  <c r="T189" i="16"/>
  <c r="T205" i="16" s="1"/>
  <c r="T299" i="16"/>
  <c r="T298" i="16"/>
  <c r="T304" i="16"/>
  <c r="T391" i="16"/>
  <c r="T297" i="16"/>
  <c r="T301" i="16"/>
  <c r="T394" i="16"/>
  <c r="T222" i="16"/>
  <c r="T375" i="46"/>
  <c r="T388" i="46"/>
  <c r="T303" i="46"/>
  <c r="T394" i="46"/>
  <c r="T392" i="46"/>
  <c r="T393" i="46"/>
  <c r="T306" i="46"/>
  <c r="T390" i="46"/>
  <c r="T202" i="46"/>
  <c r="T305" i="46"/>
  <c r="T302" i="46"/>
  <c r="T190" i="46"/>
  <c r="T301" i="46"/>
  <c r="T297" i="46"/>
  <c r="T299" i="46"/>
  <c r="T298" i="46"/>
  <c r="T307" i="46"/>
  <c r="T389" i="46"/>
  <c r="T169" i="46"/>
  <c r="T185" i="46" s="1"/>
  <c r="T300" i="46"/>
  <c r="T391" i="46"/>
  <c r="T304" i="46"/>
  <c r="T210" i="12"/>
  <c r="T223" i="12"/>
  <c r="T390" i="12"/>
  <c r="T301" i="12"/>
  <c r="T189" i="12"/>
  <c r="T393" i="12"/>
  <c r="T307" i="12"/>
  <c r="T192" i="12"/>
  <c r="T306" i="12"/>
  <c r="T300" i="12"/>
  <c r="T191" i="12"/>
  <c r="T392" i="12"/>
  <c r="T299" i="12"/>
  <c r="T375" i="12"/>
  <c r="T190" i="12"/>
  <c r="T302" i="12"/>
  <c r="T224" i="12"/>
  <c r="T303" i="12"/>
  <c r="T222" i="12"/>
  <c r="T297" i="12"/>
  <c r="T391" i="12"/>
  <c r="T298" i="12"/>
  <c r="T225" i="12"/>
  <c r="T394" i="12"/>
  <c r="T388" i="12"/>
  <c r="T304" i="12"/>
  <c r="T389" i="12"/>
  <c r="T305" i="12"/>
  <c r="T190" i="37"/>
  <c r="T375" i="37"/>
  <c r="T206" i="37"/>
  <c r="T172" i="37"/>
  <c r="T297" i="37"/>
  <c r="T207" i="37"/>
  <c r="T170" i="37"/>
  <c r="T205" i="37"/>
  <c r="T394" i="37"/>
  <c r="T390" i="37"/>
  <c r="T306" i="37"/>
  <c r="T302" i="37"/>
  <c r="T307" i="37"/>
  <c r="T299" i="37"/>
  <c r="T301" i="37"/>
  <c r="T169" i="37"/>
  <c r="T393" i="37"/>
  <c r="T203" i="37"/>
  <c r="T303" i="37"/>
  <c r="T389" i="37"/>
  <c r="T204" i="37"/>
  <c r="T388" i="37"/>
  <c r="T171" i="37"/>
  <c r="T305" i="37"/>
  <c r="T300" i="37"/>
  <c r="T202" i="37"/>
  <c r="T298" i="37"/>
  <c r="T304" i="37"/>
  <c r="T174" i="37"/>
  <c r="T173" i="37"/>
  <c r="T391" i="37"/>
  <c r="T392" i="37"/>
  <c r="T191" i="40"/>
  <c r="T225" i="40"/>
  <c r="T190" i="40"/>
  <c r="T223" i="40"/>
  <c r="T192" i="40"/>
  <c r="T224" i="40"/>
  <c r="T222" i="40"/>
  <c r="T189" i="40"/>
  <c r="T390" i="40"/>
  <c r="T388" i="40"/>
  <c r="T389" i="40"/>
  <c r="T394" i="40"/>
  <c r="T393" i="40"/>
  <c r="T392" i="40"/>
  <c r="T391" i="40"/>
  <c r="T303" i="40"/>
  <c r="T307" i="40"/>
  <c r="T210" i="40"/>
  <c r="T306" i="40"/>
  <c r="T300" i="40"/>
  <c r="T304" i="40"/>
  <c r="T298" i="40"/>
  <c r="T299" i="40"/>
  <c r="T297" i="40"/>
  <c r="T301" i="40"/>
  <c r="T305" i="40"/>
  <c r="T302" i="40"/>
  <c r="T191" i="33"/>
  <c r="T390" i="33"/>
  <c r="T299" i="33"/>
  <c r="T190" i="33"/>
  <c r="T392" i="33"/>
  <c r="T300" i="33"/>
  <c r="T224" i="33"/>
  <c r="T302" i="33"/>
  <c r="T298" i="33"/>
  <c r="T393" i="33"/>
  <c r="T303" i="33"/>
  <c r="T222" i="33"/>
  <c r="T297" i="33"/>
  <c r="T223" i="33"/>
  <c r="T394" i="33"/>
  <c r="T304" i="33"/>
  <c r="T389" i="33"/>
  <c r="T189" i="33"/>
  <c r="T388" i="33"/>
  <c r="T391" i="33"/>
  <c r="T307" i="33"/>
  <c r="T210" i="33"/>
  <c r="T305" i="33"/>
  <c r="T225" i="33"/>
  <c r="T301" i="33"/>
  <c r="T306" i="33"/>
  <c r="T210" i="35"/>
  <c r="T222" i="35"/>
  <c r="T394" i="35"/>
  <c r="T303" i="35"/>
  <c r="T392" i="35"/>
  <c r="T305" i="35"/>
  <c r="T299" i="35"/>
  <c r="T306" i="35"/>
  <c r="T388" i="35"/>
  <c r="T304" i="35"/>
  <c r="T297" i="35"/>
  <c r="T300" i="35"/>
  <c r="T307" i="35"/>
  <c r="T301" i="35"/>
  <c r="T298" i="35"/>
  <c r="T393" i="35"/>
  <c r="T302" i="35"/>
  <c r="T391" i="35"/>
  <c r="T189" i="35"/>
  <c r="T205" i="35" s="1"/>
  <c r="T390" i="35"/>
  <c r="T389" i="35"/>
  <c r="T210" i="28"/>
  <c r="T192" i="28"/>
  <c r="T375" i="28"/>
  <c r="T391" i="28"/>
  <c r="T394" i="28"/>
  <c r="T190" i="28"/>
  <c r="T388" i="28"/>
  <c r="T304" i="28"/>
  <c r="T300" i="28"/>
  <c r="T302" i="28"/>
  <c r="T297" i="28"/>
  <c r="T307" i="28"/>
  <c r="T191" i="28"/>
  <c r="T303" i="28"/>
  <c r="T225" i="28"/>
  <c r="T306" i="28"/>
  <c r="T301" i="28"/>
  <c r="T299" i="28"/>
  <c r="T189" i="28"/>
  <c r="T305" i="28"/>
  <c r="T298" i="28"/>
  <c r="T389" i="28"/>
  <c r="T392" i="28"/>
  <c r="T223" i="28"/>
  <c r="T222" i="28"/>
  <c r="T224" i="28"/>
  <c r="T393" i="28"/>
  <c r="T390" i="28"/>
  <c r="T190" i="31"/>
  <c r="T375" i="31"/>
  <c r="T390" i="31"/>
  <c r="T301" i="31"/>
  <c r="T389" i="31"/>
  <c r="T204" i="31"/>
  <c r="T298" i="31"/>
  <c r="T205" i="31"/>
  <c r="T299" i="31"/>
  <c r="T171" i="31"/>
  <c r="T394" i="31"/>
  <c r="T304" i="31"/>
  <c r="T203" i="31"/>
  <c r="T392" i="31"/>
  <c r="T388" i="31"/>
  <c r="T297" i="31"/>
  <c r="T393" i="31"/>
  <c r="T302" i="31"/>
  <c r="T305" i="31"/>
  <c r="T391" i="31"/>
  <c r="T172" i="31"/>
  <c r="T307" i="31"/>
  <c r="T303" i="31"/>
  <c r="T202" i="31"/>
  <c r="T306" i="31"/>
  <c r="T169" i="31"/>
  <c r="T300" i="31"/>
  <c r="T170" i="31"/>
  <c r="T210" i="34"/>
  <c r="T190" i="34"/>
  <c r="T193" i="34"/>
  <c r="T189" i="34"/>
  <c r="T394" i="34"/>
  <c r="T303" i="34"/>
  <c r="T228" i="34"/>
  <c r="T226" i="34"/>
  <c r="T389" i="34"/>
  <c r="T305" i="34"/>
  <c r="T194" i="34"/>
  <c r="T195" i="34"/>
  <c r="T388" i="34"/>
  <c r="T301" i="34"/>
  <c r="T229" i="34"/>
  <c r="T222" i="34"/>
  <c r="T299" i="34"/>
  <c r="T191" i="34"/>
  <c r="T306" i="34"/>
  <c r="T196" i="34"/>
  <c r="T393" i="34"/>
  <c r="T297" i="34"/>
  <c r="T225" i="34"/>
  <c r="T392" i="34"/>
  <c r="T307" i="34"/>
  <c r="T230" i="34"/>
  <c r="T391" i="34"/>
  <c r="T223" i="34"/>
  <c r="T197" i="34"/>
  <c r="T302" i="34"/>
  <c r="T390" i="34"/>
  <c r="T192" i="34"/>
  <c r="T300" i="34"/>
  <c r="T227" i="34"/>
  <c r="T224" i="34"/>
  <c r="T298" i="34"/>
  <c r="T304" i="34"/>
  <c r="T210" i="29"/>
  <c r="T303" i="29"/>
  <c r="T302" i="29"/>
  <c r="T189" i="29"/>
  <c r="T205" i="29" s="1"/>
  <c r="T301" i="29"/>
  <c r="T394" i="29"/>
  <c r="T307" i="29"/>
  <c r="T389" i="29"/>
  <c r="T305" i="29"/>
  <c r="T390" i="29"/>
  <c r="T391" i="29"/>
  <c r="T299" i="29"/>
  <c r="T306" i="29"/>
  <c r="T297" i="29"/>
  <c r="T298" i="29"/>
  <c r="T375" i="29"/>
  <c r="T388" i="29"/>
  <c r="T222" i="29"/>
  <c r="T392" i="29"/>
  <c r="T300" i="29"/>
  <c r="T393" i="29"/>
  <c r="T304" i="29"/>
  <c r="T210" i="25"/>
  <c r="T375" i="25"/>
  <c r="T305" i="25"/>
  <c r="T304" i="25"/>
  <c r="T222" i="25"/>
  <c r="T225" i="25"/>
  <c r="T393" i="25"/>
  <c r="T391" i="25"/>
  <c r="T302" i="25"/>
  <c r="T223" i="25"/>
  <c r="T298" i="25"/>
  <c r="T224" i="25"/>
  <c r="T191" i="25"/>
  <c r="T189" i="25"/>
  <c r="T307" i="25"/>
  <c r="T301" i="25"/>
  <c r="T190" i="25"/>
  <c r="T394" i="25"/>
  <c r="T388" i="25"/>
  <c r="T392" i="25"/>
  <c r="T306" i="25"/>
  <c r="T389" i="25"/>
  <c r="T299" i="25"/>
  <c r="T390" i="25"/>
  <c r="T300" i="25"/>
  <c r="T297" i="25"/>
  <c r="T303" i="25"/>
  <c r="T192" i="25"/>
  <c r="T190" i="47"/>
  <c r="T305" i="47"/>
  <c r="T388" i="47"/>
  <c r="T389" i="47"/>
  <c r="T301" i="47"/>
  <c r="T303" i="47"/>
  <c r="T375" i="47"/>
  <c r="T300" i="47"/>
  <c r="T304" i="47"/>
  <c r="T391" i="47"/>
  <c r="T392" i="47"/>
  <c r="T299" i="47"/>
  <c r="T169" i="47"/>
  <c r="T185" i="47" s="1"/>
  <c r="T307" i="47"/>
  <c r="T393" i="47"/>
  <c r="T297" i="47"/>
  <c r="T202" i="47"/>
  <c r="T306" i="47"/>
  <c r="T394" i="47"/>
  <c r="T298" i="47"/>
  <c r="T302" i="47"/>
  <c r="T390" i="47"/>
  <c r="T375" i="24"/>
  <c r="T192" i="24"/>
  <c r="T391" i="24"/>
  <c r="T304" i="24"/>
  <c r="T190" i="24"/>
  <c r="T224" i="24"/>
  <c r="T302" i="24"/>
  <c r="T297" i="24"/>
  <c r="T210" i="24"/>
  <c r="T191" i="24"/>
  <c r="T389" i="24"/>
  <c r="T299" i="24"/>
  <c r="T226" i="24"/>
  <c r="T392" i="24"/>
  <c r="T306" i="24"/>
  <c r="T303" i="24"/>
  <c r="T193" i="24"/>
  <c r="T305" i="24"/>
  <c r="T394" i="24"/>
  <c r="T388" i="24"/>
  <c r="T307" i="24"/>
  <c r="T393" i="24"/>
  <c r="T222" i="24"/>
  <c r="T225" i="24"/>
  <c r="T390" i="24"/>
  <c r="T298" i="24"/>
  <c r="T301" i="24"/>
  <c r="T189" i="24"/>
  <c r="T300" i="24"/>
  <c r="T223" i="24"/>
  <c r="T190" i="38"/>
  <c r="T300" i="38"/>
  <c r="T302" i="38"/>
  <c r="T301" i="38"/>
  <c r="T206" i="38"/>
  <c r="T307" i="38"/>
  <c r="T205" i="38"/>
  <c r="T388" i="38"/>
  <c r="T375" i="38"/>
  <c r="T169" i="38"/>
  <c r="T204" i="38"/>
  <c r="T297" i="38"/>
  <c r="T171" i="38"/>
  <c r="T304" i="38"/>
  <c r="T202" i="38"/>
  <c r="T298" i="38"/>
  <c r="T392" i="38"/>
  <c r="T393" i="38"/>
  <c r="T305" i="38"/>
  <c r="T170" i="38"/>
  <c r="T303" i="38"/>
  <c r="T389" i="38"/>
  <c r="T390" i="38"/>
  <c r="T391" i="38"/>
  <c r="T306" i="38"/>
  <c r="T394" i="38"/>
  <c r="T203" i="38"/>
  <c r="T299" i="38"/>
  <c r="T173" i="38"/>
  <c r="T172" i="38"/>
  <c r="T189" i="32"/>
  <c r="T394" i="32"/>
  <c r="T307" i="32"/>
  <c r="T191" i="32"/>
  <c r="T389" i="32"/>
  <c r="T298" i="32"/>
  <c r="T210" i="32"/>
  <c r="T393" i="32"/>
  <c r="T301" i="32"/>
  <c r="T302" i="32"/>
  <c r="T224" i="32"/>
  <c r="T300" i="32"/>
  <c r="T306" i="32"/>
  <c r="T190" i="32"/>
  <c r="T304" i="32"/>
  <c r="T391" i="32"/>
  <c r="T388" i="32"/>
  <c r="T225" i="32"/>
  <c r="T305" i="32"/>
  <c r="T390" i="32"/>
  <c r="T297" i="32"/>
  <c r="T299" i="32"/>
  <c r="T303" i="32"/>
  <c r="T223" i="32"/>
  <c r="T222" i="32"/>
  <c r="T392" i="32"/>
  <c r="T210" i="41"/>
  <c r="T223" i="41"/>
  <c r="T307" i="41"/>
  <c r="T190" i="41"/>
  <c r="T306" i="41"/>
  <c r="T189" i="41"/>
  <c r="T388" i="41"/>
  <c r="T224" i="41"/>
  <c r="T192" i="41"/>
  <c r="T391" i="41"/>
  <c r="T222" i="41"/>
  <c r="T393" i="41"/>
  <c r="T304" i="41"/>
  <c r="T298" i="41"/>
  <c r="T191" i="41"/>
  <c r="T301" i="41"/>
  <c r="T225" i="41"/>
  <c r="T297" i="41"/>
  <c r="T300" i="41"/>
  <c r="T305" i="41"/>
  <c r="T390" i="41"/>
  <c r="T303" i="41"/>
  <c r="T299" i="41"/>
  <c r="T394" i="41"/>
  <c r="T389" i="41"/>
  <c r="T392" i="41"/>
  <c r="T302" i="41"/>
  <c r="T375" i="14"/>
  <c r="T394" i="14"/>
  <c r="T303" i="14"/>
  <c r="T297" i="14"/>
  <c r="T307" i="14"/>
  <c r="T300" i="14"/>
  <c r="T388" i="14"/>
  <c r="T189" i="14"/>
  <c r="T205" i="14" s="1"/>
  <c r="T299" i="14"/>
  <c r="T302" i="14"/>
  <c r="T391" i="14"/>
  <c r="T389" i="14"/>
  <c r="T306" i="14"/>
  <c r="T301" i="14"/>
  <c r="T222" i="14"/>
  <c r="T305" i="14"/>
  <c r="T393" i="14"/>
  <c r="T210" i="14"/>
  <c r="T304" i="14"/>
  <c r="T390" i="14"/>
  <c r="T298" i="14"/>
  <c r="T392" i="14"/>
  <c r="T190" i="43"/>
  <c r="T301" i="43"/>
  <c r="T391" i="43"/>
  <c r="T305" i="43"/>
  <c r="T388" i="43"/>
  <c r="T169" i="43"/>
  <c r="T185" i="43" s="1"/>
  <c r="T303" i="43"/>
  <c r="T299" i="43"/>
  <c r="T297" i="43"/>
  <c r="T375" i="43"/>
  <c r="T300" i="43"/>
  <c r="T304" i="43"/>
  <c r="T394" i="43"/>
  <c r="T389" i="43"/>
  <c r="T306" i="43"/>
  <c r="T392" i="43"/>
  <c r="T393" i="43"/>
  <c r="T302" i="43"/>
  <c r="T202" i="43"/>
  <c r="T307" i="43"/>
  <c r="T390" i="43"/>
  <c r="T298" i="43"/>
  <c r="T208" i="6"/>
  <c r="T375" i="34"/>
  <c r="T375" i="40"/>
  <c r="T188" i="45"/>
  <c r="T375" i="35"/>
  <c r="T375" i="41"/>
  <c r="T375" i="33"/>
  <c r="T375" i="32"/>
  <c r="T210" i="15"/>
  <c r="T375" i="15"/>
  <c r="T191" i="15"/>
  <c r="T307" i="15"/>
  <c r="T303" i="15"/>
  <c r="T189" i="15"/>
  <c r="T390" i="15"/>
  <c r="T302" i="15"/>
  <c r="T391" i="15"/>
  <c r="T304" i="15"/>
  <c r="T222" i="15"/>
  <c r="T301" i="15"/>
  <c r="T297" i="15"/>
  <c r="T224" i="15"/>
  <c r="T389" i="15"/>
  <c r="T305" i="15"/>
  <c r="T392" i="15"/>
  <c r="T306" i="15"/>
  <c r="T190" i="15"/>
  <c r="T223" i="15"/>
  <c r="T299" i="15"/>
  <c r="T192" i="15"/>
  <c r="T225" i="15"/>
  <c r="T298" i="15"/>
  <c r="T300" i="15"/>
  <c r="T388" i="15"/>
  <c r="T394" i="15"/>
  <c r="T393" i="15"/>
  <c r="T375" i="30"/>
  <c r="T303" i="30"/>
  <c r="T193" i="30"/>
  <c r="T192" i="30"/>
  <c r="T306" i="30"/>
  <c r="T227" i="30"/>
  <c r="T298" i="30"/>
  <c r="T224" i="30"/>
  <c r="T300" i="30"/>
  <c r="T393" i="30"/>
  <c r="T210" i="30"/>
  <c r="T196" i="30"/>
  <c r="T299" i="30"/>
  <c r="T394" i="30"/>
  <c r="T189" i="30"/>
  <c r="T389" i="30"/>
  <c r="T228" i="30"/>
  <c r="T191" i="30"/>
  <c r="T195" i="30"/>
  <c r="T229" i="30"/>
  <c r="T305" i="30"/>
  <c r="T391" i="30"/>
  <c r="T388" i="30"/>
  <c r="T226" i="30"/>
  <c r="T194" i="30"/>
  <c r="T390" i="30"/>
  <c r="T302" i="30"/>
  <c r="T225" i="30"/>
  <c r="T307" i="30"/>
  <c r="T222" i="30"/>
  <c r="T392" i="30"/>
  <c r="T301" i="30"/>
  <c r="T190" i="30"/>
  <c r="T304" i="30"/>
  <c r="T223" i="30"/>
  <c r="T297" i="30"/>
  <c r="T298" i="44"/>
  <c r="T299" i="44"/>
  <c r="T202" i="44"/>
  <c r="T307" i="44"/>
  <c r="T303" i="44"/>
  <c r="T392" i="44"/>
  <c r="T297" i="44"/>
  <c r="T302" i="44"/>
  <c r="T305" i="44"/>
  <c r="T301" i="44"/>
  <c r="T169" i="44"/>
  <c r="T185" i="44" s="1"/>
  <c r="T390" i="44"/>
  <c r="T375" i="44"/>
  <c r="T306" i="44"/>
  <c r="T393" i="44"/>
  <c r="T394" i="44"/>
  <c r="T300" i="44"/>
  <c r="T391" i="44"/>
  <c r="T190" i="44"/>
  <c r="T389" i="44"/>
  <c r="T304" i="44"/>
  <c r="T388" i="44"/>
  <c r="T375" i="17"/>
  <c r="T224" i="17"/>
  <c r="T394" i="17"/>
  <c r="T299" i="17"/>
  <c r="T190" i="17"/>
  <c r="T389" i="17"/>
  <c r="T297" i="17"/>
  <c r="T210" i="17"/>
  <c r="T189" i="17"/>
  <c r="T391" i="17"/>
  <c r="T307" i="17"/>
  <c r="T225" i="17"/>
  <c r="T301" i="17"/>
  <c r="T392" i="17"/>
  <c r="T306" i="17"/>
  <c r="T390" i="17"/>
  <c r="T300" i="17"/>
  <c r="T304" i="17"/>
  <c r="T223" i="17"/>
  <c r="T388" i="17"/>
  <c r="T192" i="17"/>
  <c r="T393" i="17"/>
  <c r="T298" i="17"/>
  <c r="T302" i="17"/>
  <c r="T305" i="17"/>
  <c r="T303" i="17"/>
  <c r="T191" i="17"/>
  <c r="T222" i="17"/>
  <c r="S210" i="41"/>
  <c r="S301" i="41"/>
  <c r="S304" i="41"/>
  <c r="S393" i="41"/>
  <c r="S388" i="41"/>
  <c r="S306" i="41"/>
  <c r="S223" i="41"/>
  <c r="S390" i="41"/>
  <c r="S191" i="41"/>
  <c r="S392" i="41"/>
  <c r="S299" i="41"/>
  <c r="S225" i="41"/>
  <c r="S303" i="41"/>
  <c r="S389" i="41"/>
  <c r="S222" i="41"/>
  <c r="S394" i="41"/>
  <c r="S189" i="41"/>
  <c r="S305" i="41"/>
  <c r="S302" i="41"/>
  <c r="S298" i="41"/>
  <c r="S224" i="41"/>
  <c r="S307" i="41"/>
  <c r="S190" i="41"/>
  <c r="S391" i="41"/>
  <c r="S192" i="41"/>
  <c r="S300" i="41"/>
  <c r="S297" i="41"/>
  <c r="S210" i="34"/>
  <c r="S301" i="34"/>
  <c r="S300" i="34"/>
  <c r="S195" i="34"/>
  <c r="S388" i="34"/>
  <c r="S229" i="34"/>
  <c r="S189" i="34"/>
  <c r="S222" i="34"/>
  <c r="S304" i="34"/>
  <c r="S223" i="34"/>
  <c r="S226" i="34"/>
  <c r="S224" i="34"/>
  <c r="S306" i="34"/>
  <c r="S305" i="34"/>
  <c r="S298" i="34"/>
  <c r="S227" i="34"/>
  <c r="S190" i="34"/>
  <c r="S392" i="34"/>
  <c r="S391" i="34"/>
  <c r="S192" i="34"/>
  <c r="S230" i="34"/>
  <c r="S302" i="34"/>
  <c r="S389" i="34"/>
  <c r="S196" i="34"/>
  <c r="S393" i="34"/>
  <c r="S307" i="34"/>
  <c r="S197" i="34"/>
  <c r="S299" i="34"/>
  <c r="S193" i="34"/>
  <c r="S225" i="34"/>
  <c r="S191" i="34"/>
  <c r="S303" i="34"/>
  <c r="S228" i="34"/>
  <c r="S297" i="34"/>
  <c r="S194" i="34"/>
  <c r="S394" i="34"/>
  <c r="S390" i="34"/>
  <c r="S207" i="37"/>
  <c r="S202" i="37"/>
  <c r="S300" i="37"/>
  <c r="S171" i="37"/>
  <c r="S204" i="37"/>
  <c r="S394" i="37"/>
  <c r="S306" i="37"/>
  <c r="S206" i="37"/>
  <c r="S304" i="37"/>
  <c r="S299" i="37"/>
  <c r="S302" i="37"/>
  <c r="S389" i="37"/>
  <c r="S298" i="37"/>
  <c r="S392" i="37"/>
  <c r="S375" i="37"/>
  <c r="S174" i="37"/>
  <c r="S301" i="37"/>
  <c r="S307" i="37"/>
  <c r="S203" i="37"/>
  <c r="S173" i="37"/>
  <c r="S388" i="37"/>
  <c r="S393" i="37"/>
  <c r="S297" i="37"/>
  <c r="S190" i="37"/>
  <c r="S205" i="37"/>
  <c r="S303" i="37"/>
  <c r="S172" i="37"/>
  <c r="S170" i="37"/>
  <c r="S169" i="37"/>
  <c r="S391" i="37"/>
  <c r="S305" i="37"/>
  <c r="S390" i="37"/>
  <c r="S190" i="31"/>
  <c r="S375" i="31"/>
  <c r="S388" i="31"/>
  <c r="S304" i="31"/>
  <c r="S303" i="31"/>
  <c r="S205" i="31"/>
  <c r="S394" i="31"/>
  <c r="S298" i="31"/>
  <c r="S203" i="31"/>
  <c r="S169" i="31"/>
  <c r="S392" i="31"/>
  <c r="S391" i="31"/>
  <c r="S299" i="31"/>
  <c r="S307" i="31"/>
  <c r="S171" i="31"/>
  <c r="S302" i="31"/>
  <c r="S390" i="31"/>
  <c r="S172" i="31"/>
  <c r="S306" i="31"/>
  <c r="S204" i="31"/>
  <c r="S170" i="31"/>
  <c r="S300" i="31"/>
  <c r="S389" i="31"/>
  <c r="S301" i="31"/>
  <c r="S305" i="31"/>
  <c r="S393" i="31"/>
  <c r="S297" i="31"/>
  <c r="S202" i="31"/>
  <c r="S375" i="44"/>
  <c r="S297" i="44"/>
  <c r="S298" i="44"/>
  <c r="S190" i="44"/>
  <c r="S299" i="44"/>
  <c r="S169" i="44"/>
  <c r="S185" i="44" s="1"/>
  <c r="S390" i="44"/>
  <c r="S392" i="44"/>
  <c r="S391" i="44"/>
  <c r="S388" i="44"/>
  <c r="S302" i="44"/>
  <c r="S304" i="44"/>
  <c r="S389" i="44"/>
  <c r="S300" i="44"/>
  <c r="S393" i="44"/>
  <c r="S306" i="44"/>
  <c r="S202" i="44"/>
  <c r="S301" i="44"/>
  <c r="S394" i="44"/>
  <c r="S305" i="44"/>
  <c r="S307" i="44"/>
  <c r="S303" i="44"/>
  <c r="S375" i="17"/>
  <c r="S210" i="17"/>
  <c r="S305" i="17"/>
  <c r="S304" i="17"/>
  <c r="S191" i="17"/>
  <c r="S300" i="17"/>
  <c r="S389" i="17"/>
  <c r="S189" i="17"/>
  <c r="S388" i="17"/>
  <c r="S394" i="17"/>
  <c r="S303" i="17"/>
  <c r="S225" i="17"/>
  <c r="S391" i="17"/>
  <c r="S298" i="17"/>
  <c r="S392" i="17"/>
  <c r="S393" i="17"/>
  <c r="S223" i="17"/>
  <c r="S299" i="17"/>
  <c r="S307" i="17"/>
  <c r="S224" i="17"/>
  <c r="S190" i="17"/>
  <c r="S302" i="17"/>
  <c r="S390" i="17"/>
  <c r="S192" i="17"/>
  <c r="S222" i="17"/>
  <c r="S301" i="17"/>
  <c r="S297" i="17"/>
  <c r="S306" i="17"/>
  <c r="S210" i="32"/>
  <c r="S394" i="32"/>
  <c r="S307" i="32"/>
  <c r="S389" i="32"/>
  <c r="S302" i="32"/>
  <c r="S388" i="32"/>
  <c r="S298" i="32"/>
  <c r="S301" i="32"/>
  <c r="S300" i="32"/>
  <c r="S224" i="32"/>
  <c r="S304" i="32"/>
  <c r="S191" i="32"/>
  <c r="S222" i="32"/>
  <c r="S306" i="32"/>
  <c r="S305" i="32"/>
  <c r="S223" i="32"/>
  <c r="S189" i="32"/>
  <c r="S391" i="32"/>
  <c r="S393" i="32"/>
  <c r="S390" i="32"/>
  <c r="S299" i="32"/>
  <c r="S303" i="32"/>
  <c r="S392" i="32"/>
  <c r="S297" i="32"/>
  <c r="S190" i="32"/>
  <c r="S225" i="32"/>
  <c r="S190" i="40"/>
  <c r="S192" i="40"/>
  <c r="S225" i="40"/>
  <c r="S191" i="40"/>
  <c r="S223" i="40"/>
  <c r="S224" i="40"/>
  <c r="S222" i="40"/>
  <c r="S189" i="40"/>
  <c r="S393" i="40"/>
  <c r="S394" i="40"/>
  <c r="S391" i="40"/>
  <c r="S389" i="40"/>
  <c r="S392" i="40"/>
  <c r="S388" i="40"/>
  <c r="S390" i="40"/>
  <c r="S301" i="40"/>
  <c r="S299" i="40"/>
  <c r="S298" i="40"/>
  <c r="S297" i="40"/>
  <c r="S302" i="40"/>
  <c r="S303" i="40"/>
  <c r="S300" i="40"/>
  <c r="S305" i="40"/>
  <c r="S210" i="40"/>
  <c r="S304" i="40"/>
  <c r="S306" i="40"/>
  <c r="S307" i="40"/>
  <c r="S190" i="46"/>
  <c r="S389" i="46"/>
  <c r="S303" i="46"/>
  <c r="S393" i="46"/>
  <c r="S298" i="46"/>
  <c r="S306" i="46"/>
  <c r="S388" i="46"/>
  <c r="S301" i="46"/>
  <c r="S305" i="46"/>
  <c r="S300" i="46"/>
  <c r="S394" i="46"/>
  <c r="S392" i="46"/>
  <c r="S169" i="46"/>
  <c r="S185" i="46" s="1"/>
  <c r="S307" i="46"/>
  <c r="S391" i="46"/>
  <c r="S299" i="46"/>
  <c r="S302" i="46"/>
  <c r="S390" i="46"/>
  <c r="S304" i="46"/>
  <c r="S375" i="46"/>
  <c r="S202" i="46"/>
  <c r="S297" i="46"/>
  <c r="S210" i="35"/>
  <c r="S393" i="35"/>
  <c r="S388" i="35"/>
  <c r="S302" i="35"/>
  <c r="S304" i="35"/>
  <c r="S301" i="35"/>
  <c r="S189" i="35"/>
  <c r="S205" i="35" s="1"/>
  <c r="S392" i="35"/>
  <c r="S389" i="35"/>
  <c r="S297" i="35"/>
  <c r="S305" i="35"/>
  <c r="S303" i="35"/>
  <c r="S391" i="35"/>
  <c r="S307" i="35"/>
  <c r="S390" i="35"/>
  <c r="S298" i="35"/>
  <c r="S394" i="35"/>
  <c r="S300" i="35"/>
  <c r="S299" i="35"/>
  <c r="S306" i="35"/>
  <c r="S222" i="35"/>
  <c r="S375" i="38"/>
  <c r="S173" i="38"/>
  <c r="S393" i="38"/>
  <c r="S390" i="38"/>
  <c r="S307" i="38"/>
  <c r="S171" i="38"/>
  <c r="S169" i="38"/>
  <c r="S389" i="38"/>
  <c r="S297" i="38"/>
  <c r="S300" i="38"/>
  <c r="S204" i="38"/>
  <c r="S299" i="38"/>
  <c r="S303" i="38"/>
  <c r="S205" i="38"/>
  <c r="S172" i="38"/>
  <c r="S190" i="38"/>
  <c r="S170" i="38"/>
  <c r="S394" i="38"/>
  <c r="S391" i="38"/>
  <c r="S392" i="38"/>
  <c r="S301" i="38"/>
  <c r="S305" i="38"/>
  <c r="S388" i="38"/>
  <c r="S202" i="38"/>
  <c r="S206" i="38"/>
  <c r="S298" i="38"/>
  <c r="S306" i="38"/>
  <c r="S304" i="38"/>
  <c r="S203" i="38"/>
  <c r="S302" i="38"/>
  <c r="S375" i="12"/>
  <c r="S191" i="12"/>
  <c r="S390" i="12"/>
  <c r="S301" i="12"/>
  <c r="S394" i="12"/>
  <c r="S225" i="12"/>
  <c r="S298" i="12"/>
  <c r="S305" i="12"/>
  <c r="S391" i="12"/>
  <c r="S307" i="12"/>
  <c r="S190" i="12"/>
  <c r="S388" i="12"/>
  <c r="S210" i="12"/>
  <c r="S389" i="12"/>
  <c r="S222" i="12"/>
  <c r="S304" i="12"/>
  <c r="S192" i="12"/>
  <c r="S392" i="12"/>
  <c r="S297" i="12"/>
  <c r="S299" i="12"/>
  <c r="S303" i="12"/>
  <c r="S393" i="12"/>
  <c r="S223" i="12"/>
  <c r="S302" i="12"/>
  <c r="S306" i="12"/>
  <c r="S224" i="12"/>
  <c r="S300" i="12"/>
  <c r="S189" i="12"/>
  <c r="S192" i="28"/>
  <c r="S225" i="28"/>
  <c r="S394" i="28"/>
  <c r="S391" i="28"/>
  <c r="S301" i="28"/>
  <c r="S304" i="28"/>
  <c r="S224" i="28"/>
  <c r="S191" i="28"/>
  <c r="S393" i="28"/>
  <c r="S388" i="28"/>
  <c r="S375" i="28"/>
  <c r="S190" i="28"/>
  <c r="S389" i="28"/>
  <c r="S307" i="28"/>
  <c r="S298" i="28"/>
  <c r="S223" i="28"/>
  <c r="S390" i="28"/>
  <c r="S306" i="28"/>
  <c r="S297" i="28"/>
  <c r="S189" i="28"/>
  <c r="S302" i="28"/>
  <c r="S222" i="28"/>
  <c r="S303" i="28"/>
  <c r="S305" i="28"/>
  <c r="S392" i="28"/>
  <c r="S210" i="28"/>
  <c r="S299" i="28"/>
  <c r="S300" i="28"/>
  <c r="S190" i="47"/>
  <c r="S375" i="47"/>
  <c r="S305" i="47"/>
  <c r="S304" i="47"/>
  <c r="S303" i="47"/>
  <c r="S389" i="47"/>
  <c r="S300" i="47"/>
  <c r="S393" i="47"/>
  <c r="S392" i="47"/>
  <c r="S202" i="47"/>
  <c r="S307" i="47"/>
  <c r="S391" i="47"/>
  <c r="S306" i="47"/>
  <c r="S297" i="47"/>
  <c r="S298" i="47"/>
  <c r="S299" i="47"/>
  <c r="S302" i="47"/>
  <c r="S394" i="47"/>
  <c r="S390" i="47"/>
  <c r="S169" i="47"/>
  <c r="S185" i="47" s="1"/>
  <c r="S301" i="47"/>
  <c r="S388" i="47"/>
  <c r="S375" i="29"/>
  <c r="S222" i="29"/>
  <c r="S307" i="29"/>
  <c r="S393" i="29"/>
  <c r="S305" i="29"/>
  <c r="S300" i="29"/>
  <c r="S390" i="29"/>
  <c r="S304" i="29"/>
  <c r="S299" i="29"/>
  <c r="S210" i="29"/>
  <c r="S389" i="29"/>
  <c r="S297" i="29"/>
  <c r="S303" i="29"/>
  <c r="S189" i="29"/>
  <c r="S205" i="29" s="1"/>
  <c r="S302" i="29"/>
  <c r="S388" i="29"/>
  <c r="S391" i="29"/>
  <c r="S298" i="29"/>
  <c r="S394" i="29"/>
  <c r="S392" i="29"/>
  <c r="S301" i="29"/>
  <c r="S306" i="29"/>
  <c r="S375" i="33"/>
  <c r="S208" i="6"/>
  <c r="S375" i="34"/>
  <c r="S375" i="40"/>
  <c r="S188" i="45"/>
  <c r="S375" i="41"/>
  <c r="S375" i="32"/>
  <c r="S375" i="35"/>
  <c r="S210" i="14"/>
  <c r="S375" i="14"/>
  <c r="S301" i="14"/>
  <c r="S189" i="14"/>
  <c r="S205" i="14" s="1"/>
  <c r="S307" i="14"/>
  <c r="S388" i="14"/>
  <c r="S304" i="14"/>
  <c r="S303" i="14"/>
  <c r="S393" i="14"/>
  <c r="S222" i="14"/>
  <c r="S299" i="14"/>
  <c r="S297" i="14"/>
  <c r="S394" i="14"/>
  <c r="S305" i="14"/>
  <c r="S390" i="14"/>
  <c r="S298" i="14"/>
  <c r="S306" i="14"/>
  <c r="S389" i="14"/>
  <c r="S302" i="14"/>
  <c r="S300" i="14"/>
  <c r="S392" i="14"/>
  <c r="S391" i="14"/>
  <c r="S210" i="24"/>
  <c r="S375" i="24"/>
  <c r="S226" i="24"/>
  <c r="S224" i="24"/>
  <c r="S225" i="24"/>
  <c r="S393" i="24"/>
  <c r="S305" i="24"/>
  <c r="S302" i="24"/>
  <c r="S306" i="24"/>
  <c r="S193" i="24"/>
  <c r="S390" i="24"/>
  <c r="S389" i="24"/>
  <c r="S299" i="24"/>
  <c r="S303" i="24"/>
  <c r="S190" i="24"/>
  <c r="S223" i="24"/>
  <c r="S391" i="24"/>
  <c r="S392" i="24"/>
  <c r="S297" i="24"/>
  <c r="S304" i="24"/>
  <c r="S192" i="24"/>
  <c r="S300" i="24"/>
  <c r="S189" i="24"/>
  <c r="S394" i="24"/>
  <c r="S301" i="24"/>
  <c r="S222" i="24"/>
  <c r="S388" i="24"/>
  <c r="S298" i="24"/>
  <c r="S307" i="24"/>
  <c r="S191" i="24"/>
  <c r="S210" i="15"/>
  <c r="S375" i="15"/>
  <c r="S192" i="15"/>
  <c r="S394" i="15"/>
  <c r="S299" i="15"/>
  <c r="S390" i="15"/>
  <c r="S300" i="15"/>
  <c r="S306" i="15"/>
  <c r="S389" i="15"/>
  <c r="S189" i="15"/>
  <c r="S303" i="15"/>
  <c r="S307" i="15"/>
  <c r="S225" i="15"/>
  <c r="S388" i="15"/>
  <c r="S190" i="15"/>
  <c r="S224" i="15"/>
  <c r="S302" i="15"/>
  <c r="S392" i="15"/>
  <c r="S298" i="15"/>
  <c r="S222" i="15"/>
  <c r="S393" i="15"/>
  <c r="S191" i="15"/>
  <c r="S223" i="15"/>
  <c r="S304" i="15"/>
  <c r="S301" i="15"/>
  <c r="S391" i="15"/>
  <c r="S305" i="15"/>
  <c r="S297" i="15"/>
  <c r="S210" i="30"/>
  <c r="S375" i="30"/>
  <c r="S229" i="30"/>
  <c r="S191" i="30"/>
  <c r="S195" i="30"/>
  <c r="S194" i="30"/>
  <c r="S388" i="30"/>
  <c r="S303" i="30"/>
  <c r="S305" i="30"/>
  <c r="S301" i="30"/>
  <c r="S190" i="30"/>
  <c r="S225" i="30"/>
  <c r="S196" i="30"/>
  <c r="S393" i="30"/>
  <c r="S390" i="30"/>
  <c r="S302" i="30"/>
  <c r="S307" i="30"/>
  <c r="S227" i="30"/>
  <c r="S223" i="30"/>
  <c r="S224" i="30"/>
  <c r="S394" i="30"/>
  <c r="S298" i="30"/>
  <c r="S300" i="30"/>
  <c r="S226" i="30"/>
  <c r="S189" i="30"/>
  <c r="S389" i="30"/>
  <c r="S304" i="30"/>
  <c r="S222" i="30"/>
  <c r="S228" i="30"/>
  <c r="S297" i="30"/>
  <c r="S391" i="30"/>
  <c r="S192" i="30"/>
  <c r="S299" i="30"/>
  <c r="S193" i="30"/>
  <c r="S306" i="30"/>
  <c r="S392" i="30"/>
  <c r="S210" i="25"/>
  <c r="S375" i="25"/>
  <c r="S306" i="25"/>
  <c r="S299" i="25"/>
  <c r="S222" i="25"/>
  <c r="S391" i="25"/>
  <c r="S302" i="25"/>
  <c r="S297" i="25"/>
  <c r="S190" i="25"/>
  <c r="S392" i="25"/>
  <c r="S223" i="25"/>
  <c r="S301" i="25"/>
  <c r="S303" i="25"/>
  <c r="S307" i="25"/>
  <c r="S390" i="25"/>
  <c r="S189" i="25"/>
  <c r="S394" i="25"/>
  <c r="S305" i="25"/>
  <c r="S389" i="25"/>
  <c r="S388" i="25"/>
  <c r="S224" i="25"/>
  <c r="S298" i="25"/>
  <c r="S304" i="25"/>
  <c r="S393" i="25"/>
  <c r="S192" i="25"/>
  <c r="S191" i="25"/>
  <c r="S300" i="25"/>
  <c r="S225" i="25"/>
  <c r="S210" i="33"/>
  <c r="S390" i="33"/>
  <c r="S301" i="33"/>
  <c r="S391" i="33"/>
  <c r="S298" i="33"/>
  <c r="S190" i="33"/>
  <c r="S393" i="33"/>
  <c r="S302" i="33"/>
  <c r="S191" i="33"/>
  <c r="S222" i="33"/>
  <c r="S224" i="33"/>
  <c r="S189" i="33"/>
  <c r="S225" i="33"/>
  <c r="S299" i="33"/>
  <c r="S392" i="33"/>
  <c r="S305" i="33"/>
  <c r="S300" i="33"/>
  <c r="S388" i="33"/>
  <c r="S223" i="33"/>
  <c r="S389" i="33"/>
  <c r="S303" i="33"/>
  <c r="S297" i="33"/>
  <c r="S307" i="33"/>
  <c r="S304" i="33"/>
  <c r="S306" i="33"/>
  <c r="S394" i="33"/>
  <c r="S190" i="43"/>
  <c r="S393" i="43"/>
  <c r="S305" i="43"/>
  <c r="S299" i="43"/>
  <c r="S297" i="43"/>
  <c r="S304" i="43"/>
  <c r="S202" i="43"/>
  <c r="S301" i="43"/>
  <c r="S300" i="43"/>
  <c r="S394" i="43"/>
  <c r="S298" i="43"/>
  <c r="S307" i="43"/>
  <c r="S392" i="43"/>
  <c r="S306" i="43"/>
  <c r="S388" i="43"/>
  <c r="S390" i="43"/>
  <c r="S302" i="43"/>
  <c r="S169" i="43"/>
  <c r="S185" i="43" s="1"/>
  <c r="S391" i="43"/>
  <c r="S303" i="43"/>
  <c r="S375" i="43"/>
  <c r="S389" i="43"/>
  <c r="S391" i="16"/>
  <c r="S300" i="16"/>
  <c r="S298" i="16"/>
  <c r="S304" i="16"/>
  <c r="S303" i="16"/>
  <c r="S307" i="16"/>
  <c r="S210" i="16"/>
  <c r="S189" i="16"/>
  <c r="S205" i="16" s="1"/>
  <c r="S392" i="16"/>
  <c r="S388" i="16"/>
  <c r="S306" i="16"/>
  <c r="S302" i="16"/>
  <c r="S301" i="16"/>
  <c r="S390" i="16"/>
  <c r="S305" i="16"/>
  <c r="S389" i="16"/>
  <c r="S375" i="16"/>
  <c r="S394" i="16"/>
  <c r="S393" i="16"/>
  <c r="S299" i="16"/>
  <c r="S297" i="16"/>
  <c r="S222" i="16"/>
  <c r="R297" i="12"/>
  <c r="R298" i="12"/>
  <c r="R299" i="12"/>
  <c r="R300" i="12"/>
  <c r="R301" i="12"/>
  <c r="R302" i="12"/>
  <c r="R303" i="12"/>
  <c r="R305" i="12"/>
  <c r="R307" i="12"/>
  <c r="R304" i="12"/>
  <c r="R306" i="12"/>
  <c r="R210" i="12"/>
  <c r="R375" i="12"/>
  <c r="R225" i="12"/>
  <c r="R222" i="12"/>
  <c r="R388" i="12"/>
  <c r="R390" i="12"/>
  <c r="R192" i="12"/>
  <c r="R224" i="12"/>
  <c r="R389" i="12"/>
  <c r="R223" i="12"/>
  <c r="R189" i="12"/>
  <c r="R393" i="12"/>
  <c r="R394" i="12"/>
  <c r="R392" i="12"/>
  <c r="R391" i="12"/>
  <c r="R191" i="12"/>
  <c r="R190" i="12"/>
  <c r="J54" i="111"/>
  <c r="P54" i="111" s="1"/>
  <c r="P50" i="111"/>
  <c r="R297" i="41"/>
  <c r="R298" i="41"/>
  <c r="R302" i="41"/>
  <c r="R303" i="41"/>
  <c r="R304" i="41"/>
  <c r="R305" i="41"/>
  <c r="R299" i="41"/>
  <c r="R300" i="41"/>
  <c r="R210" i="41"/>
  <c r="R306" i="41"/>
  <c r="R307" i="41"/>
  <c r="R301" i="41"/>
  <c r="R191" i="41"/>
  <c r="R223" i="41"/>
  <c r="R388" i="41"/>
  <c r="R391" i="41"/>
  <c r="R224" i="41"/>
  <c r="R222" i="41"/>
  <c r="R390" i="41"/>
  <c r="R393" i="41"/>
  <c r="R190" i="41"/>
  <c r="R189" i="41"/>
  <c r="R389" i="41"/>
  <c r="R225" i="41"/>
  <c r="R192" i="41"/>
  <c r="R394" i="41"/>
  <c r="R392" i="41"/>
  <c r="R297" i="25"/>
  <c r="R300" i="25"/>
  <c r="R302" i="25"/>
  <c r="R303" i="25"/>
  <c r="R304" i="25"/>
  <c r="R305" i="25"/>
  <c r="R306" i="25"/>
  <c r="R301" i="25"/>
  <c r="R298" i="25"/>
  <c r="R210" i="25"/>
  <c r="R375" i="25"/>
  <c r="R299" i="25"/>
  <c r="R307" i="25"/>
  <c r="R192" i="25"/>
  <c r="R224" i="25"/>
  <c r="R390" i="25"/>
  <c r="R388" i="25"/>
  <c r="R225" i="25"/>
  <c r="R223" i="25"/>
  <c r="R391" i="25"/>
  <c r="R393" i="25"/>
  <c r="R191" i="25"/>
  <c r="R189" i="25"/>
  <c r="R389" i="25"/>
  <c r="R394" i="25"/>
  <c r="R392" i="25"/>
  <c r="R190" i="25"/>
  <c r="R222" i="25"/>
  <c r="R298" i="34"/>
  <c r="R299" i="34"/>
  <c r="R300" i="34"/>
  <c r="R301" i="34"/>
  <c r="R297" i="34"/>
  <c r="R302" i="34"/>
  <c r="R303" i="34"/>
  <c r="R304" i="34"/>
  <c r="R305" i="34"/>
  <c r="R306" i="34"/>
  <c r="R210" i="34"/>
  <c r="R307" i="34"/>
  <c r="R193" i="34"/>
  <c r="R228" i="34"/>
  <c r="R226" i="34"/>
  <c r="R224" i="34"/>
  <c r="R394" i="34"/>
  <c r="R389" i="34"/>
  <c r="R192" i="34"/>
  <c r="R190" i="34"/>
  <c r="R223" i="34"/>
  <c r="R197" i="34"/>
  <c r="R189" i="34"/>
  <c r="R388" i="34"/>
  <c r="R393" i="34"/>
  <c r="R194" i="34"/>
  <c r="R230" i="34"/>
  <c r="R227" i="34"/>
  <c r="R191" i="34"/>
  <c r="R222" i="34"/>
  <c r="R390" i="34"/>
  <c r="R225" i="34"/>
  <c r="R195" i="34"/>
  <c r="R391" i="34"/>
  <c r="R229" i="34"/>
  <c r="R392" i="34"/>
  <c r="R196" i="34"/>
  <c r="R297" i="44"/>
  <c r="R298" i="44"/>
  <c r="R299" i="44"/>
  <c r="R300" i="44"/>
  <c r="R301" i="44"/>
  <c r="R302" i="44"/>
  <c r="R303" i="44"/>
  <c r="R304" i="44"/>
  <c r="R305" i="44"/>
  <c r="R306" i="44"/>
  <c r="R190" i="44"/>
  <c r="R375" i="44"/>
  <c r="R307" i="44"/>
  <c r="R389" i="44"/>
  <c r="R394" i="44"/>
  <c r="R391" i="44"/>
  <c r="R202" i="44"/>
  <c r="R169" i="44"/>
  <c r="R393" i="44"/>
  <c r="R392" i="44"/>
  <c r="R390" i="44"/>
  <c r="R388" i="44"/>
  <c r="R297" i="17"/>
  <c r="R298" i="17"/>
  <c r="R299" i="17"/>
  <c r="R300" i="17"/>
  <c r="R301" i="17"/>
  <c r="R302" i="17"/>
  <c r="R303" i="17"/>
  <c r="R304" i="17"/>
  <c r="R305" i="17"/>
  <c r="R306" i="17"/>
  <c r="R210" i="17"/>
  <c r="R375" i="17"/>
  <c r="R192" i="17"/>
  <c r="R222" i="17"/>
  <c r="R392" i="17"/>
  <c r="R391" i="17"/>
  <c r="R307" i="17"/>
  <c r="R225" i="17"/>
  <c r="R224" i="17"/>
  <c r="R389" i="17"/>
  <c r="R394" i="17"/>
  <c r="R223" i="17"/>
  <c r="R189" i="17"/>
  <c r="R390" i="17"/>
  <c r="R393" i="17"/>
  <c r="R388" i="17"/>
  <c r="R190" i="17"/>
  <c r="R191" i="17"/>
  <c r="R298" i="37"/>
  <c r="R299" i="37"/>
  <c r="R300" i="37"/>
  <c r="R301" i="37"/>
  <c r="R297" i="37"/>
  <c r="R302" i="37"/>
  <c r="R304" i="37"/>
  <c r="R306" i="37"/>
  <c r="R307" i="37"/>
  <c r="R375" i="37"/>
  <c r="R303" i="37"/>
  <c r="R305" i="37"/>
  <c r="R173" i="37"/>
  <c r="R204" i="37"/>
  <c r="R203" i="37"/>
  <c r="R392" i="37"/>
  <c r="R391" i="37"/>
  <c r="R202" i="37"/>
  <c r="R170" i="37"/>
  <c r="R172" i="37"/>
  <c r="R388" i="37"/>
  <c r="R389" i="37"/>
  <c r="R190" i="37"/>
  <c r="R169" i="37"/>
  <c r="R205" i="37"/>
  <c r="R174" i="37"/>
  <c r="R390" i="37"/>
  <c r="R207" i="37"/>
  <c r="R394" i="37"/>
  <c r="R206" i="37"/>
  <c r="R171" i="37"/>
  <c r="R393" i="37"/>
  <c r="R297" i="31"/>
  <c r="R298" i="31"/>
  <c r="R302" i="31"/>
  <c r="R303" i="31"/>
  <c r="R304" i="31"/>
  <c r="R305" i="31"/>
  <c r="R306" i="31"/>
  <c r="R299" i="31"/>
  <c r="R300" i="31"/>
  <c r="R190" i="31"/>
  <c r="R375" i="31"/>
  <c r="R301" i="31"/>
  <c r="R307" i="31"/>
  <c r="R169" i="31"/>
  <c r="R202" i="31"/>
  <c r="R171" i="31"/>
  <c r="R172" i="31"/>
  <c r="R394" i="31"/>
  <c r="R393" i="31"/>
  <c r="R391" i="31"/>
  <c r="R388" i="31"/>
  <c r="R392" i="31"/>
  <c r="R203" i="31"/>
  <c r="R204" i="31"/>
  <c r="R170" i="31"/>
  <c r="R390" i="31"/>
  <c r="R389" i="31"/>
  <c r="R205" i="31"/>
  <c r="R298" i="43"/>
  <c r="R299" i="43"/>
  <c r="R300" i="43"/>
  <c r="R301" i="43"/>
  <c r="R307" i="43"/>
  <c r="R297" i="43"/>
  <c r="R302" i="43"/>
  <c r="R304" i="43"/>
  <c r="R375" i="43"/>
  <c r="R202" i="43"/>
  <c r="R388" i="43"/>
  <c r="R190" i="43"/>
  <c r="R390" i="43"/>
  <c r="R391" i="43"/>
  <c r="R306" i="43"/>
  <c r="R394" i="43"/>
  <c r="R392" i="43"/>
  <c r="R169" i="43"/>
  <c r="R393" i="43"/>
  <c r="R303" i="43"/>
  <c r="R389" i="43"/>
  <c r="R305" i="43"/>
  <c r="J66" i="111"/>
  <c r="P66" i="111" s="1"/>
  <c r="P62" i="111"/>
  <c r="R298" i="14"/>
  <c r="R299" i="14"/>
  <c r="R300" i="14"/>
  <c r="R301" i="14"/>
  <c r="R302" i="14"/>
  <c r="R297" i="14"/>
  <c r="R303" i="14"/>
  <c r="R304" i="14"/>
  <c r="R305" i="14"/>
  <c r="R306" i="14"/>
  <c r="R307" i="14"/>
  <c r="R210" i="14"/>
  <c r="R391" i="14"/>
  <c r="R392" i="14"/>
  <c r="R222" i="14"/>
  <c r="R388" i="14"/>
  <c r="R389" i="14"/>
  <c r="R394" i="14"/>
  <c r="R390" i="14"/>
  <c r="R393" i="14"/>
  <c r="R375" i="14"/>
  <c r="R189" i="14"/>
  <c r="R297" i="47"/>
  <c r="R298" i="47"/>
  <c r="R299" i="47"/>
  <c r="R300" i="47"/>
  <c r="R301" i="47"/>
  <c r="R302" i="47"/>
  <c r="R303" i="47"/>
  <c r="R304" i="47"/>
  <c r="R305" i="47"/>
  <c r="R306" i="47"/>
  <c r="R375" i="47"/>
  <c r="R307" i="47"/>
  <c r="R190" i="47"/>
  <c r="R202" i="47"/>
  <c r="R392" i="47"/>
  <c r="R393" i="47"/>
  <c r="R169" i="47"/>
  <c r="R391" i="47"/>
  <c r="R390" i="47"/>
  <c r="R388" i="47"/>
  <c r="R389" i="47"/>
  <c r="R394" i="47"/>
  <c r="R298" i="30"/>
  <c r="R299" i="30"/>
  <c r="R300" i="30"/>
  <c r="R301" i="30"/>
  <c r="R297" i="30"/>
  <c r="R302" i="30"/>
  <c r="R303" i="30"/>
  <c r="R304" i="30"/>
  <c r="R305" i="30"/>
  <c r="R306" i="30"/>
  <c r="R210" i="30"/>
  <c r="R307" i="30"/>
  <c r="R194" i="30"/>
  <c r="R189" i="30"/>
  <c r="R225" i="30"/>
  <c r="R394" i="30"/>
  <c r="R222" i="30"/>
  <c r="R390" i="30"/>
  <c r="R375" i="30"/>
  <c r="R195" i="30"/>
  <c r="R224" i="30"/>
  <c r="R193" i="30"/>
  <c r="R229" i="30"/>
  <c r="R389" i="30"/>
  <c r="R388" i="30"/>
  <c r="R392" i="30"/>
  <c r="R190" i="30"/>
  <c r="R228" i="30"/>
  <c r="R226" i="30"/>
  <c r="R191" i="30"/>
  <c r="R227" i="30"/>
  <c r="R391" i="30"/>
  <c r="R192" i="30"/>
  <c r="R223" i="30"/>
  <c r="R393" i="30"/>
  <c r="R196" i="30"/>
  <c r="R297" i="38"/>
  <c r="R298" i="38"/>
  <c r="R299" i="38"/>
  <c r="R300" i="38"/>
  <c r="R301" i="38"/>
  <c r="R302" i="38"/>
  <c r="R303" i="38"/>
  <c r="R304" i="38"/>
  <c r="R305" i="38"/>
  <c r="R306" i="38"/>
  <c r="R190" i="38"/>
  <c r="R375" i="38"/>
  <c r="R204" i="38"/>
  <c r="R170" i="38"/>
  <c r="R390" i="38"/>
  <c r="R394" i="38"/>
  <c r="R206" i="38"/>
  <c r="R202" i="38"/>
  <c r="R205" i="38"/>
  <c r="R391" i="38"/>
  <c r="R389" i="38"/>
  <c r="R173" i="38"/>
  <c r="R171" i="38"/>
  <c r="R203" i="38"/>
  <c r="R393" i="38"/>
  <c r="R307" i="38"/>
  <c r="R169" i="38"/>
  <c r="R172" i="38"/>
  <c r="R392" i="38"/>
  <c r="R388" i="38"/>
  <c r="R298" i="16"/>
  <c r="R299" i="16"/>
  <c r="R300" i="16"/>
  <c r="R301" i="16"/>
  <c r="R297" i="16"/>
  <c r="R303" i="16"/>
  <c r="R305" i="16"/>
  <c r="R307" i="16"/>
  <c r="R375" i="16"/>
  <c r="R302" i="16"/>
  <c r="R304" i="16"/>
  <c r="R306" i="16"/>
  <c r="R222" i="16"/>
  <c r="R189" i="16"/>
  <c r="R210" i="16"/>
  <c r="R394" i="16"/>
  <c r="R393" i="16"/>
  <c r="R392" i="16"/>
  <c r="R388" i="16"/>
  <c r="R390" i="16"/>
  <c r="R389" i="16"/>
  <c r="R391" i="16"/>
  <c r="R298" i="32"/>
  <c r="R299" i="32"/>
  <c r="R300" i="32"/>
  <c r="R301" i="32"/>
  <c r="R297" i="32"/>
  <c r="R303" i="32"/>
  <c r="R305" i="32"/>
  <c r="R307" i="32"/>
  <c r="R302" i="32"/>
  <c r="R304" i="32"/>
  <c r="R306" i="32"/>
  <c r="R223" i="32"/>
  <c r="R393" i="32"/>
  <c r="R394" i="32"/>
  <c r="R224" i="32"/>
  <c r="R189" i="32"/>
  <c r="R389" i="32"/>
  <c r="R390" i="32"/>
  <c r="R191" i="32"/>
  <c r="R190" i="32"/>
  <c r="R392" i="32"/>
  <c r="R388" i="32"/>
  <c r="R210" i="32"/>
  <c r="R225" i="32"/>
  <c r="R222" i="32"/>
  <c r="R391" i="32"/>
  <c r="R192" i="40"/>
  <c r="R190" i="40"/>
  <c r="R191" i="40"/>
  <c r="R224" i="40"/>
  <c r="R223" i="40"/>
  <c r="R225" i="40"/>
  <c r="R189" i="40"/>
  <c r="R222" i="40"/>
  <c r="R389" i="40"/>
  <c r="R388" i="40"/>
  <c r="R394" i="40"/>
  <c r="R390" i="40"/>
  <c r="R391" i="40"/>
  <c r="R392" i="40"/>
  <c r="R393" i="40"/>
  <c r="R210" i="40"/>
  <c r="R301" i="40"/>
  <c r="R297" i="40"/>
  <c r="R298" i="40"/>
  <c r="R307" i="40"/>
  <c r="R300" i="40"/>
  <c r="R302" i="40"/>
  <c r="R304" i="40"/>
  <c r="R305" i="40"/>
  <c r="R299" i="40"/>
  <c r="R303" i="40"/>
  <c r="R306" i="40"/>
  <c r="R297" i="29"/>
  <c r="R298" i="29"/>
  <c r="R299" i="29"/>
  <c r="R300" i="29"/>
  <c r="R301" i="29"/>
  <c r="R302" i="29"/>
  <c r="R303" i="29"/>
  <c r="R304" i="29"/>
  <c r="R305" i="29"/>
  <c r="R306" i="29"/>
  <c r="R210" i="29"/>
  <c r="R375" i="29"/>
  <c r="R222" i="29"/>
  <c r="R392" i="29"/>
  <c r="R393" i="29"/>
  <c r="R390" i="29"/>
  <c r="R189" i="29"/>
  <c r="R389" i="29"/>
  <c r="R394" i="29"/>
  <c r="R391" i="29"/>
  <c r="R388" i="29"/>
  <c r="R307" i="29"/>
  <c r="J78" i="111"/>
  <c r="P78" i="111" s="1"/>
  <c r="P74" i="111"/>
  <c r="R297" i="35"/>
  <c r="R300" i="35"/>
  <c r="R302" i="35"/>
  <c r="R303" i="35"/>
  <c r="R304" i="35"/>
  <c r="R305" i="35"/>
  <c r="R306" i="35"/>
  <c r="R301" i="35"/>
  <c r="R298" i="35"/>
  <c r="R210" i="35"/>
  <c r="R307" i="35"/>
  <c r="R394" i="35"/>
  <c r="R388" i="35"/>
  <c r="R389" i="35"/>
  <c r="R391" i="35"/>
  <c r="R299" i="35"/>
  <c r="R392" i="35"/>
  <c r="R390" i="35"/>
  <c r="R222" i="35"/>
  <c r="R189" i="35"/>
  <c r="R393" i="35"/>
  <c r="R297" i="46"/>
  <c r="R298" i="46"/>
  <c r="R299" i="46"/>
  <c r="R300" i="46"/>
  <c r="R301" i="46"/>
  <c r="R307" i="46"/>
  <c r="R190" i="46"/>
  <c r="R375" i="46"/>
  <c r="R302" i="46"/>
  <c r="R304" i="46"/>
  <c r="R306" i="46"/>
  <c r="R391" i="46"/>
  <c r="R393" i="46"/>
  <c r="R202" i="46"/>
  <c r="R390" i="46"/>
  <c r="R303" i="46"/>
  <c r="R305" i="46"/>
  <c r="R389" i="46"/>
  <c r="R394" i="46"/>
  <c r="R392" i="46"/>
  <c r="R169" i="46"/>
  <c r="R388" i="46"/>
  <c r="R298" i="24"/>
  <c r="R299" i="24"/>
  <c r="R300" i="24"/>
  <c r="R301" i="24"/>
  <c r="R297" i="24"/>
  <c r="R302" i="24"/>
  <c r="R303" i="24"/>
  <c r="R304" i="24"/>
  <c r="R305" i="24"/>
  <c r="R306" i="24"/>
  <c r="R210" i="24"/>
  <c r="R307" i="24"/>
  <c r="R375" i="24"/>
  <c r="R222" i="24"/>
  <c r="R189" i="24"/>
  <c r="R192" i="24"/>
  <c r="R391" i="24"/>
  <c r="R224" i="24"/>
  <c r="R191" i="24"/>
  <c r="R388" i="24"/>
  <c r="R389" i="24"/>
  <c r="R226" i="24"/>
  <c r="R190" i="24"/>
  <c r="R390" i="24"/>
  <c r="R394" i="24"/>
  <c r="R193" i="24"/>
  <c r="R393" i="24"/>
  <c r="R223" i="24"/>
  <c r="R225" i="24"/>
  <c r="R392" i="24"/>
  <c r="R297" i="33"/>
  <c r="R298" i="33"/>
  <c r="R299" i="33"/>
  <c r="R300" i="33"/>
  <c r="R301" i="33"/>
  <c r="R302" i="33"/>
  <c r="R303" i="33"/>
  <c r="R304" i="33"/>
  <c r="R305" i="33"/>
  <c r="R306" i="33"/>
  <c r="R210" i="33"/>
  <c r="R223" i="33"/>
  <c r="R189" i="33"/>
  <c r="R390" i="33"/>
  <c r="R307" i="33"/>
  <c r="R191" i="33"/>
  <c r="R391" i="33"/>
  <c r="R389" i="33"/>
  <c r="R224" i="33"/>
  <c r="R225" i="33"/>
  <c r="R393" i="33"/>
  <c r="R388" i="33"/>
  <c r="R190" i="33"/>
  <c r="R222" i="33"/>
  <c r="R394" i="33"/>
  <c r="R392" i="33"/>
  <c r="R208" i="6"/>
  <c r="R188" i="45"/>
  <c r="R375" i="35"/>
  <c r="R375" i="41"/>
  <c r="R375" i="32"/>
  <c r="R375" i="33"/>
  <c r="R375" i="34"/>
  <c r="R375" i="40"/>
  <c r="R298" i="28"/>
  <c r="R299" i="28"/>
  <c r="R300" i="28"/>
  <c r="R301" i="28"/>
  <c r="R297" i="28"/>
  <c r="R302" i="28"/>
  <c r="R304" i="28"/>
  <c r="R306" i="28"/>
  <c r="R307" i="28"/>
  <c r="R375" i="28"/>
  <c r="R303" i="28"/>
  <c r="R305" i="28"/>
  <c r="R210" i="28"/>
  <c r="R388" i="28"/>
  <c r="R394" i="28"/>
  <c r="R390" i="28"/>
  <c r="R190" i="28"/>
  <c r="R222" i="28"/>
  <c r="R225" i="28"/>
  <c r="R189" i="28"/>
  <c r="R192" i="28"/>
  <c r="R392" i="28"/>
  <c r="R393" i="28"/>
  <c r="R389" i="28"/>
  <c r="R224" i="28"/>
  <c r="R223" i="28"/>
  <c r="R391" i="28"/>
  <c r="R191" i="28"/>
  <c r="R298" i="15"/>
  <c r="R299" i="15"/>
  <c r="R300" i="15"/>
  <c r="R301" i="15"/>
  <c r="R302" i="15"/>
  <c r="R303" i="15"/>
  <c r="R304" i="15"/>
  <c r="R305" i="15"/>
  <c r="R306" i="15"/>
  <c r="R307" i="15"/>
  <c r="R297" i="15"/>
  <c r="R210" i="15"/>
  <c r="R375" i="15"/>
  <c r="R190" i="15"/>
  <c r="R191" i="15"/>
  <c r="R391" i="15"/>
  <c r="R394" i="15"/>
  <c r="R192" i="15"/>
  <c r="R222" i="15"/>
  <c r="R389" i="15"/>
  <c r="R393" i="15"/>
  <c r="R223" i="15"/>
  <c r="R224" i="15"/>
  <c r="R390" i="15"/>
  <c r="R392" i="15"/>
  <c r="R225" i="15"/>
  <c r="R388" i="15"/>
  <c r="R189" i="15"/>
  <c r="X202" i="44" l="1"/>
  <c r="Q240" i="20"/>
  <c r="Q243" i="20" s="1"/>
  <c r="Q373" i="20"/>
  <c r="Q377" i="20" s="1"/>
  <c r="I151" i="50"/>
  <c r="V351" i="20"/>
  <c r="P77" i="50"/>
  <c r="T47" i="5"/>
  <c r="T49" i="5"/>
  <c r="Q208" i="14" s="1"/>
  <c r="T57" i="5"/>
  <c r="Q208" i="30" s="1"/>
  <c r="T60" i="5"/>
  <c r="Q208" i="33" s="1"/>
  <c r="T52" i="5"/>
  <c r="Q208" i="17" s="1"/>
  <c r="T56" i="5"/>
  <c r="Q208" i="29" s="1"/>
  <c r="T65" i="5"/>
  <c r="Q208" i="40" s="1"/>
  <c r="T66" i="5"/>
  <c r="Q208" i="41" s="1"/>
  <c r="T55" i="5"/>
  <c r="Q208" i="28" s="1"/>
  <c r="T58" i="5"/>
  <c r="Q188" i="31" s="1"/>
  <c r="T70" i="5"/>
  <c r="Q188" i="46" s="1"/>
  <c r="T53" i="5"/>
  <c r="Q208" i="24" s="1"/>
  <c r="T67" i="5"/>
  <c r="Q188" i="43" s="1"/>
  <c r="T62" i="5"/>
  <c r="Q208" i="35" s="1"/>
  <c r="T63" i="5"/>
  <c r="Q188" i="37" s="1"/>
  <c r="T61" i="5"/>
  <c r="Q208" i="34" s="1"/>
  <c r="T64" i="5"/>
  <c r="Q188" i="38" s="1"/>
  <c r="T48" i="5"/>
  <c r="Q208" i="12" s="1"/>
  <c r="T71" i="5"/>
  <c r="Q188" i="47" s="1"/>
  <c r="T68" i="5"/>
  <c r="Q188" i="44" s="1"/>
  <c r="T69" i="5"/>
  <c r="T54" i="5"/>
  <c r="Q208" i="25" s="1"/>
  <c r="T50" i="5"/>
  <c r="Q208" i="15" s="1"/>
  <c r="T59" i="5"/>
  <c r="Q208" i="32" s="1"/>
  <c r="T51" i="5"/>
  <c r="Q208" i="16" s="1"/>
  <c r="I74" i="111"/>
  <c r="I78" i="111" s="1"/>
  <c r="I62" i="111"/>
  <c r="I66" i="111" s="1"/>
  <c r="I50" i="111"/>
  <c r="I54" i="111" s="1"/>
  <c r="V330" i="20"/>
  <c r="V373" i="20"/>
  <c r="V377" i="20" s="1"/>
  <c r="V240" i="20"/>
  <c r="V243" i="20" s="1"/>
  <c r="N151" i="50"/>
  <c r="N225" i="50" s="1"/>
  <c r="S373" i="20"/>
  <c r="S377" i="20" s="1"/>
  <c r="K151" i="50"/>
  <c r="K225" i="50" s="1"/>
  <c r="S240" i="20"/>
  <c r="S243" i="20" s="1"/>
  <c r="S351" i="20"/>
  <c r="P151" i="50"/>
  <c r="Q351" i="20"/>
  <c r="I225" i="50"/>
  <c r="S330" i="20"/>
  <c r="P114" i="50"/>
  <c r="J225" i="50"/>
  <c r="T185" i="31"/>
  <c r="V205" i="33"/>
  <c r="X202" i="31"/>
  <c r="S205" i="24"/>
  <c r="S185" i="37"/>
  <c r="X190" i="17"/>
  <c r="X222" i="34"/>
  <c r="R396" i="16"/>
  <c r="R396" i="30"/>
  <c r="R396" i="31"/>
  <c r="S205" i="30"/>
  <c r="S396" i="37"/>
  <c r="X191" i="32"/>
  <c r="S396" i="43"/>
  <c r="S396" i="24"/>
  <c r="S396" i="38"/>
  <c r="S396" i="41"/>
  <c r="T396" i="25"/>
  <c r="T396" i="29"/>
  <c r="T185" i="37"/>
  <c r="X190" i="30"/>
  <c r="X194" i="34"/>
  <c r="T205" i="25"/>
  <c r="X190" i="32"/>
  <c r="T396" i="41"/>
  <c r="T396" i="32"/>
  <c r="T205" i="32"/>
  <c r="T205" i="40"/>
  <c r="X170" i="37"/>
  <c r="X203" i="37"/>
  <c r="X190" i="41"/>
  <c r="X224" i="41"/>
  <c r="U396" i="24"/>
  <c r="U205" i="32"/>
  <c r="U396" i="38"/>
  <c r="U396" i="15"/>
  <c r="U396" i="41"/>
  <c r="U205" i="41"/>
  <c r="X192" i="15"/>
  <c r="X170" i="38"/>
  <c r="X195" i="34"/>
  <c r="V396" i="46"/>
  <c r="V185" i="38"/>
  <c r="V396" i="32"/>
  <c r="V205" i="17"/>
  <c r="V396" i="40"/>
  <c r="V205" i="25"/>
  <c r="V238" i="16"/>
  <c r="V259" i="16"/>
  <c r="V212" i="16"/>
  <c r="N56" i="50" s="1"/>
  <c r="N93" i="50" s="1"/>
  <c r="V320" i="29"/>
  <c r="V341" i="29"/>
  <c r="V349" i="29"/>
  <c r="V328" i="29"/>
  <c r="V309" i="29"/>
  <c r="V318" i="29"/>
  <c r="V339" i="29"/>
  <c r="V238" i="29"/>
  <c r="V212" i="29"/>
  <c r="N61" i="50" s="1"/>
  <c r="N98" i="50" s="1"/>
  <c r="V259" i="29"/>
  <c r="V346" i="14"/>
  <c r="V325" i="14"/>
  <c r="V340" i="14"/>
  <c r="V319" i="14"/>
  <c r="V340" i="28"/>
  <c r="V319" i="28"/>
  <c r="V327" i="28"/>
  <c r="V348" i="28"/>
  <c r="V344" i="35"/>
  <c r="V323" i="35"/>
  <c r="V319" i="35"/>
  <c r="V340" i="35"/>
  <c r="V318" i="38"/>
  <c r="V339" i="38"/>
  <c r="V309" i="38"/>
  <c r="V325" i="38"/>
  <c r="V346" i="38"/>
  <c r="V238" i="30"/>
  <c r="V259" i="30"/>
  <c r="V212" i="30"/>
  <c r="N62" i="50" s="1"/>
  <c r="N99" i="50" s="1"/>
  <c r="V396" i="30"/>
  <c r="V325" i="30"/>
  <c r="V346" i="30"/>
  <c r="V343" i="30"/>
  <c r="V322" i="30"/>
  <c r="V341" i="41"/>
  <c r="V320" i="41"/>
  <c r="V326" i="41"/>
  <c r="V347" i="41"/>
  <c r="V238" i="41"/>
  <c r="V212" i="41"/>
  <c r="N71" i="50" s="1"/>
  <c r="N108" i="50" s="1"/>
  <c r="V259" i="41"/>
  <c r="V321" i="44"/>
  <c r="V342" i="44"/>
  <c r="V347" i="44"/>
  <c r="V326" i="44"/>
  <c r="V218" i="44"/>
  <c r="V192" i="44"/>
  <c r="N73" i="50" s="1"/>
  <c r="N110" i="50" s="1"/>
  <c r="V239" i="44"/>
  <c r="V339" i="17"/>
  <c r="V318" i="17"/>
  <c r="V309" i="17"/>
  <c r="V238" i="17"/>
  <c r="V212" i="17"/>
  <c r="N57" i="50" s="1"/>
  <c r="N94" i="50" s="1"/>
  <c r="V259" i="17"/>
  <c r="V326" i="24"/>
  <c r="V347" i="24"/>
  <c r="V218" i="43"/>
  <c r="V239" i="43"/>
  <c r="V192" i="43"/>
  <c r="N72" i="50" s="1"/>
  <c r="N109" i="50" s="1"/>
  <c r="V396" i="15"/>
  <c r="V326" i="12"/>
  <c r="V347" i="12"/>
  <c r="V324" i="47"/>
  <c r="V345" i="47"/>
  <c r="V342" i="33"/>
  <c r="V321" i="33"/>
  <c r="V326" i="34"/>
  <c r="V347" i="34"/>
  <c r="V318" i="34"/>
  <c r="V309" i="34"/>
  <c r="V339" i="34"/>
  <c r="V342" i="16"/>
  <c r="V321" i="16"/>
  <c r="V325" i="29"/>
  <c r="V346" i="29"/>
  <c r="V341" i="14"/>
  <c r="V320" i="14"/>
  <c r="V339" i="35"/>
  <c r="V318" i="35"/>
  <c r="V309" i="35"/>
  <c r="V321" i="31"/>
  <c r="V342" i="31"/>
  <c r="V324" i="38"/>
  <c r="V345" i="38"/>
  <c r="V319" i="38"/>
  <c r="V340" i="38"/>
  <c r="V349" i="38"/>
  <c r="V328" i="38"/>
  <c r="V327" i="30"/>
  <c r="V348" i="30"/>
  <c r="V342" i="30"/>
  <c r="V321" i="30"/>
  <c r="V205" i="30"/>
  <c r="V344" i="30"/>
  <c r="V323" i="30"/>
  <c r="V323" i="37"/>
  <c r="V344" i="37"/>
  <c r="V325" i="37"/>
  <c r="V346" i="37"/>
  <c r="V349" i="41"/>
  <c r="V328" i="41"/>
  <c r="V346" i="41"/>
  <c r="V325" i="41"/>
  <c r="V326" i="32"/>
  <c r="V347" i="32"/>
  <c r="V328" i="32"/>
  <c r="V349" i="32"/>
  <c r="V341" i="32"/>
  <c r="V320" i="32"/>
  <c r="V345" i="44"/>
  <c r="V324" i="44"/>
  <c r="V340" i="44"/>
  <c r="V319" i="44"/>
  <c r="V396" i="17"/>
  <c r="V322" i="17"/>
  <c r="V343" i="17"/>
  <c r="V341" i="24"/>
  <c r="V320" i="24"/>
  <c r="V346" i="24"/>
  <c r="V325" i="24"/>
  <c r="V349" i="24"/>
  <c r="V328" i="24"/>
  <c r="V345" i="43"/>
  <c r="V324" i="43"/>
  <c r="V205" i="15"/>
  <c r="V326" i="15"/>
  <c r="V347" i="15"/>
  <c r="V327" i="15"/>
  <c r="V348" i="15"/>
  <c r="V343" i="12"/>
  <c r="V322" i="12"/>
  <c r="V340" i="47"/>
  <c r="V319" i="47"/>
  <c r="V327" i="47"/>
  <c r="V348" i="47"/>
  <c r="V346" i="47"/>
  <c r="V325" i="47"/>
  <c r="V347" i="47"/>
  <c r="V326" i="47"/>
  <c r="V218" i="47"/>
  <c r="V192" i="47"/>
  <c r="N76" i="50" s="1"/>
  <c r="N113" i="50" s="1"/>
  <c r="V239" i="47"/>
  <c r="V319" i="40"/>
  <c r="V340" i="40"/>
  <c r="V212" i="40"/>
  <c r="N70" i="50" s="1"/>
  <c r="N107" i="50" s="1"/>
  <c r="V259" i="40"/>
  <c r="V238" i="40"/>
  <c r="V348" i="40"/>
  <c r="V327" i="40"/>
  <c r="V340" i="25"/>
  <c r="V319" i="25"/>
  <c r="V321" i="25"/>
  <c r="V342" i="25"/>
  <c r="V322" i="25"/>
  <c r="V343" i="25"/>
  <c r="V348" i="34"/>
  <c r="V327" i="34"/>
  <c r="V341" i="34"/>
  <c r="V320" i="34"/>
  <c r="V205" i="34"/>
  <c r="X191" i="15"/>
  <c r="X191" i="24"/>
  <c r="X192" i="40"/>
  <c r="X171" i="38"/>
  <c r="X171" i="37"/>
  <c r="X197" i="34"/>
  <c r="X191" i="25"/>
  <c r="X192" i="25"/>
  <c r="X192" i="41"/>
  <c r="X191" i="12"/>
  <c r="X224" i="12"/>
  <c r="X222" i="12"/>
  <c r="V345" i="16"/>
  <c r="V324" i="16"/>
  <c r="V346" i="16"/>
  <c r="V325" i="16"/>
  <c r="V319" i="16"/>
  <c r="V340" i="16"/>
  <c r="V341" i="46"/>
  <c r="V320" i="46"/>
  <c r="V326" i="46"/>
  <c r="V347" i="46"/>
  <c r="V342" i="46"/>
  <c r="V321" i="46"/>
  <c r="V322" i="29"/>
  <c r="V343" i="29"/>
  <c r="V396" i="29"/>
  <c r="V344" i="29"/>
  <c r="V323" i="29"/>
  <c r="V349" i="14"/>
  <c r="V328" i="14"/>
  <c r="V327" i="14"/>
  <c r="V348" i="14"/>
  <c r="V345" i="14"/>
  <c r="V324" i="14"/>
  <c r="V321" i="14"/>
  <c r="V342" i="14"/>
  <c r="V343" i="14"/>
  <c r="V322" i="14"/>
  <c r="V341" i="28"/>
  <c r="V320" i="28"/>
  <c r="V396" i="28"/>
  <c r="V323" i="28"/>
  <c r="V344" i="28"/>
  <c r="V318" i="28"/>
  <c r="V339" i="28"/>
  <c r="V309" i="28"/>
  <c r="V326" i="28"/>
  <c r="V347" i="28"/>
  <c r="V238" i="28"/>
  <c r="V259" i="28"/>
  <c r="V212" i="28"/>
  <c r="N60" i="50" s="1"/>
  <c r="N97" i="50" s="1"/>
  <c r="V345" i="35"/>
  <c r="V324" i="35"/>
  <c r="V343" i="35"/>
  <c r="V322" i="35"/>
  <c r="V349" i="31"/>
  <c r="V328" i="31"/>
  <c r="V344" i="31"/>
  <c r="V323" i="31"/>
  <c r="V341" i="31"/>
  <c r="V320" i="31"/>
  <c r="V348" i="31"/>
  <c r="V327" i="31"/>
  <c r="V343" i="38"/>
  <c r="V322" i="38"/>
  <c r="V323" i="38"/>
  <c r="V344" i="38"/>
  <c r="V340" i="30"/>
  <c r="V319" i="30"/>
  <c r="V320" i="30"/>
  <c r="V341" i="30"/>
  <c r="V339" i="30"/>
  <c r="V309" i="30"/>
  <c r="V318" i="30"/>
  <c r="V328" i="37"/>
  <c r="V349" i="37"/>
  <c r="V321" i="37"/>
  <c r="V342" i="37"/>
  <c r="V324" i="37"/>
  <c r="V345" i="37"/>
  <c r="V324" i="41"/>
  <c r="V345" i="41"/>
  <c r="V342" i="32"/>
  <c r="V321" i="32"/>
  <c r="V309" i="32"/>
  <c r="V318" i="32"/>
  <c r="V339" i="32"/>
  <c r="V325" i="32"/>
  <c r="V346" i="32"/>
  <c r="V340" i="32"/>
  <c r="V319" i="32"/>
  <c r="V343" i="44"/>
  <c r="V322" i="44"/>
  <c r="V345" i="17"/>
  <c r="V324" i="17"/>
  <c r="V342" i="17"/>
  <c r="V321" i="17"/>
  <c r="V344" i="24"/>
  <c r="V323" i="24"/>
  <c r="V205" i="24"/>
  <c r="V339" i="24"/>
  <c r="V309" i="24"/>
  <c r="V318" i="24"/>
  <c r="V342" i="24"/>
  <c r="V321" i="24"/>
  <c r="V319" i="43"/>
  <c r="V340" i="43"/>
  <c r="V326" i="43"/>
  <c r="V347" i="43"/>
  <c r="V348" i="43"/>
  <c r="V327" i="43"/>
  <c r="V238" i="15"/>
  <c r="V212" i="15"/>
  <c r="N55" i="50" s="1"/>
  <c r="N92" i="50" s="1"/>
  <c r="V259" i="15"/>
  <c r="V349" i="15"/>
  <c r="V328" i="15"/>
  <c r="V345" i="15"/>
  <c r="V324" i="15"/>
  <c r="V341" i="12"/>
  <c r="V320" i="12"/>
  <c r="V321" i="12"/>
  <c r="V342" i="12"/>
  <c r="V339" i="12"/>
  <c r="V318" i="12"/>
  <c r="V309" i="12"/>
  <c r="V318" i="47"/>
  <c r="V339" i="47"/>
  <c r="V309" i="47"/>
  <c r="V320" i="47"/>
  <c r="V341" i="47"/>
  <c r="V344" i="33"/>
  <c r="V323" i="33"/>
  <c r="V328" i="33"/>
  <c r="V349" i="33"/>
  <c r="V324" i="33"/>
  <c r="V345" i="33"/>
  <c r="V325" i="33"/>
  <c r="V346" i="33"/>
  <c r="V318" i="40"/>
  <c r="V309" i="40"/>
  <c r="V339" i="40"/>
  <c r="V349" i="40"/>
  <c r="V328" i="40"/>
  <c r="V341" i="40"/>
  <c r="V320" i="40"/>
  <c r="V396" i="25"/>
  <c r="V345" i="25"/>
  <c r="V324" i="25"/>
  <c r="V328" i="25"/>
  <c r="V349" i="25"/>
  <c r="V345" i="34"/>
  <c r="V324" i="34"/>
  <c r="V344" i="34"/>
  <c r="V323" i="34"/>
  <c r="V328" i="16"/>
  <c r="V349" i="16"/>
  <c r="V396" i="16"/>
  <c r="V323" i="16"/>
  <c r="V344" i="16"/>
  <c r="V325" i="46"/>
  <c r="V346" i="46"/>
  <c r="V343" i="46"/>
  <c r="V322" i="46"/>
  <c r="V318" i="14"/>
  <c r="V309" i="14"/>
  <c r="V339" i="14"/>
  <c r="V328" i="28"/>
  <c r="V349" i="28"/>
  <c r="V396" i="35"/>
  <c r="V218" i="31"/>
  <c r="V239" i="31"/>
  <c r="V192" i="31"/>
  <c r="N63" i="50" s="1"/>
  <c r="N100" i="50" s="1"/>
  <c r="V322" i="31"/>
  <c r="V343" i="31"/>
  <c r="V340" i="31"/>
  <c r="V319" i="31"/>
  <c r="V309" i="31"/>
  <c r="V318" i="31"/>
  <c r="V339" i="31"/>
  <c r="V321" i="38"/>
  <c r="V342" i="38"/>
  <c r="V319" i="37"/>
  <c r="V340" i="37"/>
  <c r="V339" i="37"/>
  <c r="V318" i="37"/>
  <c r="V309" i="37"/>
  <c r="V348" i="41"/>
  <c r="V327" i="41"/>
  <c r="V342" i="41"/>
  <c r="V321" i="41"/>
  <c r="V318" i="41"/>
  <c r="V309" i="41"/>
  <c r="V339" i="41"/>
  <c r="V238" i="32"/>
  <c r="V259" i="32"/>
  <c r="V212" i="32"/>
  <c r="N64" i="50" s="1"/>
  <c r="N101" i="50" s="1"/>
  <c r="V324" i="32"/>
  <c r="V345" i="32"/>
  <c r="V349" i="44"/>
  <c r="V328" i="44"/>
  <c r="V347" i="17"/>
  <c r="V326" i="17"/>
  <c r="V328" i="17"/>
  <c r="V349" i="17"/>
  <c r="V342" i="43"/>
  <c r="V321" i="43"/>
  <c r="V323" i="43"/>
  <c r="V344" i="43"/>
  <c r="V342" i="15"/>
  <c r="V321" i="15"/>
  <c r="V325" i="12"/>
  <c r="V346" i="12"/>
  <c r="V205" i="12"/>
  <c r="V344" i="12"/>
  <c r="V323" i="12"/>
  <c r="V238" i="12"/>
  <c r="V259" i="12"/>
  <c r="V212" i="12"/>
  <c r="N53" i="50" s="1"/>
  <c r="N90" i="50" s="1"/>
  <c r="V343" i="47"/>
  <c r="V322" i="47"/>
  <c r="V349" i="47"/>
  <c r="V328" i="47"/>
  <c r="V322" i="33"/>
  <c r="V343" i="33"/>
  <c r="V238" i="33"/>
  <c r="V212" i="33"/>
  <c r="N65" i="50" s="1"/>
  <c r="N102" i="50" s="1"/>
  <c r="V259" i="33"/>
  <c r="V324" i="40"/>
  <c r="V345" i="40"/>
  <c r="V342" i="40"/>
  <c r="V321" i="40"/>
  <c r="V346" i="40"/>
  <c r="V325" i="40"/>
  <c r="V347" i="25"/>
  <c r="V326" i="25"/>
  <c r="V327" i="25"/>
  <c r="V348" i="25"/>
  <c r="V325" i="34"/>
  <c r="V346" i="34"/>
  <c r="V340" i="34"/>
  <c r="V319" i="34"/>
  <c r="V259" i="34"/>
  <c r="V238" i="34"/>
  <c r="V212" i="34"/>
  <c r="N66" i="50" s="1"/>
  <c r="N103" i="50" s="1"/>
  <c r="V348" i="16"/>
  <c r="V327" i="16"/>
  <c r="V218" i="46"/>
  <c r="V239" i="46"/>
  <c r="V192" i="46"/>
  <c r="N75" i="50" s="1"/>
  <c r="N112" i="50" s="1"/>
  <c r="V349" i="46"/>
  <c r="V328" i="46"/>
  <c r="V348" i="46"/>
  <c r="V327" i="46"/>
  <c r="V318" i="46"/>
  <c r="V339" i="46"/>
  <c r="V309" i="46"/>
  <c r="V326" i="29"/>
  <c r="V347" i="29"/>
  <c r="V345" i="29"/>
  <c r="V324" i="29"/>
  <c r="V238" i="14"/>
  <c r="V212" i="14"/>
  <c r="N54" i="50" s="1"/>
  <c r="N91" i="50" s="1"/>
  <c r="V259" i="14"/>
  <c r="V324" i="28"/>
  <c r="V345" i="28"/>
  <c r="V342" i="35"/>
  <c r="V321" i="35"/>
  <c r="V325" i="35"/>
  <c r="V346" i="35"/>
  <c r="V345" i="31"/>
  <c r="V324" i="31"/>
  <c r="V396" i="38"/>
  <c r="V218" i="38"/>
  <c r="V239" i="38"/>
  <c r="V192" i="38"/>
  <c r="N69" i="50" s="1"/>
  <c r="N106" i="50" s="1"/>
  <c r="V396" i="37"/>
  <c r="V320" i="37"/>
  <c r="V341" i="37"/>
  <c r="V218" i="37"/>
  <c r="V192" i="37"/>
  <c r="N68" i="50" s="1"/>
  <c r="N105" i="50" s="1"/>
  <c r="V239" i="37"/>
  <c r="V323" i="32"/>
  <c r="V344" i="32"/>
  <c r="V346" i="44"/>
  <c r="V325" i="44"/>
  <c r="V396" i="44"/>
  <c r="V344" i="17"/>
  <c r="V323" i="17"/>
  <c r="V340" i="24"/>
  <c r="V319" i="24"/>
  <c r="V238" i="24"/>
  <c r="V212" i="24"/>
  <c r="N58" i="50" s="1"/>
  <c r="N95" i="50" s="1"/>
  <c r="V259" i="24"/>
  <c r="V375" i="45"/>
  <c r="V190" i="45"/>
  <c r="V202" i="45"/>
  <c r="V304" i="45"/>
  <c r="V298" i="45"/>
  <c r="V301" i="45"/>
  <c r="V392" i="45"/>
  <c r="V394" i="45"/>
  <c r="V297" i="45"/>
  <c r="V302" i="45"/>
  <c r="V391" i="45"/>
  <c r="V388" i="45"/>
  <c r="V300" i="45"/>
  <c r="V305" i="45"/>
  <c r="V306" i="45"/>
  <c r="V307" i="45"/>
  <c r="V299" i="45"/>
  <c r="V169" i="45"/>
  <c r="V185" i="45" s="1"/>
  <c r="V390" i="45"/>
  <c r="V389" i="45"/>
  <c r="V393" i="45"/>
  <c r="V303" i="45"/>
  <c r="V210" i="6"/>
  <c r="V393" i="6"/>
  <c r="V391" i="6"/>
  <c r="V394" i="6"/>
  <c r="V390" i="6"/>
  <c r="N16" i="56" s="1"/>
  <c r="N32" i="56" s="1"/>
  <c r="I63" i="83" s="1"/>
  <c r="I51" i="83" s="1"/>
  <c r="V306" i="6"/>
  <c r="V301" i="6"/>
  <c r="V299" i="6"/>
  <c r="V388" i="6"/>
  <c r="V307" i="6"/>
  <c r="V375" i="6"/>
  <c r="N27" i="55" s="1"/>
  <c r="V297" i="6"/>
  <c r="V392" i="6"/>
  <c r="N18" i="56" s="1"/>
  <c r="N34" i="56" s="1"/>
  <c r="I65" i="83" s="1"/>
  <c r="I53" i="83" s="1"/>
  <c r="V302" i="6"/>
  <c r="V303" i="6"/>
  <c r="V389" i="6"/>
  <c r="V300" i="6"/>
  <c r="V305" i="6"/>
  <c r="V298" i="6"/>
  <c r="V222" i="6"/>
  <c r="V189" i="6"/>
  <c r="V205" i="6" s="1"/>
  <c r="V304" i="6"/>
  <c r="V340" i="12"/>
  <c r="V319" i="12"/>
  <c r="V327" i="12"/>
  <c r="V348" i="12"/>
  <c r="V320" i="33"/>
  <c r="V341" i="33"/>
  <c r="V326" i="33"/>
  <c r="V347" i="33"/>
  <c r="X191" i="30"/>
  <c r="X174" i="37"/>
  <c r="X202" i="37"/>
  <c r="X196" i="34"/>
  <c r="X193" i="34"/>
  <c r="X225" i="41"/>
  <c r="V326" i="16"/>
  <c r="V347" i="16"/>
  <c r="V318" i="16"/>
  <c r="V339" i="16"/>
  <c r="V309" i="16"/>
  <c r="V322" i="16"/>
  <c r="V343" i="16"/>
  <c r="V320" i="16"/>
  <c r="V341" i="16"/>
  <c r="V344" i="46"/>
  <c r="V323" i="46"/>
  <c r="V324" i="46"/>
  <c r="V345" i="46"/>
  <c r="V340" i="46"/>
  <c r="V319" i="46"/>
  <c r="V340" i="29"/>
  <c r="V319" i="29"/>
  <c r="V348" i="29"/>
  <c r="V327" i="29"/>
  <c r="V342" i="29"/>
  <c r="V321" i="29"/>
  <c r="V344" i="14"/>
  <c r="V323" i="14"/>
  <c r="V326" i="14"/>
  <c r="V347" i="14"/>
  <c r="V396" i="14"/>
  <c r="V325" i="28"/>
  <c r="V346" i="28"/>
  <c r="V205" i="28"/>
  <c r="V322" i="28"/>
  <c r="V343" i="28"/>
  <c r="V342" i="28"/>
  <c r="V321" i="28"/>
  <c r="V327" i="35"/>
  <c r="V348" i="35"/>
  <c r="V326" i="35"/>
  <c r="V347" i="35"/>
  <c r="V349" i="35"/>
  <c r="V328" i="35"/>
  <c r="V341" i="35"/>
  <c r="V320" i="35"/>
  <c r="V238" i="35"/>
  <c r="V259" i="35"/>
  <c r="V212" i="35"/>
  <c r="N67" i="50" s="1"/>
  <c r="N104" i="50" s="1"/>
  <c r="V325" i="31"/>
  <c r="V346" i="31"/>
  <c r="V326" i="31"/>
  <c r="V347" i="31"/>
  <c r="V396" i="31"/>
  <c r="V185" i="31"/>
  <c r="V347" i="38"/>
  <c r="V326" i="38"/>
  <c r="V320" i="38"/>
  <c r="V341" i="38"/>
  <c r="V348" i="38"/>
  <c r="V327" i="38"/>
  <c r="V324" i="30"/>
  <c r="V345" i="30"/>
  <c r="V328" i="30"/>
  <c r="V349" i="30"/>
  <c r="V347" i="30"/>
  <c r="V326" i="30"/>
  <c r="V185" i="37"/>
  <c r="V348" i="37"/>
  <c r="V327" i="37"/>
  <c r="V326" i="37"/>
  <c r="V347" i="37"/>
  <c r="V322" i="37"/>
  <c r="V343" i="37"/>
  <c r="V205" i="41"/>
  <c r="V323" i="41"/>
  <c r="V344" i="41"/>
  <c r="V340" i="41"/>
  <c r="V319" i="41"/>
  <c r="V322" i="41"/>
  <c r="V343" i="41"/>
  <c r="V396" i="41"/>
  <c r="V343" i="32"/>
  <c r="V322" i="32"/>
  <c r="V205" i="32"/>
  <c r="V327" i="32"/>
  <c r="V348" i="32"/>
  <c r="V327" i="44"/>
  <c r="V348" i="44"/>
  <c r="V323" i="44"/>
  <c r="V344" i="44"/>
  <c r="V320" i="44"/>
  <c r="V341" i="44"/>
  <c r="V339" i="44"/>
  <c r="V318" i="44"/>
  <c r="V309" i="44"/>
  <c r="AZ309" i="44" s="1"/>
  <c r="AZ311" i="44" s="1"/>
  <c r="V319" i="17"/>
  <c r="V340" i="17"/>
  <c r="V327" i="17"/>
  <c r="V348" i="17"/>
  <c r="V325" i="17"/>
  <c r="V346" i="17"/>
  <c r="V341" i="17"/>
  <c r="V320" i="17"/>
  <c r="V322" i="24"/>
  <c r="V343" i="24"/>
  <c r="V348" i="24"/>
  <c r="V327" i="24"/>
  <c r="V345" i="24"/>
  <c r="V324" i="24"/>
  <c r="V396" i="24"/>
  <c r="V328" i="43"/>
  <c r="V349" i="43"/>
  <c r="V396" i="43"/>
  <c r="V343" i="43"/>
  <c r="V322" i="43"/>
  <c r="V320" i="43"/>
  <c r="V341" i="43"/>
  <c r="V318" i="43"/>
  <c r="V309" i="43"/>
  <c r="V339" i="43"/>
  <c r="V325" i="43"/>
  <c r="V346" i="43"/>
  <c r="V343" i="15"/>
  <c r="V322" i="15"/>
  <c r="V325" i="15"/>
  <c r="V346" i="15"/>
  <c r="V319" i="15"/>
  <c r="V340" i="15"/>
  <c r="V339" i="15"/>
  <c r="V318" i="15"/>
  <c r="V309" i="15"/>
  <c r="V320" i="15"/>
  <c r="V341" i="15"/>
  <c r="V344" i="15"/>
  <c r="V323" i="15"/>
  <c r="V345" i="12"/>
  <c r="V324" i="12"/>
  <c r="V328" i="12"/>
  <c r="V349" i="12"/>
  <c r="V396" i="12"/>
  <c r="V344" i="47"/>
  <c r="V323" i="47"/>
  <c r="V342" i="47"/>
  <c r="V321" i="47"/>
  <c r="V396" i="47"/>
  <c r="V396" i="33"/>
  <c r="V309" i="33"/>
  <c r="V339" i="33"/>
  <c r="V318" i="33"/>
  <c r="V340" i="33"/>
  <c r="V319" i="33"/>
  <c r="V348" i="33"/>
  <c r="V327" i="33"/>
  <c r="V344" i="40"/>
  <c r="V323" i="40"/>
  <c r="V326" i="40"/>
  <c r="V347" i="40"/>
  <c r="V322" i="40"/>
  <c r="V343" i="40"/>
  <c r="V205" i="40"/>
  <c r="V346" i="25"/>
  <c r="V325" i="25"/>
  <c r="V309" i="25"/>
  <c r="V318" i="25"/>
  <c r="V339" i="25"/>
  <c r="V320" i="25"/>
  <c r="V341" i="25"/>
  <c r="V323" i="25"/>
  <c r="V344" i="25"/>
  <c r="V238" i="25"/>
  <c r="V259" i="25"/>
  <c r="V212" i="25"/>
  <c r="N59" i="50" s="1"/>
  <c r="N96" i="50" s="1"/>
  <c r="V342" i="34"/>
  <c r="V321" i="34"/>
  <c r="V396" i="34"/>
  <c r="V349" i="34"/>
  <c r="V328" i="34"/>
  <c r="V322" i="34"/>
  <c r="V343" i="34"/>
  <c r="U238" i="25"/>
  <c r="U212" i="25"/>
  <c r="M59" i="50" s="1"/>
  <c r="M96" i="50" s="1"/>
  <c r="U259" i="25"/>
  <c r="U396" i="25"/>
  <c r="U346" i="25"/>
  <c r="U325" i="25"/>
  <c r="U340" i="47"/>
  <c r="U319" i="47"/>
  <c r="U345" i="47"/>
  <c r="U324" i="47"/>
  <c r="U322" i="47"/>
  <c r="U343" i="47"/>
  <c r="U321" i="47"/>
  <c r="U342" i="47"/>
  <c r="U349" i="28"/>
  <c r="U328" i="28"/>
  <c r="U341" i="28"/>
  <c r="U320" i="28"/>
  <c r="U320" i="24"/>
  <c r="U341" i="24"/>
  <c r="U344" i="24"/>
  <c r="U323" i="24"/>
  <c r="U324" i="44"/>
  <c r="U345" i="44"/>
  <c r="U326" i="44"/>
  <c r="U347" i="44"/>
  <c r="U218" i="44"/>
  <c r="U239" i="44"/>
  <c r="U192" i="44"/>
  <c r="M73" i="50" s="1"/>
  <c r="M110" i="50" s="1"/>
  <c r="U347" i="14"/>
  <c r="U326" i="14"/>
  <c r="U344" i="14"/>
  <c r="U323" i="14"/>
  <c r="U309" i="14"/>
  <c r="U318" i="14"/>
  <c r="U339" i="14"/>
  <c r="U319" i="14"/>
  <c r="U340" i="14"/>
  <c r="U345" i="14"/>
  <c r="U324" i="14"/>
  <c r="U341" i="31"/>
  <c r="U320" i="31"/>
  <c r="U346" i="32"/>
  <c r="U325" i="32"/>
  <c r="U309" i="32"/>
  <c r="U318" i="32"/>
  <c r="U339" i="32"/>
  <c r="U341" i="32"/>
  <c r="U320" i="32"/>
  <c r="U238" i="32"/>
  <c r="U259" i="32"/>
  <c r="U212" i="32"/>
  <c r="M64" i="50" s="1"/>
  <c r="M101" i="50" s="1"/>
  <c r="U205" i="34"/>
  <c r="U326" i="34"/>
  <c r="U347" i="34"/>
  <c r="U396" i="34"/>
  <c r="U349" i="29"/>
  <c r="U328" i="29"/>
  <c r="U347" i="29"/>
  <c r="U326" i="29"/>
  <c r="U323" i="29"/>
  <c r="U344" i="29"/>
  <c r="U328" i="38"/>
  <c r="U349" i="38"/>
  <c r="U319" i="38"/>
  <c r="U340" i="38"/>
  <c r="U185" i="38"/>
  <c r="U347" i="38"/>
  <c r="U326" i="38"/>
  <c r="U323" i="35"/>
  <c r="U344" i="35"/>
  <c r="U349" i="35"/>
  <c r="U328" i="35"/>
  <c r="U190" i="45"/>
  <c r="U375" i="45"/>
  <c r="U202" i="45"/>
  <c r="U300" i="45"/>
  <c r="U169" i="45"/>
  <c r="U185" i="45" s="1"/>
  <c r="U305" i="45"/>
  <c r="U298" i="45"/>
  <c r="U307" i="45"/>
  <c r="U302" i="45"/>
  <c r="U301" i="45"/>
  <c r="U297" i="45"/>
  <c r="U388" i="45"/>
  <c r="U392" i="45"/>
  <c r="U394" i="45"/>
  <c r="U391" i="45"/>
  <c r="U303" i="45"/>
  <c r="U299" i="45"/>
  <c r="U304" i="45"/>
  <c r="U393" i="45"/>
  <c r="U389" i="45"/>
  <c r="U306" i="45"/>
  <c r="U390" i="45"/>
  <c r="U343" i="37"/>
  <c r="U322" i="37"/>
  <c r="U345" i="37"/>
  <c r="U324" i="37"/>
  <c r="U342" i="37"/>
  <c r="U321" i="37"/>
  <c r="U339" i="17"/>
  <c r="U309" i="17"/>
  <c r="U318" i="17"/>
  <c r="U346" i="17"/>
  <c r="U325" i="17"/>
  <c r="U396" i="17"/>
  <c r="U347" i="17"/>
  <c r="U326" i="17"/>
  <c r="U328" i="30"/>
  <c r="U349" i="30"/>
  <c r="U321" i="40"/>
  <c r="U342" i="40"/>
  <c r="U238" i="40"/>
  <c r="U259" i="40"/>
  <c r="U212" i="40"/>
  <c r="M70" i="50" s="1"/>
  <c r="M107" i="50" s="1"/>
  <c r="U323" i="40"/>
  <c r="U344" i="40"/>
  <c r="U321" i="15"/>
  <c r="U342" i="15"/>
  <c r="U340" i="15"/>
  <c r="U319" i="15"/>
  <c r="U327" i="15"/>
  <c r="U348" i="15"/>
  <c r="U344" i="41"/>
  <c r="U323" i="41"/>
  <c r="U340" i="41"/>
  <c r="U319" i="41"/>
  <c r="U341" i="41"/>
  <c r="U320" i="41"/>
  <c r="U323" i="16"/>
  <c r="U344" i="16"/>
  <c r="U309" i="16"/>
  <c r="U339" i="16"/>
  <c r="U318" i="16"/>
  <c r="U323" i="43"/>
  <c r="U344" i="43"/>
  <c r="U346" i="43"/>
  <c r="U325" i="43"/>
  <c r="U321" i="33"/>
  <c r="U342" i="33"/>
  <c r="U348" i="33"/>
  <c r="U327" i="33"/>
  <c r="U319" i="33"/>
  <c r="U340" i="33"/>
  <c r="U343" i="46"/>
  <c r="U322" i="46"/>
  <c r="U328" i="46"/>
  <c r="U349" i="46"/>
  <c r="U192" i="46"/>
  <c r="M75" i="50" s="1"/>
  <c r="M112" i="50" s="1"/>
  <c r="U218" i="46"/>
  <c r="U239" i="46"/>
  <c r="U347" i="12"/>
  <c r="U326" i="12"/>
  <c r="U340" i="12"/>
  <c r="U319" i="12"/>
  <c r="U238" i="12"/>
  <c r="U259" i="12"/>
  <c r="U212" i="12"/>
  <c r="M53" i="50" s="1"/>
  <c r="M90" i="50" s="1"/>
  <c r="X222" i="29"/>
  <c r="X173" i="38"/>
  <c r="U347" i="25"/>
  <c r="U326" i="25"/>
  <c r="U341" i="25"/>
  <c r="U320" i="25"/>
  <c r="U319" i="25"/>
  <c r="U340" i="25"/>
  <c r="U348" i="25"/>
  <c r="U327" i="25"/>
  <c r="U328" i="47"/>
  <c r="U349" i="47"/>
  <c r="U339" i="28"/>
  <c r="U309" i="28"/>
  <c r="U318" i="28"/>
  <c r="U325" i="28"/>
  <c r="U346" i="28"/>
  <c r="U238" i="28"/>
  <c r="U259" i="28"/>
  <c r="U212" i="28"/>
  <c r="M60" i="50" s="1"/>
  <c r="M97" i="50" s="1"/>
  <c r="U321" i="28"/>
  <c r="U342" i="28"/>
  <c r="U347" i="28"/>
  <c r="U326" i="28"/>
  <c r="U319" i="24"/>
  <c r="U340" i="24"/>
  <c r="U325" i="24"/>
  <c r="U346" i="24"/>
  <c r="U321" i="24"/>
  <c r="U342" i="24"/>
  <c r="U320" i="44"/>
  <c r="U341" i="44"/>
  <c r="U346" i="44"/>
  <c r="U325" i="44"/>
  <c r="U340" i="44"/>
  <c r="U319" i="44"/>
  <c r="U327" i="14"/>
  <c r="U348" i="14"/>
  <c r="U325" i="14"/>
  <c r="U346" i="14"/>
  <c r="U321" i="14"/>
  <c r="U342" i="14"/>
  <c r="U349" i="31"/>
  <c r="U328" i="31"/>
  <c r="U318" i="31"/>
  <c r="U309" i="31"/>
  <c r="U339" i="31"/>
  <c r="U323" i="31"/>
  <c r="U344" i="31"/>
  <c r="U319" i="31"/>
  <c r="U340" i="31"/>
  <c r="U319" i="32"/>
  <c r="U340" i="32"/>
  <c r="U349" i="32"/>
  <c r="U328" i="32"/>
  <c r="U321" i="32"/>
  <c r="U342" i="32"/>
  <c r="U309" i="34"/>
  <c r="U339" i="34"/>
  <c r="U318" i="34"/>
  <c r="U345" i="34"/>
  <c r="U324" i="34"/>
  <c r="U328" i="34"/>
  <c r="U349" i="34"/>
  <c r="U343" i="34"/>
  <c r="U322" i="34"/>
  <c r="U327" i="34"/>
  <c r="U348" i="34"/>
  <c r="U238" i="34"/>
  <c r="U259" i="34"/>
  <c r="U212" i="34"/>
  <c r="M66" i="50" s="1"/>
  <c r="M103" i="50" s="1"/>
  <c r="U320" i="29"/>
  <c r="U341" i="29"/>
  <c r="U346" i="29"/>
  <c r="U325" i="29"/>
  <c r="U339" i="38"/>
  <c r="U309" i="38"/>
  <c r="U318" i="38"/>
  <c r="U343" i="38"/>
  <c r="U322" i="38"/>
  <c r="U324" i="38"/>
  <c r="U345" i="38"/>
  <c r="U218" i="38"/>
  <c r="U239" i="38"/>
  <c r="U192" i="38"/>
  <c r="M69" i="50" s="1"/>
  <c r="M106" i="50" s="1"/>
  <c r="U343" i="35"/>
  <c r="U322" i="35"/>
  <c r="U348" i="35"/>
  <c r="U327" i="35"/>
  <c r="U319" i="37"/>
  <c r="U340" i="37"/>
  <c r="U349" i="37"/>
  <c r="U328" i="37"/>
  <c r="U325" i="37"/>
  <c r="U346" i="37"/>
  <c r="U205" i="17"/>
  <c r="U319" i="17"/>
  <c r="U340" i="17"/>
  <c r="U319" i="30"/>
  <c r="U340" i="30"/>
  <c r="U325" i="30"/>
  <c r="U346" i="30"/>
  <c r="U324" i="30"/>
  <c r="U345" i="30"/>
  <c r="U348" i="30"/>
  <c r="U327" i="30"/>
  <c r="U320" i="40"/>
  <c r="U341" i="40"/>
  <c r="U343" i="40"/>
  <c r="U322" i="40"/>
  <c r="U324" i="40"/>
  <c r="U345" i="40"/>
  <c r="U396" i="40"/>
  <c r="U349" i="15"/>
  <c r="U328" i="15"/>
  <c r="U347" i="15"/>
  <c r="U326" i="15"/>
  <c r="U238" i="15"/>
  <c r="U259" i="15"/>
  <c r="U212" i="15"/>
  <c r="M55" i="50" s="1"/>
  <c r="M92" i="50" s="1"/>
  <c r="U346" i="41"/>
  <c r="U325" i="41"/>
  <c r="U238" i="41"/>
  <c r="U212" i="41"/>
  <c r="M71" i="50" s="1"/>
  <c r="M108" i="50" s="1"/>
  <c r="U259" i="41"/>
  <c r="U328" i="41"/>
  <c r="U349" i="41"/>
  <c r="U340" i="16"/>
  <c r="U319" i="16"/>
  <c r="U396" i="16"/>
  <c r="U325" i="16"/>
  <c r="U346" i="16"/>
  <c r="U327" i="43"/>
  <c r="U348" i="43"/>
  <c r="U326" i="43"/>
  <c r="U347" i="43"/>
  <c r="U218" i="43"/>
  <c r="U192" i="43"/>
  <c r="M72" i="50" s="1"/>
  <c r="M109" i="50" s="1"/>
  <c r="U239" i="43"/>
  <c r="U328" i="43"/>
  <c r="U349" i="43"/>
  <c r="U326" i="33"/>
  <c r="U347" i="33"/>
  <c r="U339" i="33"/>
  <c r="U309" i="33"/>
  <c r="U318" i="33"/>
  <c r="U345" i="33"/>
  <c r="U324" i="33"/>
  <c r="U339" i="46"/>
  <c r="U309" i="46"/>
  <c r="U318" i="46"/>
  <c r="U346" i="46"/>
  <c r="U325" i="46"/>
  <c r="U396" i="46"/>
  <c r="U349" i="12"/>
  <c r="U328" i="12"/>
  <c r="U322" i="12"/>
  <c r="U343" i="12"/>
  <c r="U341" i="12"/>
  <c r="U320" i="12"/>
  <c r="X223" i="12"/>
  <c r="U345" i="25"/>
  <c r="U324" i="25"/>
  <c r="U309" i="25"/>
  <c r="U318" i="25"/>
  <c r="U339" i="25"/>
  <c r="U323" i="25"/>
  <c r="U344" i="25"/>
  <c r="U348" i="47"/>
  <c r="U327" i="47"/>
  <c r="U320" i="47"/>
  <c r="U341" i="47"/>
  <c r="U323" i="47"/>
  <c r="U344" i="47"/>
  <c r="U322" i="28"/>
  <c r="U343" i="28"/>
  <c r="U319" i="28"/>
  <c r="U340" i="28"/>
  <c r="U323" i="28"/>
  <c r="U344" i="28"/>
  <c r="U345" i="28"/>
  <c r="U324" i="28"/>
  <c r="U349" i="24"/>
  <c r="U328" i="24"/>
  <c r="U327" i="24"/>
  <c r="U348" i="24"/>
  <c r="U345" i="24"/>
  <c r="U324" i="24"/>
  <c r="U238" i="24"/>
  <c r="U212" i="24"/>
  <c r="M58" i="50" s="1"/>
  <c r="M95" i="50" s="1"/>
  <c r="U259" i="24"/>
  <c r="U321" i="44"/>
  <c r="U342" i="44"/>
  <c r="U396" i="44"/>
  <c r="U343" i="14"/>
  <c r="U322" i="14"/>
  <c r="U320" i="14"/>
  <c r="U341" i="14"/>
  <c r="U238" i="14"/>
  <c r="U212" i="14"/>
  <c r="M54" i="50" s="1"/>
  <c r="M91" i="50" s="1"/>
  <c r="U259" i="14"/>
  <c r="U342" i="31"/>
  <c r="U321" i="31"/>
  <c r="U345" i="31"/>
  <c r="U324" i="31"/>
  <c r="U325" i="31"/>
  <c r="U346" i="31"/>
  <c r="U239" i="31"/>
  <c r="U192" i="31"/>
  <c r="M63" i="50" s="1"/>
  <c r="M100" i="50" s="1"/>
  <c r="U218" i="31"/>
  <c r="U322" i="32"/>
  <c r="U343" i="32"/>
  <c r="U324" i="32"/>
  <c r="U345" i="32"/>
  <c r="U396" i="32"/>
  <c r="U344" i="32"/>
  <c r="U323" i="32"/>
  <c r="U320" i="34"/>
  <c r="U341" i="34"/>
  <c r="U340" i="34"/>
  <c r="U319" i="34"/>
  <c r="U344" i="34"/>
  <c r="U323" i="34"/>
  <c r="U340" i="29"/>
  <c r="U319" i="29"/>
  <c r="U321" i="29"/>
  <c r="U342" i="29"/>
  <c r="U348" i="29"/>
  <c r="U327" i="29"/>
  <c r="U339" i="29"/>
  <c r="U309" i="29"/>
  <c r="U318" i="29"/>
  <c r="U320" i="38"/>
  <c r="U341" i="38"/>
  <c r="U325" i="38"/>
  <c r="U346" i="38"/>
  <c r="U348" i="38"/>
  <c r="U327" i="38"/>
  <c r="U339" i="35"/>
  <c r="U318" i="35"/>
  <c r="U309" i="35"/>
  <c r="U326" i="35"/>
  <c r="U347" i="35"/>
  <c r="U346" i="35"/>
  <c r="U325" i="35"/>
  <c r="U340" i="35"/>
  <c r="U319" i="35"/>
  <c r="U238" i="35"/>
  <c r="U259" i="35"/>
  <c r="U212" i="35"/>
  <c r="M67" i="50" s="1"/>
  <c r="M104" i="50" s="1"/>
  <c r="U375" i="6"/>
  <c r="U301" i="6"/>
  <c r="U303" i="6"/>
  <c r="U307" i="6"/>
  <c r="U189" i="6"/>
  <c r="U205" i="6" s="1"/>
  <c r="U299" i="6"/>
  <c r="U210" i="6"/>
  <c r="U302" i="6"/>
  <c r="U392" i="6"/>
  <c r="M18" i="56" s="1"/>
  <c r="M34" i="56" s="1"/>
  <c r="H65" i="83" s="1"/>
  <c r="H53" i="83" s="1"/>
  <c r="U391" i="6"/>
  <c r="U297" i="6"/>
  <c r="U394" i="6"/>
  <c r="M20" i="56" s="1"/>
  <c r="M36" i="56" s="1"/>
  <c r="H67" i="83" s="1"/>
  <c r="H55" i="83" s="1"/>
  <c r="U304" i="6"/>
  <c r="U390" i="6"/>
  <c r="M16" i="56" s="1"/>
  <c r="M32" i="56" s="1"/>
  <c r="H63" i="83" s="1"/>
  <c r="H51" i="83" s="1"/>
  <c r="U305" i="6"/>
  <c r="U389" i="6"/>
  <c r="M15" i="56" s="1"/>
  <c r="M31" i="56" s="1"/>
  <c r="H62" i="83" s="1"/>
  <c r="H50" i="83" s="1"/>
  <c r="U298" i="6"/>
  <c r="U388" i="6"/>
  <c r="U300" i="6"/>
  <c r="U222" i="6"/>
  <c r="U393" i="6"/>
  <c r="U306" i="6"/>
  <c r="U348" i="37"/>
  <c r="U327" i="37"/>
  <c r="U218" i="37"/>
  <c r="U239" i="37"/>
  <c r="U192" i="37"/>
  <c r="M68" i="50" s="1"/>
  <c r="M105" i="50" s="1"/>
  <c r="U323" i="37"/>
  <c r="U344" i="37"/>
  <c r="U320" i="37"/>
  <c r="U341" i="37"/>
  <c r="U344" i="17"/>
  <c r="U323" i="17"/>
  <c r="U324" i="17"/>
  <c r="U345" i="17"/>
  <c r="U238" i="17"/>
  <c r="U212" i="17"/>
  <c r="M57" i="50" s="1"/>
  <c r="M94" i="50" s="1"/>
  <c r="U259" i="17"/>
  <c r="U341" i="30"/>
  <c r="U320" i="30"/>
  <c r="U326" i="30"/>
  <c r="U347" i="30"/>
  <c r="U205" i="30"/>
  <c r="U238" i="30"/>
  <c r="U212" i="30"/>
  <c r="M62" i="50" s="1"/>
  <c r="M99" i="50" s="1"/>
  <c r="U259" i="30"/>
  <c r="U318" i="40"/>
  <c r="U339" i="40"/>
  <c r="U309" i="40"/>
  <c r="U319" i="40"/>
  <c r="U340" i="40"/>
  <c r="U346" i="40"/>
  <c r="U325" i="40"/>
  <c r="U205" i="40"/>
  <c r="U325" i="15"/>
  <c r="U346" i="15"/>
  <c r="U205" i="15"/>
  <c r="U324" i="15"/>
  <c r="U345" i="15"/>
  <c r="U318" i="41"/>
  <c r="U309" i="41"/>
  <c r="U339" i="41"/>
  <c r="U347" i="41"/>
  <c r="U326" i="41"/>
  <c r="U348" i="41"/>
  <c r="U327" i="41"/>
  <c r="U345" i="16"/>
  <c r="U324" i="16"/>
  <c r="U326" i="16"/>
  <c r="U347" i="16"/>
  <c r="U342" i="16"/>
  <c r="U321" i="16"/>
  <c r="U238" i="16"/>
  <c r="U212" i="16"/>
  <c r="M56" i="50" s="1"/>
  <c r="M93" i="50" s="1"/>
  <c r="U259" i="16"/>
  <c r="U321" i="43"/>
  <c r="U342" i="43"/>
  <c r="U319" i="43"/>
  <c r="U340" i="43"/>
  <c r="U320" i="43"/>
  <c r="U341" i="43"/>
  <c r="U205" i="33"/>
  <c r="U344" i="33"/>
  <c r="U323" i="33"/>
  <c r="U322" i="33"/>
  <c r="U343" i="33"/>
  <c r="U238" i="33"/>
  <c r="U259" i="33"/>
  <c r="U212" i="33"/>
  <c r="M65" i="50" s="1"/>
  <c r="M102" i="50" s="1"/>
  <c r="U326" i="46"/>
  <c r="U347" i="46"/>
  <c r="U342" i="46"/>
  <c r="U321" i="46"/>
  <c r="U345" i="12"/>
  <c r="U324" i="12"/>
  <c r="U325" i="12"/>
  <c r="U346" i="12"/>
  <c r="U205" i="12"/>
  <c r="U342" i="12"/>
  <c r="U321" i="12"/>
  <c r="X192" i="24"/>
  <c r="X202" i="46"/>
  <c r="X222" i="35"/>
  <c r="X202" i="47"/>
  <c r="X171" i="31"/>
  <c r="X172" i="37"/>
  <c r="X191" i="17"/>
  <c r="X192" i="34"/>
  <c r="X222" i="41"/>
  <c r="X223" i="41"/>
  <c r="X190" i="12"/>
  <c r="U205" i="25"/>
  <c r="U342" i="25"/>
  <c r="U321" i="25"/>
  <c r="U322" i="25"/>
  <c r="U343" i="25"/>
  <c r="U349" i="25"/>
  <c r="U328" i="25"/>
  <c r="U325" i="47"/>
  <c r="U346" i="47"/>
  <c r="U396" i="47"/>
  <c r="U339" i="47"/>
  <c r="U309" i="47"/>
  <c r="U318" i="47"/>
  <c r="U326" i="47"/>
  <c r="U347" i="47"/>
  <c r="U192" i="47"/>
  <c r="M76" i="50" s="1"/>
  <c r="M113" i="50" s="1"/>
  <c r="U218" i="47"/>
  <c r="U239" i="47"/>
  <c r="U396" i="28"/>
  <c r="U205" i="28"/>
  <c r="U327" i="28"/>
  <c r="U348" i="28"/>
  <c r="U205" i="24"/>
  <c r="U343" i="24"/>
  <c r="U322" i="24"/>
  <c r="U347" i="24"/>
  <c r="U326" i="24"/>
  <c r="U318" i="24"/>
  <c r="U339" i="24"/>
  <c r="U309" i="24"/>
  <c r="U322" i="44"/>
  <c r="U343" i="44"/>
  <c r="U344" i="44"/>
  <c r="U323" i="44"/>
  <c r="U327" i="44"/>
  <c r="U348" i="44"/>
  <c r="U328" i="44"/>
  <c r="U349" i="44"/>
  <c r="U339" i="44"/>
  <c r="U318" i="44"/>
  <c r="U309" i="44"/>
  <c r="AY309" i="44" s="1"/>
  <c r="AY311" i="44" s="1"/>
  <c r="U349" i="14"/>
  <c r="U328" i="14"/>
  <c r="U396" i="14"/>
  <c r="U322" i="31"/>
  <c r="U343" i="31"/>
  <c r="U326" i="31"/>
  <c r="U347" i="31"/>
  <c r="U396" i="31"/>
  <c r="U327" i="31"/>
  <c r="U348" i="31"/>
  <c r="U185" i="31"/>
  <c r="U348" i="32"/>
  <c r="U327" i="32"/>
  <c r="U347" i="32"/>
  <c r="U326" i="32"/>
  <c r="U346" i="34"/>
  <c r="U325" i="34"/>
  <c r="U321" i="34"/>
  <c r="U342" i="34"/>
  <c r="U396" i="29"/>
  <c r="U345" i="29"/>
  <c r="U324" i="29"/>
  <c r="U343" i="29"/>
  <c r="U322" i="29"/>
  <c r="U238" i="29"/>
  <c r="U212" i="29"/>
  <c r="M61" i="50" s="1"/>
  <c r="M98" i="50" s="1"/>
  <c r="U259" i="29"/>
  <c r="U321" i="38"/>
  <c r="U342" i="38"/>
  <c r="U344" i="38"/>
  <c r="U323" i="38"/>
  <c r="U396" i="35"/>
  <c r="U341" i="35"/>
  <c r="U320" i="35"/>
  <c r="U345" i="35"/>
  <c r="U324" i="35"/>
  <c r="U321" i="35"/>
  <c r="U342" i="35"/>
  <c r="U339" i="37"/>
  <c r="U318" i="37"/>
  <c r="U309" i="37"/>
  <c r="U326" i="37"/>
  <c r="U347" i="37"/>
  <c r="U396" i="37"/>
  <c r="U185" i="37"/>
  <c r="U342" i="17"/>
  <c r="U321" i="17"/>
  <c r="U327" i="17"/>
  <c r="U348" i="17"/>
  <c r="U322" i="17"/>
  <c r="U343" i="17"/>
  <c r="U320" i="17"/>
  <c r="U341" i="17"/>
  <c r="U349" i="17"/>
  <c r="U328" i="17"/>
  <c r="U309" i="30"/>
  <c r="U318" i="30"/>
  <c r="U339" i="30"/>
  <c r="U396" i="30"/>
  <c r="U343" i="30"/>
  <c r="U322" i="30"/>
  <c r="U323" i="30"/>
  <c r="U344" i="30"/>
  <c r="U321" i="30"/>
  <c r="U342" i="30"/>
  <c r="U326" i="40"/>
  <c r="U347" i="40"/>
  <c r="U327" i="40"/>
  <c r="U348" i="40"/>
  <c r="U349" i="40"/>
  <c r="U328" i="40"/>
  <c r="U343" i="15"/>
  <c r="U322" i="15"/>
  <c r="U320" i="15"/>
  <c r="U341" i="15"/>
  <c r="U339" i="15"/>
  <c r="U318" i="15"/>
  <c r="U309" i="15"/>
  <c r="U344" i="15"/>
  <c r="U323" i="15"/>
  <c r="U324" i="41"/>
  <c r="U345" i="41"/>
  <c r="U343" i="41"/>
  <c r="U322" i="41"/>
  <c r="U342" i="41"/>
  <c r="U321" i="41"/>
  <c r="U320" i="16"/>
  <c r="U341" i="16"/>
  <c r="U348" i="16"/>
  <c r="U327" i="16"/>
  <c r="U328" i="16"/>
  <c r="U349" i="16"/>
  <c r="U322" i="16"/>
  <c r="U343" i="16"/>
  <c r="U396" i="43"/>
  <c r="U345" i="43"/>
  <c r="U324" i="43"/>
  <c r="U322" i="43"/>
  <c r="U343" i="43"/>
  <c r="U309" i="43"/>
  <c r="U318" i="43"/>
  <c r="U339" i="43"/>
  <c r="U346" i="33"/>
  <c r="U325" i="33"/>
  <c r="U320" i="33"/>
  <c r="U341" i="33"/>
  <c r="U396" i="33"/>
  <c r="U328" i="33"/>
  <c r="U349" i="33"/>
  <c r="U341" i="46"/>
  <c r="U320" i="46"/>
  <c r="U319" i="46"/>
  <c r="U340" i="46"/>
  <c r="U327" i="46"/>
  <c r="U348" i="46"/>
  <c r="U344" i="46"/>
  <c r="U323" i="46"/>
  <c r="U345" i="46"/>
  <c r="U324" i="46"/>
  <c r="U344" i="12"/>
  <c r="U323" i="12"/>
  <c r="U396" i="12"/>
  <c r="U348" i="12"/>
  <c r="U327" i="12"/>
  <c r="U339" i="12"/>
  <c r="U309" i="12"/>
  <c r="U318" i="12"/>
  <c r="T324" i="17"/>
  <c r="T345" i="17"/>
  <c r="T323" i="44"/>
  <c r="T344" i="44"/>
  <c r="T309" i="30"/>
  <c r="T318" i="30"/>
  <c r="T339" i="30"/>
  <c r="T322" i="15"/>
  <c r="T343" i="15"/>
  <c r="T323" i="15"/>
  <c r="T344" i="15"/>
  <c r="T375" i="45"/>
  <c r="T190" i="45"/>
  <c r="T307" i="45"/>
  <c r="T300" i="45"/>
  <c r="T297" i="45"/>
  <c r="T301" i="45"/>
  <c r="T393" i="45"/>
  <c r="T298" i="45"/>
  <c r="T394" i="45"/>
  <c r="T303" i="45"/>
  <c r="T388" i="45"/>
  <c r="T299" i="45"/>
  <c r="T305" i="45"/>
  <c r="T202" i="45"/>
  <c r="T306" i="45"/>
  <c r="T302" i="45"/>
  <c r="T389" i="45"/>
  <c r="T392" i="45"/>
  <c r="T304" i="45"/>
  <c r="T169" i="45"/>
  <c r="T185" i="45" s="1"/>
  <c r="T391" i="45"/>
  <c r="T390" i="45"/>
  <c r="T319" i="43"/>
  <c r="T340" i="43"/>
  <c r="T323" i="43"/>
  <c r="T344" i="43"/>
  <c r="T326" i="14"/>
  <c r="T347" i="14"/>
  <c r="T349" i="41"/>
  <c r="T328" i="41"/>
  <c r="T339" i="32"/>
  <c r="T309" i="32"/>
  <c r="T318" i="32"/>
  <c r="T238" i="24"/>
  <c r="T259" i="24"/>
  <c r="T212" i="24"/>
  <c r="L58" i="50" s="1"/>
  <c r="L95" i="50" s="1"/>
  <c r="T396" i="47"/>
  <c r="T345" i="25"/>
  <c r="T324" i="25"/>
  <c r="T341" i="25"/>
  <c r="T320" i="25"/>
  <c r="T347" i="29"/>
  <c r="T326" i="29"/>
  <c r="T238" i="29"/>
  <c r="T259" i="29"/>
  <c r="T212" i="29"/>
  <c r="L61" i="50" s="1"/>
  <c r="L98" i="50" s="1"/>
  <c r="T344" i="34"/>
  <c r="T323" i="34"/>
  <c r="T339" i="34"/>
  <c r="T309" i="34"/>
  <c r="T318" i="34"/>
  <c r="T324" i="34"/>
  <c r="T345" i="34"/>
  <c r="T320" i="28"/>
  <c r="T341" i="28"/>
  <c r="T324" i="28"/>
  <c r="T345" i="28"/>
  <c r="T340" i="35"/>
  <c r="T319" i="35"/>
  <c r="T309" i="35"/>
  <c r="T318" i="35"/>
  <c r="T339" i="35"/>
  <c r="T341" i="35"/>
  <c r="T320" i="35"/>
  <c r="T318" i="33"/>
  <c r="T339" i="33"/>
  <c r="T309" i="33"/>
  <c r="T319" i="33"/>
  <c r="T340" i="33"/>
  <c r="T344" i="37"/>
  <c r="T323" i="37"/>
  <c r="T347" i="12"/>
  <c r="T326" i="12"/>
  <c r="T343" i="12"/>
  <c r="T322" i="12"/>
  <c r="T325" i="46"/>
  <c r="T346" i="46"/>
  <c r="T309" i="46"/>
  <c r="T318" i="46"/>
  <c r="T339" i="46"/>
  <c r="T396" i="46"/>
  <c r="T327" i="16"/>
  <c r="T348" i="16"/>
  <c r="T347" i="17"/>
  <c r="T326" i="17"/>
  <c r="T343" i="17"/>
  <c r="T322" i="17"/>
  <c r="T205" i="17"/>
  <c r="T218" i="44"/>
  <c r="T239" i="44"/>
  <c r="T192" i="44"/>
  <c r="L73" i="50" s="1"/>
  <c r="L110" i="50" s="1"/>
  <c r="T339" i="44"/>
  <c r="T318" i="44"/>
  <c r="T309" i="44"/>
  <c r="AX309" i="44" s="1"/>
  <c r="AX311" i="44" s="1"/>
  <c r="T396" i="30"/>
  <c r="T205" i="30"/>
  <c r="T238" i="30"/>
  <c r="T212" i="30"/>
  <c r="L62" i="50" s="1"/>
  <c r="L99" i="50" s="1"/>
  <c r="T259" i="30"/>
  <c r="T340" i="30"/>
  <c r="T319" i="30"/>
  <c r="T339" i="43"/>
  <c r="T318" i="43"/>
  <c r="T309" i="43"/>
  <c r="T218" i="43"/>
  <c r="T239" i="43"/>
  <c r="T192" i="43"/>
  <c r="L72" i="50" s="1"/>
  <c r="L109" i="50" s="1"/>
  <c r="T324" i="41"/>
  <c r="T345" i="41"/>
  <c r="T309" i="41"/>
  <c r="T339" i="41"/>
  <c r="T318" i="41"/>
  <c r="T340" i="41"/>
  <c r="T319" i="41"/>
  <c r="T205" i="41"/>
  <c r="T321" i="32"/>
  <c r="T342" i="32"/>
  <c r="T346" i="38"/>
  <c r="T325" i="38"/>
  <c r="T185" i="38"/>
  <c r="T328" i="38"/>
  <c r="T349" i="38"/>
  <c r="T342" i="38"/>
  <c r="T321" i="38"/>
  <c r="T205" i="24"/>
  <c r="T324" i="24"/>
  <c r="T345" i="24"/>
  <c r="T325" i="24"/>
  <c r="T346" i="24"/>
  <c r="T346" i="34"/>
  <c r="T325" i="34"/>
  <c r="T396" i="34"/>
  <c r="T341" i="31"/>
  <c r="T320" i="31"/>
  <c r="T218" i="31"/>
  <c r="T239" i="31"/>
  <c r="T192" i="31"/>
  <c r="L63" i="50" s="1"/>
  <c r="L100" i="50" s="1"/>
  <c r="T340" i="28"/>
  <c r="T319" i="28"/>
  <c r="T238" i="28"/>
  <c r="T259" i="28"/>
  <c r="T212" i="28"/>
  <c r="L60" i="50" s="1"/>
  <c r="L97" i="50" s="1"/>
  <c r="T343" i="35"/>
  <c r="T322" i="35"/>
  <c r="T346" i="33"/>
  <c r="T325" i="33"/>
  <c r="T323" i="33"/>
  <c r="T344" i="33"/>
  <c r="T344" i="40"/>
  <c r="T323" i="40"/>
  <c r="T320" i="40"/>
  <c r="T341" i="40"/>
  <c r="T348" i="40"/>
  <c r="T327" i="40"/>
  <c r="T340" i="37"/>
  <c r="T319" i="37"/>
  <c r="T345" i="37"/>
  <c r="T324" i="37"/>
  <c r="T343" i="37"/>
  <c r="T322" i="37"/>
  <c r="T348" i="37"/>
  <c r="T327" i="37"/>
  <c r="T349" i="12"/>
  <c r="T328" i="12"/>
  <c r="X222" i="33"/>
  <c r="X202" i="38"/>
  <c r="X206" i="37"/>
  <c r="X191" i="34"/>
  <c r="X225" i="12"/>
  <c r="T323" i="17"/>
  <c r="T344" i="17"/>
  <c r="T396" i="17"/>
  <c r="T259" i="17"/>
  <c r="T238" i="17"/>
  <c r="T212" i="17"/>
  <c r="L57" i="50" s="1"/>
  <c r="L94" i="50" s="1"/>
  <c r="T320" i="17"/>
  <c r="T341" i="17"/>
  <c r="T396" i="44"/>
  <c r="T327" i="44"/>
  <c r="T348" i="44"/>
  <c r="T343" i="44"/>
  <c r="T322" i="44"/>
  <c r="T320" i="44"/>
  <c r="T341" i="44"/>
  <c r="T346" i="30"/>
  <c r="T325" i="30"/>
  <c r="T345" i="30"/>
  <c r="T324" i="30"/>
  <c r="T396" i="15"/>
  <c r="T327" i="15"/>
  <c r="T348" i="15"/>
  <c r="T346" i="15"/>
  <c r="T325" i="15"/>
  <c r="T205" i="15"/>
  <c r="T349" i="43"/>
  <c r="T328" i="43"/>
  <c r="T325" i="43"/>
  <c r="T346" i="43"/>
  <c r="T320" i="43"/>
  <c r="T341" i="43"/>
  <c r="T326" i="43"/>
  <c r="T347" i="43"/>
  <c r="T238" i="14"/>
  <c r="T212" i="14"/>
  <c r="L54" i="50" s="1"/>
  <c r="L91" i="50" s="1"/>
  <c r="T259" i="14"/>
  <c r="T322" i="14"/>
  <c r="T343" i="14"/>
  <c r="T344" i="14"/>
  <c r="T323" i="14"/>
  <c r="T342" i="14"/>
  <c r="T321" i="14"/>
  <c r="T346" i="41"/>
  <c r="T325" i="41"/>
  <c r="T327" i="41"/>
  <c r="T348" i="41"/>
  <c r="T238" i="41"/>
  <c r="T212" i="41"/>
  <c r="L71" i="50" s="1"/>
  <c r="L108" i="50" s="1"/>
  <c r="T259" i="41"/>
  <c r="T345" i="32"/>
  <c r="T324" i="32"/>
  <c r="T347" i="32"/>
  <c r="T326" i="32"/>
  <c r="T346" i="32"/>
  <c r="T325" i="32"/>
  <c r="T238" i="32"/>
  <c r="T259" i="32"/>
  <c r="T212" i="32"/>
  <c r="L64" i="50" s="1"/>
  <c r="L101" i="50" s="1"/>
  <c r="T328" i="32"/>
  <c r="T349" i="32"/>
  <c r="T348" i="38"/>
  <c r="T327" i="38"/>
  <c r="T345" i="38"/>
  <c r="T324" i="38"/>
  <c r="T218" i="38"/>
  <c r="T192" i="38"/>
  <c r="L69" i="50" s="1"/>
  <c r="L106" i="50" s="1"/>
  <c r="T239" i="38"/>
  <c r="T343" i="24"/>
  <c r="T322" i="24"/>
  <c r="T327" i="24"/>
  <c r="T348" i="24"/>
  <c r="T344" i="24"/>
  <c r="T323" i="24"/>
  <c r="T344" i="47"/>
  <c r="T323" i="47"/>
  <c r="T346" i="47"/>
  <c r="T325" i="47"/>
  <c r="T343" i="47"/>
  <c r="T322" i="47"/>
  <c r="T218" i="47"/>
  <c r="T239" i="47"/>
  <c r="T192" i="47"/>
  <c r="L76" i="50" s="1"/>
  <c r="L113" i="50" s="1"/>
  <c r="T342" i="25"/>
  <c r="T321" i="25"/>
  <c r="T348" i="25"/>
  <c r="T327" i="25"/>
  <c r="T344" i="25"/>
  <c r="T323" i="25"/>
  <c r="T238" i="25"/>
  <c r="T259" i="25"/>
  <c r="T212" i="25"/>
  <c r="L59" i="50" s="1"/>
  <c r="L96" i="50" s="1"/>
  <c r="T340" i="29"/>
  <c r="T319" i="29"/>
  <c r="T328" i="29"/>
  <c r="T349" i="29"/>
  <c r="T323" i="29"/>
  <c r="T344" i="29"/>
  <c r="T319" i="34"/>
  <c r="T340" i="34"/>
  <c r="T205" i="34"/>
  <c r="T339" i="31"/>
  <c r="T309" i="31"/>
  <c r="T318" i="31"/>
  <c r="T346" i="31"/>
  <c r="T325" i="31"/>
  <c r="T322" i="31"/>
  <c r="T343" i="31"/>
  <c r="T347" i="28"/>
  <c r="T326" i="28"/>
  <c r="T327" i="28"/>
  <c r="T348" i="28"/>
  <c r="T328" i="28"/>
  <c r="T349" i="28"/>
  <c r="T325" i="28"/>
  <c r="T346" i="28"/>
  <c r="T344" i="35"/>
  <c r="T323" i="35"/>
  <c r="T349" i="35"/>
  <c r="T328" i="35"/>
  <c r="T396" i="35"/>
  <c r="T238" i="35"/>
  <c r="T212" i="35"/>
  <c r="L67" i="50" s="1"/>
  <c r="L104" i="50" s="1"/>
  <c r="T259" i="35"/>
  <c r="T347" i="33"/>
  <c r="T326" i="33"/>
  <c r="T396" i="33"/>
  <c r="T324" i="33"/>
  <c r="T345" i="33"/>
  <c r="T320" i="33"/>
  <c r="T341" i="33"/>
  <c r="T326" i="40"/>
  <c r="T347" i="40"/>
  <c r="T340" i="40"/>
  <c r="T319" i="40"/>
  <c r="T238" i="40"/>
  <c r="T212" i="40"/>
  <c r="L70" i="50" s="1"/>
  <c r="L107" i="50" s="1"/>
  <c r="T259" i="40"/>
  <c r="T396" i="40"/>
  <c r="T396" i="37"/>
  <c r="T320" i="37"/>
  <c r="T341" i="37"/>
  <c r="T346" i="12"/>
  <c r="T325" i="12"/>
  <c r="T340" i="12"/>
  <c r="T319" i="12"/>
  <c r="T324" i="12"/>
  <c r="T345" i="12"/>
  <c r="T342" i="12"/>
  <c r="T321" i="12"/>
  <c r="T342" i="46"/>
  <c r="T321" i="46"/>
  <c r="T319" i="46"/>
  <c r="T340" i="46"/>
  <c r="T218" i="46"/>
  <c r="T192" i="46"/>
  <c r="L75" i="50" s="1"/>
  <c r="L112" i="50" s="1"/>
  <c r="T239" i="46"/>
  <c r="T321" i="16"/>
  <c r="T342" i="16"/>
  <c r="T325" i="17"/>
  <c r="T346" i="17"/>
  <c r="T349" i="44"/>
  <c r="T328" i="44"/>
  <c r="T343" i="30"/>
  <c r="T322" i="30"/>
  <c r="T340" i="15"/>
  <c r="T319" i="15"/>
  <c r="T326" i="15"/>
  <c r="T347" i="15"/>
  <c r="T328" i="15"/>
  <c r="T349" i="15"/>
  <c r="T343" i="43"/>
  <c r="T322" i="43"/>
  <c r="T339" i="14"/>
  <c r="T318" i="14"/>
  <c r="T309" i="14"/>
  <c r="T323" i="41"/>
  <c r="T344" i="41"/>
  <c r="T320" i="41"/>
  <c r="T341" i="41"/>
  <c r="T342" i="41"/>
  <c r="T321" i="41"/>
  <c r="T327" i="32"/>
  <c r="T348" i="32"/>
  <c r="T343" i="32"/>
  <c r="T322" i="32"/>
  <c r="T326" i="38"/>
  <c r="T347" i="38"/>
  <c r="T344" i="38"/>
  <c r="T323" i="38"/>
  <c r="T342" i="24"/>
  <c r="T321" i="24"/>
  <c r="T349" i="24"/>
  <c r="T328" i="24"/>
  <c r="T328" i="25"/>
  <c r="T349" i="25"/>
  <c r="T340" i="25"/>
  <c r="T319" i="25"/>
  <c r="T326" i="25"/>
  <c r="T347" i="25"/>
  <c r="T348" i="29"/>
  <c r="T327" i="29"/>
  <c r="T322" i="29"/>
  <c r="T343" i="29"/>
  <c r="T343" i="34"/>
  <c r="T322" i="34"/>
  <c r="T347" i="34"/>
  <c r="T326" i="34"/>
  <c r="T349" i="31"/>
  <c r="T328" i="31"/>
  <c r="T323" i="31"/>
  <c r="T344" i="31"/>
  <c r="T344" i="28"/>
  <c r="T323" i="28"/>
  <c r="T322" i="33"/>
  <c r="T343" i="33"/>
  <c r="T328" i="33"/>
  <c r="T349" i="33"/>
  <c r="T339" i="40"/>
  <c r="T309" i="40"/>
  <c r="T318" i="40"/>
  <c r="T342" i="40"/>
  <c r="T321" i="40"/>
  <c r="T324" i="40"/>
  <c r="T345" i="40"/>
  <c r="T346" i="37"/>
  <c r="T325" i="37"/>
  <c r="T347" i="37"/>
  <c r="T326" i="37"/>
  <c r="T339" i="12"/>
  <c r="T318" i="12"/>
  <c r="T309" i="12"/>
  <c r="T323" i="12"/>
  <c r="T344" i="12"/>
  <c r="T347" i="46"/>
  <c r="T326" i="46"/>
  <c r="T322" i="16"/>
  <c r="T343" i="16"/>
  <c r="T319" i="16"/>
  <c r="T340" i="16"/>
  <c r="X190" i="24"/>
  <c r="X191" i="41"/>
  <c r="T321" i="17"/>
  <c r="T342" i="17"/>
  <c r="T344" i="30"/>
  <c r="T323" i="30"/>
  <c r="T396" i="43"/>
  <c r="T346" i="14"/>
  <c r="T325" i="14"/>
  <c r="T396" i="14"/>
  <c r="T345" i="14"/>
  <c r="T324" i="14"/>
  <c r="T396" i="24"/>
  <c r="T320" i="24"/>
  <c r="T341" i="24"/>
  <c r="T318" i="24"/>
  <c r="T339" i="24"/>
  <c r="T309" i="24"/>
  <c r="T348" i="47"/>
  <c r="T327" i="47"/>
  <c r="T328" i="47"/>
  <c r="T349" i="47"/>
  <c r="T345" i="47"/>
  <c r="T324" i="47"/>
  <c r="T347" i="47"/>
  <c r="T326" i="47"/>
  <c r="T339" i="25"/>
  <c r="T309" i="25"/>
  <c r="T318" i="25"/>
  <c r="T321" i="29"/>
  <c r="T342" i="29"/>
  <c r="T341" i="29"/>
  <c r="T320" i="29"/>
  <c r="T321" i="34"/>
  <c r="T342" i="34"/>
  <c r="T349" i="34"/>
  <c r="T328" i="34"/>
  <c r="T320" i="34"/>
  <c r="T341" i="34"/>
  <c r="T238" i="34"/>
  <c r="T259" i="34"/>
  <c r="T212" i="34"/>
  <c r="L66" i="50" s="1"/>
  <c r="L103" i="50" s="1"/>
  <c r="T327" i="31"/>
  <c r="T348" i="31"/>
  <c r="T322" i="28"/>
  <c r="T343" i="28"/>
  <c r="T321" i="28"/>
  <c r="T342" i="28"/>
  <c r="T346" i="35"/>
  <c r="T325" i="35"/>
  <c r="T326" i="35"/>
  <c r="T347" i="35"/>
  <c r="T349" i="46"/>
  <c r="T328" i="46"/>
  <c r="T343" i="46"/>
  <c r="T322" i="46"/>
  <c r="T318" i="16"/>
  <c r="T309" i="16"/>
  <c r="T339" i="16"/>
  <c r="T341" i="16"/>
  <c r="T320" i="16"/>
  <c r="T347" i="16"/>
  <c r="T326" i="16"/>
  <c r="T323" i="16"/>
  <c r="T344" i="16"/>
  <c r="X190" i="15"/>
  <c r="X193" i="24"/>
  <c r="X222" i="40"/>
  <c r="X193" i="30"/>
  <c r="X222" i="32"/>
  <c r="X172" i="31"/>
  <c r="X192" i="17"/>
  <c r="T319" i="17"/>
  <c r="T340" i="17"/>
  <c r="T327" i="17"/>
  <c r="T348" i="17"/>
  <c r="T328" i="17"/>
  <c r="T349" i="17"/>
  <c r="T339" i="17"/>
  <c r="T309" i="17"/>
  <c r="T318" i="17"/>
  <c r="T325" i="44"/>
  <c r="T346" i="44"/>
  <c r="T321" i="44"/>
  <c r="T342" i="44"/>
  <c r="T347" i="44"/>
  <c r="T326" i="44"/>
  <c r="T345" i="44"/>
  <c r="T324" i="44"/>
  <c r="T340" i="44"/>
  <c r="T319" i="44"/>
  <c r="T349" i="30"/>
  <c r="T328" i="30"/>
  <c r="T326" i="30"/>
  <c r="T347" i="30"/>
  <c r="T320" i="30"/>
  <c r="T341" i="30"/>
  <c r="T321" i="30"/>
  <c r="T342" i="30"/>
  <c r="T348" i="30"/>
  <c r="T327" i="30"/>
  <c r="T321" i="15"/>
  <c r="T342" i="15"/>
  <c r="T320" i="15"/>
  <c r="T341" i="15"/>
  <c r="T318" i="15"/>
  <c r="T339" i="15"/>
  <c r="T309" i="15"/>
  <c r="T345" i="15"/>
  <c r="T324" i="15"/>
  <c r="T238" i="15"/>
  <c r="T212" i="15"/>
  <c r="L55" i="50" s="1"/>
  <c r="L92" i="50" s="1"/>
  <c r="T259" i="15"/>
  <c r="T210" i="6"/>
  <c r="T375" i="6"/>
  <c r="T307" i="6"/>
  <c r="T302" i="6"/>
  <c r="T298" i="6"/>
  <c r="T393" i="6"/>
  <c r="L19" i="56" s="1"/>
  <c r="L35" i="56" s="1"/>
  <c r="G66" i="83" s="1"/>
  <c r="G54" i="83" s="1"/>
  <c r="T306" i="6"/>
  <c r="T299" i="6"/>
  <c r="T390" i="6"/>
  <c r="L16" i="56" s="1"/>
  <c r="L32" i="56" s="1"/>
  <c r="G63" i="83" s="1"/>
  <c r="G51" i="83" s="1"/>
  <c r="T301" i="6"/>
  <c r="T297" i="6"/>
  <c r="T189" i="6"/>
  <c r="T205" i="6" s="1"/>
  <c r="T394" i="6"/>
  <c r="T300" i="6"/>
  <c r="T391" i="6"/>
  <c r="T222" i="6"/>
  <c r="T303" i="6"/>
  <c r="T392" i="6"/>
  <c r="T305" i="6"/>
  <c r="T389" i="6"/>
  <c r="L15" i="56" s="1"/>
  <c r="L31" i="56" s="1"/>
  <c r="G62" i="83" s="1"/>
  <c r="G50" i="83" s="1"/>
  <c r="T388" i="6"/>
  <c r="T304" i="6"/>
  <c r="T327" i="43"/>
  <c r="T348" i="43"/>
  <c r="T321" i="43"/>
  <c r="T342" i="43"/>
  <c r="T324" i="43"/>
  <c r="T345" i="43"/>
  <c r="T340" i="14"/>
  <c r="T319" i="14"/>
  <c r="T348" i="14"/>
  <c r="T327" i="14"/>
  <c r="T341" i="14"/>
  <c r="T320" i="14"/>
  <c r="T328" i="14"/>
  <c r="T349" i="14"/>
  <c r="T347" i="41"/>
  <c r="T326" i="41"/>
  <c r="T343" i="41"/>
  <c r="T322" i="41"/>
  <c r="T320" i="32"/>
  <c r="T341" i="32"/>
  <c r="T344" i="32"/>
  <c r="T323" i="32"/>
  <c r="T340" i="32"/>
  <c r="T319" i="32"/>
  <c r="T341" i="38"/>
  <c r="T320" i="38"/>
  <c r="T340" i="38"/>
  <c r="T319" i="38"/>
  <c r="T309" i="38"/>
  <c r="T339" i="38"/>
  <c r="T318" i="38"/>
  <c r="T396" i="38"/>
  <c r="T322" i="38"/>
  <c r="T343" i="38"/>
  <c r="T340" i="24"/>
  <c r="T319" i="24"/>
  <c r="T326" i="24"/>
  <c r="T347" i="24"/>
  <c r="T340" i="47"/>
  <c r="T319" i="47"/>
  <c r="T339" i="47"/>
  <c r="T309" i="47"/>
  <c r="T318" i="47"/>
  <c r="T320" i="47"/>
  <c r="T341" i="47"/>
  <c r="T342" i="47"/>
  <c r="T321" i="47"/>
  <c r="T343" i="25"/>
  <c r="T322" i="25"/>
  <c r="T346" i="25"/>
  <c r="T325" i="25"/>
  <c r="T346" i="29"/>
  <c r="T325" i="29"/>
  <c r="T309" i="29"/>
  <c r="T339" i="29"/>
  <c r="T318" i="29"/>
  <c r="T345" i="29"/>
  <c r="T324" i="29"/>
  <c r="T327" i="34"/>
  <c r="T348" i="34"/>
  <c r="T321" i="31"/>
  <c r="T342" i="31"/>
  <c r="T345" i="31"/>
  <c r="T324" i="31"/>
  <c r="T326" i="31"/>
  <c r="T347" i="31"/>
  <c r="T396" i="31"/>
  <c r="T319" i="31"/>
  <c r="T340" i="31"/>
  <c r="T205" i="28"/>
  <c r="T309" i="28"/>
  <c r="T339" i="28"/>
  <c r="T318" i="28"/>
  <c r="T396" i="28"/>
  <c r="T321" i="35"/>
  <c r="T342" i="35"/>
  <c r="T327" i="35"/>
  <c r="T348" i="35"/>
  <c r="T324" i="35"/>
  <c r="T345" i="35"/>
  <c r="T327" i="33"/>
  <c r="T348" i="33"/>
  <c r="T238" i="33"/>
  <c r="T259" i="33"/>
  <c r="T212" i="33"/>
  <c r="L65" i="50" s="1"/>
  <c r="L102" i="50" s="1"/>
  <c r="T205" i="33"/>
  <c r="T342" i="33"/>
  <c r="T321" i="33"/>
  <c r="T343" i="40"/>
  <c r="T322" i="40"/>
  <c r="T325" i="40"/>
  <c r="T346" i="40"/>
  <c r="T328" i="40"/>
  <c r="T349" i="40"/>
  <c r="T342" i="37"/>
  <c r="T321" i="37"/>
  <c r="T328" i="37"/>
  <c r="T349" i="37"/>
  <c r="T339" i="37"/>
  <c r="T318" i="37"/>
  <c r="T309" i="37"/>
  <c r="T218" i="37"/>
  <c r="T192" i="37"/>
  <c r="L68" i="50" s="1"/>
  <c r="L105" i="50" s="1"/>
  <c r="T239" i="37"/>
  <c r="T396" i="12"/>
  <c r="T341" i="12"/>
  <c r="T320" i="12"/>
  <c r="T348" i="12"/>
  <c r="T327" i="12"/>
  <c r="T205" i="12"/>
  <c r="T238" i="12"/>
  <c r="T259" i="12"/>
  <c r="T212" i="12"/>
  <c r="L53" i="50" s="1"/>
  <c r="L90" i="50" s="1"/>
  <c r="T341" i="46"/>
  <c r="T320" i="46"/>
  <c r="T323" i="46"/>
  <c r="T344" i="46"/>
  <c r="T348" i="46"/>
  <c r="T327" i="46"/>
  <c r="T324" i="46"/>
  <c r="T345" i="46"/>
  <c r="T346" i="16"/>
  <c r="T325" i="16"/>
  <c r="T345" i="16"/>
  <c r="T324" i="16"/>
  <c r="T396" i="16"/>
  <c r="T328" i="16"/>
  <c r="T349" i="16"/>
  <c r="T238" i="16"/>
  <c r="T259" i="16"/>
  <c r="T212" i="16"/>
  <c r="L56" i="50" s="1"/>
  <c r="L93" i="50" s="1"/>
  <c r="S343" i="16"/>
  <c r="S322" i="16"/>
  <c r="S321" i="33"/>
  <c r="S342" i="33"/>
  <c r="S238" i="25"/>
  <c r="S212" i="25"/>
  <c r="K59" i="50" s="1"/>
  <c r="K96" i="50" s="1"/>
  <c r="S259" i="25"/>
  <c r="S320" i="30"/>
  <c r="S341" i="30"/>
  <c r="S341" i="15"/>
  <c r="S320" i="15"/>
  <c r="S238" i="15"/>
  <c r="S212" i="15"/>
  <c r="K55" i="50" s="1"/>
  <c r="K92" i="50" s="1"/>
  <c r="S259" i="15"/>
  <c r="S309" i="24"/>
  <c r="S339" i="24"/>
  <c r="S318" i="24"/>
  <c r="S238" i="14"/>
  <c r="S212" i="14"/>
  <c r="K54" i="50" s="1"/>
  <c r="K91" i="50" s="1"/>
  <c r="S259" i="14"/>
  <c r="S218" i="47"/>
  <c r="S239" i="47"/>
  <c r="S192" i="47"/>
  <c r="K76" i="50" s="1"/>
  <c r="K113" i="50" s="1"/>
  <c r="S345" i="12"/>
  <c r="S324" i="12"/>
  <c r="S238" i="12"/>
  <c r="S212" i="12"/>
  <c r="K53" i="50" s="1"/>
  <c r="K90" i="50" s="1"/>
  <c r="S259" i="12"/>
  <c r="S327" i="38"/>
  <c r="S348" i="38"/>
  <c r="S327" i="35"/>
  <c r="S348" i="35"/>
  <c r="S340" i="35"/>
  <c r="S319" i="35"/>
  <c r="S345" i="35"/>
  <c r="S324" i="35"/>
  <c r="S328" i="46"/>
  <c r="S349" i="46"/>
  <c r="S342" i="46"/>
  <c r="S321" i="46"/>
  <c r="S327" i="46"/>
  <c r="S348" i="46"/>
  <c r="S324" i="17"/>
  <c r="S345" i="17"/>
  <c r="S347" i="17"/>
  <c r="S326" i="17"/>
  <c r="S341" i="44"/>
  <c r="S320" i="44"/>
  <c r="S347" i="31"/>
  <c r="S326" i="31"/>
  <c r="S340" i="37"/>
  <c r="S319" i="37"/>
  <c r="S346" i="37"/>
  <c r="S325" i="37"/>
  <c r="S318" i="34"/>
  <c r="S339" i="34"/>
  <c r="S309" i="34"/>
  <c r="S349" i="34"/>
  <c r="S328" i="34"/>
  <c r="S323" i="34"/>
  <c r="S344" i="34"/>
  <c r="S326" i="34"/>
  <c r="S347" i="34"/>
  <c r="S323" i="16"/>
  <c r="S344" i="16"/>
  <c r="S325" i="16"/>
  <c r="S346" i="16"/>
  <c r="S348" i="43"/>
  <c r="S327" i="43"/>
  <c r="S325" i="33"/>
  <c r="S346" i="33"/>
  <c r="S205" i="33"/>
  <c r="S344" i="33"/>
  <c r="S323" i="33"/>
  <c r="S344" i="30"/>
  <c r="S323" i="30"/>
  <c r="S321" i="24"/>
  <c r="S342" i="24"/>
  <c r="S342" i="14"/>
  <c r="S321" i="14"/>
  <c r="S340" i="29"/>
  <c r="S319" i="29"/>
  <c r="S238" i="29"/>
  <c r="S259" i="29"/>
  <c r="S212" i="29"/>
  <c r="K61" i="50" s="1"/>
  <c r="K98" i="50" s="1"/>
  <c r="S325" i="47"/>
  <c r="S346" i="47"/>
  <c r="S342" i="28"/>
  <c r="S321" i="28"/>
  <c r="S347" i="28"/>
  <c r="S326" i="28"/>
  <c r="S205" i="28"/>
  <c r="S205" i="12"/>
  <c r="S323" i="12"/>
  <c r="S344" i="12"/>
  <c r="S341" i="12"/>
  <c r="S320" i="12"/>
  <c r="S325" i="12"/>
  <c r="S346" i="12"/>
  <c r="S396" i="12"/>
  <c r="S347" i="12"/>
  <c r="S326" i="12"/>
  <c r="S322" i="12"/>
  <c r="S343" i="12"/>
  <c r="S344" i="38"/>
  <c r="S323" i="38"/>
  <c r="S340" i="38"/>
  <c r="S319" i="38"/>
  <c r="S326" i="38"/>
  <c r="S347" i="38"/>
  <c r="S342" i="38"/>
  <c r="S321" i="38"/>
  <c r="S341" i="35"/>
  <c r="S320" i="35"/>
  <c r="S347" i="35"/>
  <c r="S326" i="35"/>
  <c r="S396" i="35"/>
  <c r="S323" i="46"/>
  <c r="S344" i="46"/>
  <c r="S347" i="46"/>
  <c r="S326" i="46"/>
  <c r="S319" i="46"/>
  <c r="S340" i="46"/>
  <c r="S218" i="46"/>
  <c r="S239" i="46"/>
  <c r="S192" i="46"/>
  <c r="K75" i="50" s="1"/>
  <c r="K112" i="50" s="1"/>
  <c r="S238" i="40"/>
  <c r="S259" i="40"/>
  <c r="S212" i="40"/>
  <c r="K70" i="50" s="1"/>
  <c r="K107" i="50" s="1"/>
  <c r="S344" i="40"/>
  <c r="S323" i="40"/>
  <c r="S343" i="40"/>
  <c r="S322" i="40"/>
  <c r="S205" i="40"/>
  <c r="S324" i="32"/>
  <c r="S345" i="32"/>
  <c r="S327" i="32"/>
  <c r="S348" i="32"/>
  <c r="S396" i="32"/>
  <c r="S343" i="17"/>
  <c r="S322" i="17"/>
  <c r="S323" i="17"/>
  <c r="S344" i="17"/>
  <c r="S320" i="17"/>
  <c r="S341" i="17"/>
  <c r="S319" i="17"/>
  <c r="S340" i="17"/>
  <c r="S342" i="17"/>
  <c r="S321" i="17"/>
  <c r="S238" i="17"/>
  <c r="S259" i="17"/>
  <c r="S212" i="17"/>
  <c r="K57" i="50" s="1"/>
  <c r="K94" i="50" s="1"/>
  <c r="S326" i="44"/>
  <c r="S347" i="44"/>
  <c r="S327" i="44"/>
  <c r="S348" i="44"/>
  <c r="S325" i="44"/>
  <c r="S346" i="44"/>
  <c r="S218" i="44"/>
  <c r="S239" i="44"/>
  <c r="S192" i="44"/>
  <c r="K73" i="50" s="1"/>
  <c r="K110" i="50" s="1"/>
  <c r="S343" i="31"/>
  <c r="S322" i="31"/>
  <c r="S344" i="31"/>
  <c r="S323" i="31"/>
  <c r="S319" i="31"/>
  <c r="S340" i="31"/>
  <c r="S325" i="31"/>
  <c r="S346" i="31"/>
  <c r="S218" i="37"/>
  <c r="S239" i="37"/>
  <c r="S192" i="37"/>
  <c r="K68" i="50" s="1"/>
  <c r="K105" i="50" s="1"/>
  <c r="S348" i="34"/>
  <c r="S327" i="34"/>
  <c r="S346" i="34"/>
  <c r="S325" i="34"/>
  <c r="S396" i="34"/>
  <c r="S238" i="34"/>
  <c r="S212" i="34"/>
  <c r="K66" i="50" s="1"/>
  <c r="K103" i="50" s="1"/>
  <c r="S259" i="34"/>
  <c r="S319" i="41"/>
  <c r="S340" i="41"/>
  <c r="X192" i="28"/>
  <c r="X190" i="28"/>
  <c r="X190" i="33"/>
  <c r="X191" i="40"/>
  <c r="X192" i="30"/>
  <c r="X222" i="30"/>
  <c r="X194" i="30"/>
  <c r="X170" i="31"/>
  <c r="X205" i="37"/>
  <c r="X173" i="37"/>
  <c r="X190" i="34"/>
  <c r="S326" i="16"/>
  <c r="S347" i="16"/>
  <c r="S348" i="16"/>
  <c r="S327" i="16"/>
  <c r="S238" i="16"/>
  <c r="S212" i="16"/>
  <c r="K56" i="50" s="1"/>
  <c r="K93" i="50" s="1"/>
  <c r="S259" i="16"/>
  <c r="S319" i="16"/>
  <c r="S340" i="16"/>
  <c r="S344" i="43"/>
  <c r="S323" i="43"/>
  <c r="S321" i="43"/>
  <c r="S342" i="43"/>
  <c r="S339" i="43"/>
  <c r="S318" i="43"/>
  <c r="S309" i="43"/>
  <c r="S218" i="43"/>
  <c r="S239" i="43"/>
  <c r="S192" i="43"/>
  <c r="K72" i="50" s="1"/>
  <c r="K109" i="50" s="1"/>
  <c r="S328" i="33"/>
  <c r="S349" i="33"/>
  <c r="S322" i="33"/>
  <c r="S343" i="33"/>
  <c r="S342" i="25"/>
  <c r="S321" i="25"/>
  <c r="S325" i="25"/>
  <c r="S346" i="25"/>
  <c r="S344" i="25"/>
  <c r="S323" i="25"/>
  <c r="S327" i="25"/>
  <c r="S348" i="25"/>
  <c r="S348" i="30"/>
  <c r="S327" i="30"/>
  <c r="S325" i="30"/>
  <c r="S346" i="30"/>
  <c r="S321" i="30"/>
  <c r="S342" i="30"/>
  <c r="S396" i="30"/>
  <c r="S347" i="15"/>
  <c r="S326" i="15"/>
  <c r="S319" i="15"/>
  <c r="S340" i="15"/>
  <c r="S324" i="15"/>
  <c r="S345" i="15"/>
  <c r="S321" i="15"/>
  <c r="S342" i="15"/>
  <c r="S349" i="24"/>
  <c r="S328" i="24"/>
  <c r="S322" i="24"/>
  <c r="S343" i="24"/>
  <c r="S341" i="24"/>
  <c r="S320" i="24"/>
  <c r="S348" i="24"/>
  <c r="S327" i="24"/>
  <c r="S238" i="24"/>
  <c r="S212" i="24"/>
  <c r="K58" i="50" s="1"/>
  <c r="K95" i="50" s="1"/>
  <c r="S259" i="24"/>
  <c r="S323" i="14"/>
  <c r="S344" i="14"/>
  <c r="S341" i="14"/>
  <c r="S320" i="14"/>
  <c r="S325" i="14"/>
  <c r="S346" i="14"/>
  <c r="S343" i="14"/>
  <c r="S322" i="14"/>
  <c r="S343" i="29"/>
  <c r="S322" i="29"/>
  <c r="S345" i="29"/>
  <c r="S324" i="29"/>
  <c r="S341" i="29"/>
  <c r="S320" i="29"/>
  <c r="S326" i="29"/>
  <c r="S347" i="29"/>
  <c r="S319" i="47"/>
  <c r="S340" i="47"/>
  <c r="S349" i="47"/>
  <c r="S328" i="47"/>
  <c r="S342" i="47"/>
  <c r="S321" i="47"/>
  <c r="S326" i="47"/>
  <c r="S347" i="47"/>
  <c r="S320" i="28"/>
  <c r="S341" i="28"/>
  <c r="S345" i="28"/>
  <c r="S324" i="28"/>
  <c r="S309" i="28"/>
  <c r="S339" i="28"/>
  <c r="S318" i="28"/>
  <c r="S319" i="28"/>
  <c r="S340" i="28"/>
  <c r="S342" i="12"/>
  <c r="S321" i="12"/>
  <c r="S318" i="12"/>
  <c r="S339" i="12"/>
  <c r="S309" i="12"/>
  <c r="S319" i="12"/>
  <c r="S340" i="12"/>
  <c r="S322" i="38"/>
  <c r="S343" i="38"/>
  <c r="S324" i="38"/>
  <c r="S345" i="38"/>
  <c r="S318" i="38"/>
  <c r="S339" i="38"/>
  <c r="S309" i="38"/>
  <c r="S328" i="38"/>
  <c r="S349" i="38"/>
  <c r="S342" i="35"/>
  <c r="S321" i="35"/>
  <c r="S349" i="35"/>
  <c r="S328" i="35"/>
  <c r="S339" i="35"/>
  <c r="S309" i="35"/>
  <c r="S318" i="35"/>
  <c r="S343" i="35"/>
  <c r="S322" i="35"/>
  <c r="S341" i="46"/>
  <c r="S320" i="46"/>
  <c r="S343" i="46"/>
  <c r="S322" i="46"/>
  <c r="S349" i="40"/>
  <c r="S328" i="40"/>
  <c r="S326" i="40"/>
  <c r="S347" i="40"/>
  <c r="S309" i="40"/>
  <c r="S318" i="40"/>
  <c r="S339" i="40"/>
  <c r="S320" i="32"/>
  <c r="S341" i="32"/>
  <c r="S205" i="32"/>
  <c r="S342" i="32"/>
  <c r="S321" i="32"/>
  <c r="S323" i="32"/>
  <c r="S344" i="32"/>
  <c r="S259" i="32"/>
  <c r="S238" i="32"/>
  <c r="S212" i="32"/>
  <c r="K64" i="50" s="1"/>
  <c r="K101" i="50" s="1"/>
  <c r="S396" i="17"/>
  <c r="S344" i="44"/>
  <c r="S323" i="44"/>
  <c r="S340" i="44"/>
  <c r="S319" i="44"/>
  <c r="S339" i="31"/>
  <c r="S318" i="31"/>
  <c r="S309" i="31"/>
  <c r="S327" i="31"/>
  <c r="S348" i="31"/>
  <c r="S396" i="31"/>
  <c r="S347" i="37"/>
  <c r="S326" i="37"/>
  <c r="S309" i="37"/>
  <c r="S318" i="37"/>
  <c r="S339" i="37"/>
  <c r="S344" i="37"/>
  <c r="S323" i="37"/>
  <c r="S327" i="37"/>
  <c r="S348" i="37"/>
  <c r="S321" i="37"/>
  <c r="S342" i="37"/>
  <c r="S345" i="34"/>
  <c r="S324" i="34"/>
  <c r="S341" i="34"/>
  <c r="S320" i="34"/>
  <c r="S318" i="41"/>
  <c r="S339" i="41"/>
  <c r="S309" i="41"/>
  <c r="S344" i="41"/>
  <c r="S323" i="41"/>
  <c r="S341" i="41"/>
  <c r="S320" i="41"/>
  <c r="S346" i="41"/>
  <c r="S325" i="41"/>
  <c r="S339" i="16"/>
  <c r="S309" i="16"/>
  <c r="S318" i="16"/>
  <c r="S345" i="16"/>
  <c r="S324" i="16"/>
  <c r="S340" i="43"/>
  <c r="S319" i="43"/>
  <c r="S347" i="43"/>
  <c r="S326" i="43"/>
  <c r="S348" i="33"/>
  <c r="S327" i="33"/>
  <c r="S345" i="33"/>
  <c r="S324" i="33"/>
  <c r="S340" i="33"/>
  <c r="S319" i="33"/>
  <c r="S238" i="33"/>
  <c r="S212" i="33"/>
  <c r="K65" i="50" s="1"/>
  <c r="K102" i="50" s="1"/>
  <c r="S259" i="33"/>
  <c r="S345" i="25"/>
  <c r="S324" i="25"/>
  <c r="S328" i="30"/>
  <c r="S349" i="30"/>
  <c r="S347" i="30"/>
  <c r="S326" i="30"/>
  <c r="S238" i="30"/>
  <c r="S259" i="30"/>
  <c r="S212" i="30"/>
  <c r="K62" i="50" s="1"/>
  <c r="K99" i="50" s="1"/>
  <c r="S343" i="15"/>
  <c r="S322" i="15"/>
  <c r="S323" i="15"/>
  <c r="S344" i="15"/>
  <c r="S347" i="24"/>
  <c r="S326" i="24"/>
  <c r="S348" i="14"/>
  <c r="S327" i="14"/>
  <c r="S328" i="14"/>
  <c r="S349" i="14"/>
  <c r="S375" i="45"/>
  <c r="S190" i="45"/>
  <c r="S298" i="45"/>
  <c r="S390" i="45"/>
  <c r="S302" i="45"/>
  <c r="S303" i="45"/>
  <c r="S393" i="45"/>
  <c r="S300" i="45"/>
  <c r="S388" i="45"/>
  <c r="S389" i="45"/>
  <c r="S391" i="45"/>
  <c r="S304" i="45"/>
  <c r="S169" i="45"/>
  <c r="S185" i="45" s="1"/>
  <c r="S202" i="45"/>
  <c r="S394" i="45"/>
  <c r="S392" i="45"/>
  <c r="S306" i="45"/>
  <c r="S297" i="45"/>
  <c r="S307" i="45"/>
  <c r="S299" i="45"/>
  <c r="S301" i="45"/>
  <c r="S305" i="45"/>
  <c r="S323" i="29"/>
  <c r="S344" i="29"/>
  <c r="S349" i="29"/>
  <c r="S328" i="29"/>
  <c r="S322" i="47"/>
  <c r="S343" i="47"/>
  <c r="S323" i="47"/>
  <c r="S344" i="47"/>
  <c r="S327" i="47"/>
  <c r="S348" i="47"/>
  <c r="S345" i="47"/>
  <c r="S324" i="47"/>
  <c r="S344" i="28"/>
  <c r="S323" i="28"/>
  <c r="S343" i="28"/>
  <c r="S322" i="28"/>
  <c r="S348" i="12"/>
  <c r="S327" i="12"/>
  <c r="S185" i="38"/>
  <c r="S323" i="35"/>
  <c r="S344" i="35"/>
  <c r="S339" i="46"/>
  <c r="S318" i="46"/>
  <c r="S309" i="46"/>
  <c r="S346" i="40"/>
  <c r="S325" i="40"/>
  <c r="S345" i="40"/>
  <c r="S324" i="40"/>
  <c r="S341" i="40"/>
  <c r="S320" i="40"/>
  <c r="S326" i="32"/>
  <c r="S347" i="32"/>
  <c r="S346" i="32"/>
  <c r="S325" i="32"/>
  <c r="S319" i="32"/>
  <c r="S340" i="32"/>
  <c r="S328" i="32"/>
  <c r="S349" i="32"/>
  <c r="S339" i="17"/>
  <c r="S309" i="17"/>
  <c r="S318" i="17"/>
  <c r="S328" i="17"/>
  <c r="S349" i="17"/>
  <c r="S328" i="44"/>
  <c r="S349" i="44"/>
  <c r="S320" i="31"/>
  <c r="S341" i="31"/>
  <c r="S345" i="31"/>
  <c r="S324" i="31"/>
  <c r="S218" i="31"/>
  <c r="S239" i="31"/>
  <c r="S192" i="31"/>
  <c r="K63" i="50" s="1"/>
  <c r="K100" i="50" s="1"/>
  <c r="S343" i="37"/>
  <c r="S322" i="37"/>
  <c r="S322" i="34"/>
  <c r="S343" i="34"/>
  <c r="S205" i="41"/>
  <c r="S345" i="41"/>
  <c r="S324" i="41"/>
  <c r="S238" i="41"/>
  <c r="S212" i="41"/>
  <c r="K71" i="50" s="1"/>
  <c r="K108" i="50" s="1"/>
  <c r="S259" i="41"/>
  <c r="X191" i="33"/>
  <c r="X202" i="43"/>
  <c r="X204" i="37"/>
  <c r="X192" i="12"/>
  <c r="S320" i="16"/>
  <c r="S341" i="16"/>
  <c r="S346" i="43"/>
  <c r="S325" i="43"/>
  <c r="S326" i="33"/>
  <c r="S347" i="33"/>
  <c r="S396" i="25"/>
  <c r="S205" i="25"/>
  <c r="S322" i="25"/>
  <c r="S343" i="25"/>
  <c r="S309" i="25"/>
  <c r="S339" i="25"/>
  <c r="S318" i="25"/>
  <c r="S341" i="25"/>
  <c r="S320" i="25"/>
  <c r="S345" i="30"/>
  <c r="S324" i="30"/>
  <c r="S309" i="15"/>
  <c r="S318" i="15"/>
  <c r="S339" i="15"/>
  <c r="S325" i="15"/>
  <c r="S346" i="15"/>
  <c r="S349" i="15"/>
  <c r="S328" i="15"/>
  <c r="S348" i="15"/>
  <c r="S327" i="15"/>
  <c r="S324" i="24"/>
  <c r="S345" i="24"/>
  <c r="S340" i="14"/>
  <c r="S319" i="14"/>
  <c r="S318" i="14"/>
  <c r="S309" i="14"/>
  <c r="S339" i="14"/>
  <c r="S324" i="14"/>
  <c r="S345" i="14"/>
  <c r="S327" i="29"/>
  <c r="S348" i="29"/>
  <c r="S342" i="29"/>
  <c r="S321" i="29"/>
  <c r="S341" i="47"/>
  <c r="S320" i="47"/>
  <c r="X191" i="28"/>
  <c r="X190" i="40"/>
  <c r="X172" i="38"/>
  <c r="X196" i="30"/>
  <c r="X195" i="30"/>
  <c r="X207" i="37"/>
  <c r="X190" i="25"/>
  <c r="S396" i="16"/>
  <c r="S328" i="16"/>
  <c r="S349" i="16"/>
  <c r="S342" i="16"/>
  <c r="S321" i="16"/>
  <c r="S324" i="43"/>
  <c r="S345" i="43"/>
  <c r="S328" i="43"/>
  <c r="S349" i="43"/>
  <c r="S322" i="43"/>
  <c r="S343" i="43"/>
  <c r="S320" i="43"/>
  <c r="S341" i="43"/>
  <c r="S318" i="33"/>
  <c r="S339" i="33"/>
  <c r="S309" i="33"/>
  <c r="S396" i="33"/>
  <c r="S320" i="33"/>
  <c r="S341" i="33"/>
  <c r="S340" i="25"/>
  <c r="S319" i="25"/>
  <c r="S347" i="25"/>
  <c r="S326" i="25"/>
  <c r="S349" i="25"/>
  <c r="S328" i="25"/>
  <c r="S339" i="30"/>
  <c r="S318" i="30"/>
  <c r="S309" i="30"/>
  <c r="S319" i="30"/>
  <c r="S340" i="30"/>
  <c r="S343" i="30"/>
  <c r="S322" i="30"/>
  <c r="S396" i="15"/>
  <c r="S205" i="15"/>
  <c r="S319" i="24"/>
  <c r="S340" i="24"/>
  <c r="S325" i="24"/>
  <c r="S346" i="24"/>
  <c r="S344" i="24"/>
  <c r="S323" i="24"/>
  <c r="S347" i="14"/>
  <c r="S326" i="14"/>
  <c r="S396" i="14"/>
  <c r="S375" i="6"/>
  <c r="K27" i="55" s="1"/>
  <c r="S210" i="6"/>
  <c r="S300" i="6"/>
  <c r="S391" i="6"/>
  <c r="K17" i="56" s="1"/>
  <c r="K33" i="56" s="1"/>
  <c r="F64" i="83" s="1"/>
  <c r="F52" i="83" s="1"/>
  <c r="S297" i="6"/>
  <c r="S222" i="6"/>
  <c r="S189" i="6"/>
  <c r="S205" i="6" s="1"/>
  <c r="S302" i="6"/>
  <c r="S390" i="6"/>
  <c r="K16" i="56" s="1"/>
  <c r="K32" i="56" s="1"/>
  <c r="F63" i="83" s="1"/>
  <c r="F51" i="83" s="1"/>
  <c r="S303" i="6"/>
  <c r="S394" i="6"/>
  <c r="S388" i="6"/>
  <c r="S301" i="6"/>
  <c r="S304" i="6"/>
  <c r="S298" i="6"/>
  <c r="S299" i="6"/>
  <c r="S393" i="6"/>
  <c r="S305" i="6"/>
  <c r="S389" i="6"/>
  <c r="K15" i="56" s="1"/>
  <c r="K31" i="56" s="1"/>
  <c r="F62" i="83" s="1"/>
  <c r="F50" i="83" s="1"/>
  <c r="S392" i="6"/>
  <c r="S306" i="6"/>
  <c r="S307" i="6"/>
  <c r="S396" i="29"/>
  <c r="S309" i="29"/>
  <c r="S318" i="29"/>
  <c r="S339" i="29"/>
  <c r="S325" i="29"/>
  <c r="S346" i="29"/>
  <c r="S396" i="47"/>
  <c r="S309" i="47"/>
  <c r="S318" i="47"/>
  <c r="S339" i="47"/>
  <c r="S238" i="28"/>
  <c r="S259" i="28"/>
  <c r="S212" i="28"/>
  <c r="K60" i="50" s="1"/>
  <c r="K97" i="50" s="1"/>
  <c r="S327" i="28"/>
  <c r="S348" i="28"/>
  <c r="S328" i="28"/>
  <c r="S349" i="28"/>
  <c r="S396" i="28"/>
  <c r="S346" i="28"/>
  <c r="S325" i="28"/>
  <c r="S328" i="12"/>
  <c r="S349" i="12"/>
  <c r="S325" i="38"/>
  <c r="S346" i="38"/>
  <c r="S218" i="38"/>
  <c r="S239" i="38"/>
  <c r="S192" i="38"/>
  <c r="K69" i="50" s="1"/>
  <c r="K106" i="50" s="1"/>
  <c r="S341" i="38"/>
  <c r="S320" i="38"/>
  <c r="S346" i="35"/>
  <c r="S325" i="35"/>
  <c r="S238" i="35"/>
  <c r="S259" i="35"/>
  <c r="S212" i="35"/>
  <c r="K67" i="50" s="1"/>
  <c r="K104" i="50" s="1"/>
  <c r="S325" i="46"/>
  <c r="S346" i="46"/>
  <c r="S396" i="46"/>
  <c r="S324" i="46"/>
  <c r="S345" i="46"/>
  <c r="S348" i="40"/>
  <c r="S327" i="40"/>
  <c r="S321" i="40"/>
  <c r="S342" i="40"/>
  <c r="S340" i="40"/>
  <c r="S319" i="40"/>
  <c r="S396" i="40"/>
  <c r="S339" i="32"/>
  <c r="S318" i="32"/>
  <c r="S309" i="32"/>
  <c r="S343" i="32"/>
  <c r="S322" i="32"/>
  <c r="S348" i="17"/>
  <c r="S327" i="17"/>
  <c r="S205" i="17"/>
  <c r="S325" i="17"/>
  <c r="S346" i="17"/>
  <c r="S324" i="44"/>
  <c r="S345" i="44"/>
  <c r="S343" i="44"/>
  <c r="S322" i="44"/>
  <c r="S342" i="44"/>
  <c r="S321" i="44"/>
  <c r="S396" i="44"/>
  <c r="S339" i="44"/>
  <c r="S309" i="44"/>
  <c r="AW309" i="44" s="1"/>
  <c r="AW311" i="44" s="1"/>
  <c r="S318" i="44"/>
  <c r="S321" i="31"/>
  <c r="S342" i="31"/>
  <c r="S328" i="31"/>
  <c r="S349" i="31"/>
  <c r="S185" i="31"/>
  <c r="S345" i="37"/>
  <c r="S324" i="37"/>
  <c r="S349" i="37"/>
  <c r="S328" i="37"/>
  <c r="S320" i="37"/>
  <c r="S341" i="37"/>
  <c r="S319" i="34"/>
  <c r="S340" i="34"/>
  <c r="S205" i="34"/>
  <c r="S321" i="34"/>
  <c r="S342" i="34"/>
  <c r="S321" i="41"/>
  <c r="S342" i="41"/>
  <c r="S328" i="41"/>
  <c r="S349" i="41"/>
  <c r="S326" i="41"/>
  <c r="S347" i="41"/>
  <c r="S348" i="41"/>
  <c r="S327" i="41"/>
  <c r="S343" i="41"/>
  <c r="S322" i="41"/>
  <c r="R323" i="15"/>
  <c r="R344" i="15"/>
  <c r="R318" i="28"/>
  <c r="R339" i="28"/>
  <c r="R309" i="28"/>
  <c r="R297" i="6"/>
  <c r="R301" i="6"/>
  <c r="R303" i="6"/>
  <c r="R304" i="6"/>
  <c r="R305" i="6"/>
  <c r="R306" i="6"/>
  <c r="R298" i="6"/>
  <c r="R302" i="6"/>
  <c r="R299" i="6"/>
  <c r="R300" i="6"/>
  <c r="R375" i="6"/>
  <c r="R189" i="6"/>
  <c r="R392" i="6"/>
  <c r="R394" i="6"/>
  <c r="R222" i="6"/>
  <c r="R391" i="6"/>
  <c r="R210" i="6"/>
  <c r="R389" i="6"/>
  <c r="R393" i="6"/>
  <c r="R390" i="6"/>
  <c r="R307" i="6"/>
  <c r="R388" i="6"/>
  <c r="R328" i="33"/>
  <c r="R349" i="33"/>
  <c r="R320" i="33"/>
  <c r="R341" i="33"/>
  <c r="R326" i="24"/>
  <c r="R347" i="24"/>
  <c r="R318" i="24"/>
  <c r="R339" i="24"/>
  <c r="R309" i="24"/>
  <c r="R319" i="24"/>
  <c r="R340" i="24"/>
  <c r="R218" i="46"/>
  <c r="R192" i="46"/>
  <c r="J75" i="50" s="1"/>
  <c r="R239" i="46"/>
  <c r="R320" i="46"/>
  <c r="R341" i="46"/>
  <c r="R320" i="35"/>
  <c r="R341" i="35"/>
  <c r="R322" i="35"/>
  <c r="R343" i="35"/>
  <c r="R327" i="40"/>
  <c r="R348" i="40"/>
  <c r="R319" i="40"/>
  <c r="R340" i="40"/>
  <c r="R326" i="16"/>
  <c r="R347" i="16"/>
  <c r="R326" i="38"/>
  <c r="R347" i="38"/>
  <c r="R318" i="38"/>
  <c r="R339" i="38"/>
  <c r="R309" i="38"/>
  <c r="R326" i="30"/>
  <c r="R347" i="30"/>
  <c r="R318" i="30"/>
  <c r="R339" i="30"/>
  <c r="R309" i="30"/>
  <c r="R319" i="30"/>
  <c r="R340" i="30"/>
  <c r="R328" i="17"/>
  <c r="R349" i="17"/>
  <c r="R326" i="17"/>
  <c r="R347" i="17"/>
  <c r="R318" i="17"/>
  <c r="R339" i="17"/>
  <c r="R309" i="17"/>
  <c r="R396" i="34"/>
  <c r="R328" i="34"/>
  <c r="R349" i="34"/>
  <c r="R322" i="34"/>
  <c r="R343" i="34"/>
  <c r="R322" i="25"/>
  <c r="R343" i="25"/>
  <c r="R328" i="12"/>
  <c r="R349" i="12"/>
  <c r="R205" i="15"/>
  <c r="X189" i="15"/>
  <c r="R322" i="15"/>
  <c r="R343" i="15"/>
  <c r="R327" i="28"/>
  <c r="R348" i="28"/>
  <c r="R322" i="28"/>
  <c r="R343" i="28"/>
  <c r="R396" i="33"/>
  <c r="R327" i="33"/>
  <c r="R348" i="33"/>
  <c r="R323" i="33"/>
  <c r="R344" i="33"/>
  <c r="R319" i="33"/>
  <c r="R340" i="33"/>
  <c r="R396" i="24"/>
  <c r="R349" i="24"/>
  <c r="R328" i="24"/>
  <c r="R325" i="24"/>
  <c r="R346" i="24"/>
  <c r="R322" i="24"/>
  <c r="R343" i="24"/>
  <c r="R396" i="46"/>
  <c r="R325" i="46"/>
  <c r="R346" i="46"/>
  <c r="R328" i="46"/>
  <c r="R349" i="46"/>
  <c r="R319" i="46"/>
  <c r="R340" i="46"/>
  <c r="R328" i="35"/>
  <c r="R349" i="35"/>
  <c r="R327" i="35"/>
  <c r="R348" i="35"/>
  <c r="R323" i="35"/>
  <c r="R344" i="35"/>
  <c r="R212" i="29"/>
  <c r="J61" i="50" s="1"/>
  <c r="R238" i="29"/>
  <c r="R259" i="29"/>
  <c r="R324" i="29"/>
  <c r="R345" i="29"/>
  <c r="R320" i="29"/>
  <c r="R341" i="29"/>
  <c r="R324" i="40"/>
  <c r="R345" i="40"/>
  <c r="R323" i="40"/>
  <c r="R344" i="40"/>
  <c r="R318" i="40"/>
  <c r="R309" i="40"/>
  <c r="R339" i="40"/>
  <c r="R396" i="40"/>
  <c r="R205" i="32"/>
  <c r="X189" i="32"/>
  <c r="R328" i="32"/>
  <c r="R349" i="32"/>
  <c r="R322" i="32"/>
  <c r="R343" i="32"/>
  <c r="R205" i="16"/>
  <c r="X205" i="16" s="1"/>
  <c r="X189" i="16"/>
  <c r="R323" i="16"/>
  <c r="R344" i="16"/>
  <c r="R324" i="16"/>
  <c r="R345" i="16"/>
  <c r="R320" i="16"/>
  <c r="R341" i="16"/>
  <c r="R325" i="38"/>
  <c r="R346" i="38"/>
  <c r="R321" i="38"/>
  <c r="R342" i="38"/>
  <c r="R328" i="30"/>
  <c r="R349" i="30"/>
  <c r="R325" i="30"/>
  <c r="R346" i="30"/>
  <c r="R322" i="30"/>
  <c r="R343" i="30"/>
  <c r="R327" i="47"/>
  <c r="R348" i="47"/>
  <c r="R323" i="47"/>
  <c r="R344" i="47"/>
  <c r="R319" i="47"/>
  <c r="R340" i="47"/>
  <c r="R396" i="14"/>
  <c r="R238" i="14"/>
  <c r="R259" i="14"/>
  <c r="R212" i="14"/>
  <c r="J54" i="50" s="1"/>
  <c r="R325" i="14"/>
  <c r="R346" i="14"/>
  <c r="R322" i="14"/>
  <c r="R343" i="14"/>
  <c r="R324" i="43"/>
  <c r="R345" i="43"/>
  <c r="R218" i="43"/>
  <c r="R239" i="43"/>
  <c r="R192" i="43"/>
  <c r="J72" i="50" s="1"/>
  <c r="R325" i="43"/>
  <c r="R346" i="43"/>
  <c r="R322" i="43"/>
  <c r="R343" i="43"/>
  <c r="R322" i="31"/>
  <c r="R343" i="31"/>
  <c r="R320" i="31"/>
  <c r="R341" i="31"/>
  <c r="R324" i="31"/>
  <c r="R345" i="31"/>
  <c r="R185" i="37"/>
  <c r="X169" i="37"/>
  <c r="R326" i="37"/>
  <c r="R347" i="37"/>
  <c r="R327" i="37"/>
  <c r="R348" i="37"/>
  <c r="R322" i="37"/>
  <c r="R343" i="37"/>
  <c r="R325" i="17"/>
  <c r="R346" i="17"/>
  <c r="R321" i="17"/>
  <c r="R342" i="17"/>
  <c r="R396" i="44"/>
  <c r="R185" i="44"/>
  <c r="X185" i="44" s="1"/>
  <c r="X188" i="44" s="1"/>
  <c r="X190" i="44" s="1"/>
  <c r="X192" i="44" s="1"/>
  <c r="X169" i="44"/>
  <c r="R327" i="44"/>
  <c r="R348" i="44"/>
  <c r="R323" i="44"/>
  <c r="R344" i="44"/>
  <c r="R319" i="44"/>
  <c r="R340" i="44"/>
  <c r="R205" i="34"/>
  <c r="X189" i="34"/>
  <c r="R238" i="34"/>
  <c r="R212" i="34"/>
  <c r="J66" i="50" s="1"/>
  <c r="R259" i="34"/>
  <c r="R324" i="34"/>
  <c r="R345" i="34"/>
  <c r="R321" i="34"/>
  <c r="R342" i="34"/>
  <c r="R205" i="25"/>
  <c r="X189" i="25"/>
  <c r="R327" i="25"/>
  <c r="R348" i="25"/>
  <c r="R323" i="25"/>
  <c r="R344" i="25"/>
  <c r="R205" i="41"/>
  <c r="X189" i="41"/>
  <c r="R327" i="41"/>
  <c r="R348" i="41"/>
  <c r="R326" i="41"/>
  <c r="R347" i="41"/>
  <c r="R319" i="41"/>
  <c r="R340" i="41"/>
  <c r="R396" i="12"/>
  <c r="R259" i="12"/>
  <c r="R212" i="12"/>
  <c r="J53" i="50" s="1"/>
  <c r="R238" i="12"/>
  <c r="R326" i="12"/>
  <c r="R347" i="12"/>
  <c r="R321" i="12"/>
  <c r="R342" i="12"/>
  <c r="R319" i="15"/>
  <c r="R340" i="15"/>
  <c r="R238" i="28"/>
  <c r="R259" i="28"/>
  <c r="R212" i="28"/>
  <c r="J60" i="50" s="1"/>
  <c r="R328" i="28"/>
  <c r="R349" i="28"/>
  <c r="R319" i="28"/>
  <c r="R340" i="28"/>
  <c r="R238" i="33"/>
  <c r="R212" i="33"/>
  <c r="J65" i="50" s="1"/>
  <c r="R259" i="33"/>
  <c r="R324" i="35"/>
  <c r="R345" i="35"/>
  <c r="R325" i="29"/>
  <c r="R346" i="29"/>
  <c r="R321" i="29"/>
  <c r="R342" i="29"/>
  <c r="R325" i="40"/>
  <c r="R346" i="40"/>
  <c r="R323" i="32"/>
  <c r="R344" i="32"/>
  <c r="R238" i="16"/>
  <c r="R212" i="16"/>
  <c r="J56" i="50" s="1"/>
  <c r="R259" i="16"/>
  <c r="R324" i="47"/>
  <c r="R345" i="47"/>
  <c r="R320" i="47"/>
  <c r="R341" i="47"/>
  <c r="R326" i="14"/>
  <c r="R347" i="14"/>
  <c r="R323" i="14"/>
  <c r="R344" i="14"/>
  <c r="R319" i="14"/>
  <c r="R340" i="14"/>
  <c r="R328" i="43"/>
  <c r="R349" i="43"/>
  <c r="R319" i="43"/>
  <c r="R340" i="43"/>
  <c r="R325" i="31"/>
  <c r="R346" i="31"/>
  <c r="R396" i="37"/>
  <c r="R318" i="37"/>
  <c r="R309" i="37"/>
  <c r="R339" i="37"/>
  <c r="R322" i="17"/>
  <c r="R343" i="17"/>
  <c r="R218" i="44"/>
  <c r="R192" i="44"/>
  <c r="J73" i="50" s="1"/>
  <c r="R239" i="44"/>
  <c r="R324" i="44"/>
  <c r="R345" i="44"/>
  <c r="R320" i="44"/>
  <c r="R341" i="44"/>
  <c r="R325" i="34"/>
  <c r="R346" i="34"/>
  <c r="R396" i="41"/>
  <c r="R320" i="41"/>
  <c r="R341" i="41"/>
  <c r="R318" i="12"/>
  <c r="R339" i="12"/>
  <c r="R309" i="12"/>
  <c r="R238" i="15"/>
  <c r="R259" i="15"/>
  <c r="R212" i="15"/>
  <c r="J55" i="50" s="1"/>
  <c r="R326" i="15"/>
  <c r="R347" i="15"/>
  <c r="R205" i="28"/>
  <c r="X189" i="28"/>
  <c r="R326" i="28"/>
  <c r="R347" i="28"/>
  <c r="R396" i="15"/>
  <c r="R318" i="15"/>
  <c r="R309" i="15"/>
  <c r="R339" i="15"/>
  <c r="R325" i="15"/>
  <c r="R346" i="15"/>
  <c r="R321" i="15"/>
  <c r="R342" i="15"/>
  <c r="R324" i="28"/>
  <c r="R345" i="28"/>
  <c r="R325" i="28"/>
  <c r="R346" i="28"/>
  <c r="R321" i="28"/>
  <c r="R342" i="28"/>
  <c r="R205" i="33"/>
  <c r="X189" i="33"/>
  <c r="R326" i="33"/>
  <c r="R347" i="33"/>
  <c r="R322" i="33"/>
  <c r="R343" i="33"/>
  <c r="R318" i="33"/>
  <c r="R309" i="33"/>
  <c r="R339" i="33"/>
  <c r="R205" i="24"/>
  <c r="X189" i="24"/>
  <c r="R238" i="24"/>
  <c r="R259" i="24"/>
  <c r="R212" i="24"/>
  <c r="J58" i="50" s="1"/>
  <c r="R324" i="24"/>
  <c r="R345" i="24"/>
  <c r="R321" i="24"/>
  <c r="R342" i="24"/>
  <c r="R185" i="46"/>
  <c r="X185" i="46" s="1"/>
  <c r="X188" i="46" s="1"/>
  <c r="X190" i="46" s="1"/>
  <c r="X192" i="46" s="1"/>
  <c r="X169" i="46"/>
  <c r="R326" i="46"/>
  <c r="R347" i="46"/>
  <c r="R323" i="46"/>
  <c r="R344" i="46"/>
  <c r="R322" i="46"/>
  <c r="R343" i="46"/>
  <c r="R318" i="46"/>
  <c r="R339" i="46"/>
  <c r="R309" i="46"/>
  <c r="R238" i="35"/>
  <c r="R259" i="35"/>
  <c r="R212" i="35"/>
  <c r="J67" i="50" s="1"/>
  <c r="R326" i="35"/>
  <c r="R347" i="35"/>
  <c r="R321" i="35"/>
  <c r="R342" i="35"/>
  <c r="R328" i="29"/>
  <c r="R349" i="29"/>
  <c r="R327" i="29"/>
  <c r="R348" i="29"/>
  <c r="R323" i="29"/>
  <c r="R344" i="29"/>
  <c r="R319" i="29"/>
  <c r="R340" i="29"/>
  <c r="R320" i="40"/>
  <c r="R341" i="40"/>
  <c r="R321" i="40"/>
  <c r="R342" i="40"/>
  <c r="R322" i="40"/>
  <c r="R343" i="40"/>
  <c r="R238" i="32"/>
  <c r="R212" i="32"/>
  <c r="J64" i="50" s="1"/>
  <c r="R259" i="32"/>
  <c r="R327" i="32"/>
  <c r="R348" i="32"/>
  <c r="R326" i="32"/>
  <c r="R347" i="32"/>
  <c r="R321" i="32"/>
  <c r="R342" i="32"/>
  <c r="R318" i="16"/>
  <c r="R339" i="16"/>
  <c r="R309" i="16"/>
  <c r="R319" i="16"/>
  <c r="R340" i="16"/>
  <c r="R185" i="38"/>
  <c r="X169" i="38"/>
  <c r="R192" i="38"/>
  <c r="J69" i="50" s="1"/>
  <c r="R239" i="38"/>
  <c r="R218" i="38"/>
  <c r="R324" i="38"/>
  <c r="R345" i="38"/>
  <c r="R320" i="38"/>
  <c r="R341" i="38"/>
  <c r="R238" i="30"/>
  <c r="R259" i="30"/>
  <c r="R212" i="30"/>
  <c r="J62" i="50" s="1"/>
  <c r="R324" i="30"/>
  <c r="R345" i="30"/>
  <c r="R321" i="30"/>
  <c r="R342" i="30"/>
  <c r="R185" i="47"/>
  <c r="X185" i="47" s="1"/>
  <c r="X188" i="47" s="1"/>
  <c r="X190" i="47" s="1"/>
  <c r="X192" i="47" s="1"/>
  <c r="X169" i="47"/>
  <c r="R218" i="47"/>
  <c r="R192" i="47"/>
  <c r="J76" i="50" s="1"/>
  <c r="R239" i="47"/>
  <c r="R326" i="47"/>
  <c r="R347" i="47"/>
  <c r="R322" i="47"/>
  <c r="R343" i="47"/>
  <c r="R318" i="47"/>
  <c r="R339" i="47"/>
  <c r="R309" i="47"/>
  <c r="R328" i="14"/>
  <c r="R349" i="14"/>
  <c r="R324" i="14"/>
  <c r="R345" i="14"/>
  <c r="R321" i="14"/>
  <c r="R342" i="14"/>
  <c r="R327" i="43"/>
  <c r="R348" i="43"/>
  <c r="R396" i="43"/>
  <c r="R323" i="43"/>
  <c r="R344" i="43"/>
  <c r="R321" i="43"/>
  <c r="R342" i="43"/>
  <c r="R327" i="31"/>
  <c r="R348" i="31"/>
  <c r="R323" i="31"/>
  <c r="R344" i="31"/>
  <c r="R218" i="37"/>
  <c r="R192" i="37"/>
  <c r="J68" i="50" s="1"/>
  <c r="R239" i="37"/>
  <c r="R324" i="37"/>
  <c r="R345" i="37"/>
  <c r="R325" i="37"/>
  <c r="R346" i="37"/>
  <c r="R321" i="37"/>
  <c r="R342" i="37"/>
  <c r="R205" i="17"/>
  <c r="X189" i="17"/>
  <c r="R212" i="17"/>
  <c r="J57" i="50" s="1"/>
  <c r="R238" i="17"/>
  <c r="R259" i="17"/>
  <c r="R324" i="17"/>
  <c r="R345" i="17"/>
  <c r="R320" i="17"/>
  <c r="R341" i="17"/>
  <c r="R328" i="44"/>
  <c r="R349" i="44"/>
  <c r="R326" i="44"/>
  <c r="R347" i="44"/>
  <c r="R322" i="44"/>
  <c r="R343" i="44"/>
  <c r="R318" i="44"/>
  <c r="R339" i="44"/>
  <c r="R309" i="44"/>
  <c r="AV309" i="44" s="1"/>
  <c r="AV311" i="44" s="1"/>
  <c r="R327" i="34"/>
  <c r="R348" i="34"/>
  <c r="R323" i="34"/>
  <c r="R344" i="34"/>
  <c r="R320" i="34"/>
  <c r="R341" i="34"/>
  <c r="R238" i="25"/>
  <c r="R212" i="25"/>
  <c r="J59" i="50" s="1"/>
  <c r="R259" i="25"/>
  <c r="R326" i="25"/>
  <c r="R347" i="25"/>
  <c r="R321" i="25"/>
  <c r="R342" i="25"/>
  <c r="R238" i="41"/>
  <c r="R259" i="41"/>
  <c r="R212" i="41"/>
  <c r="J71" i="50" s="1"/>
  <c r="R325" i="41"/>
  <c r="R346" i="41"/>
  <c r="R318" i="41"/>
  <c r="R339" i="41"/>
  <c r="R309" i="41"/>
  <c r="R327" i="12"/>
  <c r="R348" i="12"/>
  <c r="R324" i="12"/>
  <c r="R345" i="12"/>
  <c r="R320" i="12"/>
  <c r="R341" i="12"/>
  <c r="R327" i="15"/>
  <c r="R348" i="15"/>
  <c r="R324" i="33"/>
  <c r="R345" i="33"/>
  <c r="R327" i="46"/>
  <c r="R348" i="46"/>
  <c r="R205" i="35"/>
  <c r="X205" i="35" s="1"/>
  <c r="X208" i="35" s="1"/>
  <c r="X210" i="35" s="1"/>
  <c r="X212" i="35" s="1"/>
  <c r="X189" i="35"/>
  <c r="R205" i="40"/>
  <c r="X189" i="40"/>
  <c r="R318" i="32"/>
  <c r="R309" i="32"/>
  <c r="R339" i="32"/>
  <c r="R319" i="32"/>
  <c r="R340" i="32"/>
  <c r="R325" i="16"/>
  <c r="R346" i="16"/>
  <c r="R321" i="16"/>
  <c r="R342" i="16"/>
  <c r="R322" i="38"/>
  <c r="R343" i="38"/>
  <c r="R328" i="31"/>
  <c r="R349" i="31"/>
  <c r="R321" i="31"/>
  <c r="R342" i="31"/>
  <c r="R318" i="31"/>
  <c r="R309" i="31"/>
  <c r="R339" i="31"/>
  <c r="R328" i="37"/>
  <c r="R349" i="37"/>
  <c r="R319" i="37"/>
  <c r="R340" i="37"/>
  <c r="R320" i="25"/>
  <c r="R341" i="25"/>
  <c r="R324" i="25"/>
  <c r="R345" i="25"/>
  <c r="R328" i="41"/>
  <c r="R349" i="41"/>
  <c r="R323" i="41"/>
  <c r="R344" i="41"/>
  <c r="R322" i="12"/>
  <c r="R343" i="12"/>
  <c r="R328" i="15"/>
  <c r="R349" i="15"/>
  <c r="R324" i="15"/>
  <c r="R345" i="15"/>
  <c r="R320" i="15"/>
  <c r="R341" i="15"/>
  <c r="R396" i="28"/>
  <c r="R323" i="28"/>
  <c r="R344" i="28"/>
  <c r="R320" i="28"/>
  <c r="R341" i="28"/>
  <c r="R297" i="45"/>
  <c r="R298" i="45"/>
  <c r="R299" i="45"/>
  <c r="R300" i="45"/>
  <c r="R301" i="45"/>
  <c r="R302" i="45"/>
  <c r="R303" i="45"/>
  <c r="R304" i="45"/>
  <c r="R305" i="45"/>
  <c r="R306" i="45"/>
  <c r="R190" i="45"/>
  <c r="R307" i="45"/>
  <c r="R375" i="45"/>
  <c r="R388" i="45"/>
  <c r="R389" i="45"/>
  <c r="R393" i="45"/>
  <c r="R169" i="45"/>
  <c r="R391" i="45"/>
  <c r="R394" i="45"/>
  <c r="R392" i="45"/>
  <c r="R202" i="45"/>
  <c r="R390" i="45"/>
  <c r="R325" i="33"/>
  <c r="R346" i="33"/>
  <c r="R321" i="33"/>
  <c r="R342" i="33"/>
  <c r="R327" i="24"/>
  <c r="R348" i="24"/>
  <c r="R323" i="24"/>
  <c r="R344" i="24"/>
  <c r="R320" i="24"/>
  <c r="R341" i="24"/>
  <c r="R324" i="46"/>
  <c r="R345" i="46"/>
  <c r="R321" i="46"/>
  <c r="R342" i="46"/>
  <c r="R396" i="35"/>
  <c r="R319" i="35"/>
  <c r="R340" i="35"/>
  <c r="R325" i="35"/>
  <c r="R346" i="35"/>
  <c r="R318" i="35"/>
  <c r="R309" i="35"/>
  <c r="R339" i="35"/>
  <c r="R396" i="29"/>
  <c r="X189" i="29"/>
  <c r="R205" i="29"/>
  <c r="X205" i="29" s="1"/>
  <c r="X208" i="29" s="1"/>
  <c r="X210" i="29" s="1"/>
  <c r="X212" i="29" s="1"/>
  <c r="R326" i="29"/>
  <c r="R347" i="29"/>
  <c r="R322" i="29"/>
  <c r="R343" i="29"/>
  <c r="R318" i="29"/>
  <c r="R309" i="29"/>
  <c r="R339" i="29"/>
  <c r="R326" i="40"/>
  <c r="R347" i="40"/>
  <c r="R328" i="40"/>
  <c r="R349" i="40"/>
  <c r="R238" i="40"/>
  <c r="R259" i="40"/>
  <c r="R212" i="40"/>
  <c r="J70" i="50" s="1"/>
  <c r="R396" i="32"/>
  <c r="R325" i="32"/>
  <c r="R346" i="32"/>
  <c r="R324" i="32"/>
  <c r="R345" i="32"/>
  <c r="R320" i="32"/>
  <c r="R341" i="32"/>
  <c r="R327" i="16"/>
  <c r="R348" i="16"/>
  <c r="R328" i="16"/>
  <c r="R349" i="16"/>
  <c r="R322" i="16"/>
  <c r="R343" i="16"/>
  <c r="R396" i="38"/>
  <c r="R328" i="38"/>
  <c r="R349" i="38"/>
  <c r="R327" i="38"/>
  <c r="R348" i="38"/>
  <c r="R323" i="38"/>
  <c r="R344" i="38"/>
  <c r="R319" i="38"/>
  <c r="R340" i="38"/>
  <c r="R205" i="30"/>
  <c r="X189" i="30"/>
  <c r="R327" i="30"/>
  <c r="R348" i="30"/>
  <c r="R323" i="30"/>
  <c r="R344" i="30"/>
  <c r="R320" i="30"/>
  <c r="R341" i="30"/>
  <c r="R396" i="47"/>
  <c r="R328" i="47"/>
  <c r="R349" i="47"/>
  <c r="R325" i="47"/>
  <c r="R346" i="47"/>
  <c r="R321" i="47"/>
  <c r="R342" i="47"/>
  <c r="R205" i="14"/>
  <c r="X205" i="14" s="1"/>
  <c r="X189" i="14"/>
  <c r="R327" i="14"/>
  <c r="R348" i="14"/>
  <c r="R318" i="14"/>
  <c r="R339" i="14"/>
  <c r="R309" i="14"/>
  <c r="R320" i="14"/>
  <c r="R341" i="14"/>
  <c r="R326" i="43"/>
  <c r="R347" i="43"/>
  <c r="R185" i="43"/>
  <c r="X185" i="43" s="1"/>
  <c r="X188" i="43" s="1"/>
  <c r="X190" i="43" s="1"/>
  <c r="X192" i="43" s="1"/>
  <c r="X169" i="43"/>
  <c r="R318" i="43"/>
  <c r="R309" i="43"/>
  <c r="R339" i="43"/>
  <c r="R320" i="43"/>
  <c r="R341" i="43"/>
  <c r="R185" i="31"/>
  <c r="X169" i="31"/>
  <c r="R218" i="31"/>
  <c r="R192" i="31"/>
  <c r="J63" i="50" s="1"/>
  <c r="R239" i="31"/>
  <c r="R326" i="31"/>
  <c r="R347" i="31"/>
  <c r="R319" i="31"/>
  <c r="R340" i="31"/>
  <c r="R323" i="37"/>
  <c r="R344" i="37"/>
  <c r="R320" i="37"/>
  <c r="R341" i="37"/>
  <c r="R396" i="17"/>
  <c r="R327" i="17"/>
  <c r="R348" i="17"/>
  <c r="R323" i="17"/>
  <c r="R344" i="17"/>
  <c r="R319" i="17"/>
  <c r="R340" i="17"/>
  <c r="R325" i="44"/>
  <c r="R346" i="44"/>
  <c r="R321" i="44"/>
  <c r="R342" i="44"/>
  <c r="R326" i="34"/>
  <c r="R347" i="34"/>
  <c r="R318" i="34"/>
  <c r="R309" i="34"/>
  <c r="R339" i="34"/>
  <c r="R319" i="34"/>
  <c r="R340" i="34"/>
  <c r="R396" i="25"/>
  <c r="R328" i="25"/>
  <c r="R349" i="25"/>
  <c r="R319" i="25"/>
  <c r="R340" i="25"/>
  <c r="R325" i="25"/>
  <c r="R346" i="25"/>
  <c r="R318" i="25"/>
  <c r="R339" i="25"/>
  <c r="R309" i="25"/>
  <c r="R322" i="41"/>
  <c r="R343" i="41"/>
  <c r="R321" i="41"/>
  <c r="R342" i="41"/>
  <c r="R324" i="41"/>
  <c r="R345" i="41"/>
  <c r="R205" i="12"/>
  <c r="X189" i="12"/>
  <c r="R325" i="12"/>
  <c r="R346" i="12"/>
  <c r="R344" i="12"/>
  <c r="R323" i="12"/>
  <c r="R319" i="12"/>
  <c r="R340" i="12"/>
  <c r="S330" i="14" l="1"/>
  <c r="U351" i="15"/>
  <c r="N15" i="56"/>
  <c r="N31" i="56" s="1"/>
  <c r="I62" i="83" s="1"/>
  <c r="I50" i="83" s="1"/>
  <c r="N20" i="56"/>
  <c r="N36" i="56" s="1"/>
  <c r="I67" i="83" s="1"/>
  <c r="I55" i="83" s="1"/>
  <c r="P225" i="50"/>
  <c r="Q375" i="47"/>
  <c r="Q202" i="47"/>
  <c r="Q169" i="47"/>
  <c r="Q185" i="47" s="1"/>
  <c r="Q391" i="47"/>
  <c r="Q388" i="47"/>
  <c r="Q393" i="47"/>
  <c r="Q392" i="47"/>
  <c r="Q390" i="47"/>
  <c r="Q394" i="47"/>
  <c r="Q389" i="47"/>
  <c r="Q299" i="47"/>
  <c r="Q301" i="47"/>
  <c r="Q190" i="47"/>
  <c r="Q298" i="47"/>
  <c r="Q305" i="47"/>
  <c r="Q303" i="47"/>
  <c r="Q300" i="47"/>
  <c r="Q304" i="47"/>
  <c r="Q306" i="47"/>
  <c r="Q307" i="47"/>
  <c r="Q297" i="47"/>
  <c r="Q302" i="47"/>
  <c r="Q169" i="46"/>
  <c r="Q185" i="46" s="1"/>
  <c r="Q298" i="46"/>
  <c r="Q190" i="46"/>
  <c r="Q202" i="46"/>
  <c r="Q297" i="46"/>
  <c r="Q392" i="46"/>
  <c r="Q303" i="46"/>
  <c r="Q299" i="46"/>
  <c r="Q388" i="46"/>
  <c r="Q389" i="46"/>
  <c r="Q307" i="46"/>
  <c r="Q301" i="46"/>
  <c r="Q390" i="46"/>
  <c r="Q393" i="46"/>
  <c r="Q394" i="46"/>
  <c r="Q302" i="46"/>
  <c r="Q304" i="46"/>
  <c r="Q300" i="46"/>
  <c r="Q391" i="46"/>
  <c r="Q305" i="46"/>
  <c r="Q375" i="46"/>
  <c r="Q306" i="46"/>
  <c r="Q190" i="25"/>
  <c r="Q224" i="25"/>
  <c r="Q375" i="25"/>
  <c r="Q191" i="25"/>
  <c r="Q223" i="25"/>
  <c r="Q225" i="25"/>
  <c r="Q192" i="25"/>
  <c r="Q222" i="25"/>
  <c r="Q189" i="25"/>
  <c r="Q394" i="25"/>
  <c r="Q389" i="25"/>
  <c r="Q388" i="25"/>
  <c r="Q393" i="25"/>
  <c r="Q390" i="25"/>
  <c r="Q391" i="25"/>
  <c r="Q392" i="25"/>
  <c r="Q301" i="25"/>
  <c r="Q304" i="25"/>
  <c r="Q303" i="25"/>
  <c r="Q307" i="25"/>
  <c r="Q305" i="25"/>
  <c r="Q298" i="25"/>
  <c r="Q300" i="25"/>
  <c r="Q297" i="25"/>
  <c r="Q302" i="25"/>
  <c r="Q306" i="25"/>
  <c r="Q299" i="25"/>
  <c r="Q210" i="25"/>
  <c r="Q375" i="12"/>
  <c r="Q224" i="12"/>
  <c r="Q189" i="12"/>
  <c r="Q223" i="12"/>
  <c r="Q192" i="12"/>
  <c r="Q222" i="12"/>
  <c r="Q190" i="12"/>
  <c r="Q225" i="12"/>
  <c r="Q191" i="12"/>
  <c r="Q393" i="12"/>
  <c r="Q391" i="12"/>
  <c r="Q389" i="12"/>
  <c r="Q390" i="12"/>
  <c r="Q388" i="12"/>
  <c r="Q392" i="12"/>
  <c r="Q394" i="12"/>
  <c r="Q304" i="12"/>
  <c r="Q299" i="12"/>
  <c r="Q307" i="12"/>
  <c r="Q301" i="12"/>
  <c r="Q210" i="12"/>
  <c r="Q298" i="12"/>
  <c r="Q302" i="12"/>
  <c r="Q300" i="12"/>
  <c r="Q306" i="12"/>
  <c r="Q297" i="12"/>
  <c r="Q305" i="12"/>
  <c r="Q303" i="12"/>
  <c r="Q189" i="35"/>
  <c r="Q205" i="35" s="1"/>
  <c r="Q222" i="35"/>
  <c r="Q391" i="35"/>
  <c r="Q394" i="35"/>
  <c r="Q392" i="35"/>
  <c r="Q390" i="35"/>
  <c r="Q388" i="35"/>
  <c r="Q393" i="35"/>
  <c r="Q389" i="35"/>
  <c r="Q307" i="35"/>
  <c r="Q210" i="35"/>
  <c r="Q300" i="35"/>
  <c r="Q299" i="35"/>
  <c r="Q305" i="35"/>
  <c r="Q306" i="35"/>
  <c r="Q301" i="35"/>
  <c r="Q297" i="35"/>
  <c r="Q302" i="35"/>
  <c r="Q304" i="35"/>
  <c r="Q303" i="35"/>
  <c r="Q298" i="35"/>
  <c r="Q171" i="31"/>
  <c r="Q375" i="31"/>
  <c r="Q172" i="31"/>
  <c r="Q204" i="31"/>
  <c r="Q170" i="31"/>
  <c r="Q203" i="31"/>
  <c r="Q205" i="31"/>
  <c r="Q202" i="31"/>
  <c r="Q169" i="31"/>
  <c r="Q388" i="31"/>
  <c r="Q394" i="31"/>
  <c r="Q390" i="31"/>
  <c r="Q392" i="31"/>
  <c r="Q389" i="31"/>
  <c r="Q393" i="31"/>
  <c r="Q391" i="31"/>
  <c r="Q304" i="31"/>
  <c r="Q306" i="31"/>
  <c r="Q303" i="31"/>
  <c r="Q297" i="31"/>
  <c r="Q305" i="31"/>
  <c r="Q307" i="31"/>
  <c r="Q298" i="31"/>
  <c r="Q301" i="31"/>
  <c r="Q300" i="31"/>
  <c r="Q190" i="31"/>
  <c r="Q302" i="31"/>
  <c r="Q299" i="31"/>
  <c r="Q375" i="29"/>
  <c r="Q189" i="29"/>
  <c r="Q205" i="29" s="1"/>
  <c r="Q222" i="29"/>
  <c r="Q394" i="29"/>
  <c r="Q391" i="29"/>
  <c r="Q389" i="29"/>
  <c r="Q392" i="29"/>
  <c r="Q388" i="29"/>
  <c r="Q393" i="29"/>
  <c r="Q390" i="29"/>
  <c r="Q301" i="29"/>
  <c r="Q299" i="29"/>
  <c r="Q305" i="29"/>
  <c r="Q210" i="29"/>
  <c r="Q304" i="29"/>
  <c r="Q307" i="29"/>
  <c r="Q302" i="29"/>
  <c r="Q297" i="29"/>
  <c r="Q298" i="29"/>
  <c r="Q303" i="29"/>
  <c r="Q306" i="29"/>
  <c r="Q300" i="29"/>
  <c r="Q302" i="14"/>
  <c r="Q298" i="14"/>
  <c r="Q389" i="14"/>
  <c r="Q305" i="14"/>
  <c r="Q390" i="14"/>
  <c r="Q393" i="14"/>
  <c r="Q392" i="14"/>
  <c r="Q299" i="14"/>
  <c r="Q303" i="14"/>
  <c r="Q301" i="14"/>
  <c r="Q375" i="14"/>
  <c r="Q394" i="14"/>
  <c r="Q210" i="14"/>
  <c r="Q300" i="14"/>
  <c r="Q189" i="14"/>
  <c r="Q205" i="14" s="1"/>
  <c r="Q304" i="14"/>
  <c r="Q297" i="14"/>
  <c r="Q222" i="14"/>
  <c r="Q388" i="14"/>
  <c r="Q307" i="14"/>
  <c r="Q306" i="14"/>
  <c r="Q391" i="14"/>
  <c r="Q222" i="16"/>
  <c r="Q299" i="16"/>
  <c r="Q300" i="16"/>
  <c r="Q375" i="16"/>
  <c r="Q298" i="16"/>
  <c r="Q394" i="16"/>
  <c r="Q393" i="16"/>
  <c r="Q392" i="16"/>
  <c r="Q305" i="16"/>
  <c r="Q303" i="16"/>
  <c r="Q307" i="16"/>
  <c r="Q304" i="16"/>
  <c r="Q301" i="16"/>
  <c r="Q391" i="16"/>
  <c r="Q297" i="16"/>
  <c r="Q389" i="16"/>
  <c r="Q189" i="16"/>
  <c r="Q205" i="16" s="1"/>
  <c r="Q302" i="16"/>
  <c r="Q388" i="16"/>
  <c r="Q210" i="16"/>
  <c r="Q306" i="16"/>
  <c r="Q390" i="16"/>
  <c r="Q202" i="38"/>
  <c r="Q172" i="38"/>
  <c r="Q204" i="38"/>
  <c r="Q375" i="38"/>
  <c r="Q205" i="38"/>
  <c r="Q170" i="38"/>
  <c r="Q203" i="38"/>
  <c r="Q171" i="38"/>
  <c r="Q169" i="38"/>
  <c r="Q206" i="38"/>
  <c r="Q173" i="38"/>
  <c r="Q394" i="38"/>
  <c r="Q390" i="38"/>
  <c r="Q388" i="38"/>
  <c r="Q392" i="38"/>
  <c r="Q389" i="38"/>
  <c r="Q393" i="38"/>
  <c r="Q391" i="38"/>
  <c r="Q304" i="38"/>
  <c r="Q297" i="38"/>
  <c r="Q190" i="38"/>
  <c r="Q305" i="38"/>
  <c r="Q301" i="38"/>
  <c r="Q303" i="38"/>
  <c r="Q300" i="38"/>
  <c r="Q302" i="38"/>
  <c r="Q307" i="38"/>
  <c r="Q306" i="38"/>
  <c r="Q298" i="38"/>
  <c r="Q299" i="38"/>
  <c r="Q304" i="43"/>
  <c r="Q300" i="43"/>
  <c r="Q375" i="43"/>
  <c r="Q391" i="43"/>
  <c r="Q394" i="43"/>
  <c r="Q306" i="43"/>
  <c r="Q169" i="43"/>
  <c r="Q185" i="43" s="1"/>
  <c r="Q302" i="43"/>
  <c r="Q298" i="43"/>
  <c r="Q393" i="43"/>
  <c r="Q202" i="43"/>
  <c r="Q297" i="43"/>
  <c r="Q305" i="43"/>
  <c r="Q190" i="43"/>
  <c r="Q307" i="43"/>
  <c r="Q388" i="43"/>
  <c r="Q303" i="43"/>
  <c r="Q390" i="43"/>
  <c r="Q389" i="43"/>
  <c r="Q392" i="43"/>
  <c r="Q301" i="43"/>
  <c r="Q299" i="43"/>
  <c r="Q224" i="28"/>
  <c r="Q190" i="28"/>
  <c r="Q375" i="28"/>
  <c r="Q191" i="28"/>
  <c r="Q225" i="28"/>
  <c r="Q192" i="28"/>
  <c r="Q223" i="28"/>
  <c r="Q189" i="28"/>
  <c r="Q222" i="28"/>
  <c r="Q393" i="28"/>
  <c r="Q388" i="28"/>
  <c r="Q391" i="28"/>
  <c r="Q394" i="28"/>
  <c r="Q390" i="28"/>
  <c r="Q389" i="28"/>
  <c r="Q392" i="28"/>
  <c r="Q304" i="28"/>
  <c r="Q297" i="28"/>
  <c r="Q307" i="28"/>
  <c r="Q302" i="28"/>
  <c r="Q210" i="28"/>
  <c r="Q301" i="28"/>
  <c r="Q305" i="28"/>
  <c r="Q298" i="28"/>
  <c r="Q303" i="28"/>
  <c r="Q306" i="28"/>
  <c r="Q300" i="28"/>
  <c r="Q299" i="28"/>
  <c r="Q222" i="17"/>
  <c r="Q375" i="17"/>
  <c r="Q192" i="17"/>
  <c r="Q189" i="17"/>
  <c r="Q223" i="17"/>
  <c r="Q190" i="17"/>
  <c r="Q225" i="17"/>
  <c r="Q224" i="17"/>
  <c r="Q191" i="17"/>
  <c r="Q394" i="17"/>
  <c r="Q393" i="17"/>
  <c r="Q390" i="17"/>
  <c r="Q388" i="17"/>
  <c r="Q392" i="17"/>
  <c r="Q391" i="17"/>
  <c r="Q389" i="17"/>
  <c r="Q306" i="17"/>
  <c r="Q298" i="17"/>
  <c r="Q300" i="17"/>
  <c r="Q307" i="17"/>
  <c r="Q297" i="17"/>
  <c r="Q305" i="17"/>
  <c r="Q302" i="17"/>
  <c r="Q303" i="17"/>
  <c r="Q210" i="17"/>
  <c r="Q304" i="17"/>
  <c r="Q299" i="17"/>
  <c r="Q301" i="17"/>
  <c r="Q188" i="45"/>
  <c r="Q375" i="34"/>
  <c r="Q375" i="32"/>
  <c r="Q208" i="6"/>
  <c r="Q375" i="35"/>
  <c r="Q375" i="40"/>
  <c r="Q375" i="33"/>
  <c r="Q375" i="41"/>
  <c r="Q375" i="15"/>
  <c r="Q190" i="15"/>
  <c r="Q189" i="15"/>
  <c r="Q225" i="15"/>
  <c r="Q222" i="15"/>
  <c r="Q224" i="15"/>
  <c r="Q191" i="15"/>
  <c r="Q223" i="15"/>
  <c r="Q192" i="15"/>
  <c r="Q390" i="15"/>
  <c r="Q393" i="15"/>
  <c r="Q389" i="15"/>
  <c r="Q392" i="15"/>
  <c r="Q388" i="15"/>
  <c r="Q391" i="15"/>
  <c r="Q394" i="15"/>
  <c r="Q300" i="15"/>
  <c r="Q302" i="15"/>
  <c r="Q298" i="15"/>
  <c r="Q301" i="15"/>
  <c r="Q305" i="15"/>
  <c r="Q304" i="15"/>
  <c r="Q307" i="15"/>
  <c r="Q210" i="15"/>
  <c r="Q303" i="15"/>
  <c r="Q306" i="15"/>
  <c r="Q299" i="15"/>
  <c r="Q297" i="15"/>
  <c r="Q391" i="37"/>
  <c r="Q174" i="37"/>
  <c r="Q393" i="37"/>
  <c r="Q173" i="37"/>
  <c r="Q172" i="37"/>
  <c r="Q307" i="37"/>
  <c r="Q390" i="37"/>
  <c r="Q169" i="37"/>
  <c r="Q389" i="37"/>
  <c r="Q303" i="37"/>
  <c r="Q300" i="37"/>
  <c r="Q171" i="37"/>
  <c r="Q392" i="37"/>
  <c r="Q297" i="37"/>
  <c r="Q388" i="37"/>
  <c r="Q394" i="37"/>
  <c r="Q170" i="37"/>
  <c r="Q302" i="37"/>
  <c r="Q206" i="37"/>
  <c r="Q190" i="37"/>
  <c r="Q204" i="37"/>
  <c r="Q203" i="37"/>
  <c r="Q202" i="37"/>
  <c r="Q301" i="37"/>
  <c r="Q375" i="37"/>
  <c r="Q207" i="37"/>
  <c r="Q306" i="37"/>
  <c r="Q298" i="37"/>
  <c r="Q299" i="37"/>
  <c r="Q305" i="37"/>
  <c r="Q304" i="37"/>
  <c r="Q205" i="37"/>
  <c r="Q389" i="40"/>
  <c r="Q307" i="40"/>
  <c r="Q224" i="40"/>
  <c r="Q393" i="40"/>
  <c r="Q189" i="40"/>
  <c r="Q192" i="40"/>
  <c r="Q223" i="40"/>
  <c r="Q210" i="40"/>
  <c r="Q222" i="40"/>
  <c r="Q390" i="40"/>
  <c r="Q306" i="40"/>
  <c r="Q299" i="40"/>
  <c r="Q388" i="40"/>
  <c r="Q297" i="40"/>
  <c r="Q394" i="40"/>
  <c r="Q301" i="40"/>
  <c r="Q298" i="40"/>
  <c r="Q304" i="40"/>
  <c r="Q191" i="40"/>
  <c r="Q305" i="40"/>
  <c r="Q392" i="40"/>
  <c r="Q190" i="40"/>
  <c r="Q225" i="40"/>
  <c r="Q302" i="40"/>
  <c r="Q303" i="40"/>
  <c r="Q300" i="40"/>
  <c r="Q391" i="40"/>
  <c r="Q375" i="30"/>
  <c r="Q229" i="30"/>
  <c r="Q189" i="30"/>
  <c r="Q191" i="30"/>
  <c r="Q192" i="30"/>
  <c r="Q228" i="30"/>
  <c r="Q226" i="30"/>
  <c r="Q194" i="30"/>
  <c r="Q227" i="30"/>
  <c r="Q195" i="30"/>
  <c r="Q222" i="30"/>
  <c r="Q193" i="30"/>
  <c r="Q190" i="30"/>
  <c r="Q196" i="30"/>
  <c r="Q225" i="30"/>
  <c r="Q224" i="30"/>
  <c r="Q223" i="30"/>
  <c r="Q391" i="30"/>
  <c r="Q392" i="30"/>
  <c r="Q388" i="30"/>
  <c r="Q390" i="30"/>
  <c r="Q393" i="30"/>
  <c r="Q389" i="30"/>
  <c r="Q394" i="30"/>
  <c r="Q301" i="30"/>
  <c r="Q306" i="30"/>
  <c r="Q298" i="30"/>
  <c r="Q300" i="30"/>
  <c r="Q305" i="30"/>
  <c r="Q299" i="30"/>
  <c r="Q303" i="30"/>
  <c r="Q302" i="30"/>
  <c r="Q210" i="30"/>
  <c r="Q304" i="30"/>
  <c r="Q307" i="30"/>
  <c r="Q297" i="30"/>
  <c r="Q225" i="32"/>
  <c r="Q191" i="32"/>
  <c r="Q189" i="32"/>
  <c r="Q223" i="32"/>
  <c r="Q222" i="32"/>
  <c r="Q224" i="32"/>
  <c r="Q190" i="32"/>
  <c r="Q392" i="32"/>
  <c r="Q393" i="32"/>
  <c r="Q391" i="32"/>
  <c r="Q394" i="32"/>
  <c r="Q389" i="32"/>
  <c r="Q388" i="32"/>
  <c r="Q390" i="32"/>
  <c r="Q304" i="32"/>
  <c r="Q301" i="32"/>
  <c r="Q298" i="32"/>
  <c r="Q210" i="32"/>
  <c r="Q300" i="32"/>
  <c r="Q306" i="32"/>
  <c r="Q297" i="32"/>
  <c r="Q307" i="32"/>
  <c r="Q302" i="32"/>
  <c r="Q303" i="32"/>
  <c r="Q299" i="32"/>
  <c r="Q305" i="32"/>
  <c r="Q389" i="44"/>
  <c r="Q388" i="44"/>
  <c r="Q391" i="44"/>
  <c r="Q375" i="44"/>
  <c r="Q190" i="44"/>
  <c r="Q298" i="44"/>
  <c r="Q319" i="44" s="1"/>
  <c r="Q304" i="44"/>
  <c r="Q303" i="44"/>
  <c r="Q392" i="44"/>
  <c r="Q299" i="44"/>
  <c r="Q306" i="44"/>
  <c r="Q302" i="44"/>
  <c r="Q307" i="44"/>
  <c r="Q390" i="44"/>
  <c r="Q297" i="44"/>
  <c r="Q169" i="44"/>
  <c r="Q185" i="44" s="1"/>
  <c r="Q305" i="44"/>
  <c r="Q301" i="44"/>
  <c r="Q202" i="44"/>
  <c r="Q300" i="44"/>
  <c r="Q394" i="44"/>
  <c r="Q393" i="44"/>
  <c r="Q192" i="34"/>
  <c r="Q230" i="34"/>
  <c r="Q190" i="34"/>
  <c r="Q225" i="34"/>
  <c r="Q191" i="34"/>
  <c r="Q194" i="34"/>
  <c r="Q223" i="34"/>
  <c r="Q229" i="34"/>
  <c r="Q227" i="34"/>
  <c r="Q226" i="34"/>
  <c r="Q195" i="34"/>
  <c r="Q224" i="34"/>
  <c r="Q197" i="34"/>
  <c r="Q196" i="34"/>
  <c r="Q228" i="34"/>
  <c r="Q193" i="34"/>
  <c r="Q189" i="34"/>
  <c r="Q222" i="34"/>
  <c r="Q388" i="34"/>
  <c r="Q394" i="34"/>
  <c r="Q389" i="34"/>
  <c r="Q393" i="34"/>
  <c r="Q390" i="34"/>
  <c r="Q391" i="34"/>
  <c r="Q392" i="34"/>
  <c r="Q210" i="34"/>
  <c r="Q303" i="34"/>
  <c r="Q307" i="34"/>
  <c r="Q298" i="34"/>
  <c r="Q299" i="34"/>
  <c r="Q297" i="34"/>
  <c r="Q301" i="34"/>
  <c r="Q302" i="34"/>
  <c r="Q300" i="34"/>
  <c r="Q304" i="34"/>
  <c r="Q305" i="34"/>
  <c r="Q306" i="34"/>
  <c r="Q193" i="24"/>
  <c r="Q375" i="24"/>
  <c r="Q226" i="24"/>
  <c r="Q223" i="24"/>
  <c r="Q191" i="24"/>
  <c r="Q222" i="24"/>
  <c r="Q192" i="24"/>
  <c r="Q190" i="24"/>
  <c r="Q224" i="24"/>
  <c r="Q189" i="24"/>
  <c r="Q225" i="24"/>
  <c r="Q392" i="24"/>
  <c r="Q388" i="24"/>
  <c r="Q394" i="24"/>
  <c r="Q390" i="24"/>
  <c r="Q389" i="24"/>
  <c r="Q393" i="24"/>
  <c r="Q391" i="24"/>
  <c r="Q301" i="24"/>
  <c r="Q304" i="24"/>
  <c r="Q305" i="24"/>
  <c r="Q302" i="24"/>
  <c r="Q299" i="24"/>
  <c r="Q300" i="24"/>
  <c r="Q306" i="24"/>
  <c r="Q307" i="24"/>
  <c r="Q210" i="24"/>
  <c r="Q303" i="24"/>
  <c r="Q298" i="24"/>
  <c r="Q297" i="24"/>
  <c r="Q224" i="41"/>
  <c r="Q297" i="41"/>
  <c r="Q391" i="41"/>
  <c r="Q225" i="41"/>
  <c r="Q305" i="41"/>
  <c r="Q192" i="41"/>
  <c r="Q300" i="41"/>
  <c r="Q298" i="41"/>
  <c r="Q394" i="41"/>
  <c r="Q393" i="41"/>
  <c r="Q304" i="41"/>
  <c r="Q307" i="41"/>
  <c r="Q222" i="41"/>
  <c r="Q210" i="41"/>
  <c r="Q302" i="41"/>
  <c r="Q299" i="41"/>
  <c r="Q306" i="41"/>
  <c r="Q390" i="41"/>
  <c r="Q189" i="41"/>
  <c r="Q301" i="41"/>
  <c r="Q190" i="41"/>
  <c r="Q388" i="41"/>
  <c r="Q223" i="41"/>
  <c r="Q392" i="41"/>
  <c r="Q303" i="41"/>
  <c r="Q191" i="41"/>
  <c r="Q389" i="41"/>
  <c r="Q224" i="33"/>
  <c r="Q191" i="33"/>
  <c r="Q225" i="33"/>
  <c r="Q189" i="33"/>
  <c r="Q222" i="33"/>
  <c r="Q190" i="33"/>
  <c r="Q223" i="33"/>
  <c r="Q390" i="33"/>
  <c r="Q392" i="33"/>
  <c r="Q388" i="33"/>
  <c r="Q391" i="33"/>
  <c r="Q394" i="33"/>
  <c r="Q393" i="33"/>
  <c r="Q389" i="33"/>
  <c r="Q306" i="33"/>
  <c r="Q298" i="33"/>
  <c r="Q301" i="33"/>
  <c r="Q307" i="33"/>
  <c r="Q299" i="33"/>
  <c r="Q297" i="33"/>
  <c r="Q304" i="33"/>
  <c r="Q210" i="33"/>
  <c r="Q300" i="33"/>
  <c r="Q302" i="33"/>
  <c r="Q303" i="33"/>
  <c r="Q305" i="33"/>
  <c r="R330" i="14"/>
  <c r="S351" i="32"/>
  <c r="S330" i="29"/>
  <c r="K19" i="56"/>
  <c r="K35" i="56" s="1"/>
  <c r="F66" i="83" s="1"/>
  <c r="F54" i="83" s="1"/>
  <c r="S351" i="15"/>
  <c r="S351" i="37"/>
  <c r="X185" i="38"/>
  <c r="X188" i="38" s="1"/>
  <c r="X190" i="38" s="1"/>
  <c r="X192" i="38" s="1"/>
  <c r="X205" i="33"/>
  <c r="X208" i="33" s="1"/>
  <c r="X210" i="33" s="1"/>
  <c r="X212" i="33" s="1"/>
  <c r="X205" i="34"/>
  <c r="X208" i="34" s="1"/>
  <c r="X210" i="34" s="1"/>
  <c r="X212" i="34" s="1"/>
  <c r="T351" i="37"/>
  <c r="T351" i="29"/>
  <c r="T330" i="47"/>
  <c r="T330" i="38"/>
  <c r="L20" i="56"/>
  <c r="L36" i="56" s="1"/>
  <c r="G67" i="83" s="1"/>
  <c r="G55" i="83" s="1"/>
  <c r="T330" i="15"/>
  <c r="T351" i="12"/>
  <c r="T351" i="35"/>
  <c r="U330" i="37"/>
  <c r="U351" i="24"/>
  <c r="U330" i="47"/>
  <c r="U351" i="29"/>
  <c r="X185" i="37"/>
  <c r="X188" i="37" s="1"/>
  <c r="X190" i="37" s="1"/>
  <c r="X192" i="37" s="1"/>
  <c r="N19" i="56"/>
  <c r="N35" i="56" s="1"/>
  <c r="I66" i="83" s="1"/>
  <c r="I54" i="83" s="1"/>
  <c r="V351" i="25"/>
  <c r="V351" i="15"/>
  <c r="V351" i="44"/>
  <c r="V330" i="14"/>
  <c r="V330" i="33"/>
  <c r="V342" i="6"/>
  <c r="V321" i="6"/>
  <c r="N37" i="54"/>
  <c r="I15" i="83" s="1"/>
  <c r="V259" i="6"/>
  <c r="V238" i="6"/>
  <c r="V212" i="6"/>
  <c r="N52" i="50" s="1"/>
  <c r="V348" i="45"/>
  <c r="V327" i="45"/>
  <c r="V373" i="12"/>
  <c r="V377" i="12" s="1"/>
  <c r="V260" i="12"/>
  <c r="V263" i="12" s="1"/>
  <c r="N127" i="50"/>
  <c r="N201" i="50" s="1"/>
  <c r="V351" i="37"/>
  <c r="V373" i="15"/>
  <c r="V377" i="15" s="1"/>
  <c r="V260" i="15"/>
  <c r="V263" i="15" s="1"/>
  <c r="N129" i="50"/>
  <c r="N203" i="50" s="1"/>
  <c r="V330" i="34"/>
  <c r="V373" i="43"/>
  <c r="V377" i="43" s="1"/>
  <c r="V240" i="43"/>
  <c r="V243" i="43" s="1"/>
  <c r="N146" i="50"/>
  <c r="N220" i="50" s="1"/>
  <c r="V351" i="17"/>
  <c r="V330" i="25"/>
  <c r="V351" i="43"/>
  <c r="V351" i="16"/>
  <c r="N34" i="54"/>
  <c r="V309" i="6"/>
  <c r="V318" i="6"/>
  <c r="V339" i="6"/>
  <c r="V320" i="6"/>
  <c r="N36" i="54"/>
  <c r="I14" i="83" s="1"/>
  <c r="V341" i="6"/>
  <c r="V218" i="45"/>
  <c r="V192" i="45"/>
  <c r="N74" i="50" s="1"/>
  <c r="N111" i="50" s="1"/>
  <c r="V239" i="45"/>
  <c r="V351" i="46"/>
  <c r="V373" i="34"/>
  <c r="V377" i="34" s="1"/>
  <c r="N140" i="50"/>
  <c r="N214" i="50" s="1"/>
  <c r="V260" i="34"/>
  <c r="V263" i="34" s="1"/>
  <c r="V351" i="31"/>
  <c r="V351" i="47"/>
  <c r="V351" i="32"/>
  <c r="V373" i="47"/>
  <c r="V377" i="47" s="1"/>
  <c r="N150" i="50"/>
  <c r="N224" i="50" s="1"/>
  <c r="V240" i="47"/>
  <c r="V243" i="47" s="1"/>
  <c r="V373" i="17"/>
  <c r="V377" i="17" s="1"/>
  <c r="N131" i="50"/>
  <c r="N205" i="50" s="1"/>
  <c r="V260" i="17"/>
  <c r="V263" i="17" s="1"/>
  <c r="X205" i="30"/>
  <c r="X208" i="30" s="1"/>
  <c r="X210" i="30" s="1"/>
  <c r="X212" i="30" s="1"/>
  <c r="X205" i="40"/>
  <c r="X208" i="40" s="1"/>
  <c r="X210" i="40" s="1"/>
  <c r="X212" i="40" s="1"/>
  <c r="V330" i="16"/>
  <c r="N35" i="54"/>
  <c r="I13" i="83" s="1"/>
  <c r="V340" i="6"/>
  <c r="V319" i="6"/>
  <c r="V345" i="6"/>
  <c r="N40" i="54"/>
  <c r="I18" i="83" s="1"/>
  <c r="V324" i="6"/>
  <c r="V322" i="6"/>
  <c r="N38" i="54"/>
  <c r="I16" i="83" s="1"/>
  <c r="V343" i="6"/>
  <c r="N17" i="56"/>
  <c r="N33" i="56" s="1"/>
  <c r="I64" i="83" s="1"/>
  <c r="I52" i="83" s="1"/>
  <c r="V341" i="45"/>
  <c r="V320" i="45"/>
  <c r="V342" i="45"/>
  <c r="V321" i="45"/>
  <c r="V339" i="45"/>
  <c r="V318" i="45"/>
  <c r="V309" i="45"/>
  <c r="V319" i="45"/>
  <c r="V340" i="45"/>
  <c r="V330" i="46"/>
  <c r="V373" i="32"/>
  <c r="V377" i="32" s="1"/>
  <c r="V260" i="32"/>
  <c r="V263" i="32" s="1"/>
  <c r="N138" i="50"/>
  <c r="N212" i="50" s="1"/>
  <c r="V330" i="31"/>
  <c r="V373" i="31"/>
  <c r="V377" i="31" s="1"/>
  <c r="N137" i="50"/>
  <c r="N211" i="50" s="1"/>
  <c r="V240" i="31"/>
  <c r="V243" i="31" s="1"/>
  <c r="V351" i="14"/>
  <c r="V330" i="47"/>
  <c r="V330" i="32"/>
  <c r="V330" i="30"/>
  <c r="V373" i="40"/>
  <c r="V377" i="40" s="1"/>
  <c r="N144" i="50"/>
  <c r="N218" i="50" s="1"/>
  <c r="V260" i="40"/>
  <c r="V263" i="40" s="1"/>
  <c r="V330" i="35"/>
  <c r="V351" i="34"/>
  <c r="V373" i="41"/>
  <c r="V377" i="41" s="1"/>
  <c r="N145" i="50"/>
  <c r="N219" i="50" s="1"/>
  <c r="V260" i="41"/>
  <c r="V263" i="41" s="1"/>
  <c r="V373" i="30"/>
  <c r="V377" i="30" s="1"/>
  <c r="N136" i="50"/>
  <c r="N210" i="50" s="1"/>
  <c r="V260" i="30"/>
  <c r="V263" i="30" s="1"/>
  <c r="V351" i="38"/>
  <c r="V373" i="29"/>
  <c r="V377" i="29" s="1"/>
  <c r="N135" i="50"/>
  <c r="N209" i="50" s="1"/>
  <c r="V260" i="29"/>
  <c r="V263" i="29" s="1"/>
  <c r="V396" i="6"/>
  <c r="N14" i="56"/>
  <c r="V330" i="12"/>
  <c r="V351" i="30"/>
  <c r="V330" i="28"/>
  <c r="V330" i="29"/>
  <c r="V373" i="16"/>
  <c r="V377" i="16" s="1"/>
  <c r="N130" i="50"/>
  <c r="N204" i="50" s="1"/>
  <c r="V260" i="16"/>
  <c r="V263" i="16" s="1"/>
  <c r="X202" i="45"/>
  <c r="X205" i="15"/>
  <c r="V351" i="33"/>
  <c r="V324" i="45"/>
  <c r="V345" i="45"/>
  <c r="V347" i="45"/>
  <c r="V326" i="45"/>
  <c r="V323" i="45"/>
  <c r="V344" i="45"/>
  <c r="V322" i="45"/>
  <c r="V343" i="45"/>
  <c r="V373" i="24"/>
  <c r="V377" i="24" s="1"/>
  <c r="V260" i="24"/>
  <c r="V263" i="24" s="1"/>
  <c r="N132" i="50"/>
  <c r="N206" i="50" s="1"/>
  <c r="V373" i="37"/>
  <c r="V377" i="37" s="1"/>
  <c r="V240" i="37"/>
  <c r="V243" i="37" s="1"/>
  <c r="N142" i="50"/>
  <c r="N216" i="50" s="1"/>
  <c r="V373" i="46"/>
  <c r="V377" i="46" s="1"/>
  <c r="N149" i="50"/>
  <c r="N223" i="50" s="1"/>
  <c r="V240" i="46"/>
  <c r="V243" i="46" s="1"/>
  <c r="V330" i="41"/>
  <c r="V330" i="40"/>
  <c r="V351" i="12"/>
  <c r="V330" i="24"/>
  <c r="X205" i="32"/>
  <c r="X208" i="32" s="1"/>
  <c r="X210" i="32" s="1"/>
  <c r="X212" i="32" s="1"/>
  <c r="V373" i="25"/>
  <c r="V377" i="25" s="1"/>
  <c r="V260" i="25"/>
  <c r="V263" i="25" s="1"/>
  <c r="N133" i="50"/>
  <c r="N207" i="50" s="1"/>
  <c r="V330" i="15"/>
  <c r="V330" i="43"/>
  <c r="V330" i="44"/>
  <c r="V373" i="35"/>
  <c r="V377" i="35" s="1"/>
  <c r="V260" i="35"/>
  <c r="V263" i="35" s="1"/>
  <c r="N141" i="50"/>
  <c r="N215" i="50" s="1"/>
  <c r="N41" i="54"/>
  <c r="I19" i="83" s="1"/>
  <c r="V346" i="6"/>
  <c r="V325" i="6"/>
  <c r="V347" i="6"/>
  <c r="V326" i="6"/>
  <c r="N42" i="54"/>
  <c r="I20" i="83" s="1"/>
  <c r="N39" i="54"/>
  <c r="I17" i="83" s="1"/>
  <c r="V344" i="6"/>
  <c r="V323" i="6"/>
  <c r="V349" i="6"/>
  <c r="V328" i="6"/>
  <c r="N44" i="54"/>
  <c r="I22" i="83" s="1"/>
  <c r="V327" i="6"/>
  <c r="V348" i="6"/>
  <c r="N43" i="54"/>
  <c r="I21" i="83" s="1"/>
  <c r="V328" i="45"/>
  <c r="V349" i="45"/>
  <c r="V396" i="45"/>
  <c r="V346" i="45"/>
  <c r="V325" i="45"/>
  <c r="V373" i="38"/>
  <c r="V377" i="38" s="1"/>
  <c r="N143" i="50"/>
  <c r="N217" i="50" s="1"/>
  <c r="V240" i="38"/>
  <c r="V243" i="38" s="1"/>
  <c r="V373" i="14"/>
  <c r="V377" i="14" s="1"/>
  <c r="V260" i="14"/>
  <c r="V263" i="14" s="1"/>
  <c r="N128" i="50"/>
  <c r="N202" i="50" s="1"/>
  <c r="V373" i="33"/>
  <c r="V377" i="33" s="1"/>
  <c r="N139" i="50"/>
  <c r="N213" i="50" s="1"/>
  <c r="V260" i="33"/>
  <c r="V263" i="33" s="1"/>
  <c r="V351" i="41"/>
  <c r="V330" i="37"/>
  <c r="V351" i="40"/>
  <c r="V351" i="24"/>
  <c r="V373" i="28"/>
  <c r="V377" i="28" s="1"/>
  <c r="N134" i="50"/>
  <c r="N208" i="50" s="1"/>
  <c r="V260" i="28"/>
  <c r="V263" i="28" s="1"/>
  <c r="V351" i="28"/>
  <c r="V351" i="35"/>
  <c r="V330" i="17"/>
  <c r="V373" i="44"/>
  <c r="V377" i="44" s="1"/>
  <c r="V240" i="44"/>
  <c r="V243" i="44" s="1"/>
  <c r="N147" i="50"/>
  <c r="N221" i="50" s="1"/>
  <c r="V330" i="38"/>
  <c r="V351" i="29"/>
  <c r="U330" i="41"/>
  <c r="U373" i="31"/>
  <c r="U377" i="31" s="1"/>
  <c r="M137" i="50"/>
  <c r="M211" i="50" s="1"/>
  <c r="U240" i="31"/>
  <c r="U243" i="31" s="1"/>
  <c r="U330" i="33"/>
  <c r="U373" i="15"/>
  <c r="U377" i="15" s="1"/>
  <c r="M129" i="50"/>
  <c r="M203" i="50" s="1"/>
  <c r="U260" i="15"/>
  <c r="U263" i="15" s="1"/>
  <c r="U330" i="38"/>
  <c r="U373" i="28"/>
  <c r="U377" i="28" s="1"/>
  <c r="M134" i="50"/>
  <c r="M208" i="50" s="1"/>
  <c r="U260" i="28"/>
  <c r="U263" i="28" s="1"/>
  <c r="U324" i="45"/>
  <c r="U345" i="45"/>
  <c r="U342" i="45"/>
  <c r="U321" i="45"/>
  <c r="U330" i="12"/>
  <c r="U373" i="47"/>
  <c r="U377" i="47" s="1"/>
  <c r="U240" i="47"/>
  <c r="U243" i="47" s="1"/>
  <c r="M150" i="50"/>
  <c r="M224" i="50" s="1"/>
  <c r="U351" i="40"/>
  <c r="U373" i="30"/>
  <c r="U377" i="30" s="1"/>
  <c r="U260" i="30"/>
  <c r="U263" i="30" s="1"/>
  <c r="M136" i="50"/>
  <c r="M210" i="50" s="1"/>
  <c r="U373" i="17"/>
  <c r="U377" i="17" s="1"/>
  <c r="U260" i="17"/>
  <c r="U263" i="17" s="1"/>
  <c r="M131" i="50"/>
  <c r="M205" i="50" s="1"/>
  <c r="U323" i="6"/>
  <c r="M39" i="54"/>
  <c r="H17" i="83" s="1"/>
  <c r="U344" i="6"/>
  <c r="U349" i="6"/>
  <c r="U328" i="6"/>
  <c r="M44" i="54"/>
  <c r="H22" i="83" s="1"/>
  <c r="U351" i="25"/>
  <c r="U373" i="12"/>
  <c r="U377" i="12" s="1"/>
  <c r="M127" i="50"/>
  <c r="M201" i="50" s="1"/>
  <c r="U260" i="12"/>
  <c r="U263" i="12" s="1"/>
  <c r="U396" i="45"/>
  <c r="U349" i="45"/>
  <c r="U328" i="45"/>
  <c r="U373" i="25"/>
  <c r="U377" i="25" s="1"/>
  <c r="M133" i="50"/>
  <c r="M207" i="50" s="1"/>
  <c r="U260" i="25"/>
  <c r="U263" i="25" s="1"/>
  <c r="U351" i="37"/>
  <c r="U330" i="44"/>
  <c r="U330" i="24"/>
  <c r="U260" i="33"/>
  <c r="U263" i="33" s="1"/>
  <c r="M139" i="50"/>
  <c r="M213" i="50" s="1"/>
  <c r="U373" i="33"/>
  <c r="U377" i="33" s="1"/>
  <c r="U330" i="40"/>
  <c r="U342" i="6"/>
  <c r="M37" i="54"/>
  <c r="H15" i="83" s="1"/>
  <c r="U321" i="6"/>
  <c r="M42" i="54"/>
  <c r="H20" i="83" s="1"/>
  <c r="U326" i="6"/>
  <c r="U347" i="6"/>
  <c r="U318" i="6"/>
  <c r="U339" i="6"/>
  <c r="U309" i="6"/>
  <c r="M34" i="54"/>
  <c r="U238" i="6"/>
  <c r="U259" i="6"/>
  <c r="U212" i="6"/>
  <c r="M52" i="50" s="1"/>
  <c r="U324" i="6"/>
  <c r="M40" i="54"/>
  <c r="H18" i="83" s="1"/>
  <c r="U345" i="6"/>
  <c r="M80" i="54" s="1"/>
  <c r="H34" i="83" s="1"/>
  <c r="U373" i="24"/>
  <c r="U377" i="24" s="1"/>
  <c r="U260" i="24"/>
  <c r="U263" i="24" s="1"/>
  <c r="M132" i="50"/>
  <c r="M206" i="50" s="1"/>
  <c r="U330" i="25"/>
  <c r="U351" i="46"/>
  <c r="U373" i="43"/>
  <c r="U377" i="43" s="1"/>
  <c r="U240" i="43"/>
  <c r="U243" i="43" s="1"/>
  <c r="M146" i="50"/>
  <c r="M220" i="50" s="1"/>
  <c r="U373" i="34"/>
  <c r="U377" i="34" s="1"/>
  <c r="U260" i="34"/>
  <c r="U263" i="34" s="1"/>
  <c r="M140" i="50"/>
  <c r="M214" i="50" s="1"/>
  <c r="U330" i="31"/>
  <c r="U351" i="28"/>
  <c r="U330" i="17"/>
  <c r="U339" i="45"/>
  <c r="U318" i="45"/>
  <c r="U309" i="45"/>
  <c r="U319" i="45"/>
  <c r="U340" i="45"/>
  <c r="U351" i="14"/>
  <c r="U351" i="43"/>
  <c r="U351" i="30"/>
  <c r="U351" i="44"/>
  <c r="U351" i="47"/>
  <c r="U351" i="41"/>
  <c r="U348" i="6"/>
  <c r="M43" i="54"/>
  <c r="H21" i="83" s="1"/>
  <c r="U327" i="6"/>
  <c r="U396" i="6"/>
  <c r="M14" i="56"/>
  <c r="M17" i="56"/>
  <c r="M33" i="56" s="1"/>
  <c r="H64" i="83" s="1"/>
  <c r="H52" i="83" s="1"/>
  <c r="M36" i="54"/>
  <c r="H14" i="83" s="1"/>
  <c r="U341" i="6"/>
  <c r="U320" i="6"/>
  <c r="U322" i="6"/>
  <c r="M38" i="54"/>
  <c r="H16" i="83" s="1"/>
  <c r="U343" i="6"/>
  <c r="U373" i="35"/>
  <c r="U377" i="35" s="1"/>
  <c r="M141" i="50"/>
  <c r="M215" i="50" s="1"/>
  <c r="U260" i="35"/>
  <c r="U263" i="35" s="1"/>
  <c r="U330" i="35"/>
  <c r="U330" i="29"/>
  <c r="U351" i="33"/>
  <c r="U351" i="38"/>
  <c r="U330" i="34"/>
  <c r="U373" i="46"/>
  <c r="U377" i="46" s="1"/>
  <c r="U240" i="46"/>
  <c r="U243" i="46" s="1"/>
  <c r="M149" i="50"/>
  <c r="M223" i="50" s="1"/>
  <c r="U330" i="16"/>
  <c r="U346" i="45"/>
  <c r="U325" i="45"/>
  <c r="U343" i="45"/>
  <c r="U322" i="45"/>
  <c r="U347" i="45"/>
  <c r="U326" i="45"/>
  <c r="U351" i="32"/>
  <c r="U330" i="14"/>
  <c r="U373" i="44"/>
  <c r="U377" i="44" s="1"/>
  <c r="U240" i="44"/>
  <c r="U243" i="44" s="1"/>
  <c r="M147" i="50"/>
  <c r="M221" i="50" s="1"/>
  <c r="X205" i="25"/>
  <c r="U351" i="12"/>
  <c r="U330" i="43"/>
  <c r="U330" i="15"/>
  <c r="U330" i="30"/>
  <c r="U373" i="29"/>
  <c r="U377" i="29" s="1"/>
  <c r="U260" i="29"/>
  <c r="U263" i="29" s="1"/>
  <c r="M135" i="50"/>
  <c r="M209" i="50" s="1"/>
  <c r="U373" i="16"/>
  <c r="U377" i="16" s="1"/>
  <c r="M130" i="50"/>
  <c r="M204" i="50" s="1"/>
  <c r="U260" i="16"/>
  <c r="U263" i="16" s="1"/>
  <c r="U373" i="37"/>
  <c r="U377" i="37" s="1"/>
  <c r="M142" i="50"/>
  <c r="M216" i="50" s="1"/>
  <c r="U240" i="37"/>
  <c r="U243" i="37" s="1"/>
  <c r="M19" i="56"/>
  <c r="M35" i="56" s="1"/>
  <c r="H66" i="83" s="1"/>
  <c r="H54" i="83" s="1"/>
  <c r="U319" i="6"/>
  <c r="M35" i="54"/>
  <c r="H13" i="83" s="1"/>
  <c r="U340" i="6"/>
  <c r="U325" i="6"/>
  <c r="U346" i="6"/>
  <c r="M41" i="54"/>
  <c r="H19" i="83" s="1"/>
  <c r="M27" i="55"/>
  <c r="U351" i="35"/>
  <c r="U373" i="14"/>
  <c r="U377" i="14" s="1"/>
  <c r="M128" i="50"/>
  <c r="M202" i="50" s="1"/>
  <c r="U260" i="14"/>
  <c r="U263" i="14" s="1"/>
  <c r="U330" i="46"/>
  <c r="U373" i="41"/>
  <c r="U377" i="41" s="1"/>
  <c r="U260" i="41"/>
  <c r="U263" i="41" s="1"/>
  <c r="M145" i="50"/>
  <c r="M219" i="50" s="1"/>
  <c r="U373" i="38"/>
  <c r="U377" i="38" s="1"/>
  <c r="M143" i="50"/>
  <c r="M217" i="50" s="1"/>
  <c r="U240" i="38"/>
  <c r="U243" i="38" s="1"/>
  <c r="U351" i="34"/>
  <c r="U351" i="31"/>
  <c r="U330" i="28"/>
  <c r="U351" i="16"/>
  <c r="U373" i="40"/>
  <c r="U377" i="40" s="1"/>
  <c r="M144" i="50"/>
  <c r="M218" i="50" s="1"/>
  <c r="U260" i="40"/>
  <c r="U263" i="40" s="1"/>
  <c r="U351" i="17"/>
  <c r="U348" i="45"/>
  <c r="U327" i="45"/>
  <c r="U320" i="45"/>
  <c r="U341" i="45"/>
  <c r="U344" i="45"/>
  <c r="U323" i="45"/>
  <c r="U218" i="45"/>
  <c r="U239" i="45"/>
  <c r="U192" i="45"/>
  <c r="M74" i="50" s="1"/>
  <c r="M111" i="50" s="1"/>
  <c r="U373" i="32"/>
  <c r="U377" i="32" s="1"/>
  <c r="M138" i="50"/>
  <c r="M212" i="50" s="1"/>
  <c r="U260" i="32"/>
  <c r="U263" i="32" s="1"/>
  <c r="U330" i="32"/>
  <c r="T373" i="33"/>
  <c r="T377" i="33" s="1"/>
  <c r="T260" i="33"/>
  <c r="T263" i="33" s="1"/>
  <c r="L139" i="50"/>
  <c r="L213" i="50" s="1"/>
  <c r="T259" i="6"/>
  <c r="T238" i="6"/>
  <c r="T212" i="6"/>
  <c r="L52" i="50" s="1"/>
  <c r="T373" i="35"/>
  <c r="T377" i="35" s="1"/>
  <c r="T260" i="35"/>
  <c r="T263" i="35" s="1"/>
  <c r="L141" i="50"/>
  <c r="L215" i="50" s="1"/>
  <c r="T351" i="31"/>
  <c r="T373" i="38"/>
  <c r="T377" i="38" s="1"/>
  <c r="L143" i="50"/>
  <c r="L217" i="50" s="1"/>
  <c r="T240" i="38"/>
  <c r="T243" i="38" s="1"/>
  <c r="T373" i="17"/>
  <c r="T377" i="17" s="1"/>
  <c r="L131" i="50"/>
  <c r="L205" i="50" s="1"/>
  <c r="T260" i="17"/>
  <c r="T263" i="17" s="1"/>
  <c r="T351" i="43"/>
  <c r="T351" i="33"/>
  <c r="T345" i="45"/>
  <c r="T324" i="45"/>
  <c r="T218" i="45"/>
  <c r="T239" i="45"/>
  <c r="T192" i="45"/>
  <c r="L74" i="50" s="1"/>
  <c r="L111" i="50" s="1"/>
  <c r="T351" i="38"/>
  <c r="T330" i="16"/>
  <c r="T330" i="25"/>
  <c r="T351" i="24"/>
  <c r="T373" i="47"/>
  <c r="T377" i="47" s="1"/>
  <c r="L150" i="50"/>
  <c r="L224" i="50" s="1"/>
  <c r="T240" i="47"/>
  <c r="T243" i="47" s="1"/>
  <c r="T373" i="43"/>
  <c r="T377" i="43" s="1"/>
  <c r="L146" i="50"/>
  <c r="L220" i="50" s="1"/>
  <c r="T240" i="43"/>
  <c r="T243" i="43" s="1"/>
  <c r="T373" i="30"/>
  <c r="T377" i="30" s="1"/>
  <c r="L136" i="50"/>
  <c r="L210" i="50" s="1"/>
  <c r="T260" i="30"/>
  <c r="T263" i="30" s="1"/>
  <c r="T330" i="44"/>
  <c r="T373" i="44"/>
  <c r="T377" i="44" s="1"/>
  <c r="T240" i="44"/>
  <c r="T243" i="44" s="1"/>
  <c r="L147" i="50"/>
  <c r="L221" i="50" s="1"/>
  <c r="T330" i="33"/>
  <c r="T330" i="35"/>
  <c r="T351" i="34"/>
  <c r="T330" i="32"/>
  <c r="T347" i="45"/>
  <c r="T326" i="45"/>
  <c r="T339" i="45"/>
  <c r="T309" i="45"/>
  <c r="T318" i="45"/>
  <c r="X205" i="28"/>
  <c r="X222" i="6"/>
  <c r="T373" i="16"/>
  <c r="T377" i="16" s="1"/>
  <c r="T260" i="16"/>
  <c r="T263" i="16" s="1"/>
  <c r="L130" i="50"/>
  <c r="L204" i="50" s="1"/>
  <c r="T330" i="28"/>
  <c r="T351" i="47"/>
  <c r="L42" i="54"/>
  <c r="G20" i="83" s="1"/>
  <c r="T326" i="6"/>
  <c r="T347" i="6"/>
  <c r="L17" i="56"/>
  <c r="L33" i="56" s="1"/>
  <c r="G64" i="83" s="1"/>
  <c r="G52" i="83" s="1"/>
  <c r="T339" i="6"/>
  <c r="T318" i="6"/>
  <c r="L34" i="54"/>
  <c r="T309" i="6"/>
  <c r="L43" i="54"/>
  <c r="G21" i="83" s="1"/>
  <c r="T348" i="6"/>
  <c r="T327" i="6"/>
  <c r="T349" i="6"/>
  <c r="L44" i="54"/>
  <c r="G22" i="83" s="1"/>
  <c r="T328" i="6"/>
  <c r="T373" i="34"/>
  <c r="T377" i="34" s="1"/>
  <c r="T260" i="34"/>
  <c r="T263" i="34" s="1"/>
  <c r="L140" i="50"/>
  <c r="L214" i="50" s="1"/>
  <c r="T330" i="24"/>
  <c r="T373" i="40"/>
  <c r="T377" i="40" s="1"/>
  <c r="T260" i="40"/>
  <c r="T263" i="40" s="1"/>
  <c r="L144" i="50"/>
  <c r="L218" i="50" s="1"/>
  <c r="T330" i="31"/>
  <c r="L145" i="50"/>
  <c r="L219" i="50" s="1"/>
  <c r="T260" i="41"/>
  <c r="T263" i="41" s="1"/>
  <c r="T373" i="41"/>
  <c r="T377" i="41" s="1"/>
  <c r="T373" i="28"/>
  <c r="T377" i="28" s="1"/>
  <c r="T260" i="28"/>
  <c r="T263" i="28" s="1"/>
  <c r="L134" i="50"/>
  <c r="L208" i="50" s="1"/>
  <c r="T330" i="41"/>
  <c r="T351" i="44"/>
  <c r="T351" i="46"/>
  <c r="T373" i="29"/>
  <c r="T377" i="29" s="1"/>
  <c r="L135" i="50"/>
  <c r="L209" i="50" s="1"/>
  <c r="T260" i="29"/>
  <c r="T263" i="29" s="1"/>
  <c r="T323" i="45"/>
  <c r="T344" i="45"/>
  <c r="T320" i="45"/>
  <c r="T341" i="45"/>
  <c r="T340" i="45"/>
  <c r="T319" i="45"/>
  <c r="T321" i="45"/>
  <c r="T342" i="45"/>
  <c r="T351" i="30"/>
  <c r="T373" i="12"/>
  <c r="T377" i="12" s="1"/>
  <c r="T260" i="12"/>
  <c r="T263" i="12" s="1"/>
  <c r="L127" i="50"/>
  <c r="L201" i="50" s="1"/>
  <c r="T396" i="6"/>
  <c r="L14" i="56"/>
  <c r="T324" i="6"/>
  <c r="T345" i="6"/>
  <c r="L40" i="54"/>
  <c r="G18" i="83" s="1"/>
  <c r="L35" i="54"/>
  <c r="G13" i="83" s="1"/>
  <c r="T319" i="6"/>
  <c r="T340" i="6"/>
  <c r="T351" i="14"/>
  <c r="T373" i="25"/>
  <c r="T377" i="25" s="1"/>
  <c r="T260" i="25"/>
  <c r="T263" i="25" s="1"/>
  <c r="L133" i="50"/>
  <c r="L207" i="50" s="1"/>
  <c r="T373" i="24"/>
  <c r="T377" i="24" s="1"/>
  <c r="L132" i="50"/>
  <c r="L206" i="50" s="1"/>
  <c r="T260" i="24"/>
  <c r="T263" i="24" s="1"/>
  <c r="T343" i="45"/>
  <c r="T322" i="45"/>
  <c r="T373" i="37"/>
  <c r="T377" i="37" s="1"/>
  <c r="T240" i="37"/>
  <c r="T243" i="37" s="1"/>
  <c r="L142" i="50"/>
  <c r="L216" i="50" s="1"/>
  <c r="T320" i="6"/>
  <c r="L36" i="54"/>
  <c r="G14" i="83" s="1"/>
  <c r="T341" i="6"/>
  <c r="T323" i="6"/>
  <c r="T344" i="6"/>
  <c r="L39" i="54"/>
  <c r="G17" i="83" s="1"/>
  <c r="T330" i="17"/>
  <c r="T330" i="40"/>
  <c r="T373" i="32"/>
  <c r="T377" i="32" s="1"/>
  <c r="L138" i="50"/>
  <c r="L212" i="50" s="1"/>
  <c r="T260" i="32"/>
  <c r="T263" i="32" s="1"/>
  <c r="X205" i="24"/>
  <c r="T330" i="37"/>
  <c r="T351" i="28"/>
  <c r="T330" i="29"/>
  <c r="T346" i="6"/>
  <c r="L41" i="54"/>
  <c r="G19" i="83" s="1"/>
  <c r="T325" i="6"/>
  <c r="L18" i="56"/>
  <c r="L34" i="56" s="1"/>
  <c r="G65" i="83" s="1"/>
  <c r="G53" i="83" s="1"/>
  <c r="L37" i="54"/>
  <c r="G15" i="83" s="1"/>
  <c r="T321" i="6"/>
  <c r="T342" i="6"/>
  <c r="T343" i="6"/>
  <c r="L38" i="54"/>
  <c r="G16" i="83" s="1"/>
  <c r="T322" i="6"/>
  <c r="L58" i="54" s="1"/>
  <c r="L27" i="55"/>
  <c r="T373" i="15"/>
  <c r="T377" i="15" s="1"/>
  <c r="T260" i="15"/>
  <c r="T263" i="15" s="1"/>
  <c r="L129" i="50"/>
  <c r="L203" i="50" s="1"/>
  <c r="T351" i="15"/>
  <c r="T351" i="17"/>
  <c r="T351" i="16"/>
  <c r="T351" i="25"/>
  <c r="T330" i="12"/>
  <c r="T351" i="40"/>
  <c r="T330" i="14"/>
  <c r="T373" i="46"/>
  <c r="T377" i="46" s="1"/>
  <c r="T240" i="46"/>
  <c r="T243" i="46" s="1"/>
  <c r="L149" i="50"/>
  <c r="L223" i="50" s="1"/>
  <c r="T373" i="14"/>
  <c r="T377" i="14" s="1"/>
  <c r="T260" i="14"/>
  <c r="T263" i="14" s="1"/>
  <c r="L128" i="50"/>
  <c r="L202" i="50" s="1"/>
  <c r="T373" i="31"/>
  <c r="T377" i="31" s="1"/>
  <c r="T240" i="31"/>
  <c r="T243" i="31" s="1"/>
  <c r="L137" i="50"/>
  <c r="L211" i="50" s="1"/>
  <c r="T351" i="41"/>
  <c r="T330" i="43"/>
  <c r="T330" i="46"/>
  <c r="T330" i="34"/>
  <c r="T351" i="32"/>
  <c r="T346" i="45"/>
  <c r="T325" i="45"/>
  <c r="T327" i="45"/>
  <c r="T348" i="45"/>
  <c r="T396" i="45"/>
  <c r="T328" i="45"/>
  <c r="T349" i="45"/>
  <c r="T330" i="30"/>
  <c r="S373" i="28"/>
  <c r="S377" i="28" s="1"/>
  <c r="S260" i="28"/>
  <c r="S263" i="28" s="1"/>
  <c r="K134" i="50"/>
  <c r="S327" i="6"/>
  <c r="K43" i="54"/>
  <c r="F21" i="83" s="1"/>
  <c r="S348" i="6"/>
  <c r="K34" i="54"/>
  <c r="S318" i="6"/>
  <c r="S309" i="6"/>
  <c r="S339" i="6"/>
  <c r="S351" i="25"/>
  <c r="S373" i="31"/>
  <c r="S377" i="31" s="1"/>
  <c r="K137" i="50"/>
  <c r="K211" i="50" s="1"/>
  <c r="S240" i="31"/>
  <c r="S243" i="31" s="1"/>
  <c r="S351" i="46"/>
  <c r="S341" i="45"/>
  <c r="S320" i="45"/>
  <c r="S373" i="30"/>
  <c r="S377" i="30" s="1"/>
  <c r="S260" i="30"/>
  <c r="S263" i="30" s="1"/>
  <c r="K136" i="50"/>
  <c r="K210" i="50" s="1"/>
  <c r="S351" i="16"/>
  <c r="S351" i="41"/>
  <c r="S330" i="28"/>
  <c r="S373" i="47"/>
  <c r="S377" i="47" s="1"/>
  <c r="S240" i="47"/>
  <c r="S243" i="47" s="1"/>
  <c r="K150" i="50"/>
  <c r="K224" i="50" s="1"/>
  <c r="S330" i="24"/>
  <c r="S373" i="25"/>
  <c r="S377" i="25" s="1"/>
  <c r="K133" i="50"/>
  <c r="K207" i="50" s="1"/>
  <c r="S260" i="25"/>
  <c r="S263" i="25" s="1"/>
  <c r="X185" i="31"/>
  <c r="X188" i="31" s="1"/>
  <c r="X190" i="31" s="1"/>
  <c r="X192" i="31" s="1"/>
  <c r="S351" i="47"/>
  <c r="K18" i="56"/>
  <c r="K34" i="56" s="1"/>
  <c r="F65" i="83" s="1"/>
  <c r="F53" i="83" s="1"/>
  <c r="K36" i="54"/>
  <c r="F14" i="83" s="1"/>
  <c r="S320" i="6"/>
  <c r="S341" i="6"/>
  <c r="S396" i="6"/>
  <c r="K14" i="56"/>
  <c r="S323" i="6"/>
  <c r="K39" i="54"/>
  <c r="F17" i="83" s="1"/>
  <c r="S344" i="6"/>
  <c r="S330" i="30"/>
  <c r="S351" i="33"/>
  <c r="S330" i="15"/>
  <c r="S330" i="17"/>
  <c r="S349" i="45"/>
  <c r="S328" i="45"/>
  <c r="S340" i="45"/>
  <c r="S319" i="45"/>
  <c r="S373" i="33"/>
  <c r="S377" i="33" s="1"/>
  <c r="K139" i="50"/>
  <c r="K213" i="50" s="1"/>
  <c r="S260" i="33"/>
  <c r="S263" i="33" s="1"/>
  <c r="S330" i="41"/>
  <c r="S330" i="37"/>
  <c r="S330" i="31"/>
  <c r="S373" i="32"/>
  <c r="S377" i="32" s="1"/>
  <c r="S260" i="32"/>
  <c r="K138" i="50"/>
  <c r="K212" i="50" s="1"/>
  <c r="S351" i="35"/>
  <c r="S351" i="38"/>
  <c r="S351" i="28"/>
  <c r="S373" i="24"/>
  <c r="S377" i="24" s="1"/>
  <c r="K132" i="50"/>
  <c r="K206" i="50" s="1"/>
  <c r="S260" i="24"/>
  <c r="S263" i="24" s="1"/>
  <c r="S330" i="43"/>
  <c r="S373" i="46"/>
  <c r="S377" i="46" s="1"/>
  <c r="S240" i="46"/>
  <c r="S243" i="46" s="1"/>
  <c r="K149" i="50"/>
  <c r="K223" i="50" s="1"/>
  <c r="S351" i="34"/>
  <c r="S351" i="24"/>
  <c r="S373" i="15"/>
  <c r="S377" i="15" s="1"/>
  <c r="S260" i="15"/>
  <c r="S263" i="15" s="1"/>
  <c r="K129" i="50"/>
  <c r="K203" i="50" s="1"/>
  <c r="X205" i="12"/>
  <c r="X208" i="12" s="1"/>
  <c r="X210" i="12" s="1"/>
  <c r="X212" i="12" s="1"/>
  <c r="X205" i="41"/>
  <c r="X208" i="41" s="1"/>
  <c r="X210" i="41" s="1"/>
  <c r="X212" i="41" s="1"/>
  <c r="S373" i="38"/>
  <c r="S377" i="38" s="1"/>
  <c r="K143" i="50"/>
  <c r="K217" i="50" s="1"/>
  <c r="S240" i="38"/>
  <c r="S243" i="38" s="1"/>
  <c r="K208" i="50"/>
  <c r="S330" i="47"/>
  <c r="S340" i="6"/>
  <c r="S319" i="6"/>
  <c r="K35" i="54"/>
  <c r="F13" i="83" s="1"/>
  <c r="K20" i="56"/>
  <c r="K36" i="56" s="1"/>
  <c r="F67" i="83" s="1"/>
  <c r="F55" i="83" s="1"/>
  <c r="S342" i="6"/>
  <c r="S321" i="6"/>
  <c r="K37" i="54"/>
  <c r="F15" i="83" s="1"/>
  <c r="S351" i="30"/>
  <c r="S330" i="33"/>
  <c r="S373" i="41"/>
  <c r="S377" i="41" s="1"/>
  <c r="S260" i="41"/>
  <c r="S263" i="41" s="1"/>
  <c r="K145" i="50"/>
  <c r="K219" i="50" s="1"/>
  <c r="S326" i="45"/>
  <c r="S347" i="45"/>
  <c r="S339" i="45"/>
  <c r="S309" i="45"/>
  <c r="S318" i="45"/>
  <c r="S345" i="45"/>
  <c r="S324" i="45"/>
  <c r="S218" i="45"/>
  <c r="S192" i="45"/>
  <c r="K74" i="50" s="1"/>
  <c r="K111" i="50" s="1"/>
  <c r="S239" i="45"/>
  <c r="S330" i="16"/>
  <c r="S351" i="31"/>
  <c r="S263" i="32"/>
  <c r="S351" i="40"/>
  <c r="S330" i="38"/>
  <c r="S351" i="12"/>
  <c r="S351" i="43"/>
  <c r="S373" i="44"/>
  <c r="S377" i="44" s="1"/>
  <c r="K147" i="50"/>
  <c r="K221" i="50" s="1"/>
  <c r="S240" i="44"/>
  <c r="S243" i="44" s="1"/>
  <c r="S373" i="40"/>
  <c r="S377" i="40" s="1"/>
  <c r="K144" i="50"/>
  <c r="K218" i="50" s="1"/>
  <c r="S260" i="40"/>
  <c r="S263" i="40" s="1"/>
  <c r="S373" i="29"/>
  <c r="S377" i="29" s="1"/>
  <c r="K135" i="50"/>
  <c r="K209" i="50" s="1"/>
  <c r="S260" i="29"/>
  <c r="S263" i="29" s="1"/>
  <c r="S330" i="34"/>
  <c r="S343" i="6"/>
  <c r="S322" i="6"/>
  <c r="K38" i="54"/>
  <c r="F16" i="83" s="1"/>
  <c r="S346" i="45"/>
  <c r="S325" i="45"/>
  <c r="S321" i="45"/>
  <c r="S342" i="45"/>
  <c r="S330" i="44"/>
  <c r="X205" i="17"/>
  <c r="S351" i="44"/>
  <c r="S330" i="32"/>
  <c r="S373" i="35"/>
  <c r="S377" i="35" s="1"/>
  <c r="S260" i="35"/>
  <c r="S263" i="35" s="1"/>
  <c r="K141" i="50"/>
  <c r="K215" i="50" s="1"/>
  <c r="S351" i="29"/>
  <c r="S349" i="6"/>
  <c r="K44" i="54"/>
  <c r="F22" i="83" s="1"/>
  <c r="S328" i="6"/>
  <c r="S347" i="6"/>
  <c r="K42" i="54"/>
  <c r="F20" i="83" s="1"/>
  <c r="S326" i="6"/>
  <c r="S346" i="6"/>
  <c r="S325" i="6"/>
  <c r="K41" i="54"/>
  <c r="F19" i="83" s="1"/>
  <c r="S345" i="6"/>
  <c r="K40" i="54"/>
  <c r="F18" i="83" s="1"/>
  <c r="S324" i="6"/>
  <c r="S238" i="6"/>
  <c r="S259" i="6"/>
  <c r="S212" i="6"/>
  <c r="K52" i="50" s="1"/>
  <c r="S351" i="14"/>
  <c r="S330" i="25"/>
  <c r="S351" i="17"/>
  <c r="S330" i="46"/>
  <c r="S343" i="45"/>
  <c r="S322" i="45"/>
  <c r="S327" i="45"/>
  <c r="S348" i="45"/>
  <c r="S396" i="45"/>
  <c r="S344" i="45"/>
  <c r="S323" i="45"/>
  <c r="S330" i="40"/>
  <c r="S330" i="35"/>
  <c r="S330" i="12"/>
  <c r="S373" i="43"/>
  <c r="S377" i="43" s="1"/>
  <c r="S240" i="43"/>
  <c r="S243" i="43" s="1"/>
  <c r="K146" i="50"/>
  <c r="K220" i="50" s="1"/>
  <c r="S373" i="16"/>
  <c r="S377" i="16" s="1"/>
  <c r="S260" i="16"/>
  <c r="S263" i="16" s="1"/>
  <c r="K130" i="50"/>
  <c r="K204" i="50" s="1"/>
  <c r="S260" i="34"/>
  <c r="S263" i="34" s="1"/>
  <c r="S373" i="34"/>
  <c r="S377" i="34" s="1"/>
  <c r="K140" i="50"/>
  <c r="K214" i="50" s="1"/>
  <c r="S373" i="37"/>
  <c r="S377" i="37" s="1"/>
  <c r="S240" i="37"/>
  <c r="S243" i="37" s="1"/>
  <c r="K142" i="50"/>
  <c r="K216" i="50" s="1"/>
  <c r="S373" i="17"/>
  <c r="S377" i="17" s="1"/>
  <c r="K131" i="50"/>
  <c r="K205" i="50" s="1"/>
  <c r="S260" i="17"/>
  <c r="S263" i="17" s="1"/>
  <c r="S373" i="12"/>
  <c r="S377" i="12" s="1"/>
  <c r="S260" i="12"/>
  <c r="S263" i="12" s="1"/>
  <c r="K127" i="50"/>
  <c r="K201" i="50" s="1"/>
  <c r="S373" i="14"/>
  <c r="S377" i="14" s="1"/>
  <c r="S260" i="14"/>
  <c r="S263" i="14" s="1"/>
  <c r="K128" i="50"/>
  <c r="K202" i="50" s="1"/>
  <c r="R351" i="25"/>
  <c r="R330" i="43"/>
  <c r="R351" i="14"/>
  <c r="R330" i="29"/>
  <c r="R351" i="35"/>
  <c r="R351" i="41"/>
  <c r="R330" i="16"/>
  <c r="J16" i="56"/>
  <c r="P16" i="56" s="1"/>
  <c r="J17" i="56"/>
  <c r="J33" i="56" s="1"/>
  <c r="R325" i="45"/>
  <c r="R346" i="45"/>
  <c r="R351" i="32"/>
  <c r="J113" i="50"/>
  <c r="P76" i="50"/>
  <c r="J101" i="50"/>
  <c r="P64" i="50"/>
  <c r="J104" i="50"/>
  <c r="P67" i="50"/>
  <c r="R373" i="24"/>
  <c r="R377" i="24" s="1"/>
  <c r="R260" i="24"/>
  <c r="R263" i="24" s="1"/>
  <c r="J132" i="50"/>
  <c r="R351" i="37"/>
  <c r="R325" i="6"/>
  <c r="J41" i="54"/>
  <c r="R346" i="6"/>
  <c r="R330" i="34"/>
  <c r="R218" i="45"/>
  <c r="R192" i="45"/>
  <c r="J74" i="50" s="1"/>
  <c r="R239" i="45"/>
  <c r="R324" i="45"/>
  <c r="R345" i="45"/>
  <c r="R320" i="45"/>
  <c r="R341" i="45"/>
  <c r="R351" i="31"/>
  <c r="R330" i="41"/>
  <c r="X259" i="41"/>
  <c r="R373" i="25"/>
  <c r="R377" i="25" s="1"/>
  <c r="J133" i="50"/>
  <c r="R260" i="25"/>
  <c r="R263" i="25" s="1"/>
  <c r="R351" i="44"/>
  <c r="J105" i="50"/>
  <c r="P68" i="50"/>
  <c r="R351" i="47"/>
  <c r="R373" i="47"/>
  <c r="R377" i="47" s="1"/>
  <c r="R240" i="47"/>
  <c r="R243" i="47" s="1"/>
  <c r="X218" i="47"/>
  <c r="J150" i="50"/>
  <c r="X259" i="30"/>
  <c r="J106" i="50"/>
  <c r="P69" i="50"/>
  <c r="R373" i="32"/>
  <c r="R377" i="32" s="1"/>
  <c r="R260" i="32"/>
  <c r="J138" i="50"/>
  <c r="X238" i="32"/>
  <c r="X259" i="35"/>
  <c r="R330" i="46"/>
  <c r="R330" i="33"/>
  <c r="R330" i="12"/>
  <c r="R373" i="44"/>
  <c r="R377" i="44" s="1"/>
  <c r="J147" i="50"/>
  <c r="R240" i="44"/>
  <c r="R243" i="44" s="1"/>
  <c r="X218" i="44"/>
  <c r="J93" i="50"/>
  <c r="P56" i="50"/>
  <c r="X259" i="33"/>
  <c r="R373" i="12"/>
  <c r="R377" i="12" s="1"/>
  <c r="J127" i="50"/>
  <c r="R260" i="12"/>
  <c r="R263" i="12" s="1"/>
  <c r="R373" i="34"/>
  <c r="R377" i="34" s="1"/>
  <c r="J140" i="50"/>
  <c r="R260" i="34"/>
  <c r="X238" i="34"/>
  <c r="R373" i="43"/>
  <c r="R377" i="43" s="1"/>
  <c r="R240" i="43"/>
  <c r="J146" i="50"/>
  <c r="X218" i="43"/>
  <c r="R330" i="40"/>
  <c r="R330" i="38"/>
  <c r="J112" i="50"/>
  <c r="P75" i="50"/>
  <c r="J19" i="56"/>
  <c r="J27" i="55"/>
  <c r="R319" i="6"/>
  <c r="J35" i="54"/>
  <c r="R340" i="6"/>
  <c r="R324" i="6"/>
  <c r="J60" i="54" s="1"/>
  <c r="R345" i="6"/>
  <c r="J80" i="54" s="1"/>
  <c r="J40" i="54"/>
  <c r="R351" i="28"/>
  <c r="R328" i="45"/>
  <c r="R349" i="45"/>
  <c r="J108" i="50"/>
  <c r="P71" i="50"/>
  <c r="J99" i="50"/>
  <c r="P62" i="50"/>
  <c r="R351" i="46"/>
  <c r="R330" i="15"/>
  <c r="P55" i="50"/>
  <c r="J92" i="50"/>
  <c r="J97" i="50"/>
  <c r="P60" i="50"/>
  <c r="X239" i="43"/>
  <c r="P54" i="50"/>
  <c r="J91" i="50"/>
  <c r="P61" i="50"/>
  <c r="J98" i="50"/>
  <c r="R330" i="30"/>
  <c r="R351" i="38"/>
  <c r="X239" i="46"/>
  <c r="R330" i="25"/>
  <c r="R373" i="31"/>
  <c r="R377" i="31" s="1"/>
  <c r="J137" i="50"/>
  <c r="X218" i="31"/>
  <c r="R240" i="31"/>
  <c r="R243" i="31" s="1"/>
  <c r="R373" i="40"/>
  <c r="R377" i="40" s="1"/>
  <c r="J144" i="50"/>
  <c r="R260" i="40"/>
  <c r="R263" i="40" s="1"/>
  <c r="X238" i="40"/>
  <c r="R351" i="43"/>
  <c r="R351" i="29"/>
  <c r="R330" i="35"/>
  <c r="R396" i="45"/>
  <c r="R327" i="45"/>
  <c r="R348" i="45"/>
  <c r="R323" i="45"/>
  <c r="R344" i="45"/>
  <c r="R319" i="45"/>
  <c r="R340" i="45"/>
  <c r="R330" i="32"/>
  <c r="R373" i="41"/>
  <c r="R377" i="41" s="1"/>
  <c r="J145" i="50"/>
  <c r="R260" i="41"/>
  <c r="X238" i="41"/>
  <c r="R330" i="44"/>
  <c r="R373" i="17"/>
  <c r="R377" i="17" s="1"/>
  <c r="J131" i="50"/>
  <c r="R260" i="17"/>
  <c r="R263" i="17" s="1"/>
  <c r="R373" i="37"/>
  <c r="R377" i="37" s="1"/>
  <c r="R240" i="37"/>
  <c r="J142" i="50"/>
  <c r="X218" i="37"/>
  <c r="R330" i="47"/>
  <c r="R373" i="30"/>
  <c r="R377" i="30" s="1"/>
  <c r="J136" i="50"/>
  <c r="R260" i="30"/>
  <c r="X238" i="30"/>
  <c r="R373" i="35"/>
  <c r="R377" i="35" s="1"/>
  <c r="J141" i="50"/>
  <c r="R260" i="35"/>
  <c r="X238" i="35"/>
  <c r="J95" i="50"/>
  <c r="P58" i="50"/>
  <c r="R351" i="15"/>
  <c r="R373" i="15"/>
  <c r="R377" i="15" s="1"/>
  <c r="R260" i="15"/>
  <c r="R263" i="15" s="1"/>
  <c r="J129" i="50"/>
  <c r="R330" i="37"/>
  <c r="R373" i="16"/>
  <c r="R377" i="16" s="1"/>
  <c r="J130" i="50"/>
  <c r="R260" i="16"/>
  <c r="R263" i="16" s="1"/>
  <c r="J102" i="50"/>
  <c r="P65" i="50"/>
  <c r="R373" i="28"/>
  <c r="R377" i="28" s="1"/>
  <c r="J134" i="50"/>
  <c r="R260" i="28"/>
  <c r="R263" i="28" s="1"/>
  <c r="J90" i="50"/>
  <c r="P53" i="50"/>
  <c r="R373" i="14"/>
  <c r="R377" i="14" s="1"/>
  <c r="J128" i="50"/>
  <c r="R260" i="14"/>
  <c r="R263" i="14" s="1"/>
  <c r="X259" i="29"/>
  <c r="R351" i="17"/>
  <c r="R373" i="46"/>
  <c r="R377" i="46" s="1"/>
  <c r="R240" i="46"/>
  <c r="J149" i="50"/>
  <c r="X218" i="46"/>
  <c r="R351" i="24"/>
  <c r="R396" i="6"/>
  <c r="J14" i="56"/>
  <c r="J15" i="56"/>
  <c r="J20" i="56"/>
  <c r="R321" i="6"/>
  <c r="R342" i="6"/>
  <c r="J37" i="54"/>
  <c r="R327" i="6"/>
  <c r="J43" i="54"/>
  <c r="R348" i="6"/>
  <c r="R322" i="6"/>
  <c r="R343" i="6"/>
  <c r="J38" i="54"/>
  <c r="R330" i="28"/>
  <c r="J100" i="50"/>
  <c r="P63" i="50"/>
  <c r="X259" i="40"/>
  <c r="R321" i="45"/>
  <c r="R342" i="45"/>
  <c r="J96" i="50"/>
  <c r="P59" i="50"/>
  <c r="X239" i="37"/>
  <c r="X239" i="38"/>
  <c r="R351" i="12"/>
  <c r="J110" i="50"/>
  <c r="P73" i="50"/>
  <c r="J103" i="50"/>
  <c r="P66" i="50"/>
  <c r="R205" i="6"/>
  <c r="X205" i="6" s="1"/>
  <c r="X208" i="6" s="1"/>
  <c r="X210" i="6" s="1"/>
  <c r="X212" i="6" s="1"/>
  <c r="X189" i="6"/>
  <c r="R323" i="6"/>
  <c r="R344" i="6"/>
  <c r="J39" i="54"/>
  <c r="R351" i="34"/>
  <c r="X239" i="31"/>
  <c r="P70" i="50"/>
  <c r="J107" i="50"/>
  <c r="R185" i="45"/>
  <c r="X185" i="45" s="1"/>
  <c r="X188" i="45" s="1"/>
  <c r="X190" i="45" s="1"/>
  <c r="X192" i="45" s="1"/>
  <c r="X169" i="45"/>
  <c r="R326" i="45"/>
  <c r="R347" i="45"/>
  <c r="R322" i="45"/>
  <c r="R343" i="45"/>
  <c r="R318" i="45"/>
  <c r="R309" i="45"/>
  <c r="R339" i="45"/>
  <c r="R330" i="31"/>
  <c r="J94" i="50"/>
  <c r="P57" i="50"/>
  <c r="X239" i="47"/>
  <c r="R373" i="38"/>
  <c r="R377" i="38" s="1"/>
  <c r="R240" i="38"/>
  <c r="J143" i="50"/>
  <c r="X218" i="38"/>
  <c r="R351" i="16"/>
  <c r="X259" i="32"/>
  <c r="R351" i="33"/>
  <c r="X239" i="44"/>
  <c r="R373" i="33"/>
  <c r="R377" i="33" s="1"/>
  <c r="R260" i="33"/>
  <c r="J139" i="50"/>
  <c r="X238" i="33"/>
  <c r="X259" i="34"/>
  <c r="P72" i="50"/>
  <c r="J109" i="50"/>
  <c r="R351" i="40"/>
  <c r="R373" i="29"/>
  <c r="R377" i="29" s="1"/>
  <c r="J135" i="50"/>
  <c r="R260" i="29"/>
  <c r="X238" i="29"/>
  <c r="R330" i="17"/>
  <c r="R351" i="30"/>
  <c r="R330" i="24"/>
  <c r="R328" i="6"/>
  <c r="J44" i="54"/>
  <c r="R349" i="6"/>
  <c r="R238" i="6"/>
  <c r="R212" i="6"/>
  <c r="J52" i="50" s="1"/>
  <c r="R259" i="6"/>
  <c r="J18" i="56"/>
  <c r="R320" i="6"/>
  <c r="J36" i="54"/>
  <c r="R341" i="6"/>
  <c r="R326" i="6"/>
  <c r="J42" i="54"/>
  <c r="R347" i="6"/>
  <c r="R318" i="6"/>
  <c r="R339" i="6"/>
  <c r="J34" i="54"/>
  <c r="R309" i="6"/>
  <c r="Q396" i="41" l="1"/>
  <c r="Q205" i="34"/>
  <c r="Q396" i="32"/>
  <c r="Q205" i="17"/>
  <c r="Q205" i="28"/>
  <c r="Q396" i="35"/>
  <c r="Q205" i="12"/>
  <c r="Q185" i="37"/>
  <c r="Q321" i="33"/>
  <c r="Q342" i="33"/>
  <c r="Q320" i="33"/>
  <c r="Q341" i="33"/>
  <c r="Q348" i="33"/>
  <c r="Q327" i="33"/>
  <c r="Q324" i="24"/>
  <c r="Q345" i="24"/>
  <c r="Q344" i="34"/>
  <c r="Q323" i="34"/>
  <c r="Q323" i="40"/>
  <c r="Q344" i="40"/>
  <c r="Q322" i="40"/>
  <c r="Q343" i="40"/>
  <c r="Q320" i="40"/>
  <c r="Q341" i="40"/>
  <c r="Q212" i="40"/>
  <c r="I70" i="50" s="1"/>
  <c r="I107" i="50" s="1"/>
  <c r="Q259" i="40"/>
  <c r="Q238" i="40"/>
  <c r="Q339" i="15"/>
  <c r="Q309" i="15"/>
  <c r="Q318" i="15"/>
  <c r="Q343" i="15"/>
  <c r="Q322" i="15"/>
  <c r="Q301" i="6"/>
  <c r="Q306" i="6"/>
  <c r="Q299" i="6"/>
  <c r="Q394" i="6"/>
  <c r="Q222" i="6"/>
  <c r="Q392" i="6"/>
  <c r="Q305" i="6"/>
  <c r="Q297" i="6"/>
  <c r="Q375" i="6"/>
  <c r="Q391" i="6"/>
  <c r="Q302" i="6"/>
  <c r="Q388" i="6"/>
  <c r="Q304" i="6"/>
  <c r="Q189" i="6"/>
  <c r="Q205" i="6" s="1"/>
  <c r="Q300" i="6"/>
  <c r="Q393" i="6"/>
  <c r="Q389" i="6"/>
  <c r="Q390" i="6"/>
  <c r="Q210" i="6"/>
  <c r="Q303" i="6"/>
  <c r="Q298" i="6"/>
  <c r="Q307" i="6"/>
  <c r="Q324" i="17"/>
  <c r="Q345" i="17"/>
  <c r="Q349" i="17"/>
  <c r="Q328" i="17"/>
  <c r="Q341" i="28"/>
  <c r="Q320" i="28"/>
  <c r="Q340" i="28"/>
  <c r="Q319" i="28"/>
  <c r="Q344" i="28"/>
  <c r="Q323" i="28"/>
  <c r="Q218" i="43"/>
  <c r="Q239" i="43"/>
  <c r="Q192" i="43"/>
  <c r="I72" i="50" s="1"/>
  <c r="I109" i="50" s="1"/>
  <c r="Q345" i="38"/>
  <c r="Q324" i="38"/>
  <c r="Q339" i="38"/>
  <c r="Q318" i="38"/>
  <c r="Q309" i="38"/>
  <c r="Q323" i="16"/>
  <c r="Q344" i="16"/>
  <c r="Q341" i="16"/>
  <c r="Q320" i="16"/>
  <c r="Q328" i="14"/>
  <c r="Q349" i="14"/>
  <c r="Q346" i="14"/>
  <c r="Q325" i="14"/>
  <c r="Q326" i="14"/>
  <c r="Q347" i="14"/>
  <c r="Q339" i="29"/>
  <c r="Q309" i="29"/>
  <c r="Q318" i="29"/>
  <c r="Q192" i="31"/>
  <c r="I63" i="50" s="1"/>
  <c r="I100" i="50" s="1"/>
  <c r="Q239" i="31"/>
  <c r="Q218" i="31"/>
  <c r="Q327" i="31"/>
  <c r="Q348" i="31"/>
  <c r="Q396" i="31"/>
  <c r="Q325" i="35"/>
  <c r="Q346" i="35"/>
  <c r="Q348" i="35"/>
  <c r="Q327" i="35"/>
  <c r="Q238" i="35"/>
  <c r="Q259" i="35"/>
  <c r="Q212" i="35"/>
  <c r="I67" i="50" s="1"/>
  <c r="I104" i="50" s="1"/>
  <c r="Q328" i="12"/>
  <c r="Q349" i="12"/>
  <c r="Q320" i="25"/>
  <c r="Q341" i="25"/>
  <c r="Q321" i="25"/>
  <c r="Q342" i="25"/>
  <c r="Q396" i="46"/>
  <c r="Q309" i="46"/>
  <c r="Q318" i="46"/>
  <c r="Q339" i="46"/>
  <c r="Q327" i="47"/>
  <c r="Q348" i="47"/>
  <c r="Q326" i="47"/>
  <c r="Q347" i="47"/>
  <c r="Q320" i="47"/>
  <c r="Q341" i="47"/>
  <c r="Q326" i="33"/>
  <c r="Q347" i="33"/>
  <c r="Q349" i="33"/>
  <c r="Q328" i="33"/>
  <c r="Q326" i="41"/>
  <c r="Q347" i="41"/>
  <c r="Q259" i="24"/>
  <c r="Q212" i="24"/>
  <c r="I58" i="50" s="1"/>
  <c r="I95" i="50" s="1"/>
  <c r="Q238" i="24"/>
  <c r="Q341" i="24"/>
  <c r="Q320" i="24"/>
  <c r="Q343" i="24"/>
  <c r="Q322" i="24"/>
  <c r="Q347" i="34"/>
  <c r="Q326" i="34"/>
  <c r="Q322" i="34"/>
  <c r="Q343" i="34"/>
  <c r="Q349" i="34"/>
  <c r="Q328" i="34"/>
  <c r="Q320" i="44"/>
  <c r="Q341" i="44"/>
  <c r="Q324" i="32"/>
  <c r="Q345" i="32"/>
  <c r="Q322" i="32"/>
  <c r="Q343" i="32"/>
  <c r="Q344" i="30"/>
  <c r="Q323" i="30"/>
  <c r="Q396" i="37"/>
  <c r="Q341" i="15"/>
  <c r="Q320" i="15"/>
  <c r="Q340" i="15"/>
  <c r="Q319" i="15"/>
  <c r="Q205" i="15"/>
  <c r="Q344" i="17"/>
  <c r="Q323" i="17"/>
  <c r="Q342" i="28"/>
  <c r="Q321" i="28"/>
  <c r="Q349" i="28"/>
  <c r="Q328" i="28"/>
  <c r="Q326" i="43"/>
  <c r="Q347" i="43"/>
  <c r="Q325" i="43"/>
  <c r="Q346" i="43"/>
  <c r="Q328" i="38"/>
  <c r="Q349" i="38"/>
  <c r="Q322" i="38"/>
  <c r="Q343" i="38"/>
  <c r="Q346" i="38"/>
  <c r="Q325" i="38"/>
  <c r="Q348" i="16"/>
  <c r="Q327" i="16"/>
  <c r="Q343" i="16"/>
  <c r="Q322" i="16"/>
  <c r="Q347" i="16"/>
  <c r="Q326" i="16"/>
  <c r="Q340" i="16"/>
  <c r="Q319" i="16"/>
  <c r="Q327" i="29"/>
  <c r="Q348" i="29"/>
  <c r="Q326" i="29"/>
  <c r="Q347" i="29"/>
  <c r="Q185" i="31"/>
  <c r="Q323" i="35"/>
  <c r="Q344" i="35"/>
  <c r="Q326" i="35"/>
  <c r="Q347" i="35"/>
  <c r="Q349" i="35"/>
  <c r="Q328" i="35"/>
  <c r="Q339" i="12"/>
  <c r="Q318" i="12"/>
  <c r="Q309" i="12"/>
  <c r="Q319" i="12"/>
  <c r="Q340" i="12"/>
  <c r="Q341" i="12"/>
  <c r="Q320" i="12"/>
  <c r="Q396" i="12"/>
  <c r="Q348" i="25"/>
  <c r="Q327" i="25"/>
  <c r="Q319" i="25"/>
  <c r="Q340" i="25"/>
  <c r="Q325" i="25"/>
  <c r="Q346" i="25"/>
  <c r="Q326" i="46"/>
  <c r="Q347" i="46"/>
  <c r="Q323" i="46"/>
  <c r="Q344" i="46"/>
  <c r="Q322" i="46"/>
  <c r="Q343" i="46"/>
  <c r="Q341" i="46"/>
  <c r="Q320" i="46"/>
  <c r="Q344" i="47"/>
  <c r="Q323" i="47"/>
  <c r="Q346" i="47"/>
  <c r="Q325" i="47"/>
  <c r="Q340" i="47"/>
  <c r="Q319" i="47"/>
  <c r="K62" i="54"/>
  <c r="Q345" i="33"/>
  <c r="Q324" i="33"/>
  <c r="Q325" i="33"/>
  <c r="Q346" i="33"/>
  <c r="Q322" i="33"/>
  <c r="Q343" i="33"/>
  <c r="Q322" i="41"/>
  <c r="Q343" i="41"/>
  <c r="Q320" i="41"/>
  <c r="Q341" i="41"/>
  <c r="Q349" i="41"/>
  <c r="Q328" i="41"/>
  <c r="Q340" i="41"/>
  <c r="Q319" i="41"/>
  <c r="Q339" i="24"/>
  <c r="Q318" i="24"/>
  <c r="Q309" i="24"/>
  <c r="Q349" i="24"/>
  <c r="Q328" i="24"/>
  <c r="Q344" i="24"/>
  <c r="Q323" i="24"/>
  <c r="Q205" i="24"/>
  <c r="Q346" i="34"/>
  <c r="Q325" i="34"/>
  <c r="Q318" i="34"/>
  <c r="Q309" i="34"/>
  <c r="Q339" i="34"/>
  <c r="Q324" i="34"/>
  <c r="Q345" i="34"/>
  <c r="Q396" i="34"/>
  <c r="Q347" i="44"/>
  <c r="Q326" i="44"/>
  <c r="Q328" i="44"/>
  <c r="Q349" i="44"/>
  <c r="Q192" i="44"/>
  <c r="I73" i="50" s="1"/>
  <c r="I110" i="50" s="1"/>
  <c r="Q218" i="44"/>
  <c r="Q239" i="44"/>
  <c r="Q344" i="32"/>
  <c r="Q323" i="32"/>
  <c r="Q321" i="32"/>
  <c r="Q342" i="32"/>
  <c r="Q325" i="32"/>
  <c r="Q346" i="32"/>
  <c r="Q205" i="32"/>
  <c r="Q328" i="30"/>
  <c r="Q349" i="30"/>
  <c r="Q324" i="30"/>
  <c r="Q345" i="30"/>
  <c r="Q319" i="30"/>
  <c r="Q340" i="30"/>
  <c r="Q205" i="30"/>
  <c r="Q321" i="40"/>
  <c r="Q342" i="40"/>
  <c r="Q325" i="40"/>
  <c r="Q346" i="40"/>
  <c r="Q318" i="40"/>
  <c r="Q309" i="40"/>
  <c r="Q339" i="40"/>
  <c r="Q328" i="40"/>
  <c r="Q349" i="40"/>
  <c r="Q347" i="37"/>
  <c r="Q326" i="37"/>
  <c r="Q323" i="37"/>
  <c r="Q344" i="37"/>
  <c r="Q339" i="37"/>
  <c r="Q309" i="37"/>
  <c r="Q318" i="37"/>
  <c r="Q324" i="37"/>
  <c r="Q345" i="37"/>
  <c r="Q328" i="37"/>
  <c r="Q349" i="37"/>
  <c r="Q348" i="15"/>
  <c r="Q327" i="15"/>
  <c r="Q346" i="15"/>
  <c r="Q325" i="15"/>
  <c r="Q344" i="15"/>
  <c r="Q323" i="15"/>
  <c r="Q396" i="15"/>
  <c r="Q346" i="17"/>
  <c r="Q325" i="17"/>
  <c r="Q326" i="17"/>
  <c r="Q347" i="17"/>
  <c r="Q340" i="17"/>
  <c r="Q319" i="17"/>
  <c r="Q348" i="28"/>
  <c r="Q327" i="28"/>
  <c r="Q343" i="28"/>
  <c r="Q322" i="28"/>
  <c r="Q339" i="28"/>
  <c r="Q309" i="28"/>
  <c r="Q318" i="28"/>
  <c r="Q396" i="43"/>
  <c r="Q309" i="43"/>
  <c r="Q339" i="43"/>
  <c r="Q318" i="43"/>
  <c r="Q344" i="43"/>
  <c r="Q323" i="43"/>
  <c r="Q341" i="38"/>
  <c r="Q320" i="38"/>
  <c r="Q344" i="38"/>
  <c r="Q323" i="38"/>
  <c r="Q347" i="38"/>
  <c r="Q326" i="38"/>
  <c r="Q396" i="38"/>
  <c r="Q259" i="16"/>
  <c r="Q212" i="16"/>
  <c r="I56" i="50" s="1"/>
  <c r="I93" i="50" s="1"/>
  <c r="Q238" i="16"/>
  <c r="Q325" i="16"/>
  <c r="Q346" i="16"/>
  <c r="Q321" i="14"/>
  <c r="Q342" i="14"/>
  <c r="Q343" i="14"/>
  <c r="Q322" i="14"/>
  <c r="Q340" i="14"/>
  <c r="Q319" i="14"/>
  <c r="Q324" i="29"/>
  <c r="Q345" i="29"/>
  <c r="Q328" i="29"/>
  <c r="Q349" i="29"/>
  <c r="Q341" i="29"/>
  <c r="Q320" i="29"/>
  <c r="Q396" i="29"/>
  <c r="Q320" i="31"/>
  <c r="Q341" i="31"/>
  <c r="Q322" i="31"/>
  <c r="Q343" i="31"/>
  <c r="Q339" i="31"/>
  <c r="Q309" i="31"/>
  <c r="Q318" i="31"/>
  <c r="Q340" i="35"/>
  <c r="Q319" i="35"/>
  <c r="Q318" i="35"/>
  <c r="Q339" i="35"/>
  <c r="Q309" i="35"/>
  <c r="Q320" i="35"/>
  <c r="Q341" i="35"/>
  <c r="Q327" i="12"/>
  <c r="Q348" i="12"/>
  <c r="Q212" i="12"/>
  <c r="I53" i="50" s="1"/>
  <c r="I90" i="50" s="1"/>
  <c r="Q259" i="12"/>
  <c r="Q238" i="12"/>
  <c r="Q346" i="12"/>
  <c r="Q325" i="12"/>
  <c r="Q323" i="25"/>
  <c r="Q344" i="25"/>
  <c r="Q347" i="25"/>
  <c r="Q326" i="25"/>
  <c r="Q343" i="25"/>
  <c r="Q322" i="25"/>
  <c r="Q205" i="25"/>
  <c r="Q328" i="46"/>
  <c r="Q349" i="46"/>
  <c r="Q345" i="46"/>
  <c r="Q324" i="46"/>
  <c r="Q239" i="46"/>
  <c r="Q218" i="46"/>
  <c r="Q192" i="46"/>
  <c r="I75" i="50" s="1"/>
  <c r="I112" i="50" s="1"/>
  <c r="Q309" i="47"/>
  <c r="Q339" i="47"/>
  <c r="Q318" i="47"/>
  <c r="Q342" i="47"/>
  <c r="Q321" i="47"/>
  <c r="Q239" i="47"/>
  <c r="Q218" i="47"/>
  <c r="Q192" i="47"/>
  <c r="I76" i="50" s="1"/>
  <c r="I113" i="50" s="1"/>
  <c r="Q396" i="47"/>
  <c r="Q259" i="41"/>
  <c r="Q212" i="41"/>
  <c r="I71" i="50" s="1"/>
  <c r="I108" i="50" s="1"/>
  <c r="Q238" i="41"/>
  <c r="Q318" i="41"/>
  <c r="Q339" i="41"/>
  <c r="Q309" i="41"/>
  <c r="Q321" i="24"/>
  <c r="Q342" i="24"/>
  <c r="Q346" i="24"/>
  <c r="Q325" i="24"/>
  <c r="Q348" i="34"/>
  <c r="Q327" i="34"/>
  <c r="Q319" i="34"/>
  <c r="Q340" i="34"/>
  <c r="Q318" i="44"/>
  <c r="Q309" i="44"/>
  <c r="AU309" i="44" s="1"/>
  <c r="AU311" i="44" s="1"/>
  <c r="Q348" i="44"/>
  <c r="Q327" i="44"/>
  <c r="Q346" i="44"/>
  <c r="Q325" i="44"/>
  <c r="Q341" i="32"/>
  <c r="Q320" i="32"/>
  <c r="Q318" i="32"/>
  <c r="Q309" i="32"/>
  <c r="Q339" i="32"/>
  <c r="Q340" i="32"/>
  <c r="Q319" i="32"/>
  <c r="Q259" i="30"/>
  <c r="Q212" i="30"/>
  <c r="I62" i="50" s="1"/>
  <c r="I99" i="50" s="1"/>
  <c r="Q238" i="30"/>
  <c r="Q326" i="30"/>
  <c r="Q347" i="30"/>
  <c r="Q322" i="30"/>
  <c r="Q343" i="30"/>
  <c r="Q347" i="40"/>
  <c r="Q326" i="40"/>
  <c r="Q319" i="37"/>
  <c r="Q340" i="37"/>
  <c r="Q322" i="37"/>
  <c r="Q343" i="37"/>
  <c r="Q239" i="37"/>
  <c r="Q218" i="37"/>
  <c r="Q192" i="37"/>
  <c r="I68" i="50" s="1"/>
  <c r="I105" i="50" s="1"/>
  <c r="Q259" i="15"/>
  <c r="Q238" i="15"/>
  <c r="Q212" i="15"/>
  <c r="I55" i="50" s="1"/>
  <c r="I92" i="50" s="1"/>
  <c r="Q343" i="17"/>
  <c r="Q322" i="17"/>
  <c r="Q320" i="43"/>
  <c r="Q341" i="43"/>
  <c r="Q348" i="43"/>
  <c r="Q327" i="43"/>
  <c r="Q342" i="43"/>
  <c r="Q321" i="43"/>
  <c r="Q327" i="38"/>
  <c r="Q348" i="38"/>
  <c r="Q324" i="16"/>
  <c r="Q345" i="16"/>
  <c r="Q320" i="14"/>
  <c r="Q341" i="14"/>
  <c r="Q342" i="29"/>
  <c r="Q321" i="29"/>
  <c r="Q212" i="29"/>
  <c r="I61" i="50" s="1"/>
  <c r="I98" i="50" s="1"/>
  <c r="Q238" i="29"/>
  <c r="Q259" i="29"/>
  <c r="Q328" i="31"/>
  <c r="Q349" i="31"/>
  <c r="Q326" i="12"/>
  <c r="Q347" i="12"/>
  <c r="Q344" i="12"/>
  <c r="Q323" i="12"/>
  <c r="Q324" i="25"/>
  <c r="Q345" i="25"/>
  <c r="Q325" i="46"/>
  <c r="Q346" i="46"/>
  <c r="Q259" i="33"/>
  <c r="Q238" i="33"/>
  <c r="Q212" i="33"/>
  <c r="I65" i="50" s="1"/>
  <c r="I102" i="50" s="1"/>
  <c r="Q396" i="33"/>
  <c r="Q324" i="41"/>
  <c r="Q345" i="41"/>
  <c r="Q327" i="41"/>
  <c r="Q348" i="41"/>
  <c r="Q322" i="44"/>
  <c r="Q343" i="44"/>
  <c r="Q396" i="44"/>
  <c r="Q327" i="32"/>
  <c r="Q348" i="32"/>
  <c r="Q318" i="30"/>
  <c r="Q339" i="30"/>
  <c r="Q309" i="30"/>
  <c r="Q342" i="30"/>
  <c r="Q321" i="30"/>
  <c r="Q396" i="30"/>
  <c r="Q348" i="40"/>
  <c r="Q327" i="40"/>
  <c r="Q346" i="37"/>
  <c r="Q325" i="37"/>
  <c r="Q348" i="37"/>
  <c r="Q327" i="37"/>
  <c r="Q342" i="37"/>
  <c r="Q321" i="37"/>
  <c r="Q349" i="15"/>
  <c r="Q328" i="15"/>
  <c r="Q341" i="17"/>
  <c r="Q320" i="17"/>
  <c r="Q321" i="17"/>
  <c r="Q342" i="17"/>
  <c r="Q326" i="28"/>
  <c r="Q347" i="28"/>
  <c r="Q396" i="28"/>
  <c r="Q322" i="43"/>
  <c r="Q343" i="43"/>
  <c r="Q345" i="43"/>
  <c r="Q324" i="43"/>
  <c r="Q340" i="43"/>
  <c r="Q319" i="43"/>
  <c r="Q396" i="14"/>
  <c r="Q344" i="29"/>
  <c r="Q323" i="29"/>
  <c r="Q342" i="31"/>
  <c r="Q321" i="31"/>
  <c r="Q326" i="31"/>
  <c r="Q347" i="31"/>
  <c r="Q325" i="31"/>
  <c r="Q346" i="31"/>
  <c r="M58" i="54"/>
  <c r="Q323" i="33"/>
  <c r="Q344" i="33"/>
  <c r="Q339" i="33"/>
  <c r="Q318" i="33"/>
  <c r="Q309" i="33"/>
  <c r="Q340" i="33"/>
  <c r="Q319" i="33"/>
  <c r="Q205" i="33"/>
  <c r="Q205" i="41"/>
  <c r="Q344" i="41"/>
  <c r="Q323" i="41"/>
  <c r="Q346" i="41"/>
  <c r="Q325" i="41"/>
  <c r="Q321" i="41"/>
  <c r="Q342" i="41"/>
  <c r="Q319" i="24"/>
  <c r="Q340" i="24"/>
  <c r="Q327" i="24"/>
  <c r="Q348" i="24"/>
  <c r="Q347" i="24"/>
  <c r="Q326" i="24"/>
  <c r="Q396" i="24"/>
  <c r="Q321" i="34"/>
  <c r="Q342" i="34"/>
  <c r="Q341" i="34"/>
  <c r="Q320" i="34"/>
  <c r="Q238" i="34"/>
  <c r="Q212" i="34"/>
  <c r="I66" i="50" s="1"/>
  <c r="I103" i="50" s="1"/>
  <c r="Q259" i="34"/>
  <c r="Q321" i="44"/>
  <c r="Q342" i="44"/>
  <c r="Q344" i="44"/>
  <c r="Q323" i="44"/>
  <c r="Q324" i="44"/>
  <c r="Q345" i="44"/>
  <c r="Q347" i="32"/>
  <c r="Q326" i="32"/>
  <c r="Q328" i="32"/>
  <c r="Q349" i="32"/>
  <c r="Q238" i="32"/>
  <c r="Q212" i="32"/>
  <c r="I64" i="50" s="1"/>
  <c r="I101" i="50" s="1"/>
  <c r="Q259" i="32"/>
  <c r="Q325" i="30"/>
  <c r="Q346" i="30"/>
  <c r="Q320" i="30"/>
  <c r="Q341" i="30"/>
  <c r="Q327" i="30"/>
  <c r="Q348" i="30"/>
  <c r="Q324" i="40"/>
  <c r="Q345" i="40"/>
  <c r="Q340" i="40"/>
  <c r="Q319" i="40"/>
  <c r="Q396" i="40"/>
  <c r="Q205" i="40"/>
  <c r="Q341" i="37"/>
  <c r="Q320" i="37"/>
  <c r="Q324" i="15"/>
  <c r="Q345" i="15"/>
  <c r="Q326" i="15"/>
  <c r="Q347" i="15"/>
  <c r="Q342" i="15"/>
  <c r="Q321" i="15"/>
  <c r="Q190" i="45"/>
  <c r="Q375" i="45"/>
  <c r="Q299" i="45"/>
  <c r="Q394" i="45"/>
  <c r="Q391" i="45"/>
  <c r="Q304" i="45"/>
  <c r="Q390" i="45"/>
  <c r="Q307" i="45"/>
  <c r="Q300" i="45"/>
  <c r="Q302" i="45"/>
  <c r="Q297" i="45"/>
  <c r="Q393" i="45"/>
  <c r="Q298" i="45"/>
  <c r="Q169" i="45"/>
  <c r="Q185" i="45" s="1"/>
  <c r="Q303" i="45"/>
  <c r="Q392" i="45"/>
  <c r="Q301" i="45"/>
  <c r="Q202" i="45"/>
  <c r="Q388" i="45"/>
  <c r="Q306" i="45"/>
  <c r="Q305" i="45"/>
  <c r="Q389" i="45"/>
  <c r="Q238" i="17"/>
  <c r="Q212" i="17"/>
  <c r="I57" i="50" s="1"/>
  <c r="I94" i="50" s="1"/>
  <c r="Q259" i="17"/>
  <c r="Q309" i="17"/>
  <c r="Q318" i="17"/>
  <c r="Q339" i="17"/>
  <c r="Q327" i="17"/>
  <c r="Q348" i="17"/>
  <c r="Q396" i="17"/>
  <c r="Q324" i="28"/>
  <c r="Q345" i="28"/>
  <c r="Q259" i="28"/>
  <c r="Q212" i="28"/>
  <c r="I60" i="50" s="1"/>
  <c r="I97" i="50" s="1"/>
  <c r="Q238" i="28"/>
  <c r="Q346" i="28"/>
  <c r="Q325" i="28"/>
  <c r="Q349" i="43"/>
  <c r="Q328" i="43"/>
  <c r="Q340" i="38"/>
  <c r="Q319" i="38"/>
  <c r="Q321" i="38"/>
  <c r="Q342" i="38"/>
  <c r="Q218" i="38"/>
  <c r="Q192" i="38"/>
  <c r="I69" i="50" s="1"/>
  <c r="I106" i="50" s="1"/>
  <c r="Q239" i="38"/>
  <c r="Q185" i="38"/>
  <c r="Q396" i="16"/>
  <c r="Q318" i="16"/>
  <c r="Q309" i="16"/>
  <c r="Q339" i="16"/>
  <c r="Q349" i="16"/>
  <c r="Q328" i="16"/>
  <c r="Q321" i="16"/>
  <c r="Q342" i="16"/>
  <c r="Q327" i="14"/>
  <c r="Q348" i="14"/>
  <c r="Q318" i="14"/>
  <c r="Q309" i="14"/>
  <c r="Q339" i="14"/>
  <c r="Q212" i="14"/>
  <c r="I54" i="50" s="1"/>
  <c r="I91" i="50" s="1"/>
  <c r="Q238" i="14"/>
  <c r="Q259" i="14"/>
  <c r="Q345" i="14"/>
  <c r="Q324" i="14"/>
  <c r="Q323" i="14"/>
  <c r="Q344" i="14"/>
  <c r="Q340" i="29"/>
  <c r="Q319" i="29"/>
  <c r="Q325" i="29"/>
  <c r="Q346" i="29"/>
  <c r="Q322" i="29"/>
  <c r="Q343" i="29"/>
  <c r="Q344" i="31"/>
  <c r="Q323" i="31"/>
  <c r="Q319" i="31"/>
  <c r="Q340" i="31"/>
  <c r="Q345" i="31"/>
  <c r="Q324" i="31"/>
  <c r="Q324" i="35"/>
  <c r="Q345" i="35"/>
  <c r="Q322" i="35"/>
  <c r="Q343" i="35"/>
  <c r="Q321" i="35"/>
  <c r="Q342" i="35"/>
  <c r="Q345" i="12"/>
  <c r="Q324" i="12"/>
  <c r="Q342" i="12"/>
  <c r="Q321" i="12"/>
  <c r="Q322" i="12"/>
  <c r="Q343" i="12"/>
  <c r="Q238" i="25"/>
  <c r="Q212" i="25"/>
  <c r="I59" i="50" s="1"/>
  <c r="I96" i="50" s="1"/>
  <c r="Q259" i="25"/>
  <c r="Q318" i="25"/>
  <c r="Q309" i="25"/>
  <c r="Q339" i="25"/>
  <c r="Q328" i="25"/>
  <c r="Q349" i="25"/>
  <c r="Q396" i="25"/>
  <c r="Q327" i="46"/>
  <c r="Q348" i="46"/>
  <c r="Q342" i="46"/>
  <c r="Q321" i="46"/>
  <c r="Q340" i="46"/>
  <c r="Q319" i="46"/>
  <c r="Q349" i="47"/>
  <c r="Q328" i="47"/>
  <c r="Q324" i="47"/>
  <c r="Q345" i="47"/>
  <c r="Q343" i="47"/>
  <c r="Q322" i="47"/>
  <c r="N55" i="54"/>
  <c r="M60" i="54"/>
  <c r="K55" i="54"/>
  <c r="L78" i="54"/>
  <c r="G32" i="83" s="1"/>
  <c r="L76" i="54"/>
  <c r="G30" i="83" s="1"/>
  <c r="N58" i="54"/>
  <c r="K60" i="54"/>
  <c r="M81" i="54"/>
  <c r="H35" i="83" s="1"/>
  <c r="L77" i="54"/>
  <c r="G31" i="83" s="1"/>
  <c r="K81" i="54"/>
  <c r="F35" i="83" s="1"/>
  <c r="N79" i="54"/>
  <c r="I33" i="83" s="1"/>
  <c r="J59" i="54"/>
  <c r="M75" i="54"/>
  <c r="H29" i="83" s="1"/>
  <c r="M64" i="54"/>
  <c r="X260" i="33"/>
  <c r="P143" i="50"/>
  <c r="K75" i="54"/>
  <c r="F29" i="83" s="1"/>
  <c r="K56" i="54"/>
  <c r="J32" i="56"/>
  <c r="P32" i="56" s="1"/>
  <c r="J57" i="54"/>
  <c r="J83" i="54"/>
  <c r="E37" i="83" s="1"/>
  <c r="J81" i="54"/>
  <c r="E35" i="83" s="1"/>
  <c r="K57" i="54"/>
  <c r="X260" i="35"/>
  <c r="K61" i="54"/>
  <c r="K78" i="54"/>
  <c r="F32" i="83" s="1"/>
  <c r="K64" i="54"/>
  <c r="X260" i="40"/>
  <c r="P132" i="50"/>
  <c r="L75" i="54"/>
  <c r="G29" i="83" s="1"/>
  <c r="L82" i="54"/>
  <c r="G36" i="83" s="1"/>
  <c r="L59" i="54"/>
  <c r="P147" i="50"/>
  <c r="M77" i="54"/>
  <c r="H31" i="83" s="1"/>
  <c r="M56" i="54"/>
  <c r="X240" i="47"/>
  <c r="P134" i="50"/>
  <c r="P129" i="50"/>
  <c r="P144" i="50"/>
  <c r="N83" i="54"/>
  <c r="I37" i="83" s="1"/>
  <c r="N84" i="54"/>
  <c r="I38" i="83" s="1"/>
  <c r="N81" i="54"/>
  <c r="I35" i="83" s="1"/>
  <c r="N60" i="54"/>
  <c r="N59" i="54"/>
  <c r="N56" i="54"/>
  <c r="N63" i="54"/>
  <c r="N75" i="54"/>
  <c r="I29" i="83" s="1"/>
  <c r="I12" i="83"/>
  <c r="I23" i="83" s="1"/>
  <c r="N46" i="54"/>
  <c r="P137" i="50"/>
  <c r="X260" i="32"/>
  <c r="N82" i="54"/>
  <c r="I36" i="83" s="1"/>
  <c r="N78" i="54"/>
  <c r="I32" i="83" s="1"/>
  <c r="V373" i="45"/>
  <c r="V377" i="45" s="1"/>
  <c r="N148" i="50"/>
  <c r="N222" i="50" s="1"/>
  <c r="V240" i="45"/>
  <c r="V243" i="45" s="1"/>
  <c r="V351" i="6"/>
  <c r="N74" i="54"/>
  <c r="N80" i="50"/>
  <c r="N89" i="50"/>
  <c r="N57" i="54"/>
  <c r="V351" i="45"/>
  <c r="X260" i="30"/>
  <c r="N62" i="54"/>
  <c r="N30" i="56"/>
  <c r="N22" i="56"/>
  <c r="P150" i="50"/>
  <c r="N64" i="54"/>
  <c r="N61" i="54"/>
  <c r="V330" i="45"/>
  <c r="N80" i="54"/>
  <c r="I34" i="83" s="1"/>
  <c r="N76" i="54"/>
  <c r="I30" i="83" s="1"/>
  <c r="V330" i="6"/>
  <c r="N54" i="54"/>
  <c r="V373" i="6"/>
  <c r="V260" i="6"/>
  <c r="V263" i="6" s="1"/>
  <c r="N126" i="50"/>
  <c r="N77" i="54"/>
  <c r="I31" i="83" s="1"/>
  <c r="M55" i="54"/>
  <c r="M30" i="56"/>
  <c r="M22" i="56"/>
  <c r="M74" i="54"/>
  <c r="U351" i="6"/>
  <c r="P139" i="50"/>
  <c r="P145" i="50"/>
  <c r="U373" i="45"/>
  <c r="U377" i="45" s="1"/>
  <c r="M148" i="50"/>
  <c r="M222" i="50" s="1"/>
  <c r="U240" i="45"/>
  <c r="U243" i="45" s="1"/>
  <c r="M61" i="54"/>
  <c r="M78" i="54"/>
  <c r="H32" i="83" s="1"/>
  <c r="M76" i="54"/>
  <c r="H30" i="83" s="1"/>
  <c r="U330" i="45"/>
  <c r="U373" i="6"/>
  <c r="M126" i="50"/>
  <c r="U260" i="6"/>
  <c r="U263" i="6" s="1"/>
  <c r="M54" i="54"/>
  <c r="U330" i="6"/>
  <c r="M57" i="54"/>
  <c r="M59" i="54"/>
  <c r="M80" i="50"/>
  <c r="M89" i="50"/>
  <c r="M62" i="54"/>
  <c r="M79" i="54"/>
  <c r="H33" i="83" s="1"/>
  <c r="P141" i="50"/>
  <c r="P142" i="50"/>
  <c r="M83" i="54"/>
  <c r="H37" i="83" s="1"/>
  <c r="M63" i="54"/>
  <c r="U351" i="45"/>
  <c r="M46" i="54"/>
  <c r="H12" i="83"/>
  <c r="H23" i="83" s="1"/>
  <c r="M82" i="54"/>
  <c r="H36" i="83" s="1"/>
  <c r="M84" i="54"/>
  <c r="H38" i="83" s="1"/>
  <c r="L74" i="54"/>
  <c r="T351" i="6"/>
  <c r="T351" i="45"/>
  <c r="X260" i="29"/>
  <c r="P149" i="50"/>
  <c r="P135" i="50"/>
  <c r="X240" i="31"/>
  <c r="P27" i="55"/>
  <c r="L57" i="54"/>
  <c r="L80" i="54"/>
  <c r="G34" i="83" s="1"/>
  <c r="L63" i="54"/>
  <c r="L46" i="54"/>
  <c r="G12" i="83"/>
  <c r="G23" i="83" s="1"/>
  <c r="T330" i="45"/>
  <c r="L89" i="50"/>
  <c r="L80" i="50"/>
  <c r="L30" i="56"/>
  <c r="L22" i="56"/>
  <c r="L61" i="54"/>
  <c r="L84" i="54"/>
  <c r="G38" i="83" s="1"/>
  <c r="X240" i="38"/>
  <c r="P128" i="50"/>
  <c r="X240" i="44"/>
  <c r="P138" i="50"/>
  <c r="L81" i="54"/>
  <c r="G35" i="83" s="1"/>
  <c r="L79" i="54"/>
  <c r="G33" i="83" s="1"/>
  <c r="L56" i="54"/>
  <c r="L55" i="54"/>
  <c r="L60" i="54"/>
  <c r="L64" i="54"/>
  <c r="L83" i="54"/>
  <c r="G37" i="83" s="1"/>
  <c r="T330" i="6"/>
  <c r="L54" i="54"/>
  <c r="L62" i="54"/>
  <c r="T373" i="45"/>
  <c r="T377" i="45" s="1"/>
  <c r="L148" i="50"/>
  <c r="L222" i="50" s="1"/>
  <c r="T240" i="45"/>
  <c r="T243" i="45" s="1"/>
  <c r="T373" i="6"/>
  <c r="L126" i="50"/>
  <c r="T260" i="6"/>
  <c r="T263" i="6" s="1"/>
  <c r="K59" i="54"/>
  <c r="K63" i="54"/>
  <c r="X260" i="41"/>
  <c r="K80" i="54"/>
  <c r="F34" i="83" s="1"/>
  <c r="S330" i="45"/>
  <c r="K30" i="56"/>
  <c r="K22" i="56"/>
  <c r="F12" i="83"/>
  <c r="F23" i="83" s="1"/>
  <c r="K46" i="54"/>
  <c r="X243" i="44"/>
  <c r="P130" i="50"/>
  <c r="X240" i="37"/>
  <c r="P146" i="50"/>
  <c r="X260" i="34"/>
  <c r="P127" i="50"/>
  <c r="S373" i="6"/>
  <c r="K126" i="50"/>
  <c r="S260" i="6"/>
  <c r="K84" i="54"/>
  <c r="F38" i="83" s="1"/>
  <c r="S373" i="45"/>
  <c r="S377" i="45" s="1"/>
  <c r="S240" i="45"/>
  <c r="S243" i="45" s="1"/>
  <c r="K148" i="50"/>
  <c r="K222" i="50" s="1"/>
  <c r="K77" i="54"/>
  <c r="F31" i="83" s="1"/>
  <c r="K79" i="54"/>
  <c r="F33" i="83" s="1"/>
  <c r="K74" i="54"/>
  <c r="S351" i="6"/>
  <c r="K83" i="54"/>
  <c r="F37" i="83" s="1"/>
  <c r="K80" i="50"/>
  <c r="K89" i="50"/>
  <c r="S330" i="6"/>
  <c r="K54" i="54"/>
  <c r="P136" i="50"/>
  <c r="P131" i="50"/>
  <c r="S263" i="6"/>
  <c r="X243" i="47"/>
  <c r="X243" i="31"/>
  <c r="X263" i="40"/>
  <c r="X240" i="46"/>
  <c r="X240" i="43"/>
  <c r="P140" i="50"/>
  <c r="P133" i="50"/>
  <c r="K82" i="54"/>
  <c r="F36" i="83" s="1"/>
  <c r="K58" i="54"/>
  <c r="S351" i="45"/>
  <c r="K76" i="54"/>
  <c r="F30" i="83" s="1"/>
  <c r="J64" i="54"/>
  <c r="P17" i="56"/>
  <c r="J79" i="54"/>
  <c r="E33" i="83" s="1"/>
  <c r="R263" i="29"/>
  <c r="X263" i="29" s="1"/>
  <c r="R263" i="34"/>
  <c r="X263" i="34" s="1"/>
  <c r="J61" i="54"/>
  <c r="J56" i="54"/>
  <c r="R243" i="38"/>
  <c r="X243" i="38" s="1"/>
  <c r="J82" i="54"/>
  <c r="E36" i="83" s="1"/>
  <c r="J62" i="54"/>
  <c r="J84" i="54"/>
  <c r="R263" i="32"/>
  <c r="X263" i="32" s="1"/>
  <c r="J58" i="54"/>
  <c r="J75" i="54"/>
  <c r="E29" i="83" s="1"/>
  <c r="E21" i="83"/>
  <c r="P43" i="54"/>
  <c r="J206" i="50"/>
  <c r="P206" i="50" s="1"/>
  <c r="P95" i="50"/>
  <c r="P91" i="50"/>
  <c r="J202" i="50"/>
  <c r="P202" i="50" s="1"/>
  <c r="X239" i="45"/>
  <c r="J46" i="54"/>
  <c r="E12" i="83"/>
  <c r="P34" i="54"/>
  <c r="E20" i="83"/>
  <c r="P42" i="54"/>
  <c r="R373" i="6"/>
  <c r="R260" i="6"/>
  <c r="X238" i="6"/>
  <c r="J126" i="50"/>
  <c r="J220" i="50"/>
  <c r="P220" i="50" s="1"/>
  <c r="P109" i="50"/>
  <c r="R330" i="45"/>
  <c r="P39" i="54"/>
  <c r="E17" i="83"/>
  <c r="P103" i="50"/>
  <c r="J214" i="50"/>
  <c r="P214" i="50" s="1"/>
  <c r="J77" i="54"/>
  <c r="J22" i="56"/>
  <c r="J30" i="56"/>
  <c r="P14" i="56"/>
  <c r="R243" i="46"/>
  <c r="X243" i="46" s="1"/>
  <c r="R243" i="43"/>
  <c r="X243" i="43" s="1"/>
  <c r="J210" i="50"/>
  <c r="P210" i="50" s="1"/>
  <c r="P99" i="50"/>
  <c r="R263" i="33"/>
  <c r="X263" i="33" s="1"/>
  <c r="R263" i="35"/>
  <c r="X263" i="35" s="1"/>
  <c r="R263" i="30"/>
  <c r="X263" i="30" s="1"/>
  <c r="P33" i="56"/>
  <c r="E64" i="83"/>
  <c r="E52" i="83" s="1"/>
  <c r="J215" i="50"/>
  <c r="P215" i="50" s="1"/>
  <c r="P104" i="50"/>
  <c r="J224" i="50"/>
  <c r="P224" i="50" s="1"/>
  <c r="P113" i="50"/>
  <c r="P18" i="56"/>
  <c r="J34" i="56"/>
  <c r="J35" i="56"/>
  <c r="P19" i="56"/>
  <c r="J54" i="54"/>
  <c r="R330" i="6"/>
  <c r="J76" i="54"/>
  <c r="X259" i="6"/>
  <c r="E22" i="83"/>
  <c r="P44" i="54"/>
  <c r="R351" i="45"/>
  <c r="J221" i="50"/>
  <c r="P221" i="50" s="1"/>
  <c r="P110" i="50"/>
  <c r="J78" i="54"/>
  <c r="J63" i="54"/>
  <c r="J36" i="56"/>
  <c r="P20" i="56"/>
  <c r="J201" i="50"/>
  <c r="P201" i="50" s="1"/>
  <c r="P90" i="50"/>
  <c r="J208" i="50"/>
  <c r="P208" i="50" s="1"/>
  <c r="P97" i="50"/>
  <c r="J219" i="50"/>
  <c r="P219" i="50" s="1"/>
  <c r="P108" i="50"/>
  <c r="E18" i="83"/>
  <c r="P40" i="54"/>
  <c r="E13" i="83"/>
  <c r="P35" i="54"/>
  <c r="J204" i="50"/>
  <c r="P204" i="50" s="1"/>
  <c r="P93" i="50"/>
  <c r="P106" i="50"/>
  <c r="J217" i="50"/>
  <c r="P217" i="50" s="1"/>
  <c r="R263" i="41"/>
  <c r="X263" i="41" s="1"/>
  <c r="J111" i="50"/>
  <c r="P74" i="50"/>
  <c r="E19" i="83"/>
  <c r="P41" i="54"/>
  <c r="J212" i="50"/>
  <c r="P212" i="50" s="1"/>
  <c r="P101" i="50"/>
  <c r="R351" i="6"/>
  <c r="J74" i="54"/>
  <c r="E38" i="83"/>
  <c r="J207" i="50"/>
  <c r="P207" i="50" s="1"/>
  <c r="P96" i="50"/>
  <c r="P38" i="54"/>
  <c r="E16" i="83"/>
  <c r="E14" i="83"/>
  <c r="P36" i="54"/>
  <c r="J80" i="50"/>
  <c r="J89" i="50"/>
  <c r="P52" i="50"/>
  <c r="J205" i="50"/>
  <c r="P205" i="50" s="1"/>
  <c r="P94" i="50"/>
  <c r="J218" i="50"/>
  <c r="P218" i="50" s="1"/>
  <c r="P107" i="50"/>
  <c r="R243" i="37"/>
  <c r="X243" i="37" s="1"/>
  <c r="J211" i="50"/>
  <c r="P211" i="50" s="1"/>
  <c r="P100" i="50"/>
  <c r="E15" i="83"/>
  <c r="P37" i="54"/>
  <c r="J31" i="56"/>
  <c r="P15" i="56"/>
  <c r="J213" i="50"/>
  <c r="P213" i="50" s="1"/>
  <c r="P102" i="50"/>
  <c r="J209" i="50"/>
  <c r="P209" i="50" s="1"/>
  <c r="P98" i="50"/>
  <c r="J203" i="50"/>
  <c r="P203" i="50" s="1"/>
  <c r="P92" i="50"/>
  <c r="E34" i="83"/>
  <c r="J55" i="54"/>
  <c r="J223" i="50"/>
  <c r="P223" i="50" s="1"/>
  <c r="P112" i="50"/>
  <c r="J216" i="50"/>
  <c r="P216" i="50" s="1"/>
  <c r="P105" i="50"/>
  <c r="R240" i="45"/>
  <c r="R373" i="45"/>
  <c r="R377" i="45" s="1"/>
  <c r="J148" i="50"/>
  <c r="X218" i="45"/>
  <c r="I16" i="56" l="1"/>
  <c r="I32" i="56" s="1"/>
  <c r="D63" i="83" s="1"/>
  <c r="D51" i="83" s="1"/>
  <c r="Q351" i="17"/>
  <c r="Q330" i="25"/>
  <c r="Q351" i="32"/>
  <c r="Q351" i="34"/>
  <c r="I17" i="56"/>
  <c r="I33" i="56" s="1"/>
  <c r="D64" i="83" s="1"/>
  <c r="D52" i="83" s="1"/>
  <c r="Q351" i="25"/>
  <c r="Q330" i="16"/>
  <c r="Q323" i="45"/>
  <c r="Q344" i="45"/>
  <c r="Q325" i="45"/>
  <c r="Q346" i="45"/>
  <c r="Q260" i="32"/>
  <c r="Q263" i="32" s="1"/>
  <c r="Q373" i="32"/>
  <c r="Q377" i="32" s="1"/>
  <c r="I138" i="50"/>
  <c r="I212" i="50" s="1"/>
  <c r="Q330" i="33"/>
  <c r="Q330" i="32"/>
  <c r="Q330" i="44"/>
  <c r="Q260" i="41"/>
  <c r="Q263" i="41" s="1"/>
  <c r="Q373" i="41"/>
  <c r="Q377" i="41" s="1"/>
  <c r="I145" i="50"/>
  <c r="I219" i="50" s="1"/>
  <c r="Q373" i="12"/>
  <c r="Q377" i="12" s="1"/>
  <c r="Q260" i="12"/>
  <c r="Q263" i="12" s="1"/>
  <c r="I127" i="50"/>
  <c r="I201" i="50" s="1"/>
  <c r="Q351" i="35"/>
  <c r="Q330" i="31"/>
  <c r="Q351" i="28"/>
  <c r="Q351" i="37"/>
  <c r="Q330" i="34"/>
  <c r="Q330" i="12"/>
  <c r="Q351" i="46"/>
  <c r="I141" i="50"/>
  <c r="I215" i="50" s="1"/>
  <c r="Q260" i="35"/>
  <c r="Q263" i="35" s="1"/>
  <c r="Q373" i="35"/>
  <c r="Q377" i="35" s="1"/>
  <c r="Q373" i="31"/>
  <c r="Q377" i="31" s="1"/>
  <c r="Q240" i="31"/>
  <c r="Q243" i="31" s="1"/>
  <c r="I137" i="50"/>
  <c r="I211" i="50" s="1"/>
  <c r="Q324" i="6"/>
  <c r="I40" i="54"/>
  <c r="D18" i="83" s="1"/>
  <c r="Q345" i="6"/>
  <c r="I19" i="56"/>
  <c r="I35" i="56" s="1"/>
  <c r="D66" i="83" s="1"/>
  <c r="D54" i="83" s="1"/>
  <c r="Q396" i="6"/>
  <c r="I14" i="56"/>
  <c r="I34" i="54"/>
  <c r="Q318" i="6"/>
  <c r="Q339" i="6"/>
  <c r="Q309" i="6"/>
  <c r="I20" i="56"/>
  <c r="I36" i="56" s="1"/>
  <c r="D67" i="83" s="1"/>
  <c r="D55" i="83" s="1"/>
  <c r="Q351" i="15"/>
  <c r="Q260" i="25"/>
  <c r="Q263" i="25" s="1"/>
  <c r="I133" i="50"/>
  <c r="I207" i="50" s="1"/>
  <c r="Q373" i="25"/>
  <c r="Q377" i="25" s="1"/>
  <c r="Q351" i="14"/>
  <c r="Q240" i="38"/>
  <c r="Q243" i="38" s="1"/>
  <c r="I143" i="50"/>
  <c r="I217" i="50" s="1"/>
  <c r="Q373" i="38"/>
  <c r="Q377" i="38" s="1"/>
  <c r="Q326" i="45"/>
  <c r="Q347" i="45"/>
  <c r="Q322" i="45"/>
  <c r="Q343" i="45"/>
  <c r="Q340" i="45"/>
  <c r="Q319" i="45"/>
  <c r="Q321" i="45"/>
  <c r="Q342" i="45"/>
  <c r="Q218" i="45"/>
  <c r="Q192" i="45"/>
  <c r="I74" i="50" s="1"/>
  <c r="I111" i="50" s="1"/>
  <c r="Q239" i="45"/>
  <c r="Q373" i="34"/>
  <c r="Q377" i="34" s="1"/>
  <c r="I140" i="50"/>
  <c r="I214" i="50" s="1"/>
  <c r="Q260" i="34"/>
  <c r="Q263" i="34" s="1"/>
  <c r="Q351" i="33"/>
  <c r="Q351" i="30"/>
  <c r="Q240" i="37"/>
  <c r="Q243" i="37" s="1"/>
  <c r="I142" i="50"/>
  <c r="I216" i="50" s="1"/>
  <c r="Q373" i="37"/>
  <c r="Q377" i="37" s="1"/>
  <c r="Q260" i="30"/>
  <c r="Q263" i="30" s="1"/>
  <c r="Q373" i="30"/>
  <c r="Q377" i="30" s="1"/>
  <c r="I136" i="50"/>
  <c r="I210" i="50" s="1"/>
  <c r="Q240" i="47"/>
  <c r="Q243" i="47" s="1"/>
  <c r="I150" i="50"/>
  <c r="I224" i="50" s="1"/>
  <c r="Q373" i="47"/>
  <c r="Q377" i="47" s="1"/>
  <c r="Q330" i="47"/>
  <c r="Q373" i="46"/>
  <c r="Q377" i="46" s="1"/>
  <c r="I149" i="50"/>
  <c r="I223" i="50" s="1"/>
  <c r="Q240" i="46"/>
  <c r="Q243" i="46" s="1"/>
  <c r="Q330" i="35"/>
  <c r="Q330" i="40"/>
  <c r="I147" i="50"/>
  <c r="I221" i="50" s="1"/>
  <c r="Q373" i="44"/>
  <c r="Q377" i="44" s="1"/>
  <c r="Q240" i="44"/>
  <c r="Q243" i="44" s="1"/>
  <c r="Q330" i="24"/>
  <c r="Q351" i="12"/>
  <c r="Q351" i="44"/>
  <c r="Q260" i="24"/>
  <c r="Q263" i="24" s="1"/>
  <c r="Q373" i="24"/>
  <c r="Q377" i="24" s="1"/>
  <c r="I132" i="50"/>
  <c r="I206" i="50" s="1"/>
  <c r="Q330" i="46"/>
  <c r="Q351" i="29"/>
  <c r="Q330" i="38"/>
  <c r="Q212" i="6"/>
  <c r="I52" i="50" s="1"/>
  <c r="Q259" i="6"/>
  <c r="Q238" i="6"/>
  <c r="Q342" i="6"/>
  <c r="Q321" i="6"/>
  <c r="I37" i="54"/>
  <c r="D15" i="83" s="1"/>
  <c r="Q323" i="6"/>
  <c r="I39" i="54"/>
  <c r="D17" i="83" s="1"/>
  <c r="Q344" i="6"/>
  <c r="I42" i="54"/>
  <c r="D20" i="83" s="1"/>
  <c r="Q326" i="6"/>
  <c r="Q347" i="6"/>
  <c r="Q341" i="6"/>
  <c r="I36" i="54"/>
  <c r="D14" i="83" s="1"/>
  <c r="Q320" i="6"/>
  <c r="Q260" i="40"/>
  <c r="Q263" i="40" s="1"/>
  <c r="Q373" i="40"/>
  <c r="Q377" i="40" s="1"/>
  <c r="I144" i="50"/>
  <c r="I218" i="50" s="1"/>
  <c r="Q351" i="16"/>
  <c r="Q260" i="28"/>
  <c r="Q263" i="28" s="1"/>
  <c r="Q373" i="28"/>
  <c r="Q377" i="28" s="1"/>
  <c r="I134" i="50"/>
  <c r="I208" i="50" s="1"/>
  <c r="Q327" i="45"/>
  <c r="Q348" i="45"/>
  <c r="Q328" i="45"/>
  <c r="Q349" i="45"/>
  <c r="Q330" i="30"/>
  <c r="Q373" i="33"/>
  <c r="Q377" i="33" s="1"/>
  <c r="I139" i="50"/>
  <c r="I213" i="50" s="1"/>
  <c r="Q260" i="33"/>
  <c r="Q263" i="33" s="1"/>
  <c r="Q260" i="15"/>
  <c r="Q263" i="15" s="1"/>
  <c r="I129" i="50"/>
  <c r="I203" i="50" s="1"/>
  <c r="Q373" i="15"/>
  <c r="Q377" i="15" s="1"/>
  <c r="Q351" i="41"/>
  <c r="Q351" i="47"/>
  <c r="Q351" i="31"/>
  <c r="Q373" i="16"/>
  <c r="Q377" i="16" s="1"/>
  <c r="Q260" i="16"/>
  <c r="Q263" i="16" s="1"/>
  <c r="I130" i="50"/>
  <c r="I204" i="50" s="1"/>
  <c r="Q330" i="43"/>
  <c r="Q330" i="28"/>
  <c r="Q330" i="37"/>
  <c r="Q351" i="24"/>
  <c r="Q351" i="38"/>
  <c r="Q328" i="6"/>
  <c r="I44" i="54"/>
  <c r="D22" i="83" s="1"/>
  <c r="Q349" i="6"/>
  <c r="I18" i="56"/>
  <c r="I34" i="56" s="1"/>
  <c r="D65" i="83" s="1"/>
  <c r="D53" i="83" s="1"/>
  <c r="Q327" i="6"/>
  <c r="Q348" i="6"/>
  <c r="I43" i="54"/>
  <c r="D21" i="83" s="1"/>
  <c r="Q330" i="15"/>
  <c r="Q373" i="14"/>
  <c r="Q377" i="14" s="1"/>
  <c r="I128" i="50"/>
  <c r="I202" i="50" s="1"/>
  <c r="Q260" i="14"/>
  <c r="Q263" i="14" s="1"/>
  <c r="Q330" i="14"/>
  <c r="Q330" i="17"/>
  <c r="I131" i="50"/>
  <c r="I205" i="50" s="1"/>
  <c r="Q373" i="17"/>
  <c r="Q377" i="17" s="1"/>
  <c r="Q260" i="17"/>
  <c r="Q263" i="17" s="1"/>
  <c r="Q396" i="45"/>
  <c r="Q345" i="45"/>
  <c r="Q324" i="45"/>
  <c r="Q339" i="45"/>
  <c r="Q309" i="45"/>
  <c r="Q318" i="45"/>
  <c r="Q320" i="45"/>
  <c r="Q341" i="45"/>
  <c r="Q260" i="29"/>
  <c r="Q263" i="29" s="1"/>
  <c r="I135" i="50"/>
  <c r="I209" i="50" s="1"/>
  <c r="Q373" i="29"/>
  <c r="Q377" i="29" s="1"/>
  <c r="Q330" i="41"/>
  <c r="Q351" i="43"/>
  <c r="Q351" i="40"/>
  <c r="Q330" i="29"/>
  <c r="Q240" i="43"/>
  <c r="Q243" i="43" s="1"/>
  <c r="I146" i="50"/>
  <c r="I220" i="50" s="1"/>
  <c r="Q373" i="43"/>
  <c r="Q377" i="43" s="1"/>
  <c r="Q340" i="6"/>
  <c r="Q319" i="6"/>
  <c r="I35" i="54"/>
  <c r="D13" i="83" s="1"/>
  <c r="I15" i="56"/>
  <c r="I31" i="56" s="1"/>
  <c r="D62" i="83" s="1"/>
  <c r="D50" i="83" s="1"/>
  <c r="Q346" i="6"/>
  <c r="I41" i="54"/>
  <c r="D19" i="83" s="1"/>
  <c r="Q325" i="6"/>
  <c r="I27" i="55"/>
  <c r="Q343" i="6"/>
  <c r="I38" i="54"/>
  <c r="D16" i="83" s="1"/>
  <c r="Q322" i="6"/>
  <c r="M154" i="50"/>
  <c r="M15" i="65" s="1"/>
  <c r="K154" i="50"/>
  <c r="K15" i="65" s="1"/>
  <c r="P60" i="54"/>
  <c r="P75" i="54"/>
  <c r="E63" i="83"/>
  <c r="E51" i="83" s="1"/>
  <c r="P81" i="54"/>
  <c r="P58" i="54"/>
  <c r="K66" i="54"/>
  <c r="P59" i="54"/>
  <c r="X260" i="6"/>
  <c r="P56" i="54"/>
  <c r="P148" i="50"/>
  <c r="P79" i="54"/>
  <c r="L66" i="54"/>
  <c r="P57" i="54"/>
  <c r="P80" i="54"/>
  <c r="P62" i="54"/>
  <c r="N154" i="50"/>
  <c r="N15" i="65" s="1"/>
  <c r="P63" i="54"/>
  <c r="N66" i="54"/>
  <c r="N117" i="50"/>
  <c r="N14" i="65" s="1"/>
  <c r="N200" i="50"/>
  <c r="N228" i="50" s="1"/>
  <c r="N17" i="65" s="1"/>
  <c r="P64" i="54"/>
  <c r="I61" i="83"/>
  <c r="N38" i="56"/>
  <c r="N25" i="55"/>
  <c r="N29" i="55" s="1"/>
  <c r="V377" i="6"/>
  <c r="P46" i="54"/>
  <c r="I28" i="83"/>
  <c r="I39" i="83" s="1"/>
  <c r="N86" i="54"/>
  <c r="M25" i="55"/>
  <c r="M29" i="55" s="1"/>
  <c r="U377" i="6"/>
  <c r="P61" i="54"/>
  <c r="M66" i="54"/>
  <c r="H61" i="83"/>
  <c r="M38" i="56"/>
  <c r="P80" i="50"/>
  <c r="P22" i="56"/>
  <c r="M117" i="50"/>
  <c r="M14" i="65" s="1"/>
  <c r="M200" i="50"/>
  <c r="M228" i="50" s="1"/>
  <c r="M17" i="65" s="1"/>
  <c r="M86" i="54"/>
  <c r="H28" i="83"/>
  <c r="H39" i="83" s="1"/>
  <c r="X240" i="45"/>
  <c r="L154" i="50"/>
  <c r="L15" i="65" s="1"/>
  <c r="L117" i="50"/>
  <c r="L14" i="65" s="1"/>
  <c r="L200" i="50"/>
  <c r="L228" i="50" s="1"/>
  <c r="L17" i="65" s="1"/>
  <c r="L38" i="56"/>
  <c r="G61" i="83"/>
  <c r="G28" i="83"/>
  <c r="G39" i="83" s="1"/>
  <c r="L86" i="54"/>
  <c r="P55" i="54"/>
  <c r="P84" i="54"/>
  <c r="L25" i="55"/>
  <c r="L29" i="55" s="1"/>
  <c r="T377" i="6"/>
  <c r="K25" i="55"/>
  <c r="K29" i="55" s="1"/>
  <c r="S377" i="6"/>
  <c r="P83" i="54"/>
  <c r="F61" i="83"/>
  <c r="K38" i="56"/>
  <c r="K200" i="50"/>
  <c r="K228" i="50" s="1"/>
  <c r="K17" i="65" s="1"/>
  <c r="K117" i="50"/>
  <c r="K14" i="65" s="1"/>
  <c r="F28" i="83"/>
  <c r="F39" i="83" s="1"/>
  <c r="K86" i="54"/>
  <c r="R243" i="45"/>
  <c r="X243" i="45" s="1"/>
  <c r="P82" i="54"/>
  <c r="E62" i="83"/>
  <c r="E50" i="83" s="1"/>
  <c r="P31" i="56"/>
  <c r="J200" i="50"/>
  <c r="P89" i="50"/>
  <c r="J117" i="50"/>
  <c r="J86" i="54"/>
  <c r="E28" i="83"/>
  <c r="P74" i="54"/>
  <c r="E67" i="83"/>
  <c r="E55" i="83" s="1"/>
  <c r="P36" i="56"/>
  <c r="E30" i="83"/>
  <c r="P76" i="54"/>
  <c r="E32" i="83"/>
  <c r="P78" i="54"/>
  <c r="J66" i="54"/>
  <c r="P54" i="54"/>
  <c r="P35" i="56"/>
  <c r="E66" i="83"/>
  <c r="E54" i="83" s="1"/>
  <c r="J25" i="55"/>
  <c r="R377" i="6"/>
  <c r="E23" i="83"/>
  <c r="J23" i="83" s="1"/>
  <c r="E31" i="83"/>
  <c r="P77" i="54"/>
  <c r="J222" i="50"/>
  <c r="P222" i="50" s="1"/>
  <c r="P111" i="50"/>
  <c r="R263" i="6"/>
  <c r="X263" i="6" s="1"/>
  <c r="E65" i="83"/>
  <c r="E53" i="83" s="1"/>
  <c r="P34" i="56"/>
  <c r="J38" i="56"/>
  <c r="P30" i="56"/>
  <c r="E61" i="83"/>
  <c r="J154" i="50"/>
  <c r="P126" i="50"/>
  <c r="I79" i="54" l="1"/>
  <c r="D33" i="83" s="1"/>
  <c r="I55" i="54"/>
  <c r="I75" i="54"/>
  <c r="D29" i="83" s="1"/>
  <c r="I83" i="54"/>
  <c r="D37" i="83" s="1"/>
  <c r="I56" i="54"/>
  <c r="I62" i="54"/>
  <c r="I59" i="54"/>
  <c r="I57" i="54"/>
  <c r="I84" i="54"/>
  <c r="D38" i="83" s="1"/>
  <c r="I61" i="54"/>
  <c r="Q260" i="6"/>
  <c r="Q263" i="6" s="1"/>
  <c r="Q373" i="6"/>
  <c r="I126" i="50"/>
  <c r="Q330" i="45"/>
  <c r="I76" i="54"/>
  <c r="D30" i="83" s="1"/>
  <c r="I89" i="50"/>
  <c r="I80" i="50"/>
  <c r="I30" i="56"/>
  <c r="I22" i="56"/>
  <c r="I58" i="54"/>
  <c r="I63" i="54"/>
  <c r="I64" i="54"/>
  <c r="I82" i="54"/>
  <c r="D36" i="83" s="1"/>
  <c r="I77" i="54"/>
  <c r="D31" i="83" s="1"/>
  <c r="Q373" i="45"/>
  <c r="Q377" i="45" s="1"/>
  <c r="Q240" i="45"/>
  <c r="Q243" i="45" s="1"/>
  <c r="I148" i="50"/>
  <c r="I222" i="50" s="1"/>
  <c r="Q351" i="6"/>
  <c r="I74" i="54"/>
  <c r="I60" i="54"/>
  <c r="Q351" i="45"/>
  <c r="I54" i="54"/>
  <c r="Q330" i="6"/>
  <c r="I78" i="54"/>
  <c r="D32" i="83" s="1"/>
  <c r="I81" i="54"/>
  <c r="D35" i="83" s="1"/>
  <c r="D12" i="83"/>
  <c r="D23" i="83" s="1"/>
  <c r="I46" i="54"/>
  <c r="I80" i="54"/>
  <c r="D34" i="83" s="1"/>
  <c r="P66" i="54"/>
  <c r="I68" i="83"/>
  <c r="I49" i="83"/>
  <c r="I56" i="83" s="1"/>
  <c r="H49" i="83"/>
  <c r="H56" i="83" s="1"/>
  <c r="H68" i="83"/>
  <c r="G49" i="83"/>
  <c r="G56" i="83" s="1"/>
  <c r="G68" i="83"/>
  <c r="P86" i="54"/>
  <c r="P38" i="56"/>
  <c r="F49" i="83"/>
  <c r="F56" i="83" s="1"/>
  <c r="F68" i="83"/>
  <c r="J14" i="65"/>
  <c r="P14" i="65" s="1"/>
  <c r="P117" i="50"/>
  <c r="P154" i="50"/>
  <c r="J15" i="65"/>
  <c r="P15" i="65" s="1"/>
  <c r="E49" i="83"/>
  <c r="E56" i="83" s="1"/>
  <c r="E68" i="83"/>
  <c r="P25" i="55"/>
  <c r="J29" i="55"/>
  <c r="P29" i="55" s="1"/>
  <c r="E39" i="83"/>
  <c r="J39" i="83" s="1"/>
  <c r="J228" i="50"/>
  <c r="P200" i="50"/>
  <c r="Q377" i="6" l="1"/>
  <c r="I25" i="55"/>
  <c r="I29" i="55" s="1"/>
  <c r="D28" i="83"/>
  <c r="D39" i="83" s="1"/>
  <c r="I86" i="54"/>
  <c r="I66" i="54"/>
  <c r="I154" i="50"/>
  <c r="I15" i="65" s="1"/>
  <c r="I200" i="50"/>
  <c r="I228" i="50" s="1"/>
  <c r="I17" i="65" s="1"/>
  <c r="I117" i="50"/>
  <c r="I14" i="65" s="1"/>
  <c r="I38" i="56"/>
  <c r="D61" i="83"/>
  <c r="J68" i="83"/>
  <c r="J56" i="83"/>
  <c r="J17" i="65"/>
  <c r="P17" i="65" s="1"/>
  <c r="P228" i="50"/>
  <c r="D68" i="83" l="1"/>
  <c r="D49" i="83"/>
  <c r="D56" i="83" s="1"/>
</calcChain>
</file>

<file path=xl/sharedStrings.xml><?xml version="1.0" encoding="utf-8"?>
<sst xmlns="http://schemas.openxmlformats.org/spreadsheetml/2006/main" count="15481" uniqueCount="440">
  <si>
    <t>AusNet Services 2018-2022 Gas Access Arrangements Review</t>
  </si>
  <si>
    <t>Go to contents page</t>
  </si>
  <si>
    <t>AusNet Services 2018-22 GAAR capex model</t>
  </si>
  <si>
    <t>Contents page</t>
  </si>
  <si>
    <t>Table of contents</t>
  </si>
  <si>
    <t>Sheet No.</t>
  </si>
  <si>
    <t>Description</t>
  </si>
  <si>
    <t>Escalation</t>
  </si>
  <si>
    <t>Inflation</t>
  </si>
  <si>
    <t>Inflation forecast</t>
  </si>
  <si>
    <t>Historic CPI data (September Quarter)</t>
  </si>
  <si>
    <t>Forecast CPI</t>
  </si>
  <si>
    <t>actual</t>
  </si>
  <si>
    <t>forecast</t>
  </si>
  <si>
    <t>Inflation index</t>
  </si>
  <si>
    <t>$ nominal to $ end 2017</t>
  </si>
  <si>
    <t>Annual inflation (one year lagged)</t>
  </si>
  <si>
    <t>Labour escalation</t>
  </si>
  <si>
    <t>Overheads</t>
  </si>
  <si>
    <t>Work code</t>
  </si>
  <si>
    <t>LP replacement - planned</t>
  </si>
  <si>
    <t>LP replacement - ad hoc</t>
  </si>
  <si>
    <t>MP replacement - planned</t>
  </si>
  <si>
    <t>MP replacement - ad hoc</t>
  </si>
  <si>
    <t>HP replacement - planned</t>
  </si>
  <si>
    <t>HP replacement - ad hoc</t>
  </si>
  <si>
    <t>Residential meters - planned</t>
  </si>
  <si>
    <t>Residential meters - ad hoc</t>
  </si>
  <si>
    <t>Industrial &amp; Commercial meters - planned</t>
  </si>
  <si>
    <t>Industrial &amp; Commercial meters - ad hoc</t>
  </si>
  <si>
    <t>Network Regulators - planned</t>
  </si>
  <si>
    <t>Network Regulators - ad hoc</t>
  </si>
  <si>
    <t>Customer Regulators - planned</t>
  </si>
  <si>
    <t>Customer Regulators - ad hoc</t>
  </si>
  <si>
    <t>Cathodic Protection</t>
  </si>
  <si>
    <t>SCADA</t>
  </si>
  <si>
    <t>Augmentation</t>
  </si>
  <si>
    <t>Other Non-demand</t>
  </si>
  <si>
    <t>Major Alterations</t>
  </si>
  <si>
    <t>Extensions - New Towns</t>
  </si>
  <si>
    <t>Extensions - Other</t>
  </si>
  <si>
    <t xml:space="preserve">City Gate Security Fence Upgrades </t>
  </si>
  <si>
    <t>End</t>
  </si>
  <si>
    <t>Back to contents page</t>
  </si>
  <si>
    <t>Back to cover page</t>
  </si>
  <si>
    <t>Asset categories and labour/material composition</t>
  </si>
  <si>
    <t>Asset category</t>
  </si>
  <si>
    <t>Internal labour %</t>
  </si>
  <si>
    <t>External labour %</t>
  </si>
  <si>
    <t>Labour %</t>
  </si>
  <si>
    <t>Materials</t>
  </si>
  <si>
    <t>Unit rates (labour/materials combined, excluding overheads and CFC)</t>
  </si>
  <si>
    <t>Previous period</t>
  </si>
  <si>
    <t>Current period</t>
  </si>
  <si>
    <t>Forthcoming period</t>
  </si>
  <si>
    <t>Units</t>
  </si>
  <si>
    <t>Unit numbers</t>
  </si>
  <si>
    <t>metres</t>
  </si>
  <si>
    <t>$/metre</t>
  </si>
  <si>
    <t>General assumptions</t>
  </si>
  <si>
    <t>$</t>
  </si>
  <si>
    <t>Forecast capex (excluding overheads and CFC)</t>
  </si>
  <si>
    <t>Total forecast capex (direct)</t>
  </si>
  <si>
    <t>2018-22 total</t>
  </si>
  <si>
    <t>Supply Regulators / Valve Stations</t>
  </si>
  <si>
    <t>Meters</t>
  </si>
  <si>
    <t>SCADA and remote control</t>
  </si>
  <si>
    <t>Other - IT</t>
  </si>
  <si>
    <t>Other - non IT</t>
  </si>
  <si>
    <t>Transmission pipelines</t>
  </si>
  <si>
    <t>Distribution pipelines</t>
  </si>
  <si>
    <t>Service pipes</t>
  </si>
  <si>
    <t>Cathodic protection</t>
  </si>
  <si>
    <t>RAB category allocation matrix</t>
  </si>
  <si>
    <t>Customer contributions</t>
  </si>
  <si>
    <t>Government contributions</t>
  </si>
  <si>
    <t>Split:</t>
  </si>
  <si>
    <t>Forecast capex (excluding overheads and CFC) - internal labour</t>
  </si>
  <si>
    <t>Forecast capex (direct) - internal labour component</t>
  </si>
  <si>
    <t>Internal labour</t>
  </si>
  <si>
    <t>Forecast capex (excluding overheads and CFC) - external labour</t>
  </si>
  <si>
    <t>External labour</t>
  </si>
  <si>
    <t>Forecast capex (direct) - external labour component</t>
  </si>
  <si>
    <t>Forecast capex (excluding overheads and CFC) - total labour</t>
  </si>
  <si>
    <t>Total labour</t>
  </si>
  <si>
    <t>Forecast capex (direct) - total labour component</t>
  </si>
  <si>
    <t>Forecast capex (excluding overheads and CFC) - materials</t>
  </si>
  <si>
    <t>Forecast capex (direct) - materials component</t>
  </si>
  <si>
    <t>Forecast overheads</t>
  </si>
  <si>
    <t>Forecast overheads (excluding CFC)</t>
  </si>
  <si>
    <t>Overhead rate</t>
  </si>
  <si>
    <t>Gross capex (incl. overheads)</t>
  </si>
  <si>
    <t>Total direct capex</t>
  </si>
  <si>
    <t>Total customer contributions</t>
  </si>
  <si>
    <t>Customer contributions as a percentage of total capex</t>
  </si>
  <si>
    <t>$ end 2017</t>
  </si>
  <si>
    <t>Government contributions payable on projects</t>
  </si>
  <si>
    <t>Project 1</t>
  </si>
  <si>
    <t>Project 2</t>
  </si>
  <si>
    <t>Project 3</t>
  </si>
  <si>
    <t>Project 4</t>
  </si>
  <si>
    <t>Project 5</t>
  </si>
  <si>
    <t>Total government contributions</t>
  </si>
  <si>
    <t>Net capex</t>
  </si>
  <si>
    <t>Gross capex</t>
  </si>
  <si>
    <t>%</t>
  </si>
  <si>
    <t>Capex forecast for work code 3001 (low pressure replacement - planned)</t>
  </si>
  <si>
    <t>Buildings</t>
  </si>
  <si>
    <t>Land</t>
  </si>
  <si>
    <t>Total</t>
  </si>
  <si>
    <t>RIN category (driver) allocation matrix</t>
  </si>
  <si>
    <t>Mains replacement</t>
  </si>
  <si>
    <t>Residential new customer connections</t>
  </si>
  <si>
    <t>Commercial and industrial new customer connections</t>
  </si>
  <si>
    <t>Residential meter replacement</t>
  </si>
  <si>
    <t>Commercial and industrial meter replacement</t>
  </si>
  <si>
    <t>IT capex</t>
  </si>
  <si>
    <t>Other</t>
  </si>
  <si>
    <t>Gas Extensions - Energy for the Regions</t>
  </si>
  <si>
    <t>Gas Extensions - Other</t>
  </si>
  <si>
    <t>Allocation to RAB categories</t>
  </si>
  <si>
    <t>Allocations</t>
  </si>
  <si>
    <t>Allocation to driver categories (i.e. Regulatory Accounts categories)</t>
  </si>
  <si>
    <t>3001 - gross total capex</t>
  </si>
  <si>
    <t>3001 - net total capex</t>
  </si>
  <si>
    <t>Transmission Pipelines</t>
  </si>
  <si>
    <t>Distribution Pipelines</t>
  </si>
  <si>
    <t>Service Pipes</t>
  </si>
  <si>
    <t>EGWWS WPI forecast</t>
  </si>
  <si>
    <t>Construction WPI forecast</t>
  </si>
  <si>
    <t>Internal labour escalation index</t>
  </si>
  <si>
    <t>External labour escalation index</t>
  </si>
  <si>
    <t>Low pressure mains replacement program</t>
  </si>
  <si>
    <t>Tax category allocation matrix</t>
  </si>
  <si>
    <t>Mains &amp; Services</t>
  </si>
  <si>
    <t>Meters Domestic</t>
  </si>
  <si>
    <t>Meters Industrial &amp; Commercial</t>
  </si>
  <si>
    <t>Other Assets</t>
  </si>
  <si>
    <t>Repairs</t>
  </si>
  <si>
    <t>3001 - customer contributions</t>
  </si>
  <si>
    <t>Allocation to tax categories</t>
  </si>
  <si>
    <t>Materials escalation</t>
  </si>
  <si>
    <t>Materials escalation rate</t>
  </si>
  <si>
    <t>Materials escalation index</t>
  </si>
  <si>
    <t>Capex forecast for work code 3002 (low pressure replacement - ad hoc)</t>
  </si>
  <si>
    <t>Minor Replacement - Mains Renewal &lt;20m)</t>
  </si>
  <si>
    <t>Minor Replacement - Alter / Lower Mains</t>
  </si>
  <si>
    <t>Minor Replacement - Service Renewals</t>
  </si>
  <si>
    <t>Minor Replacement - Alter / Lower Services</t>
  </si>
  <si>
    <t>Medium pressure mains replacement program</t>
  </si>
  <si>
    <t>Capex forecast for work code 3003 (medium pressure replacement - planned)</t>
  </si>
  <si>
    <t>Capex forecast for work code 3004 (medium pressure replacement - ad hoc)</t>
  </si>
  <si>
    <t>Capex forecast for work code 3005 (high pressure replacement - planned)</t>
  </si>
  <si>
    <t>Capex forecast for work code 3006 (high pressure replacement - ad hoc)</t>
  </si>
  <si>
    <t>Overheads forecast</t>
  </si>
  <si>
    <t>Direct capex</t>
  </si>
  <si>
    <t>Gas Extensions - Energy for the regions</t>
  </si>
  <si>
    <t>Capitalised overheads</t>
  </si>
  <si>
    <t>Corporate</t>
  </si>
  <si>
    <t>Information Management</t>
  </si>
  <si>
    <t>Information Security</t>
  </si>
  <si>
    <t>Network Management</t>
  </si>
  <si>
    <t>Works &amp; Asset Management</t>
  </si>
  <si>
    <t>EAM / ERP</t>
  </si>
  <si>
    <t>Metering &amp; Customer Services</t>
  </si>
  <si>
    <t>Information Technology</t>
  </si>
  <si>
    <t>Apply real cost escalation?</t>
  </si>
  <si>
    <t>Capex forecast for work code 3007 (residential meters - planned)</t>
  </si>
  <si>
    <t>In-Service Compliance Testing</t>
  </si>
  <si>
    <t>Time Expired</t>
  </si>
  <si>
    <t>"No Access" Non-Compliant</t>
  </si>
  <si>
    <t>$/meter</t>
  </si>
  <si>
    <t>Capex forecast for work code 3008 (residential meters - ad hoc)</t>
  </si>
  <si>
    <t>Meter Faults - Domestic</t>
  </si>
  <si>
    <t>meters</t>
  </si>
  <si>
    <t>Capex forecast for work code 3009 (industrial and commercial meters - planned)</t>
  </si>
  <si>
    <t>Capex forecast for work code 3010 (industrial and commercial meters - ad hoc)</t>
  </si>
  <si>
    <t>Meter Faults - I&amp;C</t>
  </si>
  <si>
    <t>Capex forecast for work code 3011 (network regulators - planned)</t>
  </si>
  <si>
    <t>$/regulator</t>
  </si>
  <si>
    <t>regulators</t>
  </si>
  <si>
    <t>Grove Regulator Replacement - City Gates</t>
  </si>
  <si>
    <t>Grove Regulator Replacement - Field Regulators</t>
  </si>
  <si>
    <t>heaters</t>
  </si>
  <si>
    <t>$/heater</t>
  </si>
  <si>
    <t>Capex forecast for work code 3012 (network regulators - ad hoc)</t>
  </si>
  <si>
    <t>Miscellaneous network regulator capital works</t>
  </si>
  <si>
    <t>Capex forecast for work code 3013 (customer regulators - planned)</t>
  </si>
  <si>
    <t>Grove Regulator Replacement - I&amp;C</t>
  </si>
  <si>
    <t>298 Regulator Replacement</t>
  </si>
  <si>
    <t>Proactive Domestic Regulator Replacement</t>
  </si>
  <si>
    <t>Capex forecast for work code 3014 (customer regulators - ad hoc)</t>
  </si>
  <si>
    <t>Capex forecast for work code 3015 (cathodic protection)</t>
  </si>
  <si>
    <t>$/unit</t>
  </si>
  <si>
    <t>unit</t>
  </si>
  <si>
    <t>Capex forecast for work code 3016 (SCADA)</t>
  </si>
  <si>
    <t>Capex forecast for work code 3017 (augmentation)</t>
  </si>
  <si>
    <t>City Gate - New</t>
  </si>
  <si>
    <t>City Gate - Capacity Upgrade</t>
  </si>
  <si>
    <t>Field Regulator - New</t>
  </si>
  <si>
    <t>Field Regulator - Capacity Upgrade</t>
  </si>
  <si>
    <t>Network Reinforcement - Distribution</t>
  </si>
  <si>
    <t>Network Reinforcement - Transmission</t>
  </si>
  <si>
    <t>Forecast capex (no real cost escalation)</t>
  </si>
  <si>
    <t>Capex forecast for work code 3018 (other non-demand)</t>
  </si>
  <si>
    <t>Other Works</t>
  </si>
  <si>
    <t>Capex forecast for work code 3019 (residential connections)</t>
  </si>
  <si>
    <t>Capex forecast for work code 3020 (industrial and commercial connections)</t>
  </si>
  <si>
    <t>Capex forecast for work code 3021 (Tariff D connections)</t>
  </si>
  <si>
    <t>units</t>
  </si>
  <si>
    <t>Tariff D Connections</t>
  </si>
  <si>
    <t>Capex forecast for work code 3022 (major alterations)</t>
  </si>
  <si>
    <t>Major alterations</t>
  </si>
  <si>
    <t>Capex forecast for work code 3023 (Extensions - New Towns)</t>
  </si>
  <si>
    <t>Capex forecast for work code 3024 (Extensions - Other)</t>
  </si>
  <si>
    <t>Capex forecast for work code 3025 (City Gate Security Fence Upgrades)</t>
  </si>
  <si>
    <t>City Gate Security Fence Upgrades</t>
  </si>
  <si>
    <t>Capex forecast for other non-IT</t>
  </si>
  <si>
    <t>Other non-IT</t>
  </si>
  <si>
    <t>Residential connections</t>
  </si>
  <si>
    <t>Industrial &amp; Commercial connections</t>
  </si>
  <si>
    <t>Industrial &amp; Commercial (Tariff D)</t>
  </si>
  <si>
    <t>Capex forecast by work code</t>
  </si>
  <si>
    <t>Direct capital expenditure</t>
  </si>
  <si>
    <t>Capex forecast for IT</t>
  </si>
  <si>
    <t>IT</t>
  </si>
  <si>
    <t>Total overheads</t>
  </si>
  <si>
    <t>Gross capital expenditure</t>
  </si>
  <si>
    <t>Applying real cost escalation?</t>
  </si>
  <si>
    <t>Total gross capex</t>
  </si>
  <si>
    <t>Net capital expenditure</t>
  </si>
  <si>
    <t>Total net capex</t>
  </si>
  <si>
    <t>Capex forecast by RAB category</t>
  </si>
  <si>
    <t>RAB category</t>
  </si>
  <si>
    <t xml:space="preserve">Supply Regulators/Valve Stations </t>
  </si>
  <si>
    <t>3001 - direct total capex</t>
  </si>
  <si>
    <t>3002 - direct total capex</t>
  </si>
  <si>
    <t>3002 - gross total capex</t>
  </si>
  <si>
    <t>3002 - net total capex</t>
  </si>
  <si>
    <t>3002 - customer contributions</t>
  </si>
  <si>
    <t>3003 - gross total capex</t>
  </si>
  <si>
    <t>3003 - net total capex</t>
  </si>
  <si>
    <t>3003 - customer contributions</t>
  </si>
  <si>
    <t>3004 - gross total capex</t>
  </si>
  <si>
    <t>3004 - net total capex</t>
  </si>
  <si>
    <t>3004 - customer contributions</t>
  </si>
  <si>
    <t>3005 - gross total capex</t>
  </si>
  <si>
    <t>3005 - net total capex</t>
  </si>
  <si>
    <t>3005 - customer contributions</t>
  </si>
  <si>
    <t>3006 - gross total capex</t>
  </si>
  <si>
    <t>3006 - net total capex</t>
  </si>
  <si>
    <t>3006 - customer contributions</t>
  </si>
  <si>
    <t>3007 - gross total capex</t>
  </si>
  <si>
    <t>3007 - net total capex</t>
  </si>
  <si>
    <t>3007 - customer contributions</t>
  </si>
  <si>
    <t>3008 - gross total capex</t>
  </si>
  <si>
    <t>3008 - net total capex</t>
  </si>
  <si>
    <t>3008 - customer contributions</t>
  </si>
  <si>
    <t>3009 - gross total capex</t>
  </si>
  <si>
    <t>3009 - net total capex</t>
  </si>
  <si>
    <t>3009 - customer contributions</t>
  </si>
  <si>
    <t>3010 - gross total capex</t>
  </si>
  <si>
    <t>3010 - net total capex</t>
  </si>
  <si>
    <t>3010 - customer contributions</t>
  </si>
  <si>
    <t>3011 - gross total capex</t>
  </si>
  <si>
    <t>3011 - net total capex</t>
  </si>
  <si>
    <t>3011 - customer contributions</t>
  </si>
  <si>
    <t>3012 - gross total capex</t>
  </si>
  <si>
    <t>3012 - net total capex</t>
  </si>
  <si>
    <t>3012 - customer contributions</t>
  </si>
  <si>
    <t>3013 - gross total capex</t>
  </si>
  <si>
    <t>3013 - net total capex</t>
  </si>
  <si>
    <t>3013 - customer contributions</t>
  </si>
  <si>
    <t>3014 - gross total capex</t>
  </si>
  <si>
    <t>3014 - net total capex</t>
  </si>
  <si>
    <t>3014 - customer contributions</t>
  </si>
  <si>
    <t>3015 - gross total capex</t>
  </si>
  <si>
    <t>3015 - net total capex</t>
  </si>
  <si>
    <t>3015 - customer contributions</t>
  </si>
  <si>
    <t>3016 - gross total capex</t>
  </si>
  <si>
    <t>3016 - net total capex</t>
  </si>
  <si>
    <t>3016 - customer contributions</t>
  </si>
  <si>
    <t>3017 - gross total capex</t>
  </si>
  <si>
    <t>3017 - net total capex</t>
  </si>
  <si>
    <t>3017 - customer contributions</t>
  </si>
  <si>
    <t>3018 - gross total capex</t>
  </si>
  <si>
    <t>3018 - net total capex</t>
  </si>
  <si>
    <t>3018 - customer contributions</t>
  </si>
  <si>
    <t>3019 - gross total capex</t>
  </si>
  <si>
    <t>3019 - net total capex</t>
  </si>
  <si>
    <t>3019 - customer contributions</t>
  </si>
  <si>
    <t>3020 - gross total capex</t>
  </si>
  <si>
    <t>3020 - net total capex</t>
  </si>
  <si>
    <t>3020 - customer contributions</t>
  </si>
  <si>
    <t>3021 - gross total capex</t>
  </si>
  <si>
    <t>3021 - net total capex</t>
  </si>
  <si>
    <t>3021 - customer contributions</t>
  </si>
  <si>
    <t>3022 - gross total capex</t>
  </si>
  <si>
    <t>3022 - net total capex</t>
  </si>
  <si>
    <t>3022 - customer contributions</t>
  </si>
  <si>
    <t>3023 - gross total capex</t>
  </si>
  <si>
    <t>3023 - net total capex</t>
  </si>
  <si>
    <t>3023 - customer contributions</t>
  </si>
  <si>
    <t>3024 - gross total capex</t>
  </si>
  <si>
    <t>3024 - net total capex</t>
  </si>
  <si>
    <t>3024 - customer contributions</t>
  </si>
  <si>
    <t>3025 - gross total capex</t>
  </si>
  <si>
    <t>3025 - net total capex</t>
  </si>
  <si>
    <t>3025 - customer contributions</t>
  </si>
  <si>
    <t>IT - gross total capex</t>
  </si>
  <si>
    <t>IT - net total capex</t>
  </si>
  <si>
    <t>IT - customer contributions</t>
  </si>
  <si>
    <t>other non-IT - gross total capex</t>
  </si>
  <si>
    <t>other non-IT - net total capex</t>
  </si>
  <si>
    <t>other non-IT - customer contributions</t>
  </si>
  <si>
    <t>3003 - direct total capex</t>
  </si>
  <si>
    <t>3004 - direct total capex</t>
  </si>
  <si>
    <t>3005 - direct total capex</t>
  </si>
  <si>
    <t>3006 - direct total capex</t>
  </si>
  <si>
    <t>3007 - direct total capex</t>
  </si>
  <si>
    <t>3008 - direct total capex</t>
  </si>
  <si>
    <t>3009 - direct total capex</t>
  </si>
  <si>
    <t>3010 - direct total capex</t>
  </si>
  <si>
    <t>3011 - direct total capex</t>
  </si>
  <si>
    <t>3012 - direct total capex</t>
  </si>
  <si>
    <t>3013 - direct total capex</t>
  </si>
  <si>
    <t>3014 - direct total capex</t>
  </si>
  <si>
    <t>3015 - direct total capex</t>
  </si>
  <si>
    <t>3016 - direct total capex</t>
  </si>
  <si>
    <t>3017 - direct total capex</t>
  </si>
  <si>
    <t>3018 - direct total capex</t>
  </si>
  <si>
    <t>3019 - direct total capex</t>
  </si>
  <si>
    <t>3020 - direct total capex</t>
  </si>
  <si>
    <t>3021 - direct total capex</t>
  </si>
  <si>
    <t>3022 - direct total capex</t>
  </si>
  <si>
    <t>3023 - direct total capex</t>
  </si>
  <si>
    <t>3024 - direct total capex</t>
  </si>
  <si>
    <t>3025 - direct total capex</t>
  </si>
  <si>
    <t>IT - direct total capex</t>
  </si>
  <si>
    <t>other non-IT - direct total capex</t>
  </si>
  <si>
    <t>Capex forecast by driver</t>
  </si>
  <si>
    <t>Driver</t>
  </si>
  <si>
    <t>Capex forecast by tax category</t>
  </si>
  <si>
    <t>Tax category</t>
  </si>
  <si>
    <t>Gross capital expenditure ($ end 2017)</t>
  </si>
  <si>
    <t>$ 2012 to $ 2017</t>
  </si>
  <si>
    <t>$ 2006 to $ 2017</t>
  </si>
  <si>
    <t xml:space="preserve"> </t>
  </si>
  <si>
    <t>Capex forecast summary</t>
  </si>
  <si>
    <t>$m end 2017</t>
  </si>
  <si>
    <t>Forecast summary</t>
  </si>
  <si>
    <t>Capital expenditure</t>
  </si>
  <si>
    <t>Welker Jet  Regulator Upgrade Program - $200k</t>
  </si>
  <si>
    <t>Welker Jet  Regulator Upgrade Program - $150k</t>
  </si>
  <si>
    <t>City Gate Heater Replacements - $50k</t>
  </si>
  <si>
    <t>City Gate Heater Replacements - $80k</t>
  </si>
  <si>
    <t>City Gate Heater Replacements - $500k</t>
  </si>
  <si>
    <t>City Gate Heater Replacements - $600k</t>
  </si>
  <si>
    <t>Miscellanous work</t>
  </si>
  <si>
    <t>Domestic regulators</t>
  </si>
  <si>
    <t>Gross Capex</t>
  </si>
  <si>
    <t>($m 2017)</t>
  </si>
  <si>
    <t>Customer Contributions</t>
  </si>
  <si>
    <t>Digital metering program</t>
  </si>
  <si>
    <t>n/a</t>
  </si>
  <si>
    <t>I&amp;C connections</t>
  </si>
  <si>
    <t>IT overhead rate</t>
  </si>
  <si>
    <t>Total overhead rate</t>
  </si>
  <si>
    <t>Network capex overheads forecast</t>
  </si>
  <si>
    <t>Fixed proportion</t>
  </si>
  <si>
    <t>Variable proportion</t>
  </si>
  <si>
    <t>Fixed</t>
  </si>
  <si>
    <t>Variable adjustment factor</t>
  </si>
  <si>
    <t>expected</t>
  </si>
  <si>
    <t>Less: IT capex</t>
  </si>
  <si>
    <t>Direct network capex</t>
  </si>
  <si>
    <t>Less: other non-network capex</t>
  </si>
  <si>
    <t>Network capex overhead rate</t>
  </si>
  <si>
    <t>Variable</t>
  </si>
  <si>
    <t>IT capex overheads forecast</t>
  </si>
  <si>
    <t>Labour/non labour splits</t>
  </si>
  <si>
    <t>Fixed/variable splits</t>
  </si>
  <si>
    <t>Labour</t>
  </si>
  <si>
    <t>Non-labour</t>
  </si>
  <si>
    <t>Labour proportion (unescalated)</t>
  </si>
  <si>
    <t>Labour proportion (escalated)</t>
  </si>
  <si>
    <t>Non-labour proportion</t>
  </si>
  <si>
    <t>Total (excl. escalation, incl. variable adjustment)</t>
  </si>
  <si>
    <t>Total (incl. escalation, incl. variable adjustment)</t>
  </si>
  <si>
    <t>IT capex overhead rate</t>
  </si>
  <si>
    <t>Actual/expected overheads</t>
  </si>
  <si>
    <t>Forecast network capex overheads (unadjusted)</t>
  </si>
  <si>
    <t>Forecast IT capex overheads (unadjusted)</t>
  </si>
  <si>
    <t>Total direct network capex</t>
  </si>
  <si>
    <t>Total direct IT capex</t>
  </si>
  <si>
    <t>"No Access" - backlog from prior years</t>
  </si>
  <si>
    <t>Labour price forecast</t>
  </si>
  <si>
    <t>DAE forecasts</t>
  </si>
  <si>
    <t>BIS Shrapnel forecasts</t>
  </si>
  <si>
    <t>Forecast overhead rates</t>
  </si>
  <si>
    <t>Average of BIS and DAE forecasts</t>
  </si>
  <si>
    <t>EGWWS WPI</t>
  </si>
  <si>
    <t>Construction WPI</t>
  </si>
  <si>
    <t>EGWWS WPI - Victoria</t>
  </si>
  <si>
    <t>Construction WPI - Victoria</t>
  </si>
  <si>
    <t>Source: BIS Shrapnel, Utilities sector and construction industry wage forecasts to 2022 - Australia and Victoria, October 2016, p. ii</t>
  </si>
  <si>
    <t>Real price changes</t>
  </si>
  <si>
    <t>Source: DAE, forecast growth in labour costs in NEM regions of Australia, February 2016, p. 54</t>
  </si>
  <si>
    <t>2018-22</t>
  </si>
  <si>
    <t>Yes</t>
  </si>
  <si>
    <r>
      <t xml:space="preserve">($m nominal) - </t>
    </r>
    <r>
      <rPr>
        <b/>
        <u/>
        <sz val="9"/>
        <color rgb="FF00B050"/>
        <rFont val="Arial"/>
        <family val="2"/>
        <scheme val="minor"/>
      </rPr>
      <t>mid year nominal as per Reg Accounts</t>
    </r>
  </si>
  <si>
    <r>
      <t xml:space="preserve">($m nominal) - </t>
    </r>
    <r>
      <rPr>
        <b/>
        <u/>
        <sz val="9"/>
        <color rgb="FF00B050"/>
        <rFont val="Arial"/>
        <family val="2"/>
        <scheme val="minor"/>
      </rPr>
      <t>end of year nominal as per PTRM</t>
    </r>
  </si>
  <si>
    <t>RAB categories</t>
  </si>
  <si>
    <t>Gross capital expenditure ($ end of year nominal as per PTRM)</t>
  </si>
  <si>
    <t>Comms</t>
  </si>
  <si>
    <t>Capex forecast by input type</t>
  </si>
  <si>
    <t>Direct internal labour expenditure</t>
  </si>
  <si>
    <t>Total direct internal labour capex</t>
  </si>
  <si>
    <t>Network capex</t>
  </si>
  <si>
    <t>Direct external labour expenditure</t>
  </si>
  <si>
    <t>Total direct external labour capex</t>
  </si>
  <si>
    <t>Direct materials expenditure</t>
  </si>
  <si>
    <t>Total direct materials capex</t>
  </si>
  <si>
    <t>Gross internal labour expenditure</t>
  </si>
  <si>
    <t>Gross external labour expenditure</t>
  </si>
  <si>
    <t>Gross materials expenditure</t>
  </si>
  <si>
    <t>Total gross internal labour capex</t>
  </si>
  <si>
    <t>Total gross external labour capex</t>
  </si>
  <si>
    <t>Total gross materials capex</t>
  </si>
  <si>
    <t>AMP inputs</t>
  </si>
  <si>
    <t>$ 2016</t>
  </si>
  <si>
    <t>PTRM input</t>
  </si>
  <si>
    <t>PTRM &amp; RFM input</t>
  </si>
  <si>
    <t>RFM input</t>
  </si>
  <si>
    <t>Tax categories</t>
  </si>
  <si>
    <t>Revised Proposal</t>
  </si>
  <si>
    <t>Draft Decision</t>
  </si>
  <si>
    <t>Revised 2017 estimate</t>
  </si>
  <si>
    <t>Change</t>
  </si>
  <si>
    <t>Capex forecast model - AER Final Decision (Public)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</si>
</sst>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3">
    <numFmt numFmtId="6" formatCode="&quot;$&quot;#,##0;[Red]\-&quot;$&quot;#,##0"/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0.000"/>
    <numFmt numFmtId="166" formatCode="#,##0;\(#,##0\)"/>
    <numFmt numFmtId="167" formatCode="0.0%"/>
    <numFmt numFmtId="168" formatCode="###,000"/>
    <numFmt numFmtId="169" formatCode="_-* #,##0_-;\-* #,##0_-;_-* &quot;-&quot;??_-;_-@_-"/>
    <numFmt numFmtId="170" formatCode="0.0"/>
    <numFmt numFmtId="171" formatCode="#,##0.0"/>
    <numFmt numFmtId="172" formatCode="_(#,##0_);\(#,##0\);_(&quot;-&quot;_)"/>
    <numFmt numFmtId="173" formatCode="_-* #,##0.00_-;[Red]\(#,##0.00\)_-;_-* &quot;-&quot;??_-;_-@_-"/>
    <numFmt numFmtId="174" formatCode="&quot;$&quot;#,##0_);\(&quot;$&quot;#,##0\);&quot;$&quot;#,##0_)"/>
    <numFmt numFmtId="175" formatCode="dd/mm/yy"/>
    <numFmt numFmtId="176" formatCode="#,##0\x_);\(#,##0\x\);#,##0\x_)"/>
    <numFmt numFmtId="177" formatCode="#,##0_);\(#,##0\);#,##0_)"/>
    <numFmt numFmtId="178" formatCode="#,##0%_);\(#,##0%\);#,##0%_)"/>
    <numFmt numFmtId="179" formatCode="###0_);\(###0\);###0_)"/>
    <numFmt numFmtId="180" formatCode="_(&quot;$&quot;#,##0.0_);\(&quot;$&quot;#,##0.0\);_(&quot;-&quot;_)"/>
    <numFmt numFmtId="181" formatCode="_)d\-mmm\-yy_);_)d\-mmm\-yy_);_)&quot;-&quot;_)"/>
    <numFmt numFmtId="182" formatCode="_(#,##0.0\x_);\(#,##0.0\x\);_(&quot;-&quot;_)"/>
    <numFmt numFmtId="183" formatCode="_(#,##0.0_);\(#,##0.0\);_(&quot;-&quot;_)"/>
    <numFmt numFmtId="184" formatCode="_(#,##0.0%_);\(#,##0.0%\);_(&quot;-&quot;_)"/>
    <numFmt numFmtId="185" formatCode="_(###0_);\(###0\);_(&quot;-&quot;_)"/>
    <numFmt numFmtId="186" formatCode="&quot;$&quot;#,##0;\(&quot;$&quot;#,##0\);&quot;$&quot;#,##0"/>
    <numFmt numFmtId="187" formatCode="d/m/yy"/>
    <numFmt numFmtId="188" formatCode="#,##0\x;\(#,##0\x\);#,##0\x"/>
    <numFmt numFmtId="189" formatCode="#,##0%;\(#,##0%\);#,##0%"/>
    <numFmt numFmtId="190" formatCode="_(###0_);\(###0\);_(###0_)"/>
    <numFmt numFmtId="191" formatCode="###0;\(###0\);###0"/>
    <numFmt numFmtId="192" formatCode="_(* &quot;$&quot;#,##0_)_;;_(* \(&quot;$&quot;#,##0\)_;;_(* &quot;$&quot;#,##0_)_;"/>
    <numFmt numFmtId="193" formatCode="dd/mm/yy__;"/>
    <numFmt numFmtId="194" formatCode="_(* #,##0\x_)_;;_(* \(#,##0\x\)_;;_(* #,##0\x_)_;"/>
    <numFmt numFmtId="195" formatCode="_(* #,##0_)_;;_(* \(#,##0\)_;;_(* #,##0_)_;"/>
    <numFmt numFmtId="196" formatCode="_(* #,##0%_)_;;_(* \(#,##0%\)_;;_(* #,##0%_)_;"/>
    <numFmt numFmtId="197" formatCode="###0_)_;;\(###0\)_;;###0_)_;"/>
    <numFmt numFmtId="198" formatCode="_)d/m/yy_)"/>
    <numFmt numFmtId="199" formatCode="d/m/yy__"/>
    <numFmt numFmtId="200" formatCode="_)d\-mmm\-yy_)"/>
    <numFmt numFmtId="201" formatCode="_(#,##0.0_);\(#,##0.0\);_(#,##0.0_)"/>
    <numFmt numFmtId="202" formatCode="#,##0.0_);[Red]\(#,##0.0\)"/>
    <numFmt numFmtId="203" formatCode="_(* #,##0_);_(* \(#,##0\);_(* &quot;-&quot;_);_(@_)"/>
    <numFmt numFmtId="204" formatCode="_(&quot;$&quot;* #,##0.00_);_(&quot;$&quot;* \(#,##0.00\);_(&quot;$&quot;* &quot;-&quot;??_);_(@_)"/>
    <numFmt numFmtId="205" formatCode="mm/dd/yy"/>
    <numFmt numFmtId="206" formatCode="_([$€-2]* #,##0.00_);_([$€-2]* \(#,##0.00\);_([$€-2]* &quot;-&quot;??_)"/>
    <numFmt numFmtId="207" formatCode="0_);[Red]\(0\)"/>
    <numFmt numFmtId="208" formatCode="_(* &quot;$&quot;#,##0_)_;;[Blue]_(* \(&quot;$&quot;#,##0\)_;;_(* &quot;$&quot;#,##0_)_;"/>
    <numFmt numFmtId="209" formatCode="_(* #,##0\x_)_;;[Blue]_(* \(#,##0\x\)_;;_(* #,##0\x_)_;"/>
    <numFmt numFmtId="210" formatCode="_(* #,##0_)_;;[Blue]_(* \(#,##0\)_;;_(* #,##0_)_;"/>
    <numFmt numFmtId="211" formatCode="_(* #,##0%_)_;;[Blue]_(* \(#,##0%\)_;;_(* #,##0%_)_;"/>
    <numFmt numFmtId="212" formatCode="_(* #,##0_);_(* \(#,##0\);_(* &quot;-&quot;?_);_(@_)"/>
    <numFmt numFmtId="213" formatCode="_(#,##0_);\(#,##0\);_(#,##0_)"/>
    <numFmt numFmtId="214" formatCode="#,##0_);[Blue]\(#,##0\);#,##0_)"/>
    <numFmt numFmtId="215" formatCode="#,##0.0_);\(#,##0.0\)"/>
    <numFmt numFmtId="216" formatCode="#,##0_ ;\-#,##0\ "/>
    <numFmt numFmtId="217" formatCode="#,##0.00;[Red]\(#,##0.00\)"/>
    <numFmt numFmtId="218" formatCode="#,##0;[Red]\(#,##0.0\)"/>
    <numFmt numFmtId="219" formatCode="#,##0_ ;[Red]\(#,##0\)\ "/>
    <numFmt numFmtId="220" formatCode="#,##0.00;\(#,##0.00\)"/>
    <numFmt numFmtId="221" formatCode="#,##0.0000_);[Red]\(#,##0.0000\)"/>
    <numFmt numFmtId="222" formatCode="&quot;$&quot;#,##0.000;[Red]\-&quot;$&quot;#,##0.000"/>
    <numFmt numFmtId="223" formatCode="&quot;$&quot;#,##0.0000;[Red]\-&quot;$&quot;#,##0.0000"/>
    <numFmt numFmtId="224" formatCode="#,##0.000000000"/>
    <numFmt numFmtId="225" formatCode="#,##0.00_);\(#,##0.00\);\-"/>
    <numFmt numFmtId="226" formatCode="#,##0_);\(#,##0\);\-"/>
    <numFmt numFmtId="227" formatCode="#,##0.00%_);\(#,##0.00%\);\-"/>
    <numFmt numFmtId="228" formatCode="#,##0.0%_);\(#,##0.0%\);\-"/>
    <numFmt numFmtId="229" formatCode="#,##0.0\x_);\(#,##0.0\x\);\-"/>
    <numFmt numFmtId="230" formatCode="mmm\-d\-yyyy"/>
    <numFmt numFmtId="231" formatCode="mmm\-yyyy"/>
    <numFmt numFmtId="232" formatCode="dd\-mmm\-yy;\-;\-"/>
    <numFmt numFmtId="233" formatCode="dd/mmm"/>
    <numFmt numFmtId="234" formatCode="#,##0.0_);\(#,##0.0\);\-"/>
    <numFmt numFmtId="235" formatCode="#,##0.0000_);\(#,##0.0000\);\-"/>
    <numFmt numFmtId="236" formatCode="0.00%_);\(0.00\)%;\-"/>
    <numFmt numFmtId="237" formatCode="yyyy&quot;A&quot;"/>
    <numFmt numFmtId="238" formatCode="yyyy&quot;E&quot;"/>
    <numFmt numFmtId="239" formatCode="0&quot;E&quot;"/>
    <numFmt numFmtId="240" formatCode="#,##0.000000"/>
  </numFmts>
  <fonts count="144">
    <font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Arial"/>
      <family val="2"/>
    </font>
    <font>
      <b/>
      <sz val="11"/>
      <color theme="1"/>
      <name val="Arial"/>
      <family val="2"/>
    </font>
    <font>
      <sz val="9"/>
      <color indexed="12"/>
      <name val="Arial"/>
      <family val="2"/>
    </font>
    <font>
      <b/>
      <u/>
      <sz val="9"/>
      <color theme="1"/>
      <name val="Arial"/>
      <family val="2"/>
    </font>
    <font>
      <i/>
      <sz val="9"/>
      <color theme="1"/>
      <name val="Arial"/>
      <family val="2"/>
    </font>
    <font>
      <u/>
      <sz val="9"/>
      <color theme="0"/>
      <name val="Arial"/>
      <family val="2"/>
    </font>
    <font>
      <u/>
      <sz val="10"/>
      <color theme="3"/>
      <name val="Arial"/>
      <family val="2"/>
    </font>
    <font>
      <sz val="9"/>
      <color rgb="FFFF0000"/>
      <name val="Arial"/>
      <family val="2"/>
    </font>
    <font>
      <b/>
      <sz val="9"/>
      <name val="Arial"/>
      <family val="2"/>
    </font>
    <font>
      <u/>
      <sz val="9"/>
      <color theme="3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  <scheme val="minor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9"/>
      <name val="Calibri"/>
      <family val="2"/>
    </font>
    <font>
      <sz val="9"/>
      <name val="AGaramond"/>
    </font>
    <font>
      <sz val="8"/>
      <color indexed="60"/>
      <name val="Arial"/>
      <family val="2"/>
    </font>
    <font>
      <sz val="11"/>
      <color indexed="20"/>
      <name val="Calibri"/>
      <family val="2"/>
    </font>
    <font>
      <sz val="11"/>
      <color rgb="FF9C0006"/>
      <name val="Arial"/>
      <family val="2"/>
      <scheme val="minor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sz val="8"/>
      <name val="Tahoma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8"/>
      <name val="Palatino"/>
      <family val="1"/>
    </font>
    <font>
      <sz val="10"/>
      <color theme="1"/>
      <name val="Arial"/>
      <family val="2"/>
    </font>
    <font>
      <sz val="10"/>
      <name val="Tahoma"/>
      <family val="2"/>
    </font>
    <font>
      <sz val="10"/>
      <color indexed="24"/>
      <name val="Arial"/>
      <family val="2"/>
    </font>
    <font>
      <b/>
      <sz val="14"/>
      <color indexed="60"/>
      <name val="Arial"/>
      <family val="2"/>
    </font>
    <font>
      <b/>
      <sz val="8"/>
      <color indexed="29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rgb="FF7F7F7F"/>
      <name val="Arial"/>
      <family val="2"/>
      <scheme val="minor"/>
    </font>
    <font>
      <sz val="7"/>
      <name val="Palatino"/>
      <family val="1"/>
    </font>
    <font>
      <b/>
      <sz val="8"/>
      <color indexed="60"/>
      <name val="Arial"/>
      <family val="2"/>
    </font>
    <font>
      <sz val="9"/>
      <name val="GillSans"/>
    </font>
    <font>
      <sz val="9"/>
      <name val="GillSans Light"/>
    </font>
    <font>
      <sz val="11"/>
      <color indexed="17"/>
      <name val="Calibri"/>
      <family val="2"/>
    </font>
    <font>
      <sz val="6"/>
      <color indexed="16"/>
      <name val="Palatino"/>
      <family val="1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u/>
      <sz val="8"/>
      <color indexed="12"/>
      <name val="Arial"/>
      <family val="2"/>
    </font>
    <font>
      <u/>
      <sz val="9"/>
      <color indexed="12"/>
      <name val="Arial Narrow"/>
      <family val="2"/>
    </font>
    <font>
      <u/>
      <sz val="11"/>
      <color theme="10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b/>
      <u/>
      <sz val="10"/>
      <color indexed="56"/>
      <name val="Arial"/>
      <family val="2"/>
    </font>
    <font>
      <b/>
      <u/>
      <sz val="9"/>
      <color indexed="56"/>
      <name val="Arial"/>
      <family val="2"/>
    </font>
    <font>
      <sz val="8"/>
      <color indexed="56"/>
      <name val="Arial"/>
      <family val="2"/>
    </font>
    <font>
      <sz val="11"/>
      <color indexed="62"/>
      <name val="Calibri"/>
      <family val="2"/>
    </font>
    <font>
      <b/>
      <sz val="10"/>
      <color indexed="60"/>
      <name val="Arial"/>
      <family val="2"/>
    </font>
    <font>
      <b/>
      <sz val="9"/>
      <color indexed="60"/>
      <name val="Arial"/>
      <family val="2"/>
    </font>
    <font>
      <b/>
      <sz val="12"/>
      <color indexed="60"/>
      <name val="Arial"/>
      <family val="2"/>
    </font>
    <font>
      <sz val="11"/>
      <color indexed="52"/>
      <name val="Calibri"/>
      <family val="2"/>
    </font>
    <font>
      <sz val="8"/>
      <color indexed="8"/>
      <name val="Arial"/>
      <family val="2"/>
    </font>
    <font>
      <sz val="12"/>
      <color indexed="14"/>
      <name val="Arial"/>
      <family val="2"/>
    </font>
    <font>
      <b/>
      <sz val="12"/>
      <name val="Arial"/>
      <family val="2"/>
    </font>
    <font>
      <sz val="11"/>
      <color indexed="60"/>
      <name val="Calibri"/>
      <family val="2"/>
    </font>
    <font>
      <sz val="9"/>
      <name val="Arial Narrow"/>
      <family val="2"/>
    </font>
    <font>
      <b/>
      <sz val="11"/>
      <color indexed="63"/>
      <name val="Calibri"/>
      <family val="2"/>
    </font>
    <font>
      <b/>
      <sz val="14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2"/>
      <color indexed="8"/>
      <name val="Arial"/>
      <family val="2"/>
    </font>
    <font>
      <sz val="10"/>
      <color indexed="16"/>
      <name val="Helvetica-Black"/>
    </font>
    <font>
      <sz val="8.5"/>
      <name val="Univers 55"/>
      <family val="2"/>
    </font>
    <font>
      <sz val="8"/>
      <color indexed="8"/>
      <name val="Tahoma"/>
      <family val="2"/>
    </font>
    <font>
      <b/>
      <sz val="10"/>
      <color indexed="8"/>
      <name val="Tahoma"/>
      <family val="2"/>
    </font>
    <font>
      <b/>
      <sz val="9"/>
      <color indexed="8"/>
      <name val="Tahoma"/>
      <family val="2"/>
    </font>
    <font>
      <b/>
      <sz val="8"/>
      <color indexed="8"/>
      <name val="Tahoma"/>
      <family val="2"/>
    </font>
    <font>
      <b/>
      <u/>
      <sz val="8"/>
      <color indexed="56"/>
      <name val="Tahoma"/>
      <family val="2"/>
    </font>
    <font>
      <b/>
      <sz val="12"/>
      <color indexed="8"/>
      <name val="Tahoma"/>
      <family val="2"/>
    </font>
    <font>
      <b/>
      <sz val="13"/>
      <color indexed="8"/>
      <name val="Tahoma"/>
      <family val="2"/>
    </font>
    <font>
      <b/>
      <sz val="13"/>
      <name val="Arial"/>
      <family val="2"/>
    </font>
    <font>
      <b/>
      <sz val="14"/>
      <color indexed="8"/>
      <name val="Tahoma"/>
      <family val="2"/>
    </font>
    <font>
      <b/>
      <sz val="14"/>
      <name val="Arial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sz val="18"/>
      <color indexed="56"/>
      <name val="Cambria"/>
      <family val="2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u/>
      <sz val="7.5"/>
      <color indexed="56"/>
      <name val="Arial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9"/>
      <color theme="1"/>
      <name val="Arial"/>
      <family val="2"/>
      <scheme val="minor"/>
    </font>
    <font>
      <sz val="10"/>
      <name val="Arial"/>
      <family val="2"/>
    </font>
    <font>
      <sz val="9"/>
      <color theme="1"/>
      <name val="Arial"/>
      <family val="2"/>
      <scheme val="minor"/>
    </font>
    <font>
      <b/>
      <u/>
      <sz val="9"/>
      <color indexed="10"/>
      <name val="Arial"/>
      <family val="2"/>
      <scheme val="minor"/>
    </font>
    <font>
      <b/>
      <sz val="9"/>
      <name val="Arial"/>
      <family val="2"/>
      <scheme val="minor"/>
    </font>
    <font>
      <sz val="9"/>
      <name val="Arial"/>
      <family val="2"/>
      <scheme val="minor"/>
    </font>
    <font>
      <b/>
      <sz val="9"/>
      <color rgb="FFFF0000"/>
      <name val="Arial"/>
      <family val="2"/>
      <scheme val="minor"/>
    </font>
    <font>
      <b/>
      <u/>
      <sz val="9"/>
      <color rgb="FF00B050"/>
      <name val="Arial"/>
      <family val="2"/>
      <scheme val="minor"/>
    </font>
    <font>
      <b/>
      <u/>
      <sz val="9"/>
      <name val="Arial"/>
      <family val="2"/>
      <scheme val="minor"/>
    </font>
    <font>
      <b/>
      <i/>
      <sz val="9"/>
      <name val="Arial"/>
      <family val="2"/>
      <scheme val="minor"/>
    </font>
    <font>
      <sz val="8"/>
      <color theme="1"/>
      <name val="Arial"/>
      <family val="2"/>
    </font>
    <font>
      <sz val="9"/>
      <color indexed="12"/>
      <name val="Frutiger 45 Light"/>
      <family val="2"/>
    </font>
    <font>
      <sz val="9"/>
      <name val="Frutiger 45 Light"/>
      <family val="2"/>
    </font>
    <font>
      <b/>
      <sz val="9"/>
      <color indexed="9"/>
      <name val="Frutiger 45 Light"/>
      <family val="2"/>
    </font>
    <font>
      <sz val="9"/>
      <color indexed="9"/>
      <name val="Frutiger 45 Light"/>
      <family val="2"/>
    </font>
    <font>
      <sz val="10"/>
      <color indexed="12"/>
      <name val="Frutiger 45 Light"/>
      <family val="2"/>
    </font>
    <font>
      <sz val="10"/>
      <color indexed="8"/>
      <name val="Calibri"/>
      <family val="2"/>
    </font>
    <font>
      <sz val="10"/>
      <name val="Frutiger 45 Light"/>
    </font>
    <font>
      <sz val="8"/>
      <color indexed="10"/>
      <name val="Arial"/>
      <family val="2"/>
    </font>
    <font>
      <b/>
      <i/>
      <sz val="9"/>
      <color theme="1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DBE5F1"/>
        <bgColor rgb="FFFFFFFF"/>
      </patternFill>
    </fill>
    <fill>
      <patternFill patternType="lightUp">
        <bgColor theme="0"/>
      </patternFill>
    </fill>
    <fill>
      <patternFill patternType="solid">
        <fgColor rgb="FFFFC7CE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indexed="16"/>
        <bgColor indexed="64"/>
      </patternFill>
    </fill>
    <fill>
      <patternFill patternType="lightUp">
        <bgColor indexed="42"/>
      </patternFill>
    </fill>
    <fill>
      <patternFill patternType="lightUp">
        <bgColor rgb="FFFFFF00"/>
      </patternFill>
    </fill>
    <fill>
      <patternFill patternType="solid">
        <fgColor indexed="1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</fills>
  <borders count="47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58852">
    <xf numFmtId="0" fontId="0" fillId="0" borderId="0"/>
    <xf numFmtId="9" fontId="1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5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8" fillId="0" borderId="0"/>
    <xf numFmtId="0" fontId="5" fillId="0" borderId="0"/>
    <xf numFmtId="0" fontId="18" fillId="0" borderId="0"/>
    <xf numFmtId="0" fontId="18" fillId="0" borderId="0"/>
    <xf numFmtId="0" fontId="19" fillId="0" borderId="0"/>
    <xf numFmtId="9" fontId="18" fillId="0" borderId="0" applyFont="0" applyFill="0" applyBorder="0" applyAlignment="0" applyProtection="0"/>
    <xf numFmtId="0" fontId="20" fillId="0" borderId="18" applyNumberFormat="0" applyFont="0" applyFill="0" applyAlignment="0" applyProtection="0"/>
    <xf numFmtId="168" fontId="21" fillId="0" borderId="19" applyNumberFormat="0" applyProtection="0">
      <alignment horizontal="right" vertical="center"/>
    </xf>
    <xf numFmtId="168" fontId="22" fillId="0" borderId="20" applyNumberFormat="0" applyProtection="0">
      <alignment horizontal="right" vertical="center"/>
    </xf>
    <xf numFmtId="0" fontId="22" fillId="10" borderId="18" applyNumberFormat="0" applyAlignment="0" applyProtection="0">
      <alignment horizontal="left" vertical="center" indent="1"/>
    </xf>
    <xf numFmtId="0" fontId="23" fillId="11" borderId="20" applyNumberFormat="0" applyAlignment="0" applyProtection="0">
      <alignment horizontal="left" vertical="center" indent="1"/>
    </xf>
    <xf numFmtId="0" fontId="23" fillId="11" borderId="20" applyNumberFormat="0" applyAlignment="0" applyProtection="0">
      <alignment horizontal="left" vertical="center" indent="1"/>
    </xf>
    <xf numFmtId="0" fontId="24" fillId="0" borderId="21" applyNumberFormat="0" applyFill="0" applyBorder="0" applyAlignment="0" applyProtection="0"/>
    <xf numFmtId="0" fontId="24" fillId="11" borderId="20" applyNumberFormat="0" applyAlignment="0" applyProtection="0">
      <alignment horizontal="left" vertical="center" indent="1"/>
    </xf>
    <xf numFmtId="0" fontId="24" fillId="11" borderId="20" applyNumberFormat="0" applyAlignment="0" applyProtection="0">
      <alignment horizontal="left" vertical="center" indent="1"/>
    </xf>
    <xf numFmtId="168" fontId="25" fillId="12" borderId="19" applyNumberFormat="0" applyBorder="0" applyProtection="0">
      <alignment horizontal="right" vertical="center"/>
    </xf>
    <xf numFmtId="168" fontId="26" fillId="12" borderId="20" applyNumberFormat="0" applyBorder="0" applyProtection="0">
      <alignment horizontal="right" vertical="center"/>
    </xf>
    <xf numFmtId="0" fontId="24" fillId="13" borderId="20" applyNumberFormat="0" applyAlignment="0" applyProtection="0">
      <alignment horizontal="left" vertical="center" indent="1"/>
    </xf>
    <xf numFmtId="168" fontId="26" fillId="13" borderId="20" applyNumberFormat="0" applyProtection="0">
      <alignment horizontal="right" vertical="center"/>
    </xf>
    <xf numFmtId="0" fontId="27" fillId="0" borderId="21" applyBorder="0" applyAlignment="0" applyProtection="0"/>
    <xf numFmtId="168" fontId="28" fillId="14" borderId="22" applyNumberFormat="0" applyBorder="0" applyAlignment="0" applyProtection="0">
      <alignment horizontal="right" vertical="center" indent="1"/>
    </xf>
    <xf numFmtId="168" fontId="29" fillId="15" borderId="22" applyNumberFormat="0" applyBorder="0" applyAlignment="0" applyProtection="0">
      <alignment horizontal="right" vertical="center" indent="1"/>
    </xf>
    <xf numFmtId="168" fontId="29" fillId="16" borderId="22" applyNumberFormat="0" applyBorder="0" applyAlignment="0" applyProtection="0">
      <alignment horizontal="right" vertical="center" indent="1"/>
    </xf>
    <xf numFmtId="168" fontId="30" fillId="17" borderId="22" applyNumberFormat="0" applyBorder="0" applyAlignment="0" applyProtection="0">
      <alignment horizontal="right" vertical="center" indent="1"/>
    </xf>
    <xf numFmtId="168" fontId="30" fillId="18" borderId="22" applyNumberFormat="0" applyBorder="0" applyAlignment="0" applyProtection="0">
      <alignment horizontal="right" vertical="center" indent="1"/>
    </xf>
    <xf numFmtId="168" fontId="30" fillId="19" borderId="22" applyNumberFormat="0" applyBorder="0" applyAlignment="0" applyProtection="0">
      <alignment horizontal="right" vertical="center" indent="1"/>
    </xf>
    <xf numFmtId="168" fontId="31" fillId="20" borderId="22" applyNumberFormat="0" applyBorder="0" applyAlignment="0" applyProtection="0">
      <alignment horizontal="right" vertical="center" indent="1"/>
    </xf>
    <xf numFmtId="168" fontId="31" fillId="21" borderId="22" applyNumberFormat="0" applyBorder="0" applyAlignment="0" applyProtection="0">
      <alignment horizontal="right" vertical="center" indent="1"/>
    </xf>
    <xf numFmtId="168" fontId="31" fillId="22" borderId="22" applyNumberFormat="0" applyBorder="0" applyAlignment="0" applyProtection="0">
      <alignment horizontal="right" vertical="center" indent="1"/>
    </xf>
    <xf numFmtId="0" fontId="23" fillId="23" borderId="18" applyNumberFormat="0" applyAlignment="0" applyProtection="0">
      <alignment horizontal="left" vertical="center" indent="1"/>
    </xf>
    <xf numFmtId="0" fontId="23" fillId="24" borderId="18" applyNumberFormat="0" applyAlignment="0" applyProtection="0">
      <alignment horizontal="left" vertical="center" indent="1"/>
    </xf>
    <xf numFmtId="0" fontId="23" fillId="25" borderId="18" applyNumberFormat="0" applyAlignment="0" applyProtection="0">
      <alignment horizontal="left" vertical="center" indent="1"/>
    </xf>
    <xf numFmtId="0" fontId="23" fillId="12" borderId="18" applyNumberFormat="0" applyAlignment="0" applyProtection="0">
      <alignment horizontal="left" vertical="center" indent="1"/>
    </xf>
    <xf numFmtId="0" fontId="23" fillId="13" borderId="20" applyNumberFormat="0" applyAlignment="0" applyProtection="0">
      <alignment horizontal="left" vertical="center" indent="1"/>
    </xf>
    <xf numFmtId="168" fontId="21" fillId="12" borderId="19" applyNumberFormat="0" applyBorder="0" applyProtection="0">
      <alignment horizontal="right" vertical="center"/>
    </xf>
    <xf numFmtId="168" fontId="22" fillId="12" borderId="20" applyNumberFormat="0" applyBorder="0" applyProtection="0">
      <alignment horizontal="right" vertical="center"/>
    </xf>
    <xf numFmtId="168" fontId="21" fillId="26" borderId="18" applyNumberFormat="0" applyAlignment="0" applyProtection="0">
      <alignment horizontal="left" vertical="center" indent="1"/>
    </xf>
    <xf numFmtId="0" fontId="22" fillId="10" borderId="20" applyNumberFormat="0" applyAlignment="0" applyProtection="0">
      <alignment horizontal="left" vertical="center" indent="1"/>
    </xf>
    <xf numFmtId="0" fontId="23" fillId="13" borderId="20" applyNumberFormat="0" applyAlignment="0" applyProtection="0">
      <alignment horizontal="left" vertical="center" indent="1"/>
    </xf>
    <xf numFmtId="168" fontId="22" fillId="13" borderId="20" applyNumberFormat="0" applyProtection="0">
      <alignment horizontal="right" vertical="center"/>
    </xf>
    <xf numFmtId="43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33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37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3" fontId="34" fillId="0" borderId="0"/>
    <xf numFmtId="173" fontId="34" fillId="0" borderId="0"/>
    <xf numFmtId="173" fontId="34" fillId="0" borderId="0"/>
    <xf numFmtId="173" fontId="34" fillId="0" borderId="0"/>
    <xf numFmtId="0" fontId="37" fillId="32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2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2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33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2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33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9" fillId="32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33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2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4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32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33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7" fillId="53" borderId="0" applyNumberFormat="0" applyBorder="0" applyAlignment="0" applyProtection="0"/>
    <xf numFmtId="0" fontId="37" fillId="57" borderId="0" applyNumberFormat="0" applyBorder="0" applyAlignment="0" applyProtection="0"/>
    <xf numFmtId="0" fontId="39" fillId="54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7" fillId="50" borderId="0" applyNumberFormat="0" applyBorder="0" applyAlignment="0" applyProtection="0"/>
    <xf numFmtId="0" fontId="37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7" fillId="60" borderId="0" applyNumberFormat="0" applyBorder="0" applyAlignment="0" applyProtection="0"/>
    <xf numFmtId="0" fontId="37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7" fillId="53" borderId="0" applyNumberFormat="0" applyBorder="0" applyAlignment="0" applyProtection="0"/>
    <xf numFmtId="0" fontId="37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40" fillId="0" borderId="0"/>
    <xf numFmtId="174" fontId="41" fillId="0" borderId="27">
      <alignment horizontal="center" vertical="center"/>
      <protection locked="0"/>
    </xf>
    <xf numFmtId="174" fontId="41" fillId="0" borderId="27">
      <alignment horizontal="center" vertical="center"/>
      <protection locked="0"/>
    </xf>
    <xf numFmtId="175" fontId="41" fillId="0" borderId="27">
      <alignment horizontal="center" vertical="center"/>
      <protection locked="0"/>
    </xf>
    <xf numFmtId="175" fontId="41" fillId="0" borderId="27">
      <alignment horizontal="center" vertical="center"/>
      <protection locked="0"/>
    </xf>
    <xf numFmtId="176" fontId="41" fillId="0" borderId="27">
      <alignment horizontal="center" vertical="center"/>
      <protection locked="0"/>
    </xf>
    <xf numFmtId="176" fontId="41" fillId="0" borderId="27">
      <alignment horizontal="center" vertical="center"/>
      <protection locked="0"/>
    </xf>
    <xf numFmtId="177" fontId="41" fillId="0" borderId="27">
      <alignment horizontal="center" vertical="center"/>
      <protection locked="0"/>
    </xf>
    <xf numFmtId="177" fontId="41" fillId="0" borderId="27">
      <alignment horizontal="center" vertical="center"/>
      <protection locked="0"/>
    </xf>
    <xf numFmtId="178" fontId="41" fillId="0" borderId="27">
      <alignment horizontal="center" vertical="center"/>
      <protection locked="0"/>
    </xf>
    <xf numFmtId="178" fontId="41" fillId="0" borderId="27">
      <alignment horizontal="center" vertical="center"/>
      <protection locked="0"/>
    </xf>
    <xf numFmtId="0" fontId="41" fillId="0" borderId="27">
      <alignment horizontal="center" vertical="center"/>
      <protection locked="0"/>
    </xf>
    <xf numFmtId="0" fontId="41" fillId="0" borderId="27">
      <alignment horizontal="center" vertical="center"/>
      <protection locked="0"/>
    </xf>
    <xf numFmtId="179" fontId="41" fillId="0" borderId="27">
      <alignment horizontal="center" vertical="center"/>
      <protection locked="0"/>
    </xf>
    <xf numFmtId="179" fontId="41" fillId="0" borderId="27">
      <alignment horizontal="center"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0" fontId="34" fillId="0" borderId="29">
      <alignment horizontal="center" vertical="center"/>
      <protection locked="0"/>
    </xf>
    <xf numFmtId="186" fontId="34" fillId="0" borderId="27">
      <alignment horizontal="center" vertical="center"/>
      <protection locked="0"/>
    </xf>
    <xf numFmtId="180" fontId="34" fillId="0" borderId="29">
      <alignment horizontal="center" vertical="center"/>
      <protection locked="0"/>
    </xf>
    <xf numFmtId="180" fontId="34" fillId="0" borderId="29">
      <alignment horizontal="center" vertical="center"/>
      <protection locked="0"/>
    </xf>
    <xf numFmtId="187" fontId="34" fillId="0" borderId="29">
      <alignment horizontal="center" vertical="center"/>
      <protection locked="0"/>
    </xf>
    <xf numFmtId="187" fontId="34" fillId="0" borderId="27">
      <alignment horizontal="center" vertical="center"/>
      <protection locked="0"/>
    </xf>
    <xf numFmtId="15" fontId="34" fillId="0" borderId="29">
      <alignment horizontal="center" vertical="center"/>
      <protection locked="0"/>
    </xf>
    <xf numFmtId="15" fontId="34" fillId="0" borderId="29">
      <alignment horizontal="center" vertical="center"/>
      <protection locked="0"/>
    </xf>
    <xf numFmtId="187" fontId="34" fillId="0" borderId="29">
      <alignment horizontal="center" vertical="center"/>
      <protection locked="0"/>
    </xf>
    <xf numFmtId="182" fontId="34" fillId="0" borderId="29">
      <alignment horizontal="center" vertical="center"/>
      <protection locked="0"/>
    </xf>
    <xf numFmtId="188" fontId="34" fillId="0" borderId="27">
      <alignment horizontal="center" vertical="center"/>
      <protection locked="0"/>
    </xf>
    <xf numFmtId="182" fontId="34" fillId="0" borderId="29">
      <alignment horizontal="center" vertical="center"/>
      <protection locked="0"/>
    </xf>
    <xf numFmtId="182" fontId="34" fillId="0" borderId="29">
      <alignment horizontal="center" vertical="center"/>
      <protection locked="0"/>
    </xf>
    <xf numFmtId="172" fontId="34" fillId="0" borderId="29">
      <alignment horizontal="center" vertical="center"/>
      <protection locked="0"/>
    </xf>
    <xf numFmtId="166" fontId="34" fillId="0" borderId="27">
      <alignment horizontal="center" vertical="center"/>
      <protection locked="0"/>
    </xf>
    <xf numFmtId="183" fontId="34" fillId="0" borderId="29">
      <alignment horizontal="center" vertical="center"/>
      <protection locked="0"/>
    </xf>
    <xf numFmtId="183" fontId="34" fillId="0" borderId="29">
      <alignment horizontal="center" vertical="center"/>
      <protection locked="0"/>
    </xf>
    <xf numFmtId="172" fontId="34" fillId="0" borderId="29">
      <alignment horizontal="center" vertical="center"/>
      <protection locked="0"/>
    </xf>
    <xf numFmtId="184" fontId="34" fillId="0" borderId="29">
      <alignment horizontal="center" vertical="center"/>
      <protection locked="0"/>
    </xf>
    <xf numFmtId="189" fontId="34" fillId="0" borderId="27">
      <alignment horizontal="center" vertical="center"/>
      <protection locked="0"/>
    </xf>
    <xf numFmtId="184" fontId="34" fillId="0" borderId="29">
      <alignment horizontal="center" vertical="center"/>
      <protection locked="0"/>
    </xf>
    <xf numFmtId="184" fontId="34" fillId="0" borderId="29">
      <alignment horizontal="center" vertical="center"/>
      <protection locked="0"/>
    </xf>
    <xf numFmtId="190" fontId="34" fillId="0" borderId="29">
      <alignment horizontal="center" vertical="center"/>
      <protection locked="0"/>
    </xf>
    <xf numFmtId="191" fontId="34" fillId="0" borderId="27">
      <alignment horizontal="center" vertical="center"/>
      <protection locked="0"/>
    </xf>
    <xf numFmtId="190" fontId="34" fillId="0" borderId="29">
      <alignment horizontal="center" vertical="center"/>
      <protection locked="0"/>
    </xf>
    <xf numFmtId="190" fontId="34" fillId="0" borderId="29">
      <alignment horizontal="center" vertical="center"/>
      <protection locked="0"/>
    </xf>
    <xf numFmtId="192" fontId="41" fillId="0" borderId="27">
      <alignment horizontal="center" vertical="center"/>
      <protection locked="0"/>
    </xf>
    <xf numFmtId="192" fontId="41" fillId="0" borderId="27">
      <alignment horizontal="center" vertical="center"/>
      <protection locked="0"/>
    </xf>
    <xf numFmtId="193" fontId="41" fillId="0" borderId="27">
      <alignment horizontal="right" vertical="center"/>
      <protection locked="0"/>
    </xf>
    <xf numFmtId="193" fontId="41" fillId="0" borderId="27">
      <alignment horizontal="right" vertical="center"/>
      <protection locked="0"/>
    </xf>
    <xf numFmtId="194" fontId="41" fillId="0" borderId="27">
      <alignment horizontal="center" vertical="center"/>
      <protection locked="0"/>
    </xf>
    <xf numFmtId="194" fontId="41" fillId="0" borderId="27">
      <alignment horizontal="center" vertical="center"/>
      <protection locked="0"/>
    </xf>
    <xf numFmtId="195" fontId="41" fillId="0" borderId="27">
      <alignment horizontal="center" vertical="center"/>
      <protection locked="0"/>
    </xf>
    <xf numFmtId="195" fontId="41" fillId="0" borderId="27">
      <alignment horizontal="center" vertical="center"/>
      <protection locked="0"/>
    </xf>
    <xf numFmtId="196" fontId="41" fillId="0" borderId="27">
      <alignment horizontal="center" vertical="center"/>
      <protection locked="0"/>
    </xf>
    <xf numFmtId="196" fontId="41" fillId="0" borderId="27">
      <alignment horizontal="center" vertical="center"/>
      <protection locked="0"/>
    </xf>
    <xf numFmtId="0" fontId="41" fillId="0" borderId="27">
      <alignment vertical="center"/>
      <protection locked="0"/>
    </xf>
    <xf numFmtId="0" fontId="41" fillId="0" borderId="27">
      <alignment vertical="center"/>
      <protection locked="0"/>
    </xf>
    <xf numFmtId="197" fontId="41" fillId="0" borderId="27">
      <alignment horizontal="right" vertical="center"/>
      <protection locked="0"/>
    </xf>
    <xf numFmtId="197" fontId="41" fillId="0" borderId="27">
      <alignment horizontal="right" vertical="center"/>
      <protection locked="0"/>
    </xf>
    <xf numFmtId="0" fontId="34" fillId="0" borderId="29">
      <alignment vertical="center"/>
      <protection locked="0"/>
    </xf>
    <xf numFmtId="0" fontId="34" fillId="0" borderId="27" applyAlignment="0">
      <protection locked="0"/>
    </xf>
    <xf numFmtId="0" fontId="34" fillId="0" borderId="29">
      <alignment vertical="center"/>
      <protection locked="0"/>
    </xf>
    <xf numFmtId="0" fontId="34" fillId="0" borderId="29">
      <alignment vertical="center"/>
      <protection locked="0"/>
    </xf>
    <xf numFmtId="174" fontId="41" fillId="0" borderId="27">
      <alignment horizontal="center" vertical="center"/>
      <protection locked="0"/>
    </xf>
    <xf numFmtId="174" fontId="41" fillId="0" borderId="27">
      <alignment horizontal="center" vertical="center"/>
      <protection locked="0"/>
    </xf>
    <xf numFmtId="175" fontId="41" fillId="0" borderId="27">
      <alignment horizontal="center" vertical="center"/>
      <protection locked="0"/>
    </xf>
    <xf numFmtId="175" fontId="41" fillId="0" borderId="27">
      <alignment horizontal="center" vertical="center"/>
      <protection locked="0"/>
    </xf>
    <xf numFmtId="176" fontId="41" fillId="0" borderId="27">
      <alignment horizontal="center" vertical="center"/>
      <protection locked="0"/>
    </xf>
    <xf numFmtId="176" fontId="41" fillId="0" borderId="27">
      <alignment horizontal="center" vertical="center"/>
      <protection locked="0"/>
    </xf>
    <xf numFmtId="177" fontId="41" fillId="0" borderId="27">
      <alignment horizontal="center" vertical="center"/>
      <protection locked="0"/>
    </xf>
    <xf numFmtId="177" fontId="41" fillId="0" borderId="27">
      <alignment horizontal="center" vertical="center"/>
      <protection locked="0"/>
    </xf>
    <xf numFmtId="178" fontId="41" fillId="0" borderId="27">
      <alignment horizontal="center" vertical="center"/>
      <protection locked="0"/>
    </xf>
    <xf numFmtId="178" fontId="41" fillId="0" borderId="27">
      <alignment horizontal="center" vertical="center"/>
      <protection locked="0"/>
    </xf>
    <xf numFmtId="0" fontId="41" fillId="0" borderId="27">
      <alignment horizontal="center" vertical="center"/>
      <protection locked="0"/>
    </xf>
    <xf numFmtId="0" fontId="41" fillId="0" borderId="27">
      <alignment horizontal="center" vertical="center"/>
      <protection locked="0"/>
    </xf>
    <xf numFmtId="179" fontId="41" fillId="0" borderId="27">
      <alignment horizontal="center" vertical="center"/>
      <protection locked="0"/>
    </xf>
    <xf numFmtId="179" fontId="41" fillId="0" borderId="27">
      <alignment horizontal="center" vertical="center"/>
      <protection locked="0"/>
    </xf>
    <xf numFmtId="180" fontId="34" fillId="0" borderId="29">
      <alignment horizontal="right" vertical="center"/>
      <protection locked="0"/>
    </xf>
    <xf numFmtId="192" fontId="34" fillId="0" borderId="27">
      <alignment vertical="center"/>
      <protection locked="0"/>
    </xf>
    <xf numFmtId="180" fontId="34" fillId="0" borderId="29">
      <alignment horizontal="right" vertical="center"/>
      <protection locked="0"/>
    </xf>
    <xf numFmtId="180" fontId="34" fillId="0" borderId="29">
      <alignment horizontal="right" vertical="center"/>
      <protection locked="0"/>
    </xf>
    <xf numFmtId="198" fontId="34" fillId="0" borderId="29">
      <alignment horizontal="right" vertical="center"/>
      <protection locked="0"/>
    </xf>
    <xf numFmtId="199" fontId="34" fillId="0" borderId="27">
      <alignment horizontal="right" vertical="center"/>
      <protection locked="0"/>
    </xf>
    <xf numFmtId="200" fontId="34" fillId="0" borderId="29">
      <alignment horizontal="right" vertical="center"/>
      <protection locked="0"/>
    </xf>
    <xf numFmtId="200" fontId="34" fillId="0" borderId="29">
      <alignment horizontal="right" vertical="center"/>
      <protection locked="0"/>
    </xf>
    <xf numFmtId="198" fontId="34" fillId="0" borderId="29">
      <alignment horizontal="right" vertical="center"/>
      <protection locked="0"/>
    </xf>
    <xf numFmtId="182" fontId="34" fillId="0" borderId="29">
      <alignment horizontal="right" vertical="center"/>
      <protection locked="0"/>
    </xf>
    <xf numFmtId="194" fontId="34" fillId="0" borderId="27">
      <alignment vertical="center"/>
      <protection locked="0"/>
    </xf>
    <xf numFmtId="182" fontId="34" fillId="0" borderId="29">
      <alignment horizontal="right" vertical="center"/>
      <protection locked="0"/>
    </xf>
    <xf numFmtId="182" fontId="34" fillId="0" borderId="29">
      <alignment horizontal="right" vertical="center"/>
      <protection locked="0"/>
    </xf>
    <xf numFmtId="172" fontId="34" fillId="0" borderId="29">
      <alignment horizontal="right"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172" fontId="34" fillId="0" borderId="29">
      <alignment horizontal="right" vertical="center"/>
      <protection locked="0"/>
    </xf>
    <xf numFmtId="184" fontId="34" fillId="0" borderId="29">
      <alignment horizontal="right" vertical="center"/>
      <protection locked="0"/>
    </xf>
    <xf numFmtId="196" fontId="34" fillId="0" borderId="27">
      <alignment vertical="center"/>
      <protection locked="0"/>
    </xf>
    <xf numFmtId="184" fontId="34" fillId="0" borderId="29">
      <alignment horizontal="right" vertical="center"/>
      <protection locked="0"/>
    </xf>
    <xf numFmtId="184" fontId="34" fillId="0" borderId="29">
      <alignment horizontal="right" vertical="center"/>
      <protection locked="0"/>
    </xf>
    <xf numFmtId="190" fontId="34" fillId="0" borderId="29">
      <alignment horizontal="right" vertical="center"/>
      <protection locked="0"/>
    </xf>
    <xf numFmtId="197" fontId="34" fillId="0" borderId="27">
      <alignment horizontal="right" vertical="center"/>
      <protection locked="0"/>
    </xf>
    <xf numFmtId="190" fontId="34" fillId="0" borderId="29">
      <alignment horizontal="right" vertical="center"/>
      <protection locked="0"/>
    </xf>
    <xf numFmtId="190" fontId="34" fillId="0" borderId="29">
      <alignment horizontal="right" vertical="center"/>
      <protection locked="0"/>
    </xf>
    <xf numFmtId="42" fontId="38" fillId="0" borderId="0" applyFont="0" applyFill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3" fillId="2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0" borderId="0" applyNumberFormat="0" applyFill="0" applyBorder="0" applyAlignment="0"/>
    <xf numFmtId="202" fontId="38" fillId="0" borderId="24"/>
    <xf numFmtId="203" fontId="5" fillId="29" borderId="0" applyNumberFormat="0" applyFont="0" applyBorder="0" applyAlignment="0">
      <alignment horizontal="right"/>
    </xf>
    <xf numFmtId="203" fontId="5" fillId="29" borderId="0" applyNumberFormat="0" applyFont="0" applyBorder="0" applyAlignment="0">
      <alignment horizontal="right"/>
    </xf>
    <xf numFmtId="0" fontId="45" fillId="0" borderId="0" applyNumberFormat="0" applyFill="0" applyBorder="0" applyAlignment="0">
      <protection locked="0"/>
    </xf>
    <xf numFmtId="38" fontId="38" fillId="0" borderId="24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34" fillId="0" borderId="0" applyNumberFormat="0" applyFont="0" applyFill="0" applyBorder="0">
      <alignment horizontal="center" vertical="center"/>
      <protection locked="0"/>
    </xf>
    <xf numFmtId="0" fontId="47" fillId="0" borderId="0" applyNumberFormat="0" applyFont="0" applyFill="0" applyBorder="0">
      <alignment horizontal="center" vertical="center"/>
      <protection locked="0"/>
    </xf>
    <xf numFmtId="180" fontId="34" fillId="0" borderId="0" applyFill="0" applyBorder="0">
      <alignment horizontal="center" vertical="center"/>
    </xf>
    <xf numFmtId="186" fontId="34" fillId="0" borderId="0" applyFill="0" applyBorder="0">
      <alignment horizontal="center" vertical="center"/>
    </xf>
    <xf numFmtId="180" fontId="34" fillId="0" borderId="0" applyFill="0" applyBorder="0">
      <alignment horizontal="center" vertical="center"/>
    </xf>
    <xf numFmtId="180" fontId="34" fillId="0" borderId="0" applyFill="0" applyBorder="0">
      <alignment horizontal="center" vertical="center"/>
    </xf>
    <xf numFmtId="187" fontId="34" fillId="0" borderId="0" applyFill="0" applyBorder="0">
      <alignment horizontal="center" vertical="center"/>
    </xf>
    <xf numFmtId="187" fontId="34" fillId="0" borderId="0" applyFill="0" applyBorder="0">
      <alignment horizontal="center" vertical="center"/>
    </xf>
    <xf numFmtId="15" fontId="34" fillId="0" borderId="0" applyFill="0" applyBorder="0">
      <alignment horizontal="center" vertical="center"/>
    </xf>
    <xf numFmtId="15" fontId="34" fillId="0" borderId="0" applyFill="0" applyBorder="0">
      <alignment horizontal="center" vertical="center"/>
    </xf>
    <xf numFmtId="182" fontId="34" fillId="0" borderId="0" applyFill="0" applyBorder="0">
      <alignment horizontal="center" vertical="center"/>
    </xf>
    <xf numFmtId="188" fontId="34" fillId="0" borderId="0" applyFill="0" applyBorder="0">
      <alignment horizontal="center" vertical="center"/>
    </xf>
    <xf numFmtId="182" fontId="34" fillId="0" borderId="0" applyFill="0" applyBorder="0">
      <alignment horizontal="center" vertical="center"/>
    </xf>
    <xf numFmtId="182" fontId="34" fillId="0" borderId="0" applyFill="0" applyBorder="0">
      <alignment horizontal="center" vertical="center"/>
    </xf>
    <xf numFmtId="172" fontId="34" fillId="0" borderId="0" applyFill="0" applyBorder="0">
      <alignment horizontal="center" vertical="center"/>
    </xf>
    <xf numFmtId="166" fontId="34" fillId="0" borderId="0" applyFill="0" applyBorder="0">
      <alignment horizontal="center" vertical="center"/>
    </xf>
    <xf numFmtId="183" fontId="34" fillId="0" borderId="0" applyFill="0" applyBorder="0">
      <alignment horizontal="center" vertical="center"/>
    </xf>
    <xf numFmtId="183" fontId="34" fillId="0" borderId="0" applyFill="0" applyBorder="0">
      <alignment horizontal="center" vertical="center"/>
    </xf>
    <xf numFmtId="172" fontId="34" fillId="0" borderId="0" applyFill="0" applyBorder="0">
      <alignment horizontal="center" vertical="center"/>
    </xf>
    <xf numFmtId="184" fontId="34" fillId="0" borderId="0" applyFill="0" applyBorder="0">
      <alignment horizontal="center" vertical="center"/>
    </xf>
    <xf numFmtId="189" fontId="34" fillId="0" borderId="0" applyFill="0" applyBorder="0">
      <alignment horizontal="center" vertical="center"/>
    </xf>
    <xf numFmtId="184" fontId="34" fillId="0" borderId="0" applyFill="0" applyBorder="0">
      <alignment horizontal="center" vertical="center"/>
    </xf>
    <xf numFmtId="184" fontId="34" fillId="0" borderId="0" applyFill="0" applyBorder="0">
      <alignment horizontal="center" vertical="center"/>
    </xf>
    <xf numFmtId="190" fontId="34" fillId="0" borderId="0" applyFill="0" applyBorder="0">
      <alignment horizontal="center" vertical="center"/>
    </xf>
    <xf numFmtId="191" fontId="34" fillId="0" borderId="0" applyFill="0" applyBorder="0">
      <alignment horizontal="center" vertical="center"/>
    </xf>
    <xf numFmtId="190" fontId="34" fillId="0" borderId="0" applyFill="0" applyBorder="0">
      <alignment horizontal="center" vertical="center"/>
    </xf>
    <xf numFmtId="190" fontId="34" fillId="0" borderId="0" applyFill="0" applyBorder="0">
      <alignment horizontal="center" vertical="center"/>
    </xf>
    <xf numFmtId="0" fontId="48" fillId="63" borderId="31" applyNumberFormat="0" applyAlignment="0" applyProtection="0"/>
    <xf numFmtId="0" fontId="48" fillId="63" borderId="31" applyNumberFormat="0" applyAlignment="0" applyProtection="0"/>
    <xf numFmtId="0" fontId="48" fillId="63" borderId="31" applyNumberFormat="0" applyAlignment="0" applyProtection="0"/>
    <xf numFmtId="0" fontId="48" fillId="63" borderId="31" applyNumberFormat="0" applyAlignment="0" applyProtection="0"/>
    <xf numFmtId="41" fontId="5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50" fillId="0" borderId="0" applyFont="0" applyFill="0" applyBorder="0" applyAlignment="0" applyProtection="0">
      <alignment horizontal="right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0" fillId="0" borderId="0" applyFont="0" applyFill="0" applyBorder="0" applyAlignment="0" applyProtection="0">
      <alignment horizontal="right"/>
    </xf>
    <xf numFmtId="43" fontId="51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3" fontId="53" fillId="0" borderId="0" applyFont="0" applyFill="0" applyBorder="0" applyAlignment="0" applyProtection="0"/>
    <xf numFmtId="0" fontId="54" fillId="0" borderId="0" applyFill="0" applyBorder="0">
      <alignment vertical="center"/>
    </xf>
    <xf numFmtId="0" fontId="55" fillId="0" borderId="0" applyFill="0" applyBorder="0">
      <alignment vertical="center"/>
    </xf>
    <xf numFmtId="0" fontId="50" fillId="0" borderId="0" applyFont="0" applyFill="0" applyBorder="0" applyAlignment="0" applyProtection="0">
      <alignment horizontal="right"/>
    </xf>
    <xf numFmtId="204" fontId="5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0" fillId="0" borderId="0" applyFont="0" applyFill="0" applyBorder="0" applyAlignment="0" applyProtection="0">
      <alignment horizontal="right"/>
    </xf>
    <xf numFmtId="0" fontId="50" fillId="0" borderId="0" applyFont="0" applyFill="0" applyBorder="0" applyAlignment="0" applyProtection="0">
      <alignment horizontal="right"/>
    </xf>
    <xf numFmtId="44" fontId="51" fillId="0" borderId="0" applyFont="0" applyFill="0" applyBorder="0" applyAlignment="0" applyProtection="0"/>
    <xf numFmtId="204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3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180" fontId="34" fillId="0" borderId="0" applyFill="0" applyBorder="0">
      <alignment vertical="center"/>
    </xf>
    <xf numFmtId="180" fontId="34" fillId="0" borderId="0" applyFill="0" applyBorder="0">
      <alignment vertical="center"/>
    </xf>
    <xf numFmtId="42" fontId="5" fillId="0" borderId="0" applyFont="0" applyFill="0" applyBorder="0" applyAlignment="0" applyProtection="0"/>
    <xf numFmtId="205" fontId="5" fillId="0" borderId="0" applyFont="0" applyFill="0" applyBorder="0" applyAlignment="0" applyProtection="0"/>
    <xf numFmtId="205" fontId="5" fillId="0" borderId="0" applyFont="0" applyFill="0" applyBorder="0" applyAlignment="0" applyProtection="0"/>
    <xf numFmtId="0" fontId="50" fillId="0" borderId="0" applyFont="0" applyFill="0" applyBorder="0" applyAlignment="0" applyProtection="0"/>
    <xf numFmtId="181" fontId="34" fillId="0" borderId="0" applyFill="0" applyBorder="0">
      <alignment vertical="center"/>
    </xf>
    <xf numFmtId="181" fontId="34" fillId="0" borderId="0" applyFill="0" applyBorder="0">
      <alignment vertical="center"/>
    </xf>
    <xf numFmtId="164" fontId="5" fillId="0" borderId="0" applyFont="0" applyFill="0" applyBorder="0" applyAlignment="0" applyProtection="0"/>
    <xf numFmtId="0" fontId="50" fillId="0" borderId="32" applyNumberFormat="0" applyFont="0" applyFill="0" applyAlignment="0" applyProtection="0"/>
    <xf numFmtId="0" fontId="56" fillId="64" borderId="0" applyNumberFormat="0" applyBorder="0" applyAlignment="0" applyProtection="0"/>
    <xf numFmtId="0" fontId="56" fillId="65" borderId="0" applyNumberFormat="0" applyBorder="0" applyAlignment="0" applyProtection="0"/>
    <xf numFmtId="0" fontId="56" fillId="66" borderId="0" applyNumberFormat="0" applyBorder="0" applyAlignment="0" applyProtection="0"/>
    <xf numFmtId="206" fontId="37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92" fontId="41" fillId="0" borderId="27">
      <alignment horizontal="center" vertical="center"/>
      <protection locked="0"/>
    </xf>
    <xf numFmtId="192" fontId="41" fillId="0" borderId="27">
      <alignment horizontal="center" vertical="center"/>
      <protection locked="0"/>
    </xf>
    <xf numFmtId="193" fontId="41" fillId="0" borderId="27">
      <alignment horizontal="right" vertical="center"/>
      <protection locked="0"/>
    </xf>
    <xf numFmtId="193" fontId="41" fillId="0" borderId="27">
      <alignment horizontal="right" vertical="center"/>
      <protection locked="0"/>
    </xf>
    <xf numFmtId="194" fontId="41" fillId="0" borderId="27">
      <alignment horizontal="center" vertical="center"/>
      <protection locked="0"/>
    </xf>
    <xf numFmtId="194" fontId="41" fillId="0" borderId="27">
      <alignment horizontal="center" vertical="center"/>
      <protection locked="0"/>
    </xf>
    <xf numFmtId="195" fontId="41" fillId="0" borderId="27">
      <alignment horizontal="center" vertical="center"/>
      <protection locked="0"/>
    </xf>
    <xf numFmtId="195" fontId="41" fillId="0" borderId="27">
      <alignment horizontal="center" vertical="center"/>
      <protection locked="0"/>
    </xf>
    <xf numFmtId="196" fontId="41" fillId="0" borderId="27">
      <alignment horizontal="center" vertical="center"/>
      <protection locked="0"/>
    </xf>
    <xf numFmtId="196" fontId="41" fillId="0" borderId="27">
      <alignment horizontal="center" vertical="center"/>
      <protection locked="0"/>
    </xf>
    <xf numFmtId="0" fontId="41" fillId="0" borderId="27">
      <alignment vertical="center"/>
      <protection locked="0"/>
    </xf>
    <xf numFmtId="0" fontId="41" fillId="0" borderId="27">
      <alignment vertical="center"/>
      <protection locked="0"/>
    </xf>
    <xf numFmtId="197" fontId="41" fillId="0" borderId="27">
      <alignment horizontal="right" vertical="center"/>
      <protection locked="0"/>
    </xf>
    <xf numFmtId="197" fontId="41" fillId="0" borderId="27">
      <alignment horizontal="right" vertical="center"/>
      <protection locked="0"/>
    </xf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0" fontId="59" fillId="0" borderId="0" applyFill="0" applyBorder="0" applyProtection="0">
      <alignment horizontal="left"/>
    </xf>
    <xf numFmtId="192" fontId="41" fillId="0" borderId="0" applyFill="0" applyBorder="0">
      <alignment horizontal="center" vertical="center"/>
    </xf>
    <xf numFmtId="193" fontId="41" fillId="0" borderId="0" applyFill="0" applyBorder="0">
      <alignment horizontal="right" vertical="center"/>
    </xf>
    <xf numFmtId="194" fontId="41" fillId="0" borderId="0" applyFill="0" applyBorder="0">
      <alignment horizontal="center" vertical="center"/>
    </xf>
    <xf numFmtId="195" fontId="41" fillId="0" borderId="0" applyFill="0" applyBorder="0">
      <alignment horizontal="center" vertical="center"/>
    </xf>
    <xf numFmtId="196" fontId="41" fillId="0" borderId="0" applyFill="0" applyBorder="0">
      <alignment horizontal="center" vertical="center"/>
    </xf>
    <xf numFmtId="0" fontId="60" fillId="0" borderId="0" applyFill="0" applyBorder="0">
      <alignment horizontal="right" vertical="center"/>
    </xf>
    <xf numFmtId="197" fontId="41" fillId="0" borderId="0" applyFill="0" applyBorder="0">
      <alignment horizontal="right" vertical="center"/>
    </xf>
    <xf numFmtId="0" fontId="61" fillId="0" borderId="0"/>
    <xf numFmtId="0" fontId="62" fillId="0" borderId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50" fillId="0" borderId="0" applyFont="0" applyFill="0" applyBorder="0" applyAlignment="0" applyProtection="0">
      <alignment horizontal="right"/>
    </xf>
    <xf numFmtId="0" fontId="64" fillId="0" borderId="0" applyProtection="0">
      <alignment horizontal="right"/>
    </xf>
    <xf numFmtId="0" fontId="32" fillId="0" borderId="0" applyFill="0" applyBorder="0">
      <alignment vertical="center"/>
    </xf>
    <xf numFmtId="0" fontId="32" fillId="0" borderId="0" applyFill="0" applyBorder="0">
      <alignment vertical="center"/>
    </xf>
    <xf numFmtId="0" fontId="32" fillId="0" borderId="0" applyFill="0" applyBorder="0">
      <alignment vertical="center"/>
    </xf>
    <xf numFmtId="0" fontId="65" fillId="0" borderId="33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32" fillId="0" borderId="0" applyFill="0" applyBorder="0">
      <alignment vertical="center"/>
    </xf>
    <xf numFmtId="0" fontId="32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67" fillId="0" borderId="35" applyNumberFormat="0" applyFill="0" applyAlignment="0" applyProtection="0"/>
    <xf numFmtId="0" fontId="68" fillId="0" borderId="36" applyNumberFormat="0" applyFill="0" applyAlignment="0" applyProtection="0"/>
    <xf numFmtId="0" fontId="68" fillId="0" borderId="36" applyNumberFormat="0" applyFill="0" applyAlignment="0" applyProtection="0"/>
    <xf numFmtId="0" fontId="68" fillId="0" borderId="36" applyNumberFormat="0" applyFill="0" applyAlignment="0" applyProtection="0"/>
    <xf numFmtId="0" fontId="68" fillId="0" borderId="36" applyNumberFormat="0" applyFill="0" applyAlignment="0" applyProtection="0"/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69" fillId="0" borderId="37" applyNumberFormat="0" applyFill="0" applyAlignment="0" applyProtection="0"/>
    <xf numFmtId="0" fontId="70" fillId="0" borderId="38" applyNumberFormat="0" applyFill="0" applyAlignment="0" applyProtection="0"/>
    <xf numFmtId="0" fontId="70" fillId="0" borderId="38" applyNumberFormat="0" applyFill="0" applyAlignment="0" applyProtection="0"/>
    <xf numFmtId="0" fontId="70" fillId="0" borderId="38" applyNumberFormat="0" applyFill="0" applyAlignment="0" applyProtection="0"/>
    <xf numFmtId="0" fontId="70" fillId="0" borderId="38" applyNumberFormat="0" applyFill="0" applyAlignment="0" applyProtection="0"/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167" fontId="71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 applyAlignment="0">
      <protection locked="0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7" fillId="0" borderId="0" applyFill="0" applyBorder="0">
      <alignment horizontal="left" vertical="center"/>
      <protection locked="0"/>
    </xf>
    <xf numFmtId="0" fontId="77" fillId="0" borderId="0" applyFill="0" applyBorder="0" applyAlignment="0">
      <protection locked="0"/>
    </xf>
    <xf numFmtId="0" fontId="77" fillId="0" borderId="0" applyFill="0" applyBorder="0">
      <alignment horizontal="left" vertical="center"/>
      <protection locked="0"/>
    </xf>
    <xf numFmtId="0" fontId="77" fillId="0" borderId="0" applyFill="0" applyBorder="0">
      <alignment horizontal="left" vertical="center"/>
      <protection locked="0"/>
    </xf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0" fontId="78" fillId="0" borderId="0" applyFill="0" applyBorder="0">
      <alignment vertical="center"/>
    </xf>
    <xf numFmtId="0" fontId="79" fillId="0" borderId="0" applyFill="0" applyBorder="0">
      <alignment vertical="center"/>
    </xf>
    <xf numFmtId="0" fontId="79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54" fillId="0" borderId="0" applyFill="0" applyBorder="0">
      <alignment vertical="center"/>
    </xf>
    <xf numFmtId="208" fontId="41" fillId="0" borderId="0" applyFill="0" applyBorder="0">
      <alignment horizontal="center" vertical="center"/>
    </xf>
    <xf numFmtId="193" fontId="41" fillId="0" borderId="0" applyFill="0" applyBorder="0">
      <alignment horizontal="right" vertical="center"/>
    </xf>
    <xf numFmtId="209" fontId="41" fillId="0" borderId="0" applyFill="0" applyBorder="0">
      <alignment horizontal="center" vertical="center"/>
    </xf>
    <xf numFmtId="210" fontId="41" fillId="0" borderId="0" applyFill="0" applyBorder="0">
      <alignment horizontal="center" vertical="center"/>
    </xf>
    <xf numFmtId="211" fontId="41" fillId="0" borderId="0" applyFill="0" applyBorder="0">
      <alignment horizontal="center" vertical="center"/>
    </xf>
    <xf numFmtId="197" fontId="41" fillId="0" borderId="0" applyFill="0" applyBorder="0">
      <alignment horizontal="right" vertical="center"/>
    </xf>
    <xf numFmtId="0" fontId="82" fillId="0" borderId="0" applyFill="0" applyBorder="0">
      <alignment vertical="center"/>
    </xf>
    <xf numFmtId="0" fontId="83" fillId="0" borderId="0" applyFill="0" applyBorder="0">
      <alignment vertical="center"/>
    </xf>
    <xf numFmtId="0" fontId="60" fillId="0" borderId="0" applyFill="0" applyBorder="0">
      <alignment vertical="center"/>
    </xf>
    <xf numFmtId="0" fontId="41" fillId="0" borderId="0" applyFill="0" applyBorder="0">
      <alignment vertical="center"/>
    </xf>
    <xf numFmtId="174" fontId="41" fillId="0" borderId="0" applyFill="0" applyBorder="0">
      <alignment horizontal="center" vertical="center"/>
    </xf>
    <xf numFmtId="175" fontId="41" fillId="0" borderId="0" applyFill="0" applyBorder="0">
      <alignment horizontal="center" vertical="center"/>
    </xf>
    <xf numFmtId="176" fontId="41" fillId="0" borderId="0" applyFill="0" applyBorder="0">
      <alignment horizontal="center" vertical="center"/>
    </xf>
    <xf numFmtId="177" fontId="41" fillId="0" borderId="0" applyFill="0" applyBorder="0">
      <alignment horizontal="center" vertical="center"/>
    </xf>
    <xf numFmtId="178" fontId="41" fillId="0" borderId="0" applyFill="0" applyBorder="0">
      <alignment horizontal="center" vertical="center"/>
    </xf>
    <xf numFmtId="0" fontId="41" fillId="0" borderId="0" applyFill="0" applyBorder="0">
      <alignment horizontal="center" vertical="center"/>
    </xf>
    <xf numFmtId="179" fontId="41" fillId="0" borderId="0" applyFill="0" applyBorder="0">
      <alignment horizontal="center" vertical="center"/>
    </xf>
    <xf numFmtId="0" fontId="84" fillId="0" borderId="0" applyFill="0" applyBorder="0">
      <alignment vertical="center"/>
    </xf>
    <xf numFmtId="203" fontId="5" fillId="67" borderId="0" applyFont="0" applyBorder="0" applyAlignment="0">
      <alignment horizontal="right"/>
      <protection locked="0"/>
    </xf>
    <xf numFmtId="203" fontId="5" fillId="67" borderId="0" applyFont="0" applyBorder="0" applyAlignment="0">
      <alignment horizontal="right"/>
      <protection locked="0"/>
    </xf>
    <xf numFmtId="203" fontId="5" fillId="68" borderId="0" applyFont="0" applyBorder="0" applyAlignment="0">
      <alignment horizontal="right"/>
      <protection locked="0"/>
    </xf>
    <xf numFmtId="212" fontId="5" fillId="2" borderId="0" applyFont="0" applyBorder="0">
      <alignment horizontal="right"/>
      <protection locked="0"/>
    </xf>
    <xf numFmtId="212" fontId="5" fillId="2" borderId="0" applyFont="0" applyBorder="0">
      <alignment horizontal="right"/>
      <protection locked="0"/>
    </xf>
    <xf numFmtId="203" fontId="5" fillId="69" borderId="0" applyFont="0" applyBorder="0">
      <alignment horizontal="right"/>
      <protection locked="0"/>
    </xf>
    <xf numFmtId="203" fontId="5" fillId="69" borderId="0" applyFont="0" applyBorder="0">
      <alignment horizontal="right"/>
      <protection locked="0"/>
    </xf>
    <xf numFmtId="0" fontId="34" fillId="29" borderId="0"/>
    <xf numFmtId="0" fontId="34" fillId="29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36" fillId="0" borderId="3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4" fontId="41" fillId="0" borderId="0" applyFill="0" applyBorder="0">
      <alignment horizontal="center" vertical="center"/>
    </xf>
    <xf numFmtId="175" fontId="41" fillId="0" borderId="0" applyFill="0" applyBorder="0">
      <alignment horizontal="center" vertical="center"/>
    </xf>
    <xf numFmtId="176" fontId="41" fillId="0" borderId="0" applyFill="0" applyBorder="0">
      <alignment horizontal="center" vertical="center"/>
    </xf>
    <xf numFmtId="177" fontId="41" fillId="0" borderId="0" applyFill="0" applyBorder="0">
      <alignment horizontal="center" vertical="center"/>
    </xf>
    <xf numFmtId="178" fontId="41" fillId="0" borderId="0" applyFill="0" applyBorder="0">
      <alignment horizontal="center" vertical="center"/>
    </xf>
    <xf numFmtId="0" fontId="41" fillId="0" borderId="0" applyFill="0" applyBorder="0">
      <alignment horizontal="center" vertical="center"/>
    </xf>
    <xf numFmtId="179" fontId="41" fillId="0" borderId="0" applyFill="0" applyBorder="0">
      <alignment horizontal="center" vertical="center"/>
    </xf>
    <xf numFmtId="215" fontId="87" fillId="0" borderId="0"/>
    <xf numFmtId="0" fontId="88" fillId="0" borderId="0" applyFill="0" applyBorder="0">
      <alignment horizontal="left" vertical="center"/>
    </xf>
    <xf numFmtId="0" fontId="88" fillId="0" borderId="0" applyFill="0" applyBorder="0" applyAlignment="0"/>
    <xf numFmtId="0" fontId="88" fillId="0" borderId="0" applyFill="0" applyBorder="0">
      <alignment horizontal="left" vertical="center"/>
    </xf>
    <xf numFmtId="0" fontId="88" fillId="0" borderId="0" applyFill="0" applyBorder="0">
      <alignment horizontal="left" vertical="center"/>
    </xf>
    <xf numFmtId="0" fontId="88" fillId="0" borderId="0" applyFill="0" applyBorder="0">
      <alignment vertical="center"/>
    </xf>
    <xf numFmtId="0" fontId="88" fillId="0" borderId="0" applyFill="0" applyBorder="0">
      <alignment vertical="center"/>
    </xf>
    <xf numFmtId="0" fontId="88" fillId="0" borderId="0" applyFill="0" applyBorder="0">
      <alignment horizontal="left" vertical="center"/>
    </xf>
    <xf numFmtId="0" fontId="50" fillId="0" borderId="0" applyFont="0" applyFill="0" applyBorder="0" applyAlignment="0" applyProtection="0">
      <alignment horizontal="right"/>
    </xf>
    <xf numFmtId="182" fontId="34" fillId="0" borderId="0" applyFill="0" applyBorder="0">
      <alignment vertical="center"/>
    </xf>
    <xf numFmtId="182" fontId="34" fillId="0" borderId="0" applyFill="0" applyBorder="0">
      <alignment vertical="center"/>
    </xf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216" fontId="50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90" fillId="0" borderId="0"/>
    <xf numFmtId="0" fontId="5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5" fillId="0" borderId="0"/>
    <xf numFmtId="0" fontId="90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5" fillId="0" borderId="0"/>
    <xf numFmtId="0" fontId="5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1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34" fillId="0" borderId="0" applyFill="0" applyBorder="0">
      <alignment vertical="center"/>
    </xf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1" fillId="0" borderId="0"/>
    <xf numFmtId="0" fontId="5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34" fillId="0" borderId="0" applyFill="0" applyBorder="0">
      <alignment vertical="center"/>
    </xf>
    <xf numFmtId="0" fontId="3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0" borderId="0" applyFill="0" applyBorder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0"/>
    <xf numFmtId="0" fontId="34" fillId="0" borderId="0" applyFill="0" applyBorder="0">
      <alignment vertical="center"/>
    </xf>
    <xf numFmtId="0" fontId="52" fillId="0" borderId="0"/>
    <xf numFmtId="0" fontId="52" fillId="0" borderId="0"/>
    <xf numFmtId="0" fontId="52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183" fontId="34" fillId="0" borderId="0" applyFill="0" applyBorder="0">
      <alignment vertical="center"/>
    </xf>
    <xf numFmtId="183" fontId="34" fillId="0" borderId="0" applyFill="0" applyBorder="0">
      <alignment vertical="center"/>
    </xf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217" fontId="35" fillId="37" borderId="0">
      <alignment horizontal="right"/>
    </xf>
    <xf numFmtId="0" fontId="92" fillId="0" borderId="0" applyFill="0" applyBorder="0">
      <alignment vertical="center"/>
    </xf>
    <xf numFmtId="192" fontId="86" fillId="0" borderId="0" applyFill="0" applyBorder="0">
      <alignment horizontal="center" vertical="center"/>
    </xf>
    <xf numFmtId="193" fontId="86" fillId="0" borderId="0" applyFill="0" applyBorder="0">
      <alignment horizontal="right" vertical="center"/>
    </xf>
    <xf numFmtId="194" fontId="86" fillId="0" borderId="0" applyFill="0" applyBorder="0">
      <alignment horizontal="center" vertical="center"/>
    </xf>
    <xf numFmtId="195" fontId="86" fillId="0" borderId="0" applyFill="0" applyBorder="0">
      <alignment horizontal="center" vertical="center"/>
    </xf>
    <xf numFmtId="196" fontId="86" fillId="0" borderId="0" applyFill="0" applyBorder="0">
      <alignment horizontal="center" vertical="center"/>
    </xf>
    <xf numFmtId="0" fontId="93" fillId="0" borderId="0" applyFill="0" applyBorder="0">
      <alignment horizontal="right" vertical="center"/>
    </xf>
    <xf numFmtId="197" fontId="86" fillId="0" borderId="0" applyFill="0" applyBorder="0">
      <alignment horizontal="right" vertical="center"/>
    </xf>
    <xf numFmtId="0" fontId="94" fillId="0" borderId="0" applyFill="0" applyBorder="0">
      <alignment vertical="center"/>
    </xf>
    <xf numFmtId="0" fontId="95" fillId="0" borderId="0" applyFill="0" applyBorder="0">
      <alignment vertical="center"/>
    </xf>
    <xf numFmtId="0" fontId="93" fillId="0" borderId="0" applyFill="0" applyBorder="0">
      <alignment vertical="center"/>
    </xf>
    <xf numFmtId="0" fontId="86" fillId="0" borderId="0" applyFill="0" applyBorder="0">
      <alignment vertical="center"/>
    </xf>
    <xf numFmtId="174" fontId="86" fillId="0" borderId="0" applyFill="0" applyBorder="0">
      <alignment horizontal="center" vertical="center"/>
    </xf>
    <xf numFmtId="175" fontId="86" fillId="0" borderId="0" applyFill="0" applyBorder="0">
      <alignment horizontal="center" vertical="center"/>
    </xf>
    <xf numFmtId="176" fontId="86" fillId="0" borderId="0" applyFill="0" applyBorder="0">
      <alignment horizontal="center" vertical="center"/>
    </xf>
    <xf numFmtId="177" fontId="86" fillId="0" borderId="0" applyFill="0" applyBorder="0">
      <alignment horizontal="center" vertical="center"/>
    </xf>
    <xf numFmtId="178" fontId="86" fillId="0" borderId="0" applyFill="0" applyBorder="0">
      <alignment horizontal="center" vertical="center"/>
    </xf>
    <xf numFmtId="0" fontId="86" fillId="0" borderId="0" applyFill="0" applyBorder="0">
      <alignment horizontal="center" vertical="center"/>
    </xf>
    <xf numFmtId="179" fontId="86" fillId="0" borderId="0" applyFill="0" applyBorder="0">
      <alignment horizontal="center" vertical="center"/>
    </xf>
    <xf numFmtId="0" fontId="96" fillId="0" borderId="0" applyFill="0" applyBorder="0">
      <alignment vertical="center"/>
    </xf>
    <xf numFmtId="1" fontId="97" fillId="0" borderId="0" applyProtection="0">
      <alignment horizontal="right" vertical="center"/>
    </xf>
    <xf numFmtId="218" fontId="5" fillId="0" borderId="0" applyFill="0" applyBorder="0"/>
    <xf numFmtId="218" fontId="5" fillId="0" borderId="0" applyFill="0" applyBorder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98" fillId="0" borderId="0"/>
    <xf numFmtId="184" fontId="34" fillId="0" borderId="0" applyFill="0" applyBorder="0">
      <alignment vertical="center"/>
    </xf>
    <xf numFmtId="184" fontId="34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horizontal="right"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180" fontId="99" fillId="0" borderId="0" applyFill="0" applyBorder="0">
      <alignment horizontal="right" vertical="center"/>
    </xf>
    <xf numFmtId="180" fontId="99" fillId="0" borderId="0" applyFill="0" applyBorder="0">
      <alignment horizontal="right" vertical="center"/>
    </xf>
    <xf numFmtId="180" fontId="34" fillId="0" borderId="0" applyFill="0" applyBorder="0">
      <alignment vertical="center"/>
    </xf>
    <xf numFmtId="180" fontId="34" fillId="0" borderId="0" applyFill="0" applyBorder="0">
      <alignment vertical="center"/>
    </xf>
    <xf numFmtId="180" fontId="34" fillId="0" borderId="0" applyFill="0" applyBorder="0">
      <alignment vertical="center"/>
    </xf>
    <xf numFmtId="198" fontId="99" fillId="0" borderId="0" applyFill="0" applyBorder="0">
      <alignment horizontal="right" vertical="center"/>
    </xf>
    <xf numFmtId="198" fontId="99" fillId="0" borderId="0" applyFill="0" applyBorder="0">
      <alignment horizontal="right" vertical="center"/>
    </xf>
    <xf numFmtId="181" fontId="34" fillId="0" borderId="0" applyFill="0" applyBorder="0">
      <alignment vertical="center"/>
    </xf>
    <xf numFmtId="181" fontId="34" fillId="0" borderId="0" applyFill="0" applyBorder="0">
      <alignment vertical="center"/>
    </xf>
    <xf numFmtId="181" fontId="34" fillId="0" borderId="0" applyFill="0" applyBorder="0">
      <alignment vertical="center"/>
    </xf>
    <xf numFmtId="0" fontId="100" fillId="0" borderId="0" applyFill="0" applyBorder="0">
      <alignment vertical="center"/>
    </xf>
    <xf numFmtId="0" fontId="100" fillId="0" borderId="0" applyFill="0" applyBorder="0">
      <alignment vertical="center"/>
    </xf>
    <xf numFmtId="0" fontId="32" fillId="0" borderId="0" applyFill="0" applyBorder="0">
      <alignment vertical="center"/>
    </xf>
    <xf numFmtId="0" fontId="32" fillId="0" borderId="0" applyFill="0" applyBorder="0">
      <alignment vertical="center"/>
    </xf>
    <xf numFmtId="0" fontId="32" fillId="0" borderId="0" applyFill="0" applyBorder="0">
      <alignment vertical="center"/>
    </xf>
    <xf numFmtId="0" fontId="101" fillId="0" borderId="0" applyFill="0" applyBorder="0">
      <alignment vertical="center"/>
    </xf>
    <xf numFmtId="0" fontId="101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102" fillId="0" borderId="0" applyFill="0" applyBorder="0">
      <alignment vertical="center"/>
    </xf>
    <xf numFmtId="0" fontId="102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99" fillId="0" borderId="0" applyFill="0" applyBorder="0">
      <alignment vertical="center"/>
    </xf>
    <xf numFmtId="0" fontId="99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103" fillId="0" borderId="0" applyFill="0" applyBorder="0">
      <alignment horizontal="left" vertical="center"/>
      <protection locked="0"/>
    </xf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0" fontId="104" fillId="0" borderId="0" applyFill="0" applyBorder="0">
      <alignment horizontal="left" vertical="center"/>
    </xf>
    <xf numFmtId="0" fontId="104" fillId="0" borderId="0" applyFill="0" applyBorder="0">
      <alignment horizontal="left" vertical="center"/>
    </xf>
    <xf numFmtId="0" fontId="88" fillId="0" borderId="0" applyFill="0" applyBorder="0">
      <alignment vertical="center"/>
    </xf>
    <xf numFmtId="0" fontId="88" fillId="0" borderId="0" applyFill="0" applyBorder="0">
      <alignment vertical="center"/>
    </xf>
    <xf numFmtId="0" fontId="88" fillId="0" borderId="0" applyFill="0" applyBorder="0">
      <alignment vertical="center"/>
    </xf>
    <xf numFmtId="182" fontId="99" fillId="0" borderId="0" applyFill="0" applyBorder="0">
      <alignment horizontal="right" vertical="center"/>
    </xf>
    <xf numFmtId="182" fontId="99" fillId="0" borderId="0" applyFill="0" applyBorder="0">
      <alignment horizontal="right" vertical="center"/>
    </xf>
    <xf numFmtId="182" fontId="34" fillId="0" borderId="0" applyFill="0" applyBorder="0">
      <alignment vertical="center"/>
    </xf>
    <xf numFmtId="182" fontId="34" fillId="0" borderId="0" applyFill="0" applyBorder="0">
      <alignment vertical="center"/>
    </xf>
    <xf numFmtId="182" fontId="34" fillId="0" borderId="0" applyFill="0" applyBorder="0">
      <alignment vertical="center"/>
    </xf>
    <xf numFmtId="0" fontId="99" fillId="0" borderId="0" applyFill="0" applyBorder="0">
      <alignment vertical="center"/>
    </xf>
    <xf numFmtId="0" fontId="99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172" fontId="99" fillId="0" borderId="0" applyFill="0" applyBorder="0">
      <alignment horizontal="right" vertical="center"/>
    </xf>
    <xf numFmtId="172" fontId="99" fillId="0" borderId="0" applyFill="0" applyBorder="0">
      <alignment horizontal="right" vertical="center"/>
    </xf>
    <xf numFmtId="183" fontId="34" fillId="0" borderId="0" applyFill="0" applyBorder="0">
      <alignment vertical="center"/>
    </xf>
    <xf numFmtId="183" fontId="34" fillId="0" borderId="0" applyFill="0" applyBorder="0">
      <alignment vertical="center"/>
    </xf>
    <xf numFmtId="183" fontId="34" fillId="0" borderId="0" applyFill="0" applyBorder="0">
      <alignment vertical="center"/>
    </xf>
    <xf numFmtId="184" fontId="99" fillId="0" borderId="0" applyFill="0" applyBorder="0">
      <alignment horizontal="right" vertical="center"/>
    </xf>
    <xf numFmtId="184" fontId="99" fillId="0" borderId="0" applyFill="0" applyBorder="0">
      <alignment horizontal="right" vertical="center"/>
    </xf>
    <xf numFmtId="184" fontId="34" fillId="0" borderId="0" applyFill="0" applyBorder="0">
      <alignment vertical="center"/>
    </xf>
    <xf numFmtId="184" fontId="34" fillId="0" borderId="0" applyFill="0" applyBorder="0">
      <alignment vertical="center"/>
    </xf>
    <xf numFmtId="184" fontId="34" fillId="0" borderId="0" applyFill="0" applyBorder="0">
      <alignment vertical="center"/>
    </xf>
    <xf numFmtId="0" fontId="102" fillId="0" borderId="0" applyFill="0" applyBorder="0">
      <alignment vertical="center"/>
    </xf>
    <xf numFmtId="0" fontId="102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172" fontId="105" fillId="0" borderId="0" applyFill="0" applyBorder="0">
      <alignment horizontal="left" vertical="center"/>
    </xf>
    <xf numFmtId="172" fontId="105" fillId="0" borderId="0" applyFill="0" applyBorder="0">
      <alignment horizontal="left" vertical="center"/>
    </xf>
    <xf numFmtId="0" fontId="106" fillId="0" borderId="0" applyFill="0" applyBorder="0">
      <alignment vertical="center"/>
    </xf>
    <xf numFmtId="0" fontId="106" fillId="0" borderId="0" applyFill="0" applyBorder="0">
      <alignment vertical="center"/>
    </xf>
    <xf numFmtId="0" fontId="106" fillId="0" borderId="0" applyFill="0" applyBorder="0">
      <alignment vertical="center"/>
    </xf>
    <xf numFmtId="0" fontId="107" fillId="0" borderId="0" applyFill="0" applyBorder="0">
      <alignment horizontal="left" vertical="center"/>
    </xf>
    <xf numFmtId="0" fontId="107" fillId="0" borderId="0" applyFill="0" applyBorder="0">
      <alignment horizontal="left" vertical="center"/>
    </xf>
    <xf numFmtId="0" fontId="108" fillId="0" borderId="0" applyFill="0" applyBorder="0">
      <alignment vertical="center"/>
    </xf>
    <xf numFmtId="0" fontId="108" fillId="0" borderId="0" applyFill="0" applyBorder="0">
      <alignment vertical="center"/>
    </xf>
    <xf numFmtId="0" fontId="108" fillId="0" borderId="0" applyFill="0" applyBorder="0">
      <alignment vertical="center"/>
    </xf>
    <xf numFmtId="0" fontId="34" fillId="0" borderId="0" applyFill="0" applyBorder="0">
      <alignment vertical="center"/>
      <protection locked="0"/>
    </xf>
    <xf numFmtId="0" fontId="34" fillId="0" borderId="0" applyFill="0" applyBorder="0">
      <alignment vertical="center"/>
      <protection locked="0"/>
    </xf>
    <xf numFmtId="0" fontId="78" fillId="0" borderId="0" applyFill="0" applyBorder="0">
      <alignment vertical="center"/>
    </xf>
    <xf numFmtId="0" fontId="79" fillId="0" borderId="0" applyFill="0" applyBorder="0">
      <alignment vertical="center"/>
    </xf>
    <xf numFmtId="0" fontId="79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190" fontId="99" fillId="0" borderId="0" applyFill="0" applyBorder="0">
      <alignment horizontal="right" vertical="center"/>
    </xf>
    <xf numFmtId="190" fontId="99" fillId="0" borderId="0" applyFill="0" applyBorder="0">
      <alignment horizontal="right" vertical="center"/>
    </xf>
    <xf numFmtId="185" fontId="34" fillId="0" borderId="0" applyFill="0" applyBorder="0">
      <alignment vertical="center"/>
    </xf>
    <xf numFmtId="185" fontId="34" fillId="0" borderId="0" applyFill="0" applyBorder="0">
      <alignment vertical="center"/>
    </xf>
    <xf numFmtId="185" fontId="34" fillId="0" borderId="0" applyFill="0" applyBorder="0">
      <alignment vertical="center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0" fontId="110" fillId="0" borderId="26">
      <alignment horizontal="center"/>
    </xf>
    <xf numFmtId="0" fontId="110" fillId="0" borderId="26">
      <alignment horizontal="center"/>
    </xf>
    <xf numFmtId="0" fontId="110" fillId="0" borderId="26">
      <alignment horizontal="center"/>
    </xf>
    <xf numFmtId="0" fontId="110" fillId="0" borderId="26">
      <alignment horizontal="center"/>
    </xf>
    <xf numFmtId="0" fontId="110" fillId="0" borderId="26">
      <alignment horizontal="center"/>
    </xf>
    <xf numFmtId="0" fontId="110" fillId="0" borderId="26">
      <alignment horizontal="center"/>
    </xf>
    <xf numFmtId="0" fontId="110" fillId="0" borderId="26">
      <alignment horizontal="center"/>
    </xf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220" fontId="5" fillId="0" borderId="0"/>
    <xf numFmtId="220" fontId="5" fillId="0" borderId="0"/>
    <xf numFmtId="180" fontId="34" fillId="0" borderId="0" applyFill="0" applyBorder="0">
      <alignment horizontal="right" vertical="center"/>
    </xf>
    <xf numFmtId="192" fontId="34" fillId="0" borderId="0" applyFill="0" applyBorder="0">
      <alignment horizontal="right" vertical="center"/>
    </xf>
    <xf numFmtId="180" fontId="34" fillId="0" borderId="0" applyFill="0" applyBorder="0">
      <alignment horizontal="right" vertical="center"/>
    </xf>
    <xf numFmtId="180" fontId="34" fillId="0" borderId="0" applyFill="0" applyBorder="0">
      <alignment horizontal="right" vertical="center"/>
    </xf>
    <xf numFmtId="200" fontId="34" fillId="0" borderId="0" applyFill="0" applyBorder="0">
      <alignment horizontal="right" vertical="center"/>
    </xf>
    <xf numFmtId="200" fontId="34" fillId="0" borderId="0" applyFill="0" applyBorder="0">
      <alignment horizontal="right" vertical="center"/>
    </xf>
    <xf numFmtId="200" fontId="34" fillId="0" borderId="0" applyFill="0" applyBorder="0">
      <alignment horizontal="right" vertical="center"/>
    </xf>
    <xf numFmtId="198" fontId="34" fillId="0" borderId="0" applyFill="0" applyBorder="0">
      <alignment horizontal="right" vertical="center"/>
    </xf>
    <xf numFmtId="198" fontId="34" fillId="0" borderId="0" applyFill="0" applyBorder="0">
      <alignment horizontal="right" vertical="center"/>
    </xf>
    <xf numFmtId="200" fontId="34" fillId="0" borderId="0" applyFill="0" applyBorder="0">
      <alignment horizontal="right" vertical="center"/>
    </xf>
    <xf numFmtId="182" fontId="34" fillId="0" borderId="0" applyFill="0" applyBorder="0">
      <alignment horizontal="right" vertical="center"/>
    </xf>
    <xf numFmtId="194" fontId="34" fillId="0" borderId="0" applyFill="0" applyBorder="0">
      <alignment horizontal="right" vertical="center"/>
    </xf>
    <xf numFmtId="182" fontId="34" fillId="0" borderId="0" applyFill="0" applyBorder="0">
      <alignment horizontal="right" vertical="center"/>
    </xf>
    <xf numFmtId="182" fontId="34" fillId="0" borderId="0" applyFill="0" applyBorder="0">
      <alignment horizontal="right" vertical="center"/>
    </xf>
    <xf numFmtId="183" fontId="34" fillId="0" borderId="0" applyFill="0" applyBorder="0">
      <alignment horizontal="right" vertical="center"/>
    </xf>
    <xf numFmtId="183" fontId="34" fillId="0" borderId="0" applyFill="0" applyBorder="0">
      <alignment horizontal="right" vertical="center"/>
    </xf>
    <xf numFmtId="183" fontId="34" fillId="0" borderId="0" applyFill="0" applyBorder="0">
      <alignment horizontal="right" vertical="center"/>
    </xf>
    <xf numFmtId="172" fontId="34" fillId="0" borderId="0" applyFill="0" applyBorder="0">
      <alignment horizontal="right" vertical="center"/>
    </xf>
    <xf numFmtId="172" fontId="34" fillId="0" borderId="0" applyFill="0" applyBorder="0">
      <alignment horizontal="right" vertical="center"/>
    </xf>
    <xf numFmtId="183" fontId="34" fillId="0" borderId="0" applyFill="0" applyBorder="0">
      <alignment horizontal="right" vertical="center"/>
    </xf>
    <xf numFmtId="184" fontId="34" fillId="0" borderId="0" applyFill="0" applyBorder="0">
      <alignment horizontal="right" vertical="center"/>
    </xf>
    <xf numFmtId="196" fontId="34" fillId="0" borderId="0" applyFill="0" applyBorder="0">
      <alignment horizontal="right" vertical="center"/>
    </xf>
    <xf numFmtId="184" fontId="34" fillId="0" borderId="0" applyFill="0" applyBorder="0">
      <alignment horizontal="right" vertical="center"/>
    </xf>
    <xf numFmtId="184" fontId="34" fillId="0" borderId="0" applyFill="0" applyBorder="0">
      <alignment horizontal="right" vertical="center"/>
    </xf>
    <xf numFmtId="190" fontId="34" fillId="0" borderId="0" applyFill="0" applyBorder="0">
      <alignment horizontal="right" vertical="center"/>
    </xf>
    <xf numFmtId="190" fontId="34" fillId="0" borderId="0" applyFill="0" applyBorder="0">
      <alignment horizontal="right" vertical="center"/>
    </xf>
    <xf numFmtId="190" fontId="34" fillId="0" borderId="0" applyFill="0" applyBorder="0">
      <alignment horizontal="right" vertical="center"/>
    </xf>
    <xf numFmtId="190" fontId="34" fillId="0" borderId="0" applyFill="0" applyBorder="0">
      <alignment horizontal="right" vertical="center"/>
    </xf>
    <xf numFmtId="190" fontId="34" fillId="0" borderId="0" applyFill="0" applyBorder="0">
      <alignment horizontal="right" vertical="center"/>
    </xf>
    <xf numFmtId="0" fontId="5" fillId="35" borderId="0" applyNumberFormat="0" applyFont="0" applyBorder="0" applyAlignment="0" applyProtection="0"/>
    <xf numFmtId="0" fontId="5" fillId="35" borderId="0" applyNumberFormat="0" applyFont="0" applyBorder="0" applyAlignment="0" applyProtection="0"/>
    <xf numFmtId="0" fontId="5" fillId="37" borderId="0" applyNumberFormat="0" applyFont="0" applyBorder="0" applyAlignment="0" applyProtection="0"/>
    <xf numFmtId="0" fontId="5" fillId="37" borderId="0" applyNumberFormat="0" applyFont="0" applyBorder="0" applyAlignment="0" applyProtection="0"/>
    <xf numFmtId="0" fontId="5" fillId="44" borderId="0" applyNumberFormat="0" applyFont="0" applyBorder="0" applyAlignment="0" applyProtection="0"/>
    <xf numFmtId="0" fontId="5" fillId="44" borderId="0" applyNumberFormat="0" applyFont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44" borderId="0" applyNumberFormat="0" applyFont="0" applyBorder="0" applyAlignment="0" applyProtection="0"/>
    <xf numFmtId="0" fontId="5" fillId="44" borderId="0" applyNumberFormat="0" applyFont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Border="0" applyAlignment="0" applyProtection="0"/>
    <xf numFmtId="0" fontId="5" fillId="0" borderId="0" applyNumberFormat="0" applyFont="0" applyBorder="0" applyAlignment="0" applyProtection="0"/>
    <xf numFmtId="0" fontId="106" fillId="0" borderId="0" applyFill="0" applyBorder="0">
      <alignment horizontal="left" vertical="center"/>
    </xf>
    <xf numFmtId="0" fontId="106" fillId="0" borderId="0" applyFill="0" applyBorder="0" applyAlignment="0"/>
    <xf numFmtId="0" fontId="106" fillId="0" borderId="0" applyFill="0" applyBorder="0">
      <alignment horizontal="left" vertical="center"/>
    </xf>
    <xf numFmtId="0" fontId="106" fillId="0" borderId="0" applyFill="0" applyBorder="0">
      <alignment horizontal="left" vertical="center"/>
    </xf>
    <xf numFmtId="0" fontId="106" fillId="0" borderId="0" applyFill="0" applyBorder="0">
      <alignment vertical="center"/>
    </xf>
    <xf numFmtId="0" fontId="106" fillId="0" borderId="0" applyFill="0" applyBorder="0">
      <alignment vertical="center"/>
    </xf>
    <xf numFmtId="0" fontId="106" fillId="0" borderId="0" applyFill="0" applyBorder="0">
      <alignment vertical="center"/>
    </xf>
    <xf numFmtId="0" fontId="111" fillId="0" borderId="0" applyNumberFormat="0" applyFill="0" applyBorder="0" applyAlignment="0" applyProtection="0"/>
    <xf numFmtId="0" fontId="108" fillId="0" borderId="0" applyFill="0" applyBorder="0">
      <alignment horizontal="left" vertical="center"/>
    </xf>
    <xf numFmtId="0" fontId="108" fillId="0" borderId="0" applyFill="0" applyBorder="0">
      <alignment horizontal="left" vertical="center"/>
    </xf>
    <xf numFmtId="0" fontId="108" fillId="0" borderId="0" applyFill="0" applyBorder="0">
      <alignment horizontal="left" vertical="center"/>
    </xf>
    <xf numFmtId="0" fontId="108" fillId="0" borderId="0" applyFill="0" applyBorder="0">
      <alignment horizontal="left" vertical="center"/>
    </xf>
    <xf numFmtId="0" fontId="111" fillId="0" borderId="0" applyNumberFormat="0" applyFill="0" applyBorder="0" applyAlignment="0" applyProtection="0"/>
    <xf numFmtId="0" fontId="108" fillId="0" borderId="0" applyFill="0" applyBorder="0">
      <alignment vertical="center"/>
    </xf>
    <xf numFmtId="0" fontId="108" fillId="0" borderId="0" applyFill="0" applyBorder="0">
      <alignment vertical="center"/>
    </xf>
    <xf numFmtId="0" fontId="108" fillId="0" borderId="0" applyFill="0" applyBorder="0">
      <alignment vertical="center"/>
    </xf>
    <xf numFmtId="0" fontId="5" fillId="0" borderId="0"/>
    <xf numFmtId="0" fontId="5" fillId="0" borderId="0"/>
    <xf numFmtId="0" fontId="88" fillId="0" borderId="0"/>
    <xf numFmtId="0" fontId="108" fillId="0" borderId="0"/>
    <xf numFmtId="15" fontId="5" fillId="0" borderId="0"/>
    <xf numFmtId="15" fontId="5" fillId="0" borderId="0"/>
    <xf numFmtId="10" fontId="5" fillId="0" borderId="0"/>
    <xf numFmtId="10" fontId="5" fillId="0" borderId="0"/>
    <xf numFmtId="0" fontId="34" fillId="0" borderId="0" applyFill="0" applyBorder="0">
      <alignment vertical="center"/>
      <protection locked="0"/>
    </xf>
    <xf numFmtId="0" fontId="34" fillId="0" borderId="0" applyFill="0" applyBorder="0">
      <alignment vertical="center"/>
      <protection locked="0"/>
    </xf>
    <xf numFmtId="0" fontId="112" fillId="0" borderId="0" applyBorder="0" applyProtection="0">
      <alignment vertical="center"/>
    </xf>
    <xf numFmtId="0" fontId="112" fillId="0" borderId="2" applyBorder="0" applyProtection="0">
      <alignment horizontal="right" vertical="center"/>
    </xf>
    <xf numFmtId="0" fontId="112" fillId="0" borderId="2" applyBorder="0" applyProtection="0">
      <alignment horizontal="right" vertical="center"/>
    </xf>
    <xf numFmtId="0" fontId="112" fillId="0" borderId="2" applyBorder="0" applyProtection="0">
      <alignment horizontal="right" vertical="center"/>
    </xf>
    <xf numFmtId="0" fontId="112" fillId="0" borderId="2" applyBorder="0" applyProtection="0">
      <alignment horizontal="right" vertical="center"/>
    </xf>
    <xf numFmtId="0" fontId="112" fillId="0" borderId="2" applyBorder="0" applyProtection="0">
      <alignment horizontal="right" vertical="center"/>
    </xf>
    <xf numFmtId="0" fontId="112" fillId="0" borderId="2" applyBorder="0" applyProtection="0">
      <alignment horizontal="right" vertical="center"/>
    </xf>
    <xf numFmtId="0" fontId="113" fillId="71" borderId="0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2" fillId="0" borderId="0" applyBorder="0" applyProtection="0">
      <alignment vertical="center"/>
    </xf>
    <xf numFmtId="0" fontId="59" fillId="0" borderId="0">
      <alignment horizontal="left"/>
    </xf>
    <xf numFmtId="0" fontId="114" fillId="0" borderId="0" applyFill="0" applyBorder="0" applyProtection="0">
      <alignment horizontal="left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49" fontId="5" fillId="0" borderId="0" applyFont="0" applyFill="0" applyBorder="0" applyAlignment="0" applyProtection="0"/>
    <xf numFmtId="0" fontId="115" fillId="0" borderId="0"/>
    <xf numFmtId="49" fontId="5" fillId="0" borderId="0" applyFont="0" applyFill="0" applyBorder="0" applyAlignment="0" applyProtection="0"/>
    <xf numFmtId="0" fontId="116" fillId="0" borderId="0"/>
    <xf numFmtId="0" fontId="116" fillId="0" borderId="0"/>
    <xf numFmtId="0" fontId="115" fillId="0" borderId="0"/>
    <xf numFmtId="215" fontId="117" fillId="0" borderId="0"/>
    <xf numFmtId="0" fontId="111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Fill="0" applyBorder="0">
      <alignment horizontal="left" vertical="center"/>
      <protection locked="0"/>
    </xf>
    <xf numFmtId="0" fontId="78" fillId="0" borderId="0" applyFill="0" applyBorder="0">
      <alignment vertical="center"/>
    </xf>
    <xf numFmtId="0" fontId="115" fillId="0" borderId="0"/>
    <xf numFmtId="0" fontId="79" fillId="0" borderId="0" applyFill="0" applyBorder="0">
      <alignment horizontal="left" vertical="center"/>
      <protection locked="0"/>
    </xf>
    <xf numFmtId="0" fontId="79" fillId="0" borderId="0" applyFill="0" applyBorder="0">
      <alignment horizontal="left" vertical="center"/>
      <protection locked="0"/>
    </xf>
    <xf numFmtId="0" fontId="115" fillId="0" borderId="0"/>
    <xf numFmtId="0" fontId="120" fillId="0" borderId="0" applyFill="0" applyBorder="0">
      <alignment horizontal="left" vertical="center"/>
      <protection locked="0"/>
    </xf>
    <xf numFmtId="0" fontId="120" fillId="0" borderId="0" applyFill="0" applyBorder="0">
      <alignment horizontal="left" vertical="center"/>
      <protection locked="0"/>
    </xf>
    <xf numFmtId="0" fontId="121" fillId="0" borderId="0" applyFill="0" applyBorder="0">
      <alignment horizontal="left" vertical="center"/>
      <protection locked="0"/>
    </xf>
    <xf numFmtId="0" fontId="121" fillId="0" borderId="0" applyFill="0" applyBorder="0">
      <alignment horizontal="left" vertical="center"/>
      <protection locked="0"/>
    </xf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185" fontId="34" fillId="0" borderId="0" applyFill="0" applyBorder="0">
      <alignment vertical="center"/>
    </xf>
    <xf numFmtId="185" fontId="34" fillId="0" borderId="0" applyFill="0" applyBorder="0">
      <alignment vertical="center"/>
    </xf>
    <xf numFmtId="0" fontId="123" fillId="0" borderId="0"/>
    <xf numFmtId="0" fontId="125" fillId="0" borderId="0"/>
    <xf numFmtId="0" fontId="134" fillId="0" borderId="0"/>
    <xf numFmtId="0" fontId="5" fillId="0" borderId="0"/>
    <xf numFmtId="225" fontId="135" fillId="2" borderId="0" applyBorder="0"/>
    <xf numFmtId="226" fontId="135" fillId="2" borderId="0" applyBorder="0"/>
    <xf numFmtId="227" fontId="135" fillId="2" borderId="0" applyBorder="0"/>
    <xf numFmtId="228" fontId="135" fillId="2" borderId="0" applyBorder="0"/>
    <xf numFmtId="229" fontId="135" fillId="2" borderId="0" applyBorder="0"/>
    <xf numFmtId="230" fontId="34" fillId="69" borderId="0" applyFont="0" applyFill="0" applyBorder="0" applyAlignment="0" applyProtection="0"/>
    <xf numFmtId="231" fontId="36" fillId="0" borderId="2"/>
    <xf numFmtId="232" fontId="136" fillId="0" borderId="0" applyFont="0" applyFill="0" applyBorder="0" applyAlignment="0"/>
    <xf numFmtId="17" fontId="136" fillId="0" borderId="0" applyFont="0" applyFill="0" applyBorder="0" applyAlignment="0" applyProtection="0"/>
    <xf numFmtId="0" fontId="137" fillId="74" borderId="0"/>
    <xf numFmtId="0" fontId="138" fillId="74" borderId="0">
      <alignment horizontal="left" indent="1"/>
    </xf>
    <xf numFmtId="0" fontId="138" fillId="74" borderId="0">
      <alignment horizontal="left" indent="2"/>
    </xf>
    <xf numFmtId="225" fontId="135" fillId="0" borderId="0"/>
    <xf numFmtId="226" fontId="135" fillId="0" borderId="0"/>
    <xf numFmtId="227" fontId="139" fillId="0" borderId="0"/>
    <xf numFmtId="228" fontId="139" fillId="0" borderId="0"/>
    <xf numFmtId="233" fontId="86" fillId="75" borderId="0" applyProtection="0"/>
    <xf numFmtId="234" fontId="139" fillId="2" borderId="0"/>
    <xf numFmtId="225" fontId="135" fillId="76" borderId="0" applyBorder="0"/>
    <xf numFmtId="235" fontId="135" fillId="76" borderId="0"/>
    <xf numFmtId="226" fontId="135" fillId="76" borderId="0" applyBorder="0"/>
    <xf numFmtId="227" fontId="135" fillId="76" borderId="0" applyBorder="0"/>
    <xf numFmtId="228" fontId="135" fillId="76" borderId="0" applyBorder="0"/>
    <xf numFmtId="229" fontId="135" fillId="76" borderId="0" applyBorder="0"/>
    <xf numFmtId="0" fontId="140" fillId="0" borderId="0" applyNumberFormat="0" applyFont="0" applyFill="0" applyBorder="0" applyAlignment="0">
      <alignment horizontal="left" vertical="center" indent="1"/>
    </xf>
    <xf numFmtId="226" fontId="136" fillId="0" borderId="0" applyBorder="0"/>
    <xf numFmtId="235" fontId="136" fillId="0" borderId="0"/>
    <xf numFmtId="234" fontId="136" fillId="0" borderId="0"/>
    <xf numFmtId="225" fontId="136" fillId="0" borderId="0"/>
    <xf numFmtId="236" fontId="141" fillId="0" borderId="0" applyFont="0" applyFill="0" applyBorder="0" applyAlignment="0" applyProtection="0"/>
    <xf numFmtId="202" fontId="142" fillId="0" borderId="0" applyNumberFormat="0" applyFill="0" applyBorder="0" applyAlignment="0" applyProtection="0"/>
    <xf numFmtId="173" fontId="34" fillId="0" borderId="0"/>
    <xf numFmtId="237" fontId="137" fillId="0" borderId="0" applyFill="0" applyBorder="0" applyAlignment="0"/>
    <xf numFmtId="238" fontId="137" fillId="77" borderId="0" applyFill="0" applyBorder="0" applyAlignment="0"/>
    <xf numFmtId="237" fontId="141" fillId="0" borderId="0" applyFont="0" applyFill="0" applyBorder="0" applyAlignment="0" applyProtection="0"/>
    <xf numFmtId="239" fontId="141" fillId="0" borderId="0" applyFont="0" applyFill="0" applyBorder="0" applyAlignment="0" applyProtection="0"/>
  </cellStyleXfs>
  <cellXfs count="193">
    <xf numFmtId="0" fontId="0" fillId="0" borderId="0" xfId="0"/>
    <xf numFmtId="0" fontId="0" fillId="5" borderId="0" xfId="0" applyFill="1"/>
    <xf numFmtId="0" fontId="2" fillId="5" borderId="0" xfId="0" applyFont="1" applyFill="1"/>
    <xf numFmtId="0" fontId="4" fillId="5" borderId="0" xfId="0" applyFont="1" applyFill="1"/>
    <xf numFmtId="0" fontId="0" fillId="4" borderId="0" xfId="0" applyFill="1"/>
    <xf numFmtId="0" fontId="3" fillId="4" borderId="0" xfId="0" applyFont="1" applyFill="1"/>
    <xf numFmtId="0" fontId="9" fillId="4" borderId="0" xfId="0" applyFont="1" applyFill="1"/>
    <xf numFmtId="40" fontId="10" fillId="3" borderId="1" xfId="6" applyNumberFormat="1" applyFont="1" applyFill="1" applyBorder="1" applyAlignment="1">
      <alignment horizontal="left"/>
    </xf>
    <xf numFmtId="0" fontId="10" fillId="2" borderId="1" xfId="6" applyNumberFormat="1" applyFont="1" applyFill="1" applyBorder="1" applyAlignment="1">
      <alignment horizontal="left"/>
    </xf>
    <xf numFmtId="0" fontId="11" fillId="4" borderId="0" xfId="0" applyFont="1" applyFill="1"/>
    <xf numFmtId="9" fontId="10" fillId="2" borderId="1" xfId="1" applyFont="1" applyFill="1" applyBorder="1" applyAlignment="1">
      <alignment horizontal="right"/>
    </xf>
    <xf numFmtId="10" fontId="10" fillId="2" borderId="1" xfId="1" applyNumberFormat="1" applyFont="1" applyFill="1" applyBorder="1" applyAlignment="1">
      <alignment horizontal="right"/>
    </xf>
    <xf numFmtId="2" fontId="0" fillId="4" borderId="0" xfId="0" applyNumberFormat="1" applyFill="1"/>
    <xf numFmtId="10" fontId="0" fillId="4" borderId="0" xfId="1" applyNumberFormat="1" applyFont="1" applyFill="1"/>
    <xf numFmtId="2" fontId="10" fillId="2" borderId="1" xfId="1" applyNumberFormat="1" applyFont="1" applyFill="1" applyBorder="1" applyAlignment="1">
      <alignment horizontal="right"/>
    </xf>
    <xf numFmtId="2" fontId="10" fillId="2" borderId="0" xfId="1" applyNumberFormat="1" applyFont="1" applyFill="1" applyBorder="1" applyAlignment="1">
      <alignment horizontal="right"/>
    </xf>
    <xf numFmtId="0" fontId="0" fillId="4" borderId="2" xfId="0" applyFill="1" applyBorder="1" applyAlignment="1">
      <alignment horizontal="center"/>
    </xf>
    <xf numFmtId="165" fontId="0" fillId="4" borderId="0" xfId="0" applyNumberFormat="1" applyFill="1"/>
    <xf numFmtId="0" fontId="0" fillId="4" borderId="0" xfId="0" applyFill="1" applyBorder="1" applyAlignment="1">
      <alignment horizontal="center"/>
    </xf>
    <xf numFmtId="10" fontId="10" fillId="4" borderId="0" xfId="1" applyNumberFormat="1" applyFont="1" applyFill="1" applyBorder="1" applyAlignment="1">
      <alignment horizontal="right"/>
    </xf>
    <xf numFmtId="0" fontId="12" fillId="4" borderId="0" xfId="0" applyFont="1" applyFill="1"/>
    <xf numFmtId="9" fontId="0" fillId="4" borderId="0" xfId="0" applyNumberFormat="1" applyFill="1"/>
    <xf numFmtId="0" fontId="13" fillId="5" borderId="0" xfId="5" applyFont="1" applyFill="1" applyAlignment="1" applyProtection="1"/>
    <xf numFmtId="17" fontId="0" fillId="4" borderId="0" xfId="0" applyNumberFormat="1" applyFont="1" applyFill="1" applyBorder="1" applyAlignment="1">
      <alignment horizontal="center"/>
    </xf>
    <xf numFmtId="0" fontId="0" fillId="4" borderId="2" xfId="0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/>
    </xf>
    <xf numFmtId="9" fontId="8" fillId="4" borderId="1" xfId="1" applyFont="1" applyFill="1" applyBorder="1" applyAlignment="1">
      <alignment horizontal="right"/>
    </xf>
    <xf numFmtId="9" fontId="10" fillId="4" borderId="1" xfId="1" applyFont="1" applyFill="1" applyBorder="1" applyAlignment="1">
      <alignment horizontal="right"/>
    </xf>
    <xf numFmtId="0" fontId="3" fillId="4" borderId="0" xfId="0" applyFont="1" applyFill="1" applyAlignment="1">
      <alignment horizontal="center" wrapText="1"/>
    </xf>
    <xf numFmtId="0" fontId="3" fillId="4" borderId="0" xfId="0" applyFont="1" applyFill="1" applyAlignment="1">
      <alignment horizontal="center"/>
    </xf>
    <xf numFmtId="0" fontId="0" fillId="4" borderId="0" xfId="0" applyFill="1" applyBorder="1"/>
    <xf numFmtId="0" fontId="0" fillId="4" borderId="0" xfId="0" applyFill="1" applyAlignment="1">
      <alignment horizontal="right"/>
    </xf>
    <xf numFmtId="0" fontId="3" fillId="4" borderId="2" xfId="0" applyFont="1" applyFill="1" applyBorder="1" applyAlignment="1">
      <alignment horizontal="center"/>
    </xf>
    <xf numFmtId="3" fontId="10" fillId="2" borderId="1" xfId="1" applyNumberFormat="1" applyFont="1" applyFill="1" applyBorder="1" applyAlignment="1">
      <alignment horizontal="right"/>
    </xf>
    <xf numFmtId="0" fontId="3" fillId="4" borderId="2" xfId="0" applyFont="1" applyFill="1" applyBorder="1" applyAlignment="1">
      <alignment horizontal="center"/>
    </xf>
    <xf numFmtId="3" fontId="8" fillId="4" borderId="1" xfId="1" applyNumberFormat="1" applyFont="1" applyFill="1" applyBorder="1" applyAlignment="1">
      <alignment horizontal="right"/>
    </xf>
    <xf numFmtId="0" fontId="0" fillId="4" borderId="4" xfId="0" applyFill="1" applyBorder="1"/>
    <xf numFmtId="3" fontId="3" fillId="4" borderId="4" xfId="0" applyNumberFormat="1" applyFont="1" applyFill="1" applyBorder="1"/>
    <xf numFmtId="0" fontId="0" fillId="4" borderId="0" xfId="0" applyFont="1" applyFill="1"/>
    <xf numFmtId="0" fontId="0" fillId="4" borderId="2" xfId="0" applyFill="1" applyBorder="1"/>
    <xf numFmtId="3" fontId="3" fillId="4" borderId="0" xfId="0" applyNumberFormat="1" applyFont="1" applyFill="1"/>
    <xf numFmtId="9" fontId="0" fillId="4" borderId="0" xfId="0" applyNumberFormat="1" applyFont="1" applyFill="1"/>
    <xf numFmtId="0" fontId="0" fillId="6" borderId="0" xfId="0" applyFill="1"/>
    <xf numFmtId="0" fontId="0" fillId="7" borderId="0" xfId="0" applyFill="1"/>
    <xf numFmtId="0" fontId="0" fillId="8" borderId="0" xfId="0" applyFill="1"/>
    <xf numFmtId="3" fontId="0" fillId="4" borderId="0" xfId="0" applyNumberFormat="1" applyFill="1"/>
    <xf numFmtId="9" fontId="10" fillId="4" borderId="0" xfId="1" applyFont="1" applyFill="1" applyBorder="1" applyAlignment="1">
      <alignment horizontal="right"/>
    </xf>
    <xf numFmtId="0" fontId="10" fillId="2" borderId="1" xfId="1" applyNumberFormat="1" applyFont="1" applyFill="1" applyBorder="1" applyAlignment="1">
      <alignment horizontal="left"/>
    </xf>
    <xf numFmtId="3" fontId="10" fillId="3" borderId="1" xfId="6" applyNumberFormat="1" applyFont="1" applyFill="1" applyBorder="1" applyAlignment="1">
      <alignment horizontal="right"/>
    </xf>
    <xf numFmtId="3" fontId="0" fillId="4" borderId="5" xfId="0" applyNumberFormat="1" applyFill="1" applyBorder="1"/>
    <xf numFmtId="3" fontId="8" fillId="4" borderId="0" xfId="1" applyNumberFormat="1" applyFont="1" applyFill="1" applyBorder="1" applyAlignment="1">
      <alignment horizontal="right"/>
    </xf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0" fillId="4" borderId="9" xfId="0" applyFill="1" applyBorder="1"/>
    <xf numFmtId="0" fontId="3" fillId="4" borderId="0" xfId="0" applyFont="1" applyFill="1" applyBorder="1"/>
    <xf numFmtId="0" fontId="0" fillId="4" borderId="10" xfId="0" applyFill="1" applyBorder="1"/>
    <xf numFmtId="3" fontId="0" fillId="4" borderId="0" xfId="0" applyNumberFormat="1" applyFill="1" applyBorder="1"/>
    <xf numFmtId="0" fontId="0" fillId="4" borderId="11" xfId="0" applyFill="1" applyBorder="1"/>
    <xf numFmtId="0" fontId="0" fillId="4" borderId="12" xfId="0" applyFill="1" applyBorder="1"/>
    <xf numFmtId="0" fontId="0" fillId="4" borderId="10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3" fontId="0" fillId="4" borderId="10" xfId="0" applyNumberFormat="1" applyFill="1" applyBorder="1"/>
    <xf numFmtId="0" fontId="3" fillId="4" borderId="9" xfId="0" applyFont="1" applyFill="1" applyBorder="1"/>
    <xf numFmtId="3" fontId="3" fillId="4" borderId="13" xfId="0" applyNumberFormat="1" applyFont="1" applyFill="1" applyBorder="1"/>
    <xf numFmtId="0" fontId="2" fillId="5" borderId="0" xfId="0" applyFont="1" applyFill="1" applyBorder="1"/>
    <xf numFmtId="0" fontId="4" fillId="5" borderId="0" xfId="0" applyFont="1" applyFill="1" applyBorder="1"/>
    <xf numFmtId="4" fontId="0" fillId="4" borderId="0" xfId="0" applyNumberFormat="1" applyFill="1"/>
    <xf numFmtId="3" fontId="0" fillId="4" borderId="12" xfId="0" applyNumberFormat="1" applyFill="1" applyBorder="1"/>
    <xf numFmtId="0" fontId="3" fillId="6" borderId="0" xfId="0" applyFont="1" applyFill="1"/>
    <xf numFmtId="0" fontId="3" fillId="9" borderId="0" xfId="0" applyFont="1" applyFill="1"/>
    <xf numFmtId="0" fontId="0" fillId="9" borderId="0" xfId="0" applyFill="1"/>
    <xf numFmtId="0" fontId="3" fillId="8" borderId="0" xfId="0" applyFont="1" applyFill="1"/>
    <xf numFmtId="0" fontId="14" fillId="4" borderId="0" xfId="5" applyFont="1" applyFill="1" applyAlignment="1" applyProtection="1"/>
    <xf numFmtId="9" fontId="0" fillId="4" borderId="0" xfId="1" applyFont="1" applyFill="1" applyBorder="1" applyAlignment="1">
      <alignment horizontal="center"/>
    </xf>
    <xf numFmtId="9" fontId="0" fillId="4" borderId="0" xfId="1" applyFont="1" applyFill="1"/>
    <xf numFmtId="3" fontId="0" fillId="4" borderId="0" xfId="0" applyNumberFormat="1" applyFont="1" applyFill="1"/>
    <xf numFmtId="3" fontId="10" fillId="4" borderId="1" xfId="1" applyNumberFormat="1" applyFont="1" applyFill="1" applyBorder="1" applyAlignment="1">
      <alignment horizontal="right"/>
    </xf>
    <xf numFmtId="14" fontId="0" fillId="4" borderId="0" xfId="0" applyNumberFormat="1" applyFill="1"/>
    <xf numFmtId="0" fontId="15" fillId="4" borderId="0" xfId="0" applyFont="1" applyFill="1"/>
    <xf numFmtId="0" fontId="10" fillId="4" borderId="0" xfId="6" applyNumberFormat="1" applyFont="1" applyFill="1" applyBorder="1" applyAlignment="1">
      <alignment horizontal="left"/>
    </xf>
    <xf numFmtId="0" fontId="16" fillId="4" borderId="0" xfId="6" applyNumberFormat="1" applyFont="1" applyFill="1" applyBorder="1" applyAlignment="1">
      <alignment horizontal="left"/>
    </xf>
    <xf numFmtId="3" fontId="3" fillId="4" borderId="0" xfId="0" applyNumberFormat="1" applyFont="1" applyFill="1" applyBorder="1"/>
    <xf numFmtId="0" fontId="3" fillId="4" borderId="3" xfId="0" applyFont="1" applyFill="1" applyBorder="1" applyAlignment="1">
      <alignment horizontal="center"/>
    </xf>
    <xf numFmtId="3" fontId="0" fillId="4" borderId="8" xfId="0" applyNumberFormat="1" applyFill="1" applyBorder="1"/>
    <xf numFmtId="0" fontId="15" fillId="0" borderId="0" xfId="0" applyFont="1" applyFill="1"/>
    <xf numFmtId="0" fontId="17" fillId="4" borderId="0" xfId="5" applyFont="1" applyFill="1" applyAlignment="1" applyProtection="1"/>
    <xf numFmtId="0" fontId="0" fillId="0" borderId="0" xfId="0" applyFill="1"/>
    <xf numFmtId="0" fontId="0" fillId="4" borderId="0" xfId="0" applyFont="1" applyFill="1" applyAlignment="1">
      <alignment horizontal="left"/>
    </xf>
    <xf numFmtId="0" fontId="3" fillId="4" borderId="0" xfId="0" applyFont="1" applyFill="1" applyAlignment="1">
      <alignment horizontal="left"/>
    </xf>
    <xf numFmtId="171" fontId="0" fillId="4" borderId="0" xfId="0" applyNumberFormat="1" applyFill="1" applyBorder="1" applyAlignment="1">
      <alignment horizontal="right"/>
    </xf>
    <xf numFmtId="171" fontId="3" fillId="4" borderId="4" xfId="0" applyNumberFormat="1" applyFont="1" applyFill="1" applyBorder="1" applyAlignment="1">
      <alignment horizontal="right"/>
    </xf>
    <xf numFmtId="167" fontId="0" fillId="4" borderId="0" xfId="1" applyNumberFormat="1" applyFont="1" applyFill="1"/>
    <xf numFmtId="9" fontId="0" fillId="4" borderId="0" xfId="1" applyNumberFormat="1" applyFont="1" applyFill="1" applyBorder="1" applyAlignment="1">
      <alignment horizontal="center"/>
    </xf>
    <xf numFmtId="0" fontId="0" fillId="4" borderId="0" xfId="0" applyFill="1"/>
    <xf numFmtId="0" fontId="15" fillId="4" borderId="0" xfId="0" applyFont="1" applyFill="1"/>
    <xf numFmtId="171" fontId="0" fillId="4" borderId="0" xfId="0" applyNumberFormat="1" applyFill="1"/>
    <xf numFmtId="3" fontId="0" fillId="4" borderId="0" xfId="0" applyNumberFormat="1" applyFill="1" applyBorder="1" applyAlignment="1">
      <alignment horizontal="center"/>
    </xf>
    <xf numFmtId="169" fontId="0" fillId="4" borderId="0" xfId="10" applyNumberFormat="1" applyFont="1" applyFill="1"/>
    <xf numFmtId="0" fontId="0" fillId="4" borderId="0" xfId="0" applyFill="1" applyAlignment="1">
      <alignment horizontal="left" indent="1"/>
    </xf>
    <xf numFmtId="0" fontId="0" fillId="27" borderId="0" xfId="0" applyFill="1"/>
    <xf numFmtId="169" fontId="0" fillId="4" borderId="0" xfId="0" applyNumberFormat="1" applyFill="1"/>
    <xf numFmtId="0" fontId="8" fillId="4" borderId="0" xfId="0" applyFont="1" applyFill="1"/>
    <xf numFmtId="4" fontId="10" fillId="2" borderId="1" xfId="1" applyNumberFormat="1" applyFont="1" applyFill="1" applyBorder="1" applyAlignment="1">
      <alignment horizontal="right"/>
    </xf>
    <xf numFmtId="2" fontId="10" fillId="4" borderId="1" xfId="1" applyNumberFormat="1" applyFont="1" applyFill="1" applyBorder="1" applyAlignment="1">
      <alignment horizontal="right"/>
    </xf>
    <xf numFmtId="3" fontId="10" fillId="0" borderId="1" xfId="1" applyNumberFormat="1" applyFont="1" applyFill="1" applyBorder="1" applyAlignment="1">
      <alignment horizontal="right"/>
    </xf>
    <xf numFmtId="4" fontId="10" fillId="4" borderId="1" xfId="1" applyNumberFormat="1" applyFont="1" applyFill="1" applyBorder="1" applyAlignment="1">
      <alignment horizontal="right"/>
    </xf>
    <xf numFmtId="3" fontId="10" fillId="0" borderId="1" xfId="6" applyNumberFormat="1" applyFont="1" applyFill="1" applyBorder="1" applyAlignment="1">
      <alignment horizontal="right"/>
    </xf>
    <xf numFmtId="170" fontId="10" fillId="2" borderId="1" xfId="1" applyNumberFormat="1" applyFont="1" applyFill="1" applyBorder="1" applyAlignment="1">
      <alignment horizontal="right"/>
    </xf>
    <xf numFmtId="167" fontId="0" fillId="4" borderId="0" xfId="1" applyNumberFormat="1" applyFont="1" applyFill="1" applyBorder="1" applyAlignment="1">
      <alignment horizontal="center"/>
    </xf>
    <xf numFmtId="0" fontId="3" fillId="4" borderId="0" xfId="0" applyFont="1" applyFill="1" applyAlignment="1"/>
    <xf numFmtId="0" fontId="0" fillId="4" borderId="0" xfId="0" applyFont="1" applyFill="1" applyAlignment="1">
      <alignment horizontal="left" indent="1"/>
    </xf>
    <xf numFmtId="3" fontId="3" fillId="4" borderId="14" xfId="0" applyNumberFormat="1" applyFont="1" applyFill="1" applyBorder="1"/>
    <xf numFmtId="167" fontId="3" fillId="4" borderId="4" xfId="1" applyNumberFormat="1" applyFont="1" applyFill="1" applyBorder="1"/>
    <xf numFmtId="3" fontId="10" fillId="3" borderId="45" xfId="6" applyNumberFormat="1" applyFont="1" applyFill="1" applyBorder="1" applyAlignment="1">
      <alignment horizontal="right"/>
    </xf>
    <xf numFmtId="0" fontId="12" fillId="4" borderId="0" xfId="0" applyFont="1" applyFill="1" applyBorder="1"/>
    <xf numFmtId="4" fontId="0" fillId="4" borderId="0" xfId="0" applyNumberFormat="1" applyFill="1" applyBorder="1"/>
    <xf numFmtId="167" fontId="0" fillId="4" borderId="0" xfId="1" applyNumberFormat="1" applyFont="1" applyFill="1" applyBorder="1"/>
    <xf numFmtId="2" fontId="10" fillId="4" borderId="0" xfId="1" applyNumberFormat="1" applyFont="1" applyFill="1" applyBorder="1" applyAlignment="1">
      <alignment horizontal="right"/>
    </xf>
    <xf numFmtId="171" fontId="3" fillId="4" borderId="0" xfId="0" applyNumberFormat="1" applyFont="1" applyFill="1" applyBorder="1" applyAlignment="1">
      <alignment horizontal="right"/>
    </xf>
    <xf numFmtId="10" fontId="0" fillId="4" borderId="0" xfId="0" applyNumberFormat="1" applyFill="1"/>
    <xf numFmtId="1" fontId="0" fillId="4" borderId="0" xfId="0" applyNumberFormat="1" applyFill="1"/>
    <xf numFmtId="6" fontId="0" fillId="4" borderId="0" xfId="0" applyNumberFormat="1" applyFill="1"/>
    <xf numFmtId="8" fontId="0" fillId="4" borderId="0" xfId="0" applyNumberFormat="1" applyFill="1"/>
    <xf numFmtId="222" fontId="0" fillId="4" borderId="0" xfId="0" applyNumberFormat="1" applyFill="1"/>
    <xf numFmtId="223" fontId="0" fillId="4" borderId="0" xfId="0" applyNumberFormat="1" applyFill="1"/>
    <xf numFmtId="171" fontId="8" fillId="4" borderId="0" xfId="0" applyNumberFormat="1" applyFont="1" applyFill="1" applyBorder="1" applyAlignment="1">
      <alignment horizontal="right"/>
    </xf>
    <xf numFmtId="171" fontId="8" fillId="4" borderId="0" xfId="0" applyNumberFormat="1" applyFont="1" applyFill="1"/>
    <xf numFmtId="4" fontId="8" fillId="4" borderId="0" xfId="0" applyNumberFormat="1" applyFont="1" applyFill="1"/>
    <xf numFmtId="169" fontId="0" fillId="4" borderId="2" xfId="10" applyNumberFormat="1" applyFont="1" applyFill="1" applyBorder="1"/>
    <xf numFmtId="1" fontId="0" fillId="4" borderId="2" xfId="0" applyNumberFormat="1" applyFill="1" applyBorder="1"/>
    <xf numFmtId="170" fontId="0" fillId="4" borderId="0" xfId="0" applyNumberFormat="1" applyFill="1"/>
    <xf numFmtId="171" fontId="10" fillId="2" borderId="1" xfId="1" applyNumberFormat="1" applyFont="1" applyFill="1" applyBorder="1" applyAlignment="1">
      <alignment horizontal="right"/>
    </xf>
    <xf numFmtId="10" fontId="10" fillId="72" borderId="1" xfId="1" applyNumberFormat="1" applyFont="1" applyFill="1" applyBorder="1" applyAlignment="1">
      <alignment horizontal="right"/>
    </xf>
    <xf numFmtId="49" fontId="4" fillId="5" borderId="0" xfId="0" applyNumberFormat="1" applyFont="1" applyFill="1"/>
    <xf numFmtId="3" fontId="10" fillId="72" borderId="1" xfId="1" applyNumberFormat="1" applyFont="1" applyFill="1" applyBorder="1" applyAlignment="1">
      <alignment horizontal="right"/>
    </xf>
    <xf numFmtId="224" fontId="0" fillId="4" borderId="0" xfId="0" applyNumberFormat="1" applyFill="1"/>
    <xf numFmtId="3" fontId="16" fillId="4" borderId="15" xfId="6" applyNumberFormat="1" applyFont="1" applyFill="1" applyBorder="1" applyAlignment="1">
      <alignment horizontal="right"/>
    </xf>
    <xf numFmtId="10" fontId="10" fillId="2" borderId="46" xfId="1" applyNumberFormat="1" applyFont="1" applyFill="1" applyBorder="1" applyAlignment="1">
      <alignment horizontal="right"/>
    </xf>
    <xf numFmtId="0" fontId="126" fillId="4" borderId="0" xfId="17" applyFont="1" applyFill="1"/>
    <xf numFmtId="166" fontId="130" fillId="4" borderId="0" xfId="57" applyNumberFormat="1" applyFont="1" applyFill="1" applyBorder="1"/>
    <xf numFmtId="3" fontId="132" fillId="4" borderId="0" xfId="17" applyNumberFormat="1" applyFont="1" applyFill="1"/>
    <xf numFmtId="3" fontId="127" fillId="4" borderId="0" xfId="17" applyNumberFormat="1" applyFont="1" applyFill="1"/>
    <xf numFmtId="1" fontId="128" fillId="4" borderId="16" xfId="17" applyNumberFormat="1" applyFont="1" applyFill="1" applyBorder="1"/>
    <xf numFmtId="1" fontId="128" fillId="4" borderId="14" xfId="17" applyNumberFormat="1" applyFont="1" applyFill="1" applyBorder="1"/>
    <xf numFmtId="1" fontId="128" fillId="4" borderId="17" xfId="17" applyNumberFormat="1" applyFont="1" applyFill="1" applyBorder="1"/>
    <xf numFmtId="1" fontId="128" fillId="4" borderId="0" xfId="17" applyNumberFormat="1" applyFont="1" applyFill="1" applyBorder="1" applyAlignment="1">
      <alignment horizontal="right"/>
    </xf>
    <xf numFmtId="166" fontId="129" fillId="4" borderId="9" xfId="57" applyNumberFormat="1" applyFont="1" applyFill="1" applyBorder="1" applyAlignment="1">
      <alignment horizontal="left"/>
    </xf>
    <xf numFmtId="170" fontId="126" fillId="4" borderId="0" xfId="17" applyNumberFormat="1" applyFont="1" applyFill="1" applyBorder="1"/>
    <xf numFmtId="170" fontId="126" fillId="4" borderId="10" xfId="17" applyNumberFormat="1" applyFont="1" applyFill="1" applyBorder="1"/>
    <xf numFmtId="43" fontId="126" fillId="4" borderId="0" xfId="17" applyNumberFormat="1" applyFont="1" applyFill="1"/>
    <xf numFmtId="166" fontId="129" fillId="4" borderId="9" xfId="57" applyNumberFormat="1" applyFont="1" applyFill="1" applyBorder="1"/>
    <xf numFmtId="166" fontId="129" fillId="4" borderId="11" xfId="57" applyNumberFormat="1" applyFont="1" applyFill="1" applyBorder="1"/>
    <xf numFmtId="166" fontId="128" fillId="4" borderId="4" xfId="57" applyNumberFormat="1" applyFont="1" applyFill="1" applyBorder="1"/>
    <xf numFmtId="43" fontId="126" fillId="4" borderId="4" xfId="12" applyFont="1" applyFill="1" applyBorder="1"/>
    <xf numFmtId="43" fontId="126" fillId="4" borderId="13" xfId="12" applyFont="1" applyFill="1" applyBorder="1"/>
    <xf numFmtId="43" fontId="124" fillId="4" borderId="0" xfId="17" applyNumberFormat="1" applyFont="1" applyFill="1"/>
    <xf numFmtId="166" fontId="129" fillId="4" borderId="0" xfId="57" applyNumberFormat="1" applyFont="1" applyFill="1" applyBorder="1"/>
    <xf numFmtId="9" fontId="126" fillId="4" borderId="0" xfId="1" applyFont="1" applyFill="1"/>
    <xf numFmtId="0" fontId="129" fillId="4" borderId="9" xfId="17" applyFont="1" applyFill="1" applyBorder="1"/>
    <xf numFmtId="170" fontId="126" fillId="4" borderId="0" xfId="17" applyNumberFormat="1" applyFont="1" applyFill="1"/>
    <xf numFmtId="0" fontId="126" fillId="4" borderId="9" xfId="17" applyFont="1" applyFill="1" applyBorder="1"/>
    <xf numFmtId="0" fontId="129" fillId="4" borderId="11" xfId="17" applyFont="1" applyFill="1" applyBorder="1" applyAlignment="1">
      <alignment vertical="center" wrapText="1"/>
    </xf>
    <xf numFmtId="166" fontId="132" fillId="4" borderId="0" xfId="57" applyNumberFormat="1" applyFont="1" applyFill="1" applyBorder="1"/>
    <xf numFmtId="3" fontId="133" fillId="4" borderId="0" xfId="17" applyNumberFormat="1" applyFont="1" applyFill="1"/>
    <xf numFmtId="1" fontId="126" fillId="4" borderId="0" xfId="17" applyNumberFormat="1" applyFont="1" applyFill="1"/>
    <xf numFmtId="2" fontId="126" fillId="4" borderId="0" xfId="17" applyNumberFormat="1" applyFont="1" applyFill="1"/>
    <xf numFmtId="10" fontId="10" fillId="73" borderId="1" xfId="1" applyNumberFormat="1" applyFont="1" applyFill="1" applyBorder="1" applyAlignment="1">
      <alignment horizontal="right"/>
    </xf>
    <xf numFmtId="3" fontId="10" fillId="8" borderId="1" xfId="1" applyNumberFormat="1" applyFont="1" applyFill="1" applyBorder="1" applyAlignment="1">
      <alignment horizontal="right"/>
    </xf>
    <xf numFmtId="171" fontId="10" fillId="78" borderId="1" xfId="1" applyNumberFormat="1" applyFont="1" applyFill="1" applyBorder="1" applyAlignment="1">
      <alignment horizontal="right"/>
    </xf>
    <xf numFmtId="0" fontId="0" fillId="4" borderId="7" xfId="0" applyFill="1" applyBorder="1" applyAlignment="1">
      <alignment horizontal="right"/>
    </xf>
    <xf numFmtId="0" fontId="0" fillId="4" borderId="8" xfId="0" applyFill="1" applyBorder="1" applyAlignment="1">
      <alignment horizontal="right"/>
    </xf>
    <xf numFmtId="3" fontId="0" fillId="4" borderId="2" xfId="0" applyNumberFormat="1" applyFill="1" applyBorder="1"/>
    <xf numFmtId="240" fontId="0" fillId="4" borderId="0" xfId="0" applyNumberFormat="1" applyFill="1"/>
    <xf numFmtId="44" fontId="0" fillId="79" borderId="0" xfId="0" applyNumberFormat="1" applyFill="1"/>
    <xf numFmtId="3" fontId="8" fillId="79" borderId="1" xfId="1" applyNumberFormat="1" applyFont="1" applyFill="1" applyBorder="1" applyAlignment="1">
      <alignment horizontal="right"/>
    </xf>
    <xf numFmtId="3" fontId="10" fillId="79" borderId="1" xfId="1" applyNumberFormat="1" applyFont="1" applyFill="1" applyBorder="1" applyAlignment="1">
      <alignment horizontal="right"/>
    </xf>
    <xf numFmtId="9" fontId="10" fillId="79" borderId="1" xfId="1" applyFont="1" applyFill="1" applyBorder="1" applyAlignment="1">
      <alignment horizontal="right"/>
    </xf>
    <xf numFmtId="3" fontId="12" fillId="4" borderId="0" xfId="0" applyNumberFormat="1" applyFont="1" applyFill="1"/>
    <xf numFmtId="3" fontId="143" fillId="4" borderId="0" xfId="0" applyNumberFormat="1" applyFont="1" applyFill="1"/>
    <xf numFmtId="0" fontId="11" fillId="79" borderId="0" xfId="0" applyFont="1" applyFill="1" applyAlignment="1">
      <alignment horizontal="center" wrapText="1"/>
    </xf>
    <xf numFmtId="10" fontId="10" fillId="2" borderId="0" xfId="1" applyNumberFormat="1" applyFont="1" applyFill="1" applyBorder="1" applyAlignment="1">
      <alignment horizontal="right"/>
    </xf>
    <xf numFmtId="4" fontId="0" fillId="80" borderId="0" xfId="0" applyNumberFormat="1" applyFill="1"/>
    <xf numFmtId="3" fontId="10" fillId="80" borderId="1" xfId="1" applyNumberFormat="1" applyFont="1" applyFill="1" applyBorder="1" applyAlignment="1">
      <alignment horizontal="right"/>
    </xf>
    <xf numFmtId="0" fontId="0" fillId="80" borderId="0" xfId="0" applyFill="1"/>
    <xf numFmtId="171" fontId="10" fillId="80" borderId="1" xfId="1" applyNumberFormat="1" applyFont="1" applyFill="1" applyBorder="1" applyAlignment="1">
      <alignment horizontal="right"/>
    </xf>
    <xf numFmtId="4" fontId="10" fillId="80" borderId="1" xfId="1" applyNumberFormat="1" applyFont="1" applyFill="1" applyBorder="1" applyAlignment="1">
      <alignment horizontal="right"/>
    </xf>
    <xf numFmtId="0" fontId="0" fillId="4" borderId="16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3" fillId="79" borderId="0" xfId="0" applyFont="1" applyFill="1" applyAlignment="1">
      <alignment horizontal="center"/>
    </xf>
    <xf numFmtId="0" fontId="15" fillId="4" borderId="0" xfId="0" applyFont="1" applyFill="1" applyBorder="1" applyAlignment="1">
      <alignment horizontal="center" vertical="center"/>
    </xf>
  </cellXfs>
  <cellStyles count="58852">
    <cellStyle name=" 1" xfId="67"/>
    <cellStyle name=" 1 2" xfId="68"/>
    <cellStyle name="_Capex" xfId="69"/>
    <cellStyle name="_Capex 2" xfId="70"/>
    <cellStyle name="_Connection volumes and load report_Master data" xfId="58815"/>
    <cellStyle name="_UED AMP 2009-14 Final 250309 Less PU" xfId="71"/>
    <cellStyle name="_UED AMP 2009-14 Final 250309 Less PU 2" xfId="72"/>
    <cellStyle name="_UED AMP 2009-14 Final 250309 Less PU_1011 monthly" xfId="73"/>
    <cellStyle name="_UED AMP 2009-14 Final 250309 Less PU_1011 monthly 2" xfId="74"/>
    <cellStyle name="20% - Accent1 2" xfId="75"/>
    <cellStyle name="20% - Accent1 3" xfId="76"/>
    <cellStyle name="20% - Accent1 4" xfId="77"/>
    <cellStyle name="20% - Accent1 5" xfId="66"/>
    <cellStyle name="20% - Accent1 6" xfId="78"/>
    <cellStyle name="20% - Accent2 2" xfId="79"/>
    <cellStyle name="20% - Accent2 3" xfId="80"/>
    <cellStyle name="20% - Accent2 4" xfId="81"/>
    <cellStyle name="20% - Accent2 5" xfId="82"/>
    <cellStyle name="20% - Accent2 6" xfId="83"/>
    <cellStyle name="20% - Accent3 2" xfId="84"/>
    <cellStyle name="20% - Accent3 3" xfId="85"/>
    <cellStyle name="20% - Accent3 4" xfId="86"/>
    <cellStyle name="20% - Accent3 5" xfId="87"/>
    <cellStyle name="20% - Accent3 6" xfId="88"/>
    <cellStyle name="20% - Accent4 2" xfId="89"/>
    <cellStyle name="20% - Accent4 3" xfId="90"/>
    <cellStyle name="20% - Accent4 4" xfId="91"/>
    <cellStyle name="20% - Accent4 5" xfId="92"/>
    <cellStyle name="20% - Accent4 6" xfId="93"/>
    <cellStyle name="20% - Accent5 2" xfId="94"/>
    <cellStyle name="20% - Accent5 3" xfId="95"/>
    <cellStyle name="20% - Accent5 4" xfId="96"/>
    <cellStyle name="20% - Accent5 5" xfId="97"/>
    <cellStyle name="20% - Accent5 6" xfId="98"/>
    <cellStyle name="20% - Accent6 2" xfId="99"/>
    <cellStyle name="20% - Accent6 3" xfId="100"/>
    <cellStyle name="20% - Accent6 4" xfId="101"/>
    <cellStyle name="20% - Accent6 5" xfId="102"/>
    <cellStyle name="40% - Accent1 2" xfId="103"/>
    <cellStyle name="40% - Accent1 3" xfId="104"/>
    <cellStyle name="40% - Accent1 4" xfId="105"/>
    <cellStyle name="40% - Accent1 5" xfId="106"/>
    <cellStyle name="40% - Accent1 6" xfId="107"/>
    <cellStyle name="40% - Accent2 2" xfId="108"/>
    <cellStyle name="40% - Accent2 3" xfId="109"/>
    <cellStyle name="40% - Accent2 4" xfId="110"/>
    <cellStyle name="40% - Accent2 5" xfId="111"/>
    <cellStyle name="40% - Accent2 6" xfId="112"/>
    <cellStyle name="40% - Accent3 2" xfId="113"/>
    <cellStyle name="40% - Accent3 3" xfId="114"/>
    <cellStyle name="40% - Accent3 4" xfId="115"/>
    <cellStyle name="40% - Accent3 5" xfId="116"/>
    <cellStyle name="40% - Accent3 6" xfId="117"/>
    <cellStyle name="40% - Accent4 2" xfId="118"/>
    <cellStyle name="40% - Accent4 3" xfId="119"/>
    <cellStyle name="40% - Accent4 4" xfId="120"/>
    <cellStyle name="40% - Accent4 5" xfId="121"/>
    <cellStyle name="40% - Accent4 6" xfId="122"/>
    <cellStyle name="40% - Accent5 2" xfId="123"/>
    <cellStyle name="40% - Accent5 3" xfId="124"/>
    <cellStyle name="40% - Accent5 4" xfId="125"/>
    <cellStyle name="40% - Accent5 5" xfId="126"/>
    <cellStyle name="40% - Accent5 6" xfId="127"/>
    <cellStyle name="40% - Accent6 2" xfId="128"/>
    <cellStyle name="40% - Accent6 3" xfId="129"/>
    <cellStyle name="40% - Accent6 4" xfId="130"/>
    <cellStyle name="40% - Accent6 5" xfId="131"/>
    <cellStyle name="40% - Accent6 6" xfId="132"/>
    <cellStyle name="60% - Accent1 2" xfId="133"/>
    <cellStyle name="60% - Accent1 3" xfId="134"/>
    <cellStyle name="60% - Accent1 4" xfId="135"/>
    <cellStyle name="60% - Accent1 5" xfId="136"/>
    <cellStyle name="60% - Accent1 6" xfId="137"/>
    <cellStyle name="60% - Accent2 2" xfId="138"/>
    <cellStyle name="60% - Accent2 3" xfId="139"/>
    <cellStyle name="60% - Accent2 4" xfId="140"/>
    <cellStyle name="60% - Accent2 5" xfId="141"/>
    <cellStyle name="60% - Accent2 6" xfId="142"/>
    <cellStyle name="60% - Accent3 2" xfId="143"/>
    <cellStyle name="60% - Accent3 3" xfId="144"/>
    <cellStyle name="60% - Accent3 4" xfId="145"/>
    <cellStyle name="60% - Accent3 5" xfId="146"/>
    <cellStyle name="60% - Accent3 6" xfId="147"/>
    <cellStyle name="60% - Accent4 2" xfId="148"/>
    <cellStyle name="60% - Accent4 3" xfId="149"/>
    <cellStyle name="60% - Accent4 4" xfId="150"/>
    <cellStyle name="60% - Accent4 5" xfId="151"/>
    <cellStyle name="60% - Accent4 6" xfId="152"/>
    <cellStyle name="60% - Accent5 2" xfId="153"/>
    <cellStyle name="60% - Accent5 3" xfId="154"/>
    <cellStyle name="60% - Accent5 4" xfId="155"/>
    <cellStyle name="60% - Accent5 5" xfId="156"/>
    <cellStyle name="60% - Accent5 6" xfId="157"/>
    <cellStyle name="60% - Accent6 2" xfId="158"/>
    <cellStyle name="60% - Accent6 3" xfId="159"/>
    <cellStyle name="60% - Accent6 4" xfId="160"/>
    <cellStyle name="60% - Accent6 5" xfId="161"/>
    <cellStyle name="60% - Accent6 6" xfId="162"/>
    <cellStyle name="Accent1 - 20%" xfId="163"/>
    <cellStyle name="Accent1 - 40%" xfId="164"/>
    <cellStyle name="Accent1 - 60%" xfId="165"/>
    <cellStyle name="Accent1 10" xfId="166"/>
    <cellStyle name="Accent1 11" xfId="167"/>
    <cellStyle name="Accent1 12" xfId="168"/>
    <cellStyle name="Accent1 13" xfId="169"/>
    <cellStyle name="Accent1 14" xfId="170"/>
    <cellStyle name="Accent1 15" xfId="171"/>
    <cellStyle name="Accent1 16" xfId="172"/>
    <cellStyle name="Accent1 17" xfId="173"/>
    <cellStyle name="Accent1 18" xfId="174"/>
    <cellStyle name="Accent1 19" xfId="175"/>
    <cellStyle name="Accent1 2" xfId="176"/>
    <cellStyle name="Accent1 3" xfId="177"/>
    <cellStyle name="Accent1 4" xfId="178"/>
    <cellStyle name="Accent1 5" xfId="179"/>
    <cellStyle name="Accent1 6" xfId="180"/>
    <cellStyle name="Accent1 7" xfId="181"/>
    <cellStyle name="Accent1 8" xfId="182"/>
    <cellStyle name="Accent1 9" xfId="183"/>
    <cellStyle name="Accent2 - 20%" xfId="184"/>
    <cellStyle name="Accent2 - 40%" xfId="185"/>
    <cellStyle name="Accent2 - 60%" xfId="186"/>
    <cellStyle name="Accent2 10" xfId="187"/>
    <cellStyle name="Accent2 11" xfId="188"/>
    <cellStyle name="Accent2 12" xfId="189"/>
    <cellStyle name="Accent2 13" xfId="190"/>
    <cellStyle name="Accent2 14" xfId="191"/>
    <cellStyle name="Accent2 15" xfId="192"/>
    <cellStyle name="Accent2 16" xfId="193"/>
    <cellStyle name="Accent2 17" xfId="194"/>
    <cellStyle name="Accent2 2" xfId="195"/>
    <cellStyle name="Accent2 3" xfId="196"/>
    <cellStyle name="Accent2 4" xfId="197"/>
    <cellStyle name="Accent2 5" xfId="198"/>
    <cellStyle name="Accent2 6" xfId="199"/>
    <cellStyle name="Accent2 7" xfId="200"/>
    <cellStyle name="Accent2 8" xfId="201"/>
    <cellStyle name="Accent2 9" xfId="202"/>
    <cellStyle name="Accent3 - 20%" xfId="203"/>
    <cellStyle name="Accent3 - 40%" xfId="204"/>
    <cellStyle name="Accent3 - 60%" xfId="205"/>
    <cellStyle name="Accent3 10" xfId="206"/>
    <cellStyle name="Accent3 11" xfId="207"/>
    <cellStyle name="Accent3 12" xfId="208"/>
    <cellStyle name="Accent3 13" xfId="209"/>
    <cellStyle name="Accent3 14" xfId="210"/>
    <cellStyle name="Accent3 15" xfId="211"/>
    <cellStyle name="Accent3 16" xfId="212"/>
    <cellStyle name="Accent3 17" xfId="213"/>
    <cellStyle name="Accent3 2" xfId="214"/>
    <cellStyle name="Accent3 3" xfId="215"/>
    <cellStyle name="Accent3 4" xfId="216"/>
    <cellStyle name="Accent3 5" xfId="217"/>
    <cellStyle name="Accent3 6" xfId="218"/>
    <cellStyle name="Accent3 7" xfId="219"/>
    <cellStyle name="Accent3 8" xfId="220"/>
    <cellStyle name="Accent3 9" xfId="221"/>
    <cellStyle name="Accent4 - 20%" xfId="222"/>
    <cellStyle name="Accent4 - 40%" xfId="223"/>
    <cellStyle name="Accent4 - 60%" xfId="224"/>
    <cellStyle name="Accent4 10" xfId="225"/>
    <cellStyle name="Accent4 11" xfId="226"/>
    <cellStyle name="Accent4 12" xfId="227"/>
    <cellStyle name="Accent4 13" xfId="228"/>
    <cellStyle name="Accent4 14" xfId="229"/>
    <cellStyle name="Accent4 15" xfId="230"/>
    <cellStyle name="Accent4 16" xfId="231"/>
    <cellStyle name="Accent4 17" xfId="232"/>
    <cellStyle name="Accent4 18" xfId="233"/>
    <cellStyle name="Accent4 19" xfId="234"/>
    <cellStyle name="Accent4 2" xfId="235"/>
    <cellStyle name="Accent4 3" xfId="236"/>
    <cellStyle name="Accent4 4" xfId="237"/>
    <cellStyle name="Accent4 5" xfId="238"/>
    <cellStyle name="Accent4 6" xfId="239"/>
    <cellStyle name="Accent4 7" xfId="240"/>
    <cellStyle name="Accent4 8" xfId="241"/>
    <cellStyle name="Accent4 9" xfId="242"/>
    <cellStyle name="Accent5 - 20%" xfId="243"/>
    <cellStyle name="Accent5 - 40%" xfId="244"/>
    <cellStyle name="Accent5 - 60%" xfId="245"/>
    <cellStyle name="Accent5 10" xfId="246"/>
    <cellStyle name="Accent5 11" xfId="247"/>
    <cellStyle name="Accent5 12" xfId="248"/>
    <cellStyle name="Accent5 13" xfId="249"/>
    <cellStyle name="Accent5 14" xfId="250"/>
    <cellStyle name="Accent5 15" xfId="251"/>
    <cellStyle name="Accent5 16" xfId="252"/>
    <cellStyle name="Accent5 17" xfId="253"/>
    <cellStyle name="Accent5 2" xfId="254"/>
    <cellStyle name="Accent5 3" xfId="255"/>
    <cellStyle name="Accent5 4" xfId="256"/>
    <cellStyle name="Accent5 5" xfId="257"/>
    <cellStyle name="Accent5 6" xfId="258"/>
    <cellStyle name="Accent5 7" xfId="259"/>
    <cellStyle name="Accent5 8" xfId="260"/>
    <cellStyle name="Accent5 9" xfId="261"/>
    <cellStyle name="Accent6 - 20%" xfId="262"/>
    <cellStyle name="Accent6 - 40%" xfId="263"/>
    <cellStyle name="Accent6 - 60%" xfId="264"/>
    <cellStyle name="Accent6 10" xfId="265"/>
    <cellStyle name="Accent6 11" xfId="266"/>
    <cellStyle name="Accent6 12" xfId="267"/>
    <cellStyle name="Accent6 13" xfId="268"/>
    <cellStyle name="Accent6 14" xfId="269"/>
    <cellStyle name="Accent6 15" xfId="270"/>
    <cellStyle name="Accent6 16" xfId="271"/>
    <cellStyle name="Accent6 17" xfId="272"/>
    <cellStyle name="Accent6 2" xfId="273"/>
    <cellStyle name="Accent6 3" xfId="274"/>
    <cellStyle name="Accent6 4" xfId="275"/>
    <cellStyle name="Accent6 5" xfId="276"/>
    <cellStyle name="Accent6 6" xfId="277"/>
    <cellStyle name="Accent6 7" xfId="278"/>
    <cellStyle name="Accent6 8" xfId="279"/>
    <cellStyle name="Accent6 9" xfId="280"/>
    <cellStyle name="Agara" xfId="281"/>
    <cellStyle name="AS Input Middle Currency" xfId="282"/>
    <cellStyle name="AS Input Middle Currency 2" xfId="283"/>
    <cellStyle name="AS Input Middle Date" xfId="284"/>
    <cellStyle name="AS Input Middle Date 2" xfId="285"/>
    <cellStyle name="AS Input Middle Multiple" xfId="286"/>
    <cellStyle name="AS Input Middle Multiple 2" xfId="287"/>
    <cellStyle name="AS Input Middle Number" xfId="288"/>
    <cellStyle name="AS Input Middle Number 2" xfId="289"/>
    <cellStyle name="AS Input Middle Percentage" xfId="290"/>
    <cellStyle name="AS Input Middle Percentage 2" xfId="291"/>
    <cellStyle name="AS Input Middle Title / Name" xfId="292"/>
    <cellStyle name="AS Input Middle Title / Name 2" xfId="293"/>
    <cellStyle name="AS Input Middle Year" xfId="294"/>
    <cellStyle name="AS Input Middle Year 2" xfId="295"/>
    <cellStyle name="Assumption [# - 00]" xfId="58816"/>
    <cellStyle name="Assumption [#]" xfId="58817"/>
    <cellStyle name="Assumption [% - 00]" xfId="58818"/>
    <cellStyle name="Assumption [%]" xfId="58819"/>
    <cellStyle name="Assumption [x]" xfId="58820"/>
    <cellStyle name="Assumption Currency." xfId="296"/>
    <cellStyle name="Assumption Currency. 10" xfId="297"/>
    <cellStyle name="Assumption Currency. 10 10" xfId="298"/>
    <cellStyle name="Assumption Currency. 10 11" xfId="299"/>
    <cellStyle name="Assumption Currency. 10 12" xfId="300"/>
    <cellStyle name="Assumption Currency. 10 13" xfId="301"/>
    <cellStyle name="Assumption Currency. 10 2" xfId="302"/>
    <cellStyle name="Assumption Currency. 10 2 10" xfId="303"/>
    <cellStyle name="Assumption Currency. 10 2 11" xfId="304"/>
    <cellStyle name="Assumption Currency. 10 2 12" xfId="305"/>
    <cellStyle name="Assumption Currency. 10 2 2" xfId="306"/>
    <cellStyle name="Assumption Currency. 10 2 2 10" xfId="307"/>
    <cellStyle name="Assumption Currency. 10 2 2 2" xfId="308"/>
    <cellStyle name="Assumption Currency. 10 2 2 2 10" xfId="309"/>
    <cellStyle name="Assumption Currency. 10 2 2 2 2" xfId="310"/>
    <cellStyle name="Assumption Currency. 10 2 2 2 3" xfId="311"/>
    <cellStyle name="Assumption Currency. 10 2 2 2 4" xfId="312"/>
    <cellStyle name="Assumption Currency. 10 2 2 2 5" xfId="313"/>
    <cellStyle name="Assumption Currency. 10 2 2 2 6" xfId="314"/>
    <cellStyle name="Assumption Currency. 10 2 2 2 7" xfId="315"/>
    <cellStyle name="Assumption Currency. 10 2 2 2 8" xfId="316"/>
    <cellStyle name="Assumption Currency. 10 2 2 2 9" xfId="317"/>
    <cellStyle name="Assumption Currency. 10 2 2 3" xfId="318"/>
    <cellStyle name="Assumption Currency. 10 2 2 4" xfId="319"/>
    <cellStyle name="Assumption Currency. 10 2 2 5" xfId="320"/>
    <cellStyle name="Assumption Currency. 10 2 2 6" xfId="321"/>
    <cellStyle name="Assumption Currency. 10 2 2 7" xfId="322"/>
    <cellStyle name="Assumption Currency. 10 2 2 8" xfId="323"/>
    <cellStyle name="Assumption Currency. 10 2 2 9" xfId="324"/>
    <cellStyle name="Assumption Currency. 10 2 3" xfId="325"/>
    <cellStyle name="Assumption Currency. 10 2 3 10" xfId="326"/>
    <cellStyle name="Assumption Currency. 10 2 3 2" xfId="327"/>
    <cellStyle name="Assumption Currency. 10 2 3 3" xfId="328"/>
    <cellStyle name="Assumption Currency. 10 2 3 4" xfId="329"/>
    <cellStyle name="Assumption Currency. 10 2 3 5" xfId="330"/>
    <cellStyle name="Assumption Currency. 10 2 3 6" xfId="331"/>
    <cellStyle name="Assumption Currency. 10 2 3 7" xfId="332"/>
    <cellStyle name="Assumption Currency. 10 2 3 8" xfId="333"/>
    <cellStyle name="Assumption Currency. 10 2 3 9" xfId="334"/>
    <cellStyle name="Assumption Currency. 10 2 4" xfId="335"/>
    <cellStyle name="Assumption Currency. 10 2 5" xfId="336"/>
    <cellStyle name="Assumption Currency. 10 2 6" xfId="337"/>
    <cellStyle name="Assumption Currency. 10 2 7" xfId="338"/>
    <cellStyle name="Assumption Currency. 10 2 8" xfId="339"/>
    <cellStyle name="Assumption Currency. 10 2 9" xfId="340"/>
    <cellStyle name="Assumption Currency. 10 3" xfId="341"/>
    <cellStyle name="Assumption Currency. 10 3 10" xfId="342"/>
    <cellStyle name="Assumption Currency. 10 3 2" xfId="343"/>
    <cellStyle name="Assumption Currency. 10 3 2 10" xfId="344"/>
    <cellStyle name="Assumption Currency. 10 3 2 2" xfId="345"/>
    <cellStyle name="Assumption Currency. 10 3 2 3" xfId="346"/>
    <cellStyle name="Assumption Currency. 10 3 2 4" xfId="347"/>
    <cellStyle name="Assumption Currency. 10 3 2 5" xfId="348"/>
    <cellStyle name="Assumption Currency. 10 3 2 6" xfId="349"/>
    <cellStyle name="Assumption Currency. 10 3 2 7" xfId="350"/>
    <cellStyle name="Assumption Currency. 10 3 2 8" xfId="351"/>
    <cellStyle name="Assumption Currency. 10 3 2 9" xfId="352"/>
    <cellStyle name="Assumption Currency. 10 3 3" xfId="353"/>
    <cellStyle name="Assumption Currency. 10 3 4" xfId="354"/>
    <cellStyle name="Assumption Currency. 10 3 5" xfId="355"/>
    <cellStyle name="Assumption Currency. 10 3 6" xfId="356"/>
    <cellStyle name="Assumption Currency. 10 3 7" xfId="357"/>
    <cellStyle name="Assumption Currency. 10 3 8" xfId="358"/>
    <cellStyle name="Assumption Currency. 10 3 9" xfId="359"/>
    <cellStyle name="Assumption Currency. 10 4" xfId="360"/>
    <cellStyle name="Assumption Currency. 10 4 10" xfId="361"/>
    <cellStyle name="Assumption Currency. 10 4 2" xfId="362"/>
    <cellStyle name="Assumption Currency. 10 4 3" xfId="363"/>
    <cellStyle name="Assumption Currency. 10 4 4" xfId="364"/>
    <cellStyle name="Assumption Currency. 10 4 5" xfId="365"/>
    <cellStyle name="Assumption Currency. 10 4 6" xfId="366"/>
    <cellStyle name="Assumption Currency. 10 4 7" xfId="367"/>
    <cellStyle name="Assumption Currency. 10 4 8" xfId="368"/>
    <cellStyle name="Assumption Currency. 10 4 9" xfId="369"/>
    <cellStyle name="Assumption Currency. 10 5" xfId="370"/>
    <cellStyle name="Assumption Currency. 10 6" xfId="371"/>
    <cellStyle name="Assumption Currency. 10 7" xfId="372"/>
    <cellStyle name="Assumption Currency. 10 8" xfId="373"/>
    <cellStyle name="Assumption Currency. 10 9" xfId="374"/>
    <cellStyle name="Assumption Currency. 11" xfId="375"/>
    <cellStyle name="Assumption Currency. 11 10" xfId="376"/>
    <cellStyle name="Assumption Currency. 11 11" xfId="377"/>
    <cellStyle name="Assumption Currency. 11 12" xfId="378"/>
    <cellStyle name="Assumption Currency. 11 2" xfId="379"/>
    <cellStyle name="Assumption Currency. 11 2 10" xfId="380"/>
    <cellStyle name="Assumption Currency. 11 2 2" xfId="381"/>
    <cellStyle name="Assumption Currency. 11 2 2 10" xfId="382"/>
    <cellStyle name="Assumption Currency. 11 2 2 2" xfId="383"/>
    <cellStyle name="Assumption Currency. 11 2 2 3" xfId="384"/>
    <cellStyle name="Assumption Currency. 11 2 2 4" xfId="385"/>
    <cellStyle name="Assumption Currency. 11 2 2 5" xfId="386"/>
    <cellStyle name="Assumption Currency. 11 2 2 6" xfId="387"/>
    <cellStyle name="Assumption Currency. 11 2 2 7" xfId="388"/>
    <cellStyle name="Assumption Currency. 11 2 2 8" xfId="389"/>
    <cellStyle name="Assumption Currency. 11 2 2 9" xfId="390"/>
    <cellStyle name="Assumption Currency. 11 2 3" xfId="391"/>
    <cellStyle name="Assumption Currency. 11 2 4" xfId="392"/>
    <cellStyle name="Assumption Currency. 11 2 5" xfId="393"/>
    <cellStyle name="Assumption Currency. 11 2 6" xfId="394"/>
    <cellStyle name="Assumption Currency. 11 2 7" xfId="395"/>
    <cellStyle name="Assumption Currency. 11 2 8" xfId="396"/>
    <cellStyle name="Assumption Currency. 11 2 9" xfId="397"/>
    <cellStyle name="Assumption Currency. 11 3" xfId="398"/>
    <cellStyle name="Assumption Currency. 11 3 10" xfId="399"/>
    <cellStyle name="Assumption Currency. 11 3 2" xfId="400"/>
    <cellStyle name="Assumption Currency. 11 3 3" xfId="401"/>
    <cellStyle name="Assumption Currency. 11 3 4" xfId="402"/>
    <cellStyle name="Assumption Currency. 11 3 5" xfId="403"/>
    <cellStyle name="Assumption Currency. 11 3 6" xfId="404"/>
    <cellStyle name="Assumption Currency. 11 3 7" xfId="405"/>
    <cellStyle name="Assumption Currency. 11 3 8" xfId="406"/>
    <cellStyle name="Assumption Currency. 11 3 9" xfId="407"/>
    <cellStyle name="Assumption Currency. 11 4" xfId="408"/>
    <cellStyle name="Assumption Currency. 11 5" xfId="409"/>
    <cellStyle name="Assumption Currency. 11 6" xfId="410"/>
    <cellStyle name="Assumption Currency. 11 7" xfId="411"/>
    <cellStyle name="Assumption Currency. 11 8" xfId="412"/>
    <cellStyle name="Assumption Currency. 11 9" xfId="413"/>
    <cellStyle name="Assumption Currency. 12" xfId="414"/>
    <cellStyle name="Assumption Currency. 12 10" xfId="415"/>
    <cellStyle name="Assumption Currency. 12 11" xfId="416"/>
    <cellStyle name="Assumption Currency. 12 12" xfId="417"/>
    <cellStyle name="Assumption Currency. 12 2" xfId="418"/>
    <cellStyle name="Assumption Currency. 12 2 10" xfId="419"/>
    <cellStyle name="Assumption Currency. 12 2 2" xfId="420"/>
    <cellStyle name="Assumption Currency. 12 2 2 10" xfId="421"/>
    <cellStyle name="Assumption Currency. 12 2 2 2" xfId="422"/>
    <cellStyle name="Assumption Currency. 12 2 2 3" xfId="423"/>
    <cellStyle name="Assumption Currency. 12 2 2 4" xfId="424"/>
    <cellStyle name="Assumption Currency. 12 2 2 5" xfId="425"/>
    <cellStyle name="Assumption Currency. 12 2 2 6" xfId="426"/>
    <cellStyle name="Assumption Currency. 12 2 2 7" xfId="427"/>
    <cellStyle name="Assumption Currency. 12 2 2 8" xfId="428"/>
    <cellStyle name="Assumption Currency. 12 2 2 9" xfId="429"/>
    <cellStyle name="Assumption Currency. 12 2 3" xfId="430"/>
    <cellStyle name="Assumption Currency. 12 2 4" xfId="431"/>
    <cellStyle name="Assumption Currency. 12 2 5" xfId="432"/>
    <cellStyle name="Assumption Currency. 12 2 6" xfId="433"/>
    <cellStyle name="Assumption Currency. 12 2 7" xfId="434"/>
    <cellStyle name="Assumption Currency. 12 2 8" xfId="435"/>
    <cellStyle name="Assumption Currency. 12 2 9" xfId="436"/>
    <cellStyle name="Assumption Currency. 12 3" xfId="437"/>
    <cellStyle name="Assumption Currency. 12 3 10" xfId="438"/>
    <cellStyle name="Assumption Currency. 12 3 2" xfId="439"/>
    <cellStyle name="Assumption Currency. 12 3 3" xfId="440"/>
    <cellStyle name="Assumption Currency. 12 3 4" xfId="441"/>
    <cellStyle name="Assumption Currency. 12 3 5" xfId="442"/>
    <cellStyle name="Assumption Currency. 12 3 6" xfId="443"/>
    <cellStyle name="Assumption Currency. 12 3 7" xfId="444"/>
    <cellStyle name="Assumption Currency. 12 3 8" xfId="445"/>
    <cellStyle name="Assumption Currency. 12 3 9" xfId="446"/>
    <cellStyle name="Assumption Currency. 12 4" xfId="447"/>
    <cellStyle name="Assumption Currency. 12 5" xfId="448"/>
    <cellStyle name="Assumption Currency. 12 6" xfId="449"/>
    <cellStyle name="Assumption Currency. 12 7" xfId="450"/>
    <cellStyle name="Assumption Currency. 12 8" xfId="451"/>
    <cellStyle name="Assumption Currency. 12 9" xfId="452"/>
    <cellStyle name="Assumption Currency. 13" xfId="453"/>
    <cellStyle name="Assumption Currency. 13 10" xfId="454"/>
    <cellStyle name="Assumption Currency. 13 2" xfId="455"/>
    <cellStyle name="Assumption Currency. 13 2 10" xfId="456"/>
    <cellStyle name="Assumption Currency. 13 2 2" xfId="457"/>
    <cellStyle name="Assumption Currency. 13 2 3" xfId="458"/>
    <cellStyle name="Assumption Currency. 13 2 4" xfId="459"/>
    <cellStyle name="Assumption Currency. 13 2 5" xfId="460"/>
    <cellStyle name="Assumption Currency. 13 2 6" xfId="461"/>
    <cellStyle name="Assumption Currency. 13 2 7" xfId="462"/>
    <cellStyle name="Assumption Currency. 13 2 8" xfId="463"/>
    <cellStyle name="Assumption Currency. 13 2 9" xfId="464"/>
    <cellStyle name="Assumption Currency. 13 3" xfId="465"/>
    <cellStyle name="Assumption Currency. 13 4" xfId="466"/>
    <cellStyle name="Assumption Currency. 13 5" xfId="467"/>
    <cellStyle name="Assumption Currency. 13 6" xfId="468"/>
    <cellStyle name="Assumption Currency. 13 7" xfId="469"/>
    <cellStyle name="Assumption Currency. 13 8" xfId="470"/>
    <cellStyle name="Assumption Currency. 13 9" xfId="471"/>
    <cellStyle name="Assumption Currency. 14" xfId="472"/>
    <cellStyle name="Assumption Currency. 14 10" xfId="473"/>
    <cellStyle name="Assumption Currency. 14 2" xfId="474"/>
    <cellStyle name="Assumption Currency. 14 3" xfId="475"/>
    <cellStyle name="Assumption Currency. 14 4" xfId="476"/>
    <cellStyle name="Assumption Currency. 14 5" xfId="477"/>
    <cellStyle name="Assumption Currency. 14 6" xfId="478"/>
    <cellStyle name="Assumption Currency. 14 7" xfId="479"/>
    <cellStyle name="Assumption Currency. 14 8" xfId="480"/>
    <cellStyle name="Assumption Currency. 14 9" xfId="481"/>
    <cellStyle name="Assumption Currency. 15" xfId="482"/>
    <cellStyle name="Assumption Currency. 16" xfId="483"/>
    <cellStyle name="Assumption Currency. 17" xfId="484"/>
    <cellStyle name="Assumption Currency. 18" xfId="485"/>
    <cellStyle name="Assumption Currency. 2" xfId="486"/>
    <cellStyle name="Assumption Currency. 2 10" xfId="487"/>
    <cellStyle name="Assumption Currency. 2 10 10" xfId="488"/>
    <cellStyle name="Assumption Currency. 2 10 2" xfId="489"/>
    <cellStyle name="Assumption Currency. 2 10 3" xfId="490"/>
    <cellStyle name="Assumption Currency. 2 10 4" xfId="491"/>
    <cellStyle name="Assumption Currency. 2 10 5" xfId="492"/>
    <cellStyle name="Assumption Currency. 2 10 6" xfId="493"/>
    <cellStyle name="Assumption Currency. 2 10 7" xfId="494"/>
    <cellStyle name="Assumption Currency. 2 10 8" xfId="495"/>
    <cellStyle name="Assumption Currency. 2 10 9" xfId="496"/>
    <cellStyle name="Assumption Currency. 2 11" xfId="497"/>
    <cellStyle name="Assumption Currency. 2 12" xfId="498"/>
    <cellStyle name="Assumption Currency. 2 13" xfId="499"/>
    <cellStyle name="Assumption Currency. 2 14" xfId="500"/>
    <cellStyle name="Assumption Currency. 2 15" xfId="501"/>
    <cellStyle name="Assumption Currency. 2 16" xfId="502"/>
    <cellStyle name="Assumption Currency. 2 17" xfId="503"/>
    <cellStyle name="Assumption Currency. 2 18" xfId="504"/>
    <cellStyle name="Assumption Currency. 2 19" xfId="505"/>
    <cellStyle name="Assumption Currency. 2 2" xfId="506"/>
    <cellStyle name="Assumption Currency. 2 2 10" xfId="507"/>
    <cellStyle name="Assumption Currency. 2 2 11" xfId="508"/>
    <cellStyle name="Assumption Currency. 2 2 12" xfId="509"/>
    <cellStyle name="Assumption Currency. 2 2 13" xfId="510"/>
    <cellStyle name="Assumption Currency. 2 2 14" xfId="511"/>
    <cellStyle name="Assumption Currency. 2 2 15" xfId="512"/>
    <cellStyle name="Assumption Currency. 2 2 16" xfId="513"/>
    <cellStyle name="Assumption Currency. 2 2 17" xfId="514"/>
    <cellStyle name="Assumption Currency. 2 2 18" xfId="515"/>
    <cellStyle name="Assumption Currency. 2 2 2" xfId="516"/>
    <cellStyle name="Assumption Currency. 2 2 2 10" xfId="517"/>
    <cellStyle name="Assumption Currency. 2 2 2 11" xfId="518"/>
    <cellStyle name="Assumption Currency. 2 2 2 12" xfId="519"/>
    <cellStyle name="Assumption Currency. 2 2 2 13" xfId="520"/>
    <cellStyle name="Assumption Currency. 2 2 2 14" xfId="521"/>
    <cellStyle name="Assumption Currency. 2 2 2 2" xfId="522"/>
    <cellStyle name="Assumption Currency. 2 2 2 2 10" xfId="523"/>
    <cellStyle name="Assumption Currency. 2 2 2 2 11" xfId="524"/>
    <cellStyle name="Assumption Currency. 2 2 2 2 12" xfId="525"/>
    <cellStyle name="Assumption Currency. 2 2 2 2 13" xfId="526"/>
    <cellStyle name="Assumption Currency. 2 2 2 2 2" xfId="527"/>
    <cellStyle name="Assumption Currency. 2 2 2 2 2 10" xfId="528"/>
    <cellStyle name="Assumption Currency. 2 2 2 2 2 11" xfId="529"/>
    <cellStyle name="Assumption Currency. 2 2 2 2 2 12" xfId="530"/>
    <cellStyle name="Assumption Currency. 2 2 2 2 2 2" xfId="531"/>
    <cellStyle name="Assumption Currency. 2 2 2 2 2 2 10" xfId="532"/>
    <cellStyle name="Assumption Currency. 2 2 2 2 2 2 2" xfId="533"/>
    <cellStyle name="Assumption Currency. 2 2 2 2 2 2 2 10" xfId="534"/>
    <cellStyle name="Assumption Currency. 2 2 2 2 2 2 2 2" xfId="535"/>
    <cellStyle name="Assumption Currency. 2 2 2 2 2 2 2 3" xfId="536"/>
    <cellStyle name="Assumption Currency. 2 2 2 2 2 2 2 4" xfId="537"/>
    <cellStyle name="Assumption Currency. 2 2 2 2 2 2 2 5" xfId="538"/>
    <cellStyle name="Assumption Currency. 2 2 2 2 2 2 2 6" xfId="539"/>
    <cellStyle name="Assumption Currency. 2 2 2 2 2 2 2 7" xfId="540"/>
    <cellStyle name="Assumption Currency. 2 2 2 2 2 2 2 8" xfId="541"/>
    <cellStyle name="Assumption Currency. 2 2 2 2 2 2 2 9" xfId="542"/>
    <cellStyle name="Assumption Currency. 2 2 2 2 2 2 3" xfId="543"/>
    <cellStyle name="Assumption Currency. 2 2 2 2 2 2 4" xfId="544"/>
    <cellStyle name="Assumption Currency. 2 2 2 2 2 2 5" xfId="545"/>
    <cellStyle name="Assumption Currency. 2 2 2 2 2 2 6" xfId="546"/>
    <cellStyle name="Assumption Currency. 2 2 2 2 2 2 7" xfId="547"/>
    <cellStyle name="Assumption Currency. 2 2 2 2 2 2 8" xfId="548"/>
    <cellStyle name="Assumption Currency. 2 2 2 2 2 2 9" xfId="549"/>
    <cellStyle name="Assumption Currency. 2 2 2 2 2 3" xfId="550"/>
    <cellStyle name="Assumption Currency. 2 2 2 2 2 3 10" xfId="551"/>
    <cellStyle name="Assumption Currency. 2 2 2 2 2 3 2" xfId="552"/>
    <cellStyle name="Assumption Currency. 2 2 2 2 2 3 3" xfId="553"/>
    <cellStyle name="Assumption Currency. 2 2 2 2 2 3 4" xfId="554"/>
    <cellStyle name="Assumption Currency. 2 2 2 2 2 3 5" xfId="555"/>
    <cellStyle name="Assumption Currency. 2 2 2 2 2 3 6" xfId="556"/>
    <cellStyle name="Assumption Currency. 2 2 2 2 2 3 7" xfId="557"/>
    <cellStyle name="Assumption Currency. 2 2 2 2 2 3 8" xfId="558"/>
    <cellStyle name="Assumption Currency. 2 2 2 2 2 3 9" xfId="559"/>
    <cellStyle name="Assumption Currency. 2 2 2 2 2 4" xfId="560"/>
    <cellStyle name="Assumption Currency. 2 2 2 2 2 5" xfId="561"/>
    <cellStyle name="Assumption Currency. 2 2 2 2 2 6" xfId="562"/>
    <cellStyle name="Assumption Currency. 2 2 2 2 2 7" xfId="563"/>
    <cellStyle name="Assumption Currency. 2 2 2 2 2 8" xfId="564"/>
    <cellStyle name="Assumption Currency. 2 2 2 2 2 9" xfId="565"/>
    <cellStyle name="Assumption Currency. 2 2 2 2 3" xfId="566"/>
    <cellStyle name="Assumption Currency. 2 2 2 2 3 10" xfId="567"/>
    <cellStyle name="Assumption Currency. 2 2 2 2 3 2" xfId="568"/>
    <cellStyle name="Assumption Currency. 2 2 2 2 3 2 10" xfId="569"/>
    <cellStyle name="Assumption Currency. 2 2 2 2 3 2 2" xfId="570"/>
    <cellStyle name="Assumption Currency. 2 2 2 2 3 2 3" xfId="571"/>
    <cellStyle name="Assumption Currency. 2 2 2 2 3 2 4" xfId="572"/>
    <cellStyle name="Assumption Currency. 2 2 2 2 3 2 5" xfId="573"/>
    <cellStyle name="Assumption Currency. 2 2 2 2 3 2 6" xfId="574"/>
    <cellStyle name="Assumption Currency. 2 2 2 2 3 2 7" xfId="575"/>
    <cellStyle name="Assumption Currency. 2 2 2 2 3 2 8" xfId="576"/>
    <cellStyle name="Assumption Currency. 2 2 2 2 3 2 9" xfId="577"/>
    <cellStyle name="Assumption Currency. 2 2 2 2 3 3" xfId="578"/>
    <cellStyle name="Assumption Currency. 2 2 2 2 3 4" xfId="579"/>
    <cellStyle name="Assumption Currency. 2 2 2 2 3 5" xfId="580"/>
    <cellStyle name="Assumption Currency. 2 2 2 2 3 6" xfId="581"/>
    <cellStyle name="Assumption Currency. 2 2 2 2 3 7" xfId="582"/>
    <cellStyle name="Assumption Currency. 2 2 2 2 3 8" xfId="583"/>
    <cellStyle name="Assumption Currency. 2 2 2 2 3 9" xfId="584"/>
    <cellStyle name="Assumption Currency. 2 2 2 2 4" xfId="585"/>
    <cellStyle name="Assumption Currency. 2 2 2 2 4 10" xfId="586"/>
    <cellStyle name="Assumption Currency. 2 2 2 2 4 2" xfId="587"/>
    <cellStyle name="Assumption Currency. 2 2 2 2 4 3" xfId="588"/>
    <cellStyle name="Assumption Currency. 2 2 2 2 4 4" xfId="589"/>
    <cellStyle name="Assumption Currency. 2 2 2 2 4 5" xfId="590"/>
    <cellStyle name="Assumption Currency. 2 2 2 2 4 6" xfId="591"/>
    <cellStyle name="Assumption Currency. 2 2 2 2 4 7" xfId="592"/>
    <cellStyle name="Assumption Currency. 2 2 2 2 4 8" xfId="593"/>
    <cellStyle name="Assumption Currency. 2 2 2 2 4 9" xfId="594"/>
    <cellStyle name="Assumption Currency. 2 2 2 2 5" xfId="595"/>
    <cellStyle name="Assumption Currency. 2 2 2 2 6" xfId="596"/>
    <cellStyle name="Assumption Currency. 2 2 2 2 7" xfId="597"/>
    <cellStyle name="Assumption Currency. 2 2 2 2 8" xfId="598"/>
    <cellStyle name="Assumption Currency. 2 2 2 2 9" xfId="599"/>
    <cellStyle name="Assumption Currency. 2 2 2 3" xfId="600"/>
    <cellStyle name="Assumption Currency. 2 2 2 3 10" xfId="601"/>
    <cellStyle name="Assumption Currency. 2 2 2 3 11" xfId="602"/>
    <cellStyle name="Assumption Currency. 2 2 2 3 12" xfId="603"/>
    <cellStyle name="Assumption Currency. 2 2 2 3 2" xfId="604"/>
    <cellStyle name="Assumption Currency. 2 2 2 3 2 10" xfId="605"/>
    <cellStyle name="Assumption Currency. 2 2 2 3 2 2" xfId="606"/>
    <cellStyle name="Assumption Currency. 2 2 2 3 2 2 10" xfId="607"/>
    <cellStyle name="Assumption Currency. 2 2 2 3 2 2 2" xfId="608"/>
    <cellStyle name="Assumption Currency. 2 2 2 3 2 2 3" xfId="609"/>
    <cellStyle name="Assumption Currency. 2 2 2 3 2 2 4" xfId="610"/>
    <cellStyle name="Assumption Currency. 2 2 2 3 2 2 5" xfId="611"/>
    <cellStyle name="Assumption Currency. 2 2 2 3 2 2 6" xfId="612"/>
    <cellStyle name="Assumption Currency. 2 2 2 3 2 2 7" xfId="613"/>
    <cellStyle name="Assumption Currency. 2 2 2 3 2 2 8" xfId="614"/>
    <cellStyle name="Assumption Currency. 2 2 2 3 2 2 9" xfId="615"/>
    <cellStyle name="Assumption Currency. 2 2 2 3 2 3" xfId="616"/>
    <cellStyle name="Assumption Currency. 2 2 2 3 2 4" xfId="617"/>
    <cellStyle name="Assumption Currency. 2 2 2 3 2 5" xfId="618"/>
    <cellStyle name="Assumption Currency. 2 2 2 3 2 6" xfId="619"/>
    <cellStyle name="Assumption Currency. 2 2 2 3 2 7" xfId="620"/>
    <cellStyle name="Assumption Currency. 2 2 2 3 2 8" xfId="621"/>
    <cellStyle name="Assumption Currency. 2 2 2 3 2 9" xfId="622"/>
    <cellStyle name="Assumption Currency. 2 2 2 3 3" xfId="623"/>
    <cellStyle name="Assumption Currency. 2 2 2 3 3 10" xfId="624"/>
    <cellStyle name="Assumption Currency. 2 2 2 3 3 2" xfId="625"/>
    <cellStyle name="Assumption Currency. 2 2 2 3 3 3" xfId="626"/>
    <cellStyle name="Assumption Currency. 2 2 2 3 3 4" xfId="627"/>
    <cellStyle name="Assumption Currency. 2 2 2 3 3 5" xfId="628"/>
    <cellStyle name="Assumption Currency. 2 2 2 3 3 6" xfId="629"/>
    <cellStyle name="Assumption Currency. 2 2 2 3 3 7" xfId="630"/>
    <cellStyle name="Assumption Currency. 2 2 2 3 3 8" xfId="631"/>
    <cellStyle name="Assumption Currency. 2 2 2 3 3 9" xfId="632"/>
    <cellStyle name="Assumption Currency. 2 2 2 3 4" xfId="633"/>
    <cellStyle name="Assumption Currency. 2 2 2 3 5" xfId="634"/>
    <cellStyle name="Assumption Currency. 2 2 2 3 6" xfId="635"/>
    <cellStyle name="Assumption Currency. 2 2 2 3 7" xfId="636"/>
    <cellStyle name="Assumption Currency. 2 2 2 3 8" xfId="637"/>
    <cellStyle name="Assumption Currency. 2 2 2 3 9" xfId="638"/>
    <cellStyle name="Assumption Currency. 2 2 2 4" xfId="639"/>
    <cellStyle name="Assumption Currency. 2 2 2 4 10" xfId="640"/>
    <cellStyle name="Assumption Currency. 2 2 2 4 2" xfId="641"/>
    <cellStyle name="Assumption Currency. 2 2 2 4 2 10" xfId="642"/>
    <cellStyle name="Assumption Currency. 2 2 2 4 2 2" xfId="643"/>
    <cellStyle name="Assumption Currency. 2 2 2 4 2 3" xfId="644"/>
    <cellStyle name="Assumption Currency. 2 2 2 4 2 4" xfId="645"/>
    <cellStyle name="Assumption Currency. 2 2 2 4 2 5" xfId="646"/>
    <cellStyle name="Assumption Currency. 2 2 2 4 2 6" xfId="647"/>
    <cellStyle name="Assumption Currency. 2 2 2 4 2 7" xfId="648"/>
    <cellStyle name="Assumption Currency. 2 2 2 4 2 8" xfId="649"/>
    <cellStyle name="Assumption Currency. 2 2 2 4 2 9" xfId="650"/>
    <cellStyle name="Assumption Currency. 2 2 2 4 3" xfId="651"/>
    <cellStyle name="Assumption Currency. 2 2 2 4 4" xfId="652"/>
    <cellStyle name="Assumption Currency. 2 2 2 4 5" xfId="653"/>
    <cellStyle name="Assumption Currency. 2 2 2 4 6" xfId="654"/>
    <cellStyle name="Assumption Currency. 2 2 2 4 7" xfId="655"/>
    <cellStyle name="Assumption Currency. 2 2 2 4 8" xfId="656"/>
    <cellStyle name="Assumption Currency. 2 2 2 4 9" xfId="657"/>
    <cellStyle name="Assumption Currency. 2 2 2 5" xfId="658"/>
    <cellStyle name="Assumption Currency. 2 2 2 5 10" xfId="659"/>
    <cellStyle name="Assumption Currency. 2 2 2 5 2" xfId="660"/>
    <cellStyle name="Assumption Currency. 2 2 2 5 3" xfId="661"/>
    <cellStyle name="Assumption Currency. 2 2 2 5 4" xfId="662"/>
    <cellStyle name="Assumption Currency. 2 2 2 5 5" xfId="663"/>
    <cellStyle name="Assumption Currency. 2 2 2 5 6" xfId="664"/>
    <cellStyle name="Assumption Currency. 2 2 2 5 7" xfId="665"/>
    <cellStyle name="Assumption Currency. 2 2 2 5 8" xfId="666"/>
    <cellStyle name="Assumption Currency. 2 2 2 5 9" xfId="667"/>
    <cellStyle name="Assumption Currency. 2 2 2 6" xfId="668"/>
    <cellStyle name="Assumption Currency. 2 2 2 7" xfId="669"/>
    <cellStyle name="Assumption Currency. 2 2 2 8" xfId="670"/>
    <cellStyle name="Assumption Currency. 2 2 2 9" xfId="671"/>
    <cellStyle name="Assumption Currency. 2 2 3" xfId="672"/>
    <cellStyle name="Assumption Currency. 2 2 3 10" xfId="673"/>
    <cellStyle name="Assumption Currency. 2 2 3 11" xfId="674"/>
    <cellStyle name="Assumption Currency. 2 2 3 12" xfId="675"/>
    <cellStyle name="Assumption Currency. 2 2 3 13" xfId="676"/>
    <cellStyle name="Assumption Currency. 2 2 3 2" xfId="677"/>
    <cellStyle name="Assumption Currency. 2 2 3 2 10" xfId="678"/>
    <cellStyle name="Assumption Currency. 2 2 3 2 11" xfId="679"/>
    <cellStyle name="Assumption Currency. 2 2 3 2 12" xfId="680"/>
    <cellStyle name="Assumption Currency. 2 2 3 2 2" xfId="681"/>
    <cellStyle name="Assumption Currency. 2 2 3 2 2 10" xfId="682"/>
    <cellStyle name="Assumption Currency. 2 2 3 2 2 2" xfId="683"/>
    <cellStyle name="Assumption Currency. 2 2 3 2 2 2 10" xfId="684"/>
    <cellStyle name="Assumption Currency. 2 2 3 2 2 2 2" xfId="685"/>
    <cellStyle name="Assumption Currency. 2 2 3 2 2 2 3" xfId="686"/>
    <cellStyle name="Assumption Currency. 2 2 3 2 2 2 4" xfId="687"/>
    <cellStyle name="Assumption Currency. 2 2 3 2 2 2 5" xfId="688"/>
    <cellStyle name="Assumption Currency. 2 2 3 2 2 2 6" xfId="689"/>
    <cellStyle name="Assumption Currency. 2 2 3 2 2 2 7" xfId="690"/>
    <cellStyle name="Assumption Currency. 2 2 3 2 2 2 8" xfId="691"/>
    <cellStyle name="Assumption Currency. 2 2 3 2 2 2 9" xfId="692"/>
    <cellStyle name="Assumption Currency. 2 2 3 2 2 3" xfId="693"/>
    <cellStyle name="Assumption Currency. 2 2 3 2 2 4" xfId="694"/>
    <cellStyle name="Assumption Currency. 2 2 3 2 2 5" xfId="695"/>
    <cellStyle name="Assumption Currency. 2 2 3 2 2 6" xfId="696"/>
    <cellStyle name="Assumption Currency. 2 2 3 2 2 7" xfId="697"/>
    <cellStyle name="Assumption Currency. 2 2 3 2 2 8" xfId="698"/>
    <cellStyle name="Assumption Currency. 2 2 3 2 2 9" xfId="699"/>
    <cellStyle name="Assumption Currency. 2 2 3 2 3" xfId="700"/>
    <cellStyle name="Assumption Currency. 2 2 3 2 3 10" xfId="701"/>
    <cellStyle name="Assumption Currency. 2 2 3 2 3 2" xfId="702"/>
    <cellStyle name="Assumption Currency. 2 2 3 2 3 3" xfId="703"/>
    <cellStyle name="Assumption Currency. 2 2 3 2 3 4" xfId="704"/>
    <cellStyle name="Assumption Currency. 2 2 3 2 3 5" xfId="705"/>
    <cellStyle name="Assumption Currency. 2 2 3 2 3 6" xfId="706"/>
    <cellStyle name="Assumption Currency. 2 2 3 2 3 7" xfId="707"/>
    <cellStyle name="Assumption Currency. 2 2 3 2 3 8" xfId="708"/>
    <cellStyle name="Assumption Currency. 2 2 3 2 3 9" xfId="709"/>
    <cellStyle name="Assumption Currency. 2 2 3 2 4" xfId="710"/>
    <cellStyle name="Assumption Currency. 2 2 3 2 5" xfId="711"/>
    <cellStyle name="Assumption Currency. 2 2 3 2 6" xfId="712"/>
    <cellStyle name="Assumption Currency. 2 2 3 2 7" xfId="713"/>
    <cellStyle name="Assumption Currency. 2 2 3 2 8" xfId="714"/>
    <cellStyle name="Assumption Currency. 2 2 3 2 9" xfId="715"/>
    <cellStyle name="Assumption Currency. 2 2 3 3" xfId="716"/>
    <cellStyle name="Assumption Currency. 2 2 3 3 10" xfId="717"/>
    <cellStyle name="Assumption Currency. 2 2 3 3 2" xfId="718"/>
    <cellStyle name="Assumption Currency. 2 2 3 3 2 10" xfId="719"/>
    <cellStyle name="Assumption Currency. 2 2 3 3 2 2" xfId="720"/>
    <cellStyle name="Assumption Currency. 2 2 3 3 2 3" xfId="721"/>
    <cellStyle name="Assumption Currency. 2 2 3 3 2 4" xfId="722"/>
    <cellStyle name="Assumption Currency. 2 2 3 3 2 5" xfId="723"/>
    <cellStyle name="Assumption Currency. 2 2 3 3 2 6" xfId="724"/>
    <cellStyle name="Assumption Currency. 2 2 3 3 2 7" xfId="725"/>
    <cellStyle name="Assumption Currency. 2 2 3 3 2 8" xfId="726"/>
    <cellStyle name="Assumption Currency. 2 2 3 3 2 9" xfId="727"/>
    <cellStyle name="Assumption Currency. 2 2 3 3 3" xfId="728"/>
    <cellStyle name="Assumption Currency. 2 2 3 3 4" xfId="729"/>
    <cellStyle name="Assumption Currency. 2 2 3 3 5" xfId="730"/>
    <cellStyle name="Assumption Currency. 2 2 3 3 6" xfId="731"/>
    <cellStyle name="Assumption Currency. 2 2 3 3 7" xfId="732"/>
    <cellStyle name="Assumption Currency. 2 2 3 3 8" xfId="733"/>
    <cellStyle name="Assumption Currency. 2 2 3 3 9" xfId="734"/>
    <cellStyle name="Assumption Currency. 2 2 3 4" xfId="735"/>
    <cellStyle name="Assumption Currency. 2 2 3 4 10" xfId="736"/>
    <cellStyle name="Assumption Currency. 2 2 3 4 2" xfId="737"/>
    <cellStyle name="Assumption Currency. 2 2 3 4 3" xfId="738"/>
    <cellStyle name="Assumption Currency. 2 2 3 4 4" xfId="739"/>
    <cellStyle name="Assumption Currency. 2 2 3 4 5" xfId="740"/>
    <cellStyle name="Assumption Currency. 2 2 3 4 6" xfId="741"/>
    <cellStyle name="Assumption Currency. 2 2 3 4 7" xfId="742"/>
    <cellStyle name="Assumption Currency. 2 2 3 4 8" xfId="743"/>
    <cellStyle name="Assumption Currency. 2 2 3 4 9" xfId="744"/>
    <cellStyle name="Assumption Currency. 2 2 3 5" xfId="745"/>
    <cellStyle name="Assumption Currency. 2 2 3 6" xfId="746"/>
    <cellStyle name="Assumption Currency. 2 2 3 7" xfId="747"/>
    <cellStyle name="Assumption Currency. 2 2 3 8" xfId="748"/>
    <cellStyle name="Assumption Currency. 2 2 3 9" xfId="749"/>
    <cellStyle name="Assumption Currency. 2 2 4" xfId="750"/>
    <cellStyle name="Assumption Currency. 2 2 4 10" xfId="751"/>
    <cellStyle name="Assumption Currency. 2 2 4 11" xfId="752"/>
    <cellStyle name="Assumption Currency. 2 2 4 12" xfId="753"/>
    <cellStyle name="Assumption Currency. 2 2 4 13" xfId="754"/>
    <cellStyle name="Assumption Currency. 2 2 4 2" xfId="755"/>
    <cellStyle name="Assumption Currency. 2 2 4 2 10" xfId="756"/>
    <cellStyle name="Assumption Currency. 2 2 4 2 11" xfId="757"/>
    <cellStyle name="Assumption Currency. 2 2 4 2 12" xfId="758"/>
    <cellStyle name="Assumption Currency. 2 2 4 2 2" xfId="759"/>
    <cellStyle name="Assumption Currency. 2 2 4 2 2 10" xfId="760"/>
    <cellStyle name="Assumption Currency. 2 2 4 2 2 2" xfId="761"/>
    <cellStyle name="Assumption Currency. 2 2 4 2 2 2 10" xfId="762"/>
    <cellStyle name="Assumption Currency. 2 2 4 2 2 2 2" xfId="763"/>
    <cellStyle name="Assumption Currency. 2 2 4 2 2 2 3" xfId="764"/>
    <cellStyle name="Assumption Currency. 2 2 4 2 2 2 4" xfId="765"/>
    <cellStyle name="Assumption Currency. 2 2 4 2 2 2 5" xfId="766"/>
    <cellStyle name="Assumption Currency. 2 2 4 2 2 2 6" xfId="767"/>
    <cellStyle name="Assumption Currency. 2 2 4 2 2 2 7" xfId="768"/>
    <cellStyle name="Assumption Currency. 2 2 4 2 2 2 8" xfId="769"/>
    <cellStyle name="Assumption Currency. 2 2 4 2 2 2 9" xfId="770"/>
    <cellStyle name="Assumption Currency. 2 2 4 2 2 3" xfId="771"/>
    <cellStyle name="Assumption Currency. 2 2 4 2 2 4" xfId="772"/>
    <cellStyle name="Assumption Currency. 2 2 4 2 2 5" xfId="773"/>
    <cellStyle name="Assumption Currency. 2 2 4 2 2 6" xfId="774"/>
    <cellStyle name="Assumption Currency. 2 2 4 2 2 7" xfId="775"/>
    <cellStyle name="Assumption Currency. 2 2 4 2 2 8" xfId="776"/>
    <cellStyle name="Assumption Currency. 2 2 4 2 2 9" xfId="777"/>
    <cellStyle name="Assumption Currency. 2 2 4 2 3" xfId="778"/>
    <cellStyle name="Assumption Currency. 2 2 4 2 3 10" xfId="779"/>
    <cellStyle name="Assumption Currency. 2 2 4 2 3 2" xfId="780"/>
    <cellStyle name="Assumption Currency. 2 2 4 2 3 3" xfId="781"/>
    <cellStyle name="Assumption Currency. 2 2 4 2 3 4" xfId="782"/>
    <cellStyle name="Assumption Currency. 2 2 4 2 3 5" xfId="783"/>
    <cellStyle name="Assumption Currency. 2 2 4 2 3 6" xfId="784"/>
    <cellStyle name="Assumption Currency. 2 2 4 2 3 7" xfId="785"/>
    <cellStyle name="Assumption Currency. 2 2 4 2 3 8" xfId="786"/>
    <cellStyle name="Assumption Currency. 2 2 4 2 3 9" xfId="787"/>
    <cellStyle name="Assumption Currency. 2 2 4 2 4" xfId="788"/>
    <cellStyle name="Assumption Currency. 2 2 4 2 5" xfId="789"/>
    <cellStyle name="Assumption Currency. 2 2 4 2 6" xfId="790"/>
    <cellStyle name="Assumption Currency. 2 2 4 2 7" xfId="791"/>
    <cellStyle name="Assumption Currency. 2 2 4 2 8" xfId="792"/>
    <cellStyle name="Assumption Currency. 2 2 4 2 9" xfId="793"/>
    <cellStyle name="Assumption Currency. 2 2 4 3" xfId="794"/>
    <cellStyle name="Assumption Currency. 2 2 4 3 10" xfId="795"/>
    <cellStyle name="Assumption Currency. 2 2 4 3 2" xfId="796"/>
    <cellStyle name="Assumption Currency. 2 2 4 3 2 10" xfId="797"/>
    <cellStyle name="Assumption Currency. 2 2 4 3 2 2" xfId="798"/>
    <cellStyle name="Assumption Currency. 2 2 4 3 2 3" xfId="799"/>
    <cellStyle name="Assumption Currency. 2 2 4 3 2 4" xfId="800"/>
    <cellStyle name="Assumption Currency. 2 2 4 3 2 5" xfId="801"/>
    <cellStyle name="Assumption Currency. 2 2 4 3 2 6" xfId="802"/>
    <cellStyle name="Assumption Currency. 2 2 4 3 2 7" xfId="803"/>
    <cellStyle name="Assumption Currency. 2 2 4 3 2 8" xfId="804"/>
    <cellStyle name="Assumption Currency. 2 2 4 3 2 9" xfId="805"/>
    <cellStyle name="Assumption Currency. 2 2 4 3 3" xfId="806"/>
    <cellStyle name="Assumption Currency. 2 2 4 3 4" xfId="807"/>
    <cellStyle name="Assumption Currency. 2 2 4 3 5" xfId="808"/>
    <cellStyle name="Assumption Currency. 2 2 4 3 6" xfId="809"/>
    <cellStyle name="Assumption Currency. 2 2 4 3 7" xfId="810"/>
    <cellStyle name="Assumption Currency. 2 2 4 3 8" xfId="811"/>
    <cellStyle name="Assumption Currency. 2 2 4 3 9" xfId="812"/>
    <cellStyle name="Assumption Currency. 2 2 4 4" xfId="813"/>
    <cellStyle name="Assumption Currency. 2 2 4 4 10" xfId="814"/>
    <cellStyle name="Assumption Currency. 2 2 4 4 2" xfId="815"/>
    <cellStyle name="Assumption Currency. 2 2 4 4 3" xfId="816"/>
    <cellStyle name="Assumption Currency. 2 2 4 4 4" xfId="817"/>
    <cellStyle name="Assumption Currency. 2 2 4 4 5" xfId="818"/>
    <cellStyle name="Assumption Currency. 2 2 4 4 6" xfId="819"/>
    <cellStyle name="Assumption Currency. 2 2 4 4 7" xfId="820"/>
    <cellStyle name="Assumption Currency. 2 2 4 4 8" xfId="821"/>
    <cellStyle name="Assumption Currency. 2 2 4 4 9" xfId="822"/>
    <cellStyle name="Assumption Currency. 2 2 4 5" xfId="823"/>
    <cellStyle name="Assumption Currency. 2 2 4 6" xfId="824"/>
    <cellStyle name="Assumption Currency. 2 2 4 7" xfId="825"/>
    <cellStyle name="Assumption Currency. 2 2 4 8" xfId="826"/>
    <cellStyle name="Assumption Currency. 2 2 4 9" xfId="827"/>
    <cellStyle name="Assumption Currency. 2 2 5" xfId="828"/>
    <cellStyle name="Assumption Currency. 2 2 5 10" xfId="829"/>
    <cellStyle name="Assumption Currency. 2 2 5 11" xfId="830"/>
    <cellStyle name="Assumption Currency. 2 2 5 12" xfId="831"/>
    <cellStyle name="Assumption Currency. 2 2 5 2" xfId="832"/>
    <cellStyle name="Assumption Currency. 2 2 5 2 10" xfId="833"/>
    <cellStyle name="Assumption Currency. 2 2 5 2 2" xfId="834"/>
    <cellStyle name="Assumption Currency. 2 2 5 2 2 10" xfId="835"/>
    <cellStyle name="Assumption Currency. 2 2 5 2 2 2" xfId="836"/>
    <cellStyle name="Assumption Currency. 2 2 5 2 2 3" xfId="837"/>
    <cellStyle name="Assumption Currency. 2 2 5 2 2 4" xfId="838"/>
    <cellStyle name="Assumption Currency. 2 2 5 2 2 5" xfId="839"/>
    <cellStyle name="Assumption Currency. 2 2 5 2 2 6" xfId="840"/>
    <cellStyle name="Assumption Currency. 2 2 5 2 2 7" xfId="841"/>
    <cellStyle name="Assumption Currency. 2 2 5 2 2 8" xfId="842"/>
    <cellStyle name="Assumption Currency. 2 2 5 2 2 9" xfId="843"/>
    <cellStyle name="Assumption Currency. 2 2 5 2 3" xfId="844"/>
    <cellStyle name="Assumption Currency. 2 2 5 2 4" xfId="845"/>
    <cellStyle name="Assumption Currency. 2 2 5 2 5" xfId="846"/>
    <cellStyle name="Assumption Currency. 2 2 5 2 6" xfId="847"/>
    <cellStyle name="Assumption Currency. 2 2 5 2 7" xfId="848"/>
    <cellStyle name="Assumption Currency. 2 2 5 2 8" xfId="849"/>
    <cellStyle name="Assumption Currency. 2 2 5 2 9" xfId="850"/>
    <cellStyle name="Assumption Currency. 2 2 5 3" xfId="851"/>
    <cellStyle name="Assumption Currency. 2 2 5 3 10" xfId="852"/>
    <cellStyle name="Assumption Currency. 2 2 5 3 2" xfId="853"/>
    <cellStyle name="Assumption Currency. 2 2 5 3 3" xfId="854"/>
    <cellStyle name="Assumption Currency. 2 2 5 3 4" xfId="855"/>
    <cellStyle name="Assumption Currency. 2 2 5 3 5" xfId="856"/>
    <cellStyle name="Assumption Currency. 2 2 5 3 6" xfId="857"/>
    <cellStyle name="Assumption Currency. 2 2 5 3 7" xfId="858"/>
    <cellStyle name="Assumption Currency. 2 2 5 3 8" xfId="859"/>
    <cellStyle name="Assumption Currency. 2 2 5 3 9" xfId="860"/>
    <cellStyle name="Assumption Currency. 2 2 5 4" xfId="861"/>
    <cellStyle name="Assumption Currency. 2 2 5 5" xfId="862"/>
    <cellStyle name="Assumption Currency. 2 2 5 6" xfId="863"/>
    <cellStyle name="Assumption Currency. 2 2 5 7" xfId="864"/>
    <cellStyle name="Assumption Currency. 2 2 5 8" xfId="865"/>
    <cellStyle name="Assumption Currency. 2 2 5 9" xfId="866"/>
    <cellStyle name="Assumption Currency. 2 2 6" xfId="867"/>
    <cellStyle name="Assumption Currency. 2 2 6 10" xfId="868"/>
    <cellStyle name="Assumption Currency. 2 2 6 11" xfId="869"/>
    <cellStyle name="Assumption Currency. 2 2 6 12" xfId="870"/>
    <cellStyle name="Assumption Currency. 2 2 6 2" xfId="871"/>
    <cellStyle name="Assumption Currency. 2 2 6 2 10" xfId="872"/>
    <cellStyle name="Assumption Currency. 2 2 6 2 2" xfId="873"/>
    <cellStyle name="Assumption Currency. 2 2 6 2 2 10" xfId="874"/>
    <cellStyle name="Assumption Currency. 2 2 6 2 2 2" xfId="875"/>
    <cellStyle name="Assumption Currency. 2 2 6 2 2 3" xfId="876"/>
    <cellStyle name="Assumption Currency. 2 2 6 2 2 4" xfId="877"/>
    <cellStyle name="Assumption Currency. 2 2 6 2 2 5" xfId="878"/>
    <cellStyle name="Assumption Currency. 2 2 6 2 2 6" xfId="879"/>
    <cellStyle name="Assumption Currency. 2 2 6 2 2 7" xfId="880"/>
    <cellStyle name="Assumption Currency. 2 2 6 2 2 8" xfId="881"/>
    <cellStyle name="Assumption Currency. 2 2 6 2 2 9" xfId="882"/>
    <cellStyle name="Assumption Currency. 2 2 6 2 3" xfId="883"/>
    <cellStyle name="Assumption Currency. 2 2 6 2 4" xfId="884"/>
    <cellStyle name="Assumption Currency. 2 2 6 2 5" xfId="885"/>
    <cellStyle name="Assumption Currency. 2 2 6 2 6" xfId="886"/>
    <cellStyle name="Assumption Currency. 2 2 6 2 7" xfId="887"/>
    <cellStyle name="Assumption Currency. 2 2 6 2 8" xfId="888"/>
    <cellStyle name="Assumption Currency. 2 2 6 2 9" xfId="889"/>
    <cellStyle name="Assumption Currency. 2 2 6 3" xfId="890"/>
    <cellStyle name="Assumption Currency. 2 2 6 3 10" xfId="891"/>
    <cellStyle name="Assumption Currency. 2 2 6 3 2" xfId="892"/>
    <cellStyle name="Assumption Currency. 2 2 6 3 3" xfId="893"/>
    <cellStyle name="Assumption Currency. 2 2 6 3 4" xfId="894"/>
    <cellStyle name="Assumption Currency. 2 2 6 3 5" xfId="895"/>
    <cellStyle name="Assumption Currency. 2 2 6 3 6" xfId="896"/>
    <cellStyle name="Assumption Currency. 2 2 6 3 7" xfId="897"/>
    <cellStyle name="Assumption Currency. 2 2 6 3 8" xfId="898"/>
    <cellStyle name="Assumption Currency. 2 2 6 3 9" xfId="899"/>
    <cellStyle name="Assumption Currency. 2 2 6 4" xfId="900"/>
    <cellStyle name="Assumption Currency. 2 2 6 5" xfId="901"/>
    <cellStyle name="Assumption Currency. 2 2 6 6" xfId="902"/>
    <cellStyle name="Assumption Currency. 2 2 6 7" xfId="903"/>
    <cellStyle name="Assumption Currency. 2 2 6 8" xfId="904"/>
    <cellStyle name="Assumption Currency. 2 2 6 9" xfId="905"/>
    <cellStyle name="Assumption Currency. 2 2 7" xfId="906"/>
    <cellStyle name="Assumption Currency. 2 2 7 10" xfId="907"/>
    <cellStyle name="Assumption Currency. 2 2 7 11" xfId="908"/>
    <cellStyle name="Assumption Currency. 2 2 7 12" xfId="909"/>
    <cellStyle name="Assumption Currency. 2 2 7 2" xfId="910"/>
    <cellStyle name="Assumption Currency. 2 2 7 2 10" xfId="911"/>
    <cellStyle name="Assumption Currency. 2 2 7 2 2" xfId="912"/>
    <cellStyle name="Assumption Currency. 2 2 7 2 2 10" xfId="913"/>
    <cellStyle name="Assumption Currency. 2 2 7 2 2 2" xfId="914"/>
    <cellStyle name="Assumption Currency. 2 2 7 2 2 3" xfId="915"/>
    <cellStyle name="Assumption Currency. 2 2 7 2 2 4" xfId="916"/>
    <cellStyle name="Assumption Currency. 2 2 7 2 2 5" xfId="917"/>
    <cellStyle name="Assumption Currency. 2 2 7 2 2 6" xfId="918"/>
    <cellStyle name="Assumption Currency. 2 2 7 2 2 7" xfId="919"/>
    <cellStyle name="Assumption Currency. 2 2 7 2 2 8" xfId="920"/>
    <cellStyle name="Assumption Currency. 2 2 7 2 2 9" xfId="921"/>
    <cellStyle name="Assumption Currency. 2 2 7 2 3" xfId="922"/>
    <cellStyle name="Assumption Currency. 2 2 7 2 4" xfId="923"/>
    <cellStyle name="Assumption Currency. 2 2 7 2 5" xfId="924"/>
    <cellStyle name="Assumption Currency. 2 2 7 2 6" xfId="925"/>
    <cellStyle name="Assumption Currency. 2 2 7 2 7" xfId="926"/>
    <cellStyle name="Assumption Currency. 2 2 7 2 8" xfId="927"/>
    <cellStyle name="Assumption Currency. 2 2 7 2 9" xfId="928"/>
    <cellStyle name="Assumption Currency. 2 2 7 3" xfId="929"/>
    <cellStyle name="Assumption Currency. 2 2 7 3 10" xfId="930"/>
    <cellStyle name="Assumption Currency. 2 2 7 3 2" xfId="931"/>
    <cellStyle name="Assumption Currency. 2 2 7 3 3" xfId="932"/>
    <cellStyle name="Assumption Currency. 2 2 7 3 4" xfId="933"/>
    <cellStyle name="Assumption Currency. 2 2 7 3 5" xfId="934"/>
    <cellStyle name="Assumption Currency. 2 2 7 3 6" xfId="935"/>
    <cellStyle name="Assumption Currency. 2 2 7 3 7" xfId="936"/>
    <cellStyle name="Assumption Currency. 2 2 7 3 8" xfId="937"/>
    <cellStyle name="Assumption Currency. 2 2 7 3 9" xfId="938"/>
    <cellStyle name="Assumption Currency. 2 2 7 4" xfId="939"/>
    <cellStyle name="Assumption Currency. 2 2 7 5" xfId="940"/>
    <cellStyle name="Assumption Currency. 2 2 7 6" xfId="941"/>
    <cellStyle name="Assumption Currency. 2 2 7 7" xfId="942"/>
    <cellStyle name="Assumption Currency. 2 2 7 8" xfId="943"/>
    <cellStyle name="Assumption Currency. 2 2 7 9" xfId="944"/>
    <cellStyle name="Assumption Currency. 2 2 8" xfId="945"/>
    <cellStyle name="Assumption Currency. 2 2 8 10" xfId="946"/>
    <cellStyle name="Assumption Currency. 2 2 8 2" xfId="947"/>
    <cellStyle name="Assumption Currency. 2 2 8 2 10" xfId="948"/>
    <cellStyle name="Assumption Currency. 2 2 8 2 2" xfId="949"/>
    <cellStyle name="Assumption Currency. 2 2 8 2 3" xfId="950"/>
    <cellStyle name="Assumption Currency. 2 2 8 2 4" xfId="951"/>
    <cellStyle name="Assumption Currency. 2 2 8 2 5" xfId="952"/>
    <cellStyle name="Assumption Currency. 2 2 8 2 6" xfId="953"/>
    <cellStyle name="Assumption Currency. 2 2 8 2 7" xfId="954"/>
    <cellStyle name="Assumption Currency. 2 2 8 2 8" xfId="955"/>
    <cellStyle name="Assumption Currency. 2 2 8 2 9" xfId="956"/>
    <cellStyle name="Assumption Currency. 2 2 8 3" xfId="957"/>
    <cellStyle name="Assumption Currency. 2 2 8 4" xfId="958"/>
    <cellStyle name="Assumption Currency. 2 2 8 5" xfId="959"/>
    <cellStyle name="Assumption Currency. 2 2 8 6" xfId="960"/>
    <cellStyle name="Assumption Currency. 2 2 8 7" xfId="961"/>
    <cellStyle name="Assumption Currency. 2 2 8 8" xfId="962"/>
    <cellStyle name="Assumption Currency. 2 2 8 9" xfId="963"/>
    <cellStyle name="Assumption Currency. 2 2 9" xfId="964"/>
    <cellStyle name="Assumption Currency. 2 2 9 10" xfId="965"/>
    <cellStyle name="Assumption Currency. 2 2 9 2" xfId="966"/>
    <cellStyle name="Assumption Currency. 2 2 9 3" xfId="967"/>
    <cellStyle name="Assumption Currency. 2 2 9 4" xfId="968"/>
    <cellStyle name="Assumption Currency. 2 2 9 5" xfId="969"/>
    <cellStyle name="Assumption Currency. 2 2 9 6" xfId="970"/>
    <cellStyle name="Assumption Currency. 2 2 9 7" xfId="971"/>
    <cellStyle name="Assumption Currency. 2 2 9 8" xfId="972"/>
    <cellStyle name="Assumption Currency. 2 2 9 9" xfId="973"/>
    <cellStyle name="Assumption Currency. 2 3" xfId="974"/>
    <cellStyle name="Assumption Currency. 2 3 10" xfId="975"/>
    <cellStyle name="Assumption Currency. 2 3 11" xfId="976"/>
    <cellStyle name="Assumption Currency. 2 3 12" xfId="977"/>
    <cellStyle name="Assumption Currency. 2 3 13" xfId="978"/>
    <cellStyle name="Assumption Currency. 2 3 14" xfId="979"/>
    <cellStyle name="Assumption Currency. 2 3 2" xfId="980"/>
    <cellStyle name="Assumption Currency. 2 3 2 10" xfId="981"/>
    <cellStyle name="Assumption Currency. 2 3 2 11" xfId="982"/>
    <cellStyle name="Assumption Currency. 2 3 2 12" xfId="983"/>
    <cellStyle name="Assumption Currency. 2 3 2 13" xfId="984"/>
    <cellStyle name="Assumption Currency. 2 3 2 2" xfId="985"/>
    <cellStyle name="Assumption Currency. 2 3 2 2 10" xfId="986"/>
    <cellStyle name="Assumption Currency. 2 3 2 2 11" xfId="987"/>
    <cellStyle name="Assumption Currency. 2 3 2 2 12" xfId="988"/>
    <cellStyle name="Assumption Currency. 2 3 2 2 2" xfId="989"/>
    <cellStyle name="Assumption Currency. 2 3 2 2 2 10" xfId="990"/>
    <cellStyle name="Assumption Currency. 2 3 2 2 2 2" xfId="991"/>
    <cellStyle name="Assumption Currency. 2 3 2 2 2 2 10" xfId="992"/>
    <cellStyle name="Assumption Currency. 2 3 2 2 2 2 2" xfId="993"/>
    <cellStyle name="Assumption Currency. 2 3 2 2 2 2 3" xfId="994"/>
    <cellStyle name="Assumption Currency. 2 3 2 2 2 2 4" xfId="995"/>
    <cellStyle name="Assumption Currency. 2 3 2 2 2 2 5" xfId="996"/>
    <cellStyle name="Assumption Currency. 2 3 2 2 2 2 6" xfId="997"/>
    <cellStyle name="Assumption Currency. 2 3 2 2 2 2 7" xfId="998"/>
    <cellStyle name="Assumption Currency. 2 3 2 2 2 2 8" xfId="999"/>
    <cellStyle name="Assumption Currency. 2 3 2 2 2 2 9" xfId="1000"/>
    <cellStyle name="Assumption Currency. 2 3 2 2 2 3" xfId="1001"/>
    <cellStyle name="Assumption Currency. 2 3 2 2 2 4" xfId="1002"/>
    <cellStyle name="Assumption Currency. 2 3 2 2 2 5" xfId="1003"/>
    <cellStyle name="Assumption Currency. 2 3 2 2 2 6" xfId="1004"/>
    <cellStyle name="Assumption Currency. 2 3 2 2 2 7" xfId="1005"/>
    <cellStyle name="Assumption Currency. 2 3 2 2 2 8" xfId="1006"/>
    <cellStyle name="Assumption Currency. 2 3 2 2 2 9" xfId="1007"/>
    <cellStyle name="Assumption Currency. 2 3 2 2 3" xfId="1008"/>
    <cellStyle name="Assumption Currency. 2 3 2 2 3 10" xfId="1009"/>
    <cellStyle name="Assumption Currency. 2 3 2 2 3 2" xfId="1010"/>
    <cellStyle name="Assumption Currency. 2 3 2 2 3 3" xfId="1011"/>
    <cellStyle name="Assumption Currency. 2 3 2 2 3 4" xfId="1012"/>
    <cellStyle name="Assumption Currency. 2 3 2 2 3 5" xfId="1013"/>
    <cellStyle name="Assumption Currency. 2 3 2 2 3 6" xfId="1014"/>
    <cellStyle name="Assumption Currency. 2 3 2 2 3 7" xfId="1015"/>
    <cellStyle name="Assumption Currency. 2 3 2 2 3 8" xfId="1016"/>
    <cellStyle name="Assumption Currency. 2 3 2 2 3 9" xfId="1017"/>
    <cellStyle name="Assumption Currency. 2 3 2 2 4" xfId="1018"/>
    <cellStyle name="Assumption Currency. 2 3 2 2 5" xfId="1019"/>
    <cellStyle name="Assumption Currency. 2 3 2 2 6" xfId="1020"/>
    <cellStyle name="Assumption Currency. 2 3 2 2 7" xfId="1021"/>
    <cellStyle name="Assumption Currency. 2 3 2 2 8" xfId="1022"/>
    <cellStyle name="Assumption Currency. 2 3 2 2 9" xfId="1023"/>
    <cellStyle name="Assumption Currency. 2 3 2 3" xfId="1024"/>
    <cellStyle name="Assumption Currency. 2 3 2 3 10" xfId="1025"/>
    <cellStyle name="Assumption Currency. 2 3 2 3 2" xfId="1026"/>
    <cellStyle name="Assumption Currency. 2 3 2 3 2 10" xfId="1027"/>
    <cellStyle name="Assumption Currency. 2 3 2 3 2 2" xfId="1028"/>
    <cellStyle name="Assumption Currency. 2 3 2 3 2 3" xfId="1029"/>
    <cellStyle name="Assumption Currency. 2 3 2 3 2 4" xfId="1030"/>
    <cellStyle name="Assumption Currency. 2 3 2 3 2 5" xfId="1031"/>
    <cellStyle name="Assumption Currency. 2 3 2 3 2 6" xfId="1032"/>
    <cellStyle name="Assumption Currency. 2 3 2 3 2 7" xfId="1033"/>
    <cellStyle name="Assumption Currency. 2 3 2 3 2 8" xfId="1034"/>
    <cellStyle name="Assumption Currency. 2 3 2 3 2 9" xfId="1035"/>
    <cellStyle name="Assumption Currency. 2 3 2 3 3" xfId="1036"/>
    <cellStyle name="Assumption Currency. 2 3 2 3 4" xfId="1037"/>
    <cellStyle name="Assumption Currency. 2 3 2 3 5" xfId="1038"/>
    <cellStyle name="Assumption Currency. 2 3 2 3 6" xfId="1039"/>
    <cellStyle name="Assumption Currency. 2 3 2 3 7" xfId="1040"/>
    <cellStyle name="Assumption Currency. 2 3 2 3 8" xfId="1041"/>
    <cellStyle name="Assumption Currency. 2 3 2 3 9" xfId="1042"/>
    <cellStyle name="Assumption Currency. 2 3 2 4" xfId="1043"/>
    <cellStyle name="Assumption Currency. 2 3 2 4 10" xfId="1044"/>
    <cellStyle name="Assumption Currency. 2 3 2 4 2" xfId="1045"/>
    <cellStyle name="Assumption Currency. 2 3 2 4 3" xfId="1046"/>
    <cellStyle name="Assumption Currency. 2 3 2 4 4" xfId="1047"/>
    <cellStyle name="Assumption Currency. 2 3 2 4 5" xfId="1048"/>
    <cellStyle name="Assumption Currency. 2 3 2 4 6" xfId="1049"/>
    <cellStyle name="Assumption Currency. 2 3 2 4 7" xfId="1050"/>
    <cellStyle name="Assumption Currency. 2 3 2 4 8" xfId="1051"/>
    <cellStyle name="Assumption Currency. 2 3 2 4 9" xfId="1052"/>
    <cellStyle name="Assumption Currency. 2 3 2 5" xfId="1053"/>
    <cellStyle name="Assumption Currency. 2 3 2 6" xfId="1054"/>
    <cellStyle name="Assumption Currency. 2 3 2 7" xfId="1055"/>
    <cellStyle name="Assumption Currency. 2 3 2 8" xfId="1056"/>
    <cellStyle name="Assumption Currency. 2 3 2 9" xfId="1057"/>
    <cellStyle name="Assumption Currency. 2 3 3" xfId="1058"/>
    <cellStyle name="Assumption Currency. 2 3 3 10" xfId="1059"/>
    <cellStyle name="Assumption Currency. 2 3 3 11" xfId="1060"/>
    <cellStyle name="Assumption Currency. 2 3 3 12" xfId="1061"/>
    <cellStyle name="Assumption Currency. 2 3 3 2" xfId="1062"/>
    <cellStyle name="Assumption Currency. 2 3 3 2 10" xfId="1063"/>
    <cellStyle name="Assumption Currency. 2 3 3 2 2" xfId="1064"/>
    <cellStyle name="Assumption Currency. 2 3 3 2 2 10" xfId="1065"/>
    <cellStyle name="Assumption Currency. 2 3 3 2 2 2" xfId="1066"/>
    <cellStyle name="Assumption Currency. 2 3 3 2 2 3" xfId="1067"/>
    <cellStyle name="Assumption Currency. 2 3 3 2 2 4" xfId="1068"/>
    <cellStyle name="Assumption Currency. 2 3 3 2 2 5" xfId="1069"/>
    <cellStyle name="Assumption Currency. 2 3 3 2 2 6" xfId="1070"/>
    <cellStyle name="Assumption Currency. 2 3 3 2 2 7" xfId="1071"/>
    <cellStyle name="Assumption Currency. 2 3 3 2 2 8" xfId="1072"/>
    <cellStyle name="Assumption Currency. 2 3 3 2 2 9" xfId="1073"/>
    <cellStyle name="Assumption Currency. 2 3 3 2 3" xfId="1074"/>
    <cellStyle name="Assumption Currency. 2 3 3 2 4" xfId="1075"/>
    <cellStyle name="Assumption Currency. 2 3 3 2 5" xfId="1076"/>
    <cellStyle name="Assumption Currency. 2 3 3 2 6" xfId="1077"/>
    <cellStyle name="Assumption Currency. 2 3 3 2 7" xfId="1078"/>
    <cellStyle name="Assumption Currency. 2 3 3 2 8" xfId="1079"/>
    <cellStyle name="Assumption Currency. 2 3 3 2 9" xfId="1080"/>
    <cellStyle name="Assumption Currency. 2 3 3 3" xfId="1081"/>
    <cellStyle name="Assumption Currency. 2 3 3 3 10" xfId="1082"/>
    <cellStyle name="Assumption Currency. 2 3 3 3 2" xfId="1083"/>
    <cellStyle name="Assumption Currency. 2 3 3 3 3" xfId="1084"/>
    <cellStyle name="Assumption Currency. 2 3 3 3 4" xfId="1085"/>
    <cellStyle name="Assumption Currency. 2 3 3 3 5" xfId="1086"/>
    <cellStyle name="Assumption Currency. 2 3 3 3 6" xfId="1087"/>
    <cellStyle name="Assumption Currency. 2 3 3 3 7" xfId="1088"/>
    <cellStyle name="Assumption Currency. 2 3 3 3 8" xfId="1089"/>
    <cellStyle name="Assumption Currency. 2 3 3 3 9" xfId="1090"/>
    <cellStyle name="Assumption Currency. 2 3 3 4" xfId="1091"/>
    <cellStyle name="Assumption Currency. 2 3 3 5" xfId="1092"/>
    <cellStyle name="Assumption Currency. 2 3 3 6" xfId="1093"/>
    <cellStyle name="Assumption Currency. 2 3 3 7" xfId="1094"/>
    <cellStyle name="Assumption Currency. 2 3 3 8" xfId="1095"/>
    <cellStyle name="Assumption Currency. 2 3 3 9" xfId="1096"/>
    <cellStyle name="Assumption Currency. 2 3 4" xfId="1097"/>
    <cellStyle name="Assumption Currency. 2 3 4 10" xfId="1098"/>
    <cellStyle name="Assumption Currency. 2 3 4 2" xfId="1099"/>
    <cellStyle name="Assumption Currency. 2 3 4 2 10" xfId="1100"/>
    <cellStyle name="Assumption Currency. 2 3 4 2 2" xfId="1101"/>
    <cellStyle name="Assumption Currency. 2 3 4 2 3" xfId="1102"/>
    <cellStyle name="Assumption Currency. 2 3 4 2 4" xfId="1103"/>
    <cellStyle name="Assumption Currency. 2 3 4 2 5" xfId="1104"/>
    <cellStyle name="Assumption Currency. 2 3 4 2 6" xfId="1105"/>
    <cellStyle name="Assumption Currency. 2 3 4 2 7" xfId="1106"/>
    <cellStyle name="Assumption Currency. 2 3 4 2 8" xfId="1107"/>
    <cellStyle name="Assumption Currency. 2 3 4 2 9" xfId="1108"/>
    <cellStyle name="Assumption Currency. 2 3 4 3" xfId="1109"/>
    <cellStyle name="Assumption Currency. 2 3 4 4" xfId="1110"/>
    <cellStyle name="Assumption Currency. 2 3 4 5" xfId="1111"/>
    <cellStyle name="Assumption Currency. 2 3 4 6" xfId="1112"/>
    <cellStyle name="Assumption Currency. 2 3 4 7" xfId="1113"/>
    <cellStyle name="Assumption Currency. 2 3 4 8" xfId="1114"/>
    <cellStyle name="Assumption Currency. 2 3 4 9" xfId="1115"/>
    <cellStyle name="Assumption Currency. 2 3 5" xfId="1116"/>
    <cellStyle name="Assumption Currency. 2 3 5 10" xfId="1117"/>
    <cellStyle name="Assumption Currency. 2 3 5 2" xfId="1118"/>
    <cellStyle name="Assumption Currency. 2 3 5 3" xfId="1119"/>
    <cellStyle name="Assumption Currency. 2 3 5 4" xfId="1120"/>
    <cellStyle name="Assumption Currency. 2 3 5 5" xfId="1121"/>
    <cellStyle name="Assumption Currency. 2 3 5 6" xfId="1122"/>
    <cellStyle name="Assumption Currency. 2 3 5 7" xfId="1123"/>
    <cellStyle name="Assumption Currency. 2 3 5 8" xfId="1124"/>
    <cellStyle name="Assumption Currency. 2 3 5 9" xfId="1125"/>
    <cellStyle name="Assumption Currency. 2 3 6" xfId="1126"/>
    <cellStyle name="Assumption Currency. 2 3 7" xfId="1127"/>
    <cellStyle name="Assumption Currency. 2 3 8" xfId="1128"/>
    <cellStyle name="Assumption Currency. 2 3 9" xfId="1129"/>
    <cellStyle name="Assumption Currency. 2 4" xfId="1130"/>
    <cellStyle name="Assumption Currency. 2 4 10" xfId="1131"/>
    <cellStyle name="Assumption Currency. 2 4 11" xfId="1132"/>
    <cellStyle name="Assumption Currency. 2 4 12" xfId="1133"/>
    <cellStyle name="Assumption Currency. 2 4 13" xfId="1134"/>
    <cellStyle name="Assumption Currency. 2 4 2" xfId="1135"/>
    <cellStyle name="Assumption Currency. 2 4 2 10" xfId="1136"/>
    <cellStyle name="Assumption Currency. 2 4 2 11" xfId="1137"/>
    <cellStyle name="Assumption Currency. 2 4 2 12" xfId="1138"/>
    <cellStyle name="Assumption Currency. 2 4 2 2" xfId="1139"/>
    <cellStyle name="Assumption Currency. 2 4 2 2 10" xfId="1140"/>
    <cellStyle name="Assumption Currency. 2 4 2 2 2" xfId="1141"/>
    <cellStyle name="Assumption Currency. 2 4 2 2 2 10" xfId="1142"/>
    <cellStyle name="Assumption Currency. 2 4 2 2 2 2" xfId="1143"/>
    <cellStyle name="Assumption Currency. 2 4 2 2 2 3" xfId="1144"/>
    <cellStyle name="Assumption Currency. 2 4 2 2 2 4" xfId="1145"/>
    <cellStyle name="Assumption Currency. 2 4 2 2 2 5" xfId="1146"/>
    <cellStyle name="Assumption Currency. 2 4 2 2 2 6" xfId="1147"/>
    <cellStyle name="Assumption Currency. 2 4 2 2 2 7" xfId="1148"/>
    <cellStyle name="Assumption Currency. 2 4 2 2 2 8" xfId="1149"/>
    <cellStyle name="Assumption Currency. 2 4 2 2 2 9" xfId="1150"/>
    <cellStyle name="Assumption Currency. 2 4 2 2 3" xfId="1151"/>
    <cellStyle name="Assumption Currency. 2 4 2 2 4" xfId="1152"/>
    <cellStyle name="Assumption Currency. 2 4 2 2 5" xfId="1153"/>
    <cellStyle name="Assumption Currency. 2 4 2 2 6" xfId="1154"/>
    <cellStyle name="Assumption Currency. 2 4 2 2 7" xfId="1155"/>
    <cellStyle name="Assumption Currency. 2 4 2 2 8" xfId="1156"/>
    <cellStyle name="Assumption Currency. 2 4 2 2 9" xfId="1157"/>
    <cellStyle name="Assumption Currency. 2 4 2 3" xfId="1158"/>
    <cellStyle name="Assumption Currency. 2 4 2 3 10" xfId="1159"/>
    <cellStyle name="Assumption Currency. 2 4 2 3 2" xfId="1160"/>
    <cellStyle name="Assumption Currency. 2 4 2 3 3" xfId="1161"/>
    <cellStyle name="Assumption Currency. 2 4 2 3 4" xfId="1162"/>
    <cellStyle name="Assumption Currency. 2 4 2 3 5" xfId="1163"/>
    <cellStyle name="Assumption Currency. 2 4 2 3 6" xfId="1164"/>
    <cellStyle name="Assumption Currency. 2 4 2 3 7" xfId="1165"/>
    <cellStyle name="Assumption Currency. 2 4 2 3 8" xfId="1166"/>
    <cellStyle name="Assumption Currency. 2 4 2 3 9" xfId="1167"/>
    <cellStyle name="Assumption Currency. 2 4 2 4" xfId="1168"/>
    <cellStyle name="Assumption Currency. 2 4 2 5" xfId="1169"/>
    <cellStyle name="Assumption Currency. 2 4 2 6" xfId="1170"/>
    <cellStyle name="Assumption Currency. 2 4 2 7" xfId="1171"/>
    <cellStyle name="Assumption Currency. 2 4 2 8" xfId="1172"/>
    <cellStyle name="Assumption Currency. 2 4 2 9" xfId="1173"/>
    <cellStyle name="Assumption Currency. 2 4 3" xfId="1174"/>
    <cellStyle name="Assumption Currency. 2 4 3 10" xfId="1175"/>
    <cellStyle name="Assumption Currency. 2 4 3 2" xfId="1176"/>
    <cellStyle name="Assumption Currency. 2 4 3 2 10" xfId="1177"/>
    <cellStyle name="Assumption Currency. 2 4 3 2 2" xfId="1178"/>
    <cellStyle name="Assumption Currency. 2 4 3 2 3" xfId="1179"/>
    <cellStyle name="Assumption Currency. 2 4 3 2 4" xfId="1180"/>
    <cellStyle name="Assumption Currency. 2 4 3 2 5" xfId="1181"/>
    <cellStyle name="Assumption Currency. 2 4 3 2 6" xfId="1182"/>
    <cellStyle name="Assumption Currency. 2 4 3 2 7" xfId="1183"/>
    <cellStyle name="Assumption Currency. 2 4 3 2 8" xfId="1184"/>
    <cellStyle name="Assumption Currency. 2 4 3 2 9" xfId="1185"/>
    <cellStyle name="Assumption Currency. 2 4 3 3" xfId="1186"/>
    <cellStyle name="Assumption Currency. 2 4 3 4" xfId="1187"/>
    <cellStyle name="Assumption Currency. 2 4 3 5" xfId="1188"/>
    <cellStyle name="Assumption Currency. 2 4 3 6" xfId="1189"/>
    <cellStyle name="Assumption Currency. 2 4 3 7" xfId="1190"/>
    <cellStyle name="Assumption Currency. 2 4 3 8" xfId="1191"/>
    <cellStyle name="Assumption Currency. 2 4 3 9" xfId="1192"/>
    <cellStyle name="Assumption Currency. 2 4 4" xfId="1193"/>
    <cellStyle name="Assumption Currency. 2 4 4 10" xfId="1194"/>
    <cellStyle name="Assumption Currency. 2 4 4 2" xfId="1195"/>
    <cellStyle name="Assumption Currency. 2 4 4 3" xfId="1196"/>
    <cellStyle name="Assumption Currency. 2 4 4 4" xfId="1197"/>
    <cellStyle name="Assumption Currency. 2 4 4 5" xfId="1198"/>
    <cellStyle name="Assumption Currency. 2 4 4 6" xfId="1199"/>
    <cellStyle name="Assumption Currency. 2 4 4 7" xfId="1200"/>
    <cellStyle name="Assumption Currency. 2 4 4 8" xfId="1201"/>
    <cellStyle name="Assumption Currency. 2 4 4 9" xfId="1202"/>
    <cellStyle name="Assumption Currency. 2 4 5" xfId="1203"/>
    <cellStyle name="Assumption Currency. 2 4 6" xfId="1204"/>
    <cellStyle name="Assumption Currency. 2 4 7" xfId="1205"/>
    <cellStyle name="Assumption Currency. 2 4 8" xfId="1206"/>
    <cellStyle name="Assumption Currency. 2 4 9" xfId="1207"/>
    <cellStyle name="Assumption Currency. 2 5" xfId="1208"/>
    <cellStyle name="Assumption Currency. 2 5 10" xfId="1209"/>
    <cellStyle name="Assumption Currency. 2 5 11" xfId="1210"/>
    <cellStyle name="Assumption Currency. 2 5 12" xfId="1211"/>
    <cellStyle name="Assumption Currency. 2 5 13" xfId="1212"/>
    <cellStyle name="Assumption Currency. 2 5 2" xfId="1213"/>
    <cellStyle name="Assumption Currency. 2 5 2 10" xfId="1214"/>
    <cellStyle name="Assumption Currency. 2 5 2 11" xfId="1215"/>
    <cellStyle name="Assumption Currency. 2 5 2 12" xfId="1216"/>
    <cellStyle name="Assumption Currency. 2 5 2 2" xfId="1217"/>
    <cellStyle name="Assumption Currency. 2 5 2 2 10" xfId="1218"/>
    <cellStyle name="Assumption Currency. 2 5 2 2 2" xfId="1219"/>
    <cellStyle name="Assumption Currency. 2 5 2 2 2 10" xfId="1220"/>
    <cellStyle name="Assumption Currency. 2 5 2 2 2 2" xfId="1221"/>
    <cellStyle name="Assumption Currency. 2 5 2 2 2 3" xfId="1222"/>
    <cellStyle name="Assumption Currency. 2 5 2 2 2 4" xfId="1223"/>
    <cellStyle name="Assumption Currency. 2 5 2 2 2 5" xfId="1224"/>
    <cellStyle name="Assumption Currency. 2 5 2 2 2 6" xfId="1225"/>
    <cellStyle name="Assumption Currency. 2 5 2 2 2 7" xfId="1226"/>
    <cellStyle name="Assumption Currency. 2 5 2 2 2 8" xfId="1227"/>
    <cellStyle name="Assumption Currency. 2 5 2 2 2 9" xfId="1228"/>
    <cellStyle name="Assumption Currency. 2 5 2 2 3" xfId="1229"/>
    <cellStyle name="Assumption Currency. 2 5 2 2 4" xfId="1230"/>
    <cellStyle name="Assumption Currency. 2 5 2 2 5" xfId="1231"/>
    <cellStyle name="Assumption Currency. 2 5 2 2 6" xfId="1232"/>
    <cellStyle name="Assumption Currency. 2 5 2 2 7" xfId="1233"/>
    <cellStyle name="Assumption Currency. 2 5 2 2 8" xfId="1234"/>
    <cellStyle name="Assumption Currency. 2 5 2 2 9" xfId="1235"/>
    <cellStyle name="Assumption Currency. 2 5 2 3" xfId="1236"/>
    <cellStyle name="Assumption Currency. 2 5 2 3 10" xfId="1237"/>
    <cellStyle name="Assumption Currency. 2 5 2 3 2" xfId="1238"/>
    <cellStyle name="Assumption Currency. 2 5 2 3 3" xfId="1239"/>
    <cellStyle name="Assumption Currency. 2 5 2 3 4" xfId="1240"/>
    <cellStyle name="Assumption Currency. 2 5 2 3 5" xfId="1241"/>
    <cellStyle name="Assumption Currency. 2 5 2 3 6" xfId="1242"/>
    <cellStyle name="Assumption Currency. 2 5 2 3 7" xfId="1243"/>
    <cellStyle name="Assumption Currency. 2 5 2 3 8" xfId="1244"/>
    <cellStyle name="Assumption Currency. 2 5 2 3 9" xfId="1245"/>
    <cellStyle name="Assumption Currency. 2 5 2 4" xfId="1246"/>
    <cellStyle name="Assumption Currency. 2 5 2 5" xfId="1247"/>
    <cellStyle name="Assumption Currency. 2 5 2 6" xfId="1248"/>
    <cellStyle name="Assumption Currency. 2 5 2 7" xfId="1249"/>
    <cellStyle name="Assumption Currency. 2 5 2 8" xfId="1250"/>
    <cellStyle name="Assumption Currency. 2 5 2 9" xfId="1251"/>
    <cellStyle name="Assumption Currency. 2 5 3" xfId="1252"/>
    <cellStyle name="Assumption Currency. 2 5 3 10" xfId="1253"/>
    <cellStyle name="Assumption Currency. 2 5 3 2" xfId="1254"/>
    <cellStyle name="Assumption Currency. 2 5 3 2 10" xfId="1255"/>
    <cellStyle name="Assumption Currency. 2 5 3 2 2" xfId="1256"/>
    <cellStyle name="Assumption Currency. 2 5 3 2 3" xfId="1257"/>
    <cellStyle name="Assumption Currency. 2 5 3 2 4" xfId="1258"/>
    <cellStyle name="Assumption Currency. 2 5 3 2 5" xfId="1259"/>
    <cellStyle name="Assumption Currency. 2 5 3 2 6" xfId="1260"/>
    <cellStyle name="Assumption Currency. 2 5 3 2 7" xfId="1261"/>
    <cellStyle name="Assumption Currency. 2 5 3 2 8" xfId="1262"/>
    <cellStyle name="Assumption Currency. 2 5 3 2 9" xfId="1263"/>
    <cellStyle name="Assumption Currency. 2 5 3 3" xfId="1264"/>
    <cellStyle name="Assumption Currency. 2 5 3 4" xfId="1265"/>
    <cellStyle name="Assumption Currency. 2 5 3 5" xfId="1266"/>
    <cellStyle name="Assumption Currency. 2 5 3 6" xfId="1267"/>
    <cellStyle name="Assumption Currency. 2 5 3 7" xfId="1268"/>
    <cellStyle name="Assumption Currency. 2 5 3 8" xfId="1269"/>
    <cellStyle name="Assumption Currency. 2 5 3 9" xfId="1270"/>
    <cellStyle name="Assumption Currency. 2 5 4" xfId="1271"/>
    <cellStyle name="Assumption Currency. 2 5 4 10" xfId="1272"/>
    <cellStyle name="Assumption Currency. 2 5 4 2" xfId="1273"/>
    <cellStyle name="Assumption Currency. 2 5 4 3" xfId="1274"/>
    <cellStyle name="Assumption Currency. 2 5 4 4" xfId="1275"/>
    <cellStyle name="Assumption Currency. 2 5 4 5" xfId="1276"/>
    <cellStyle name="Assumption Currency. 2 5 4 6" xfId="1277"/>
    <cellStyle name="Assumption Currency. 2 5 4 7" xfId="1278"/>
    <cellStyle name="Assumption Currency. 2 5 4 8" xfId="1279"/>
    <cellStyle name="Assumption Currency. 2 5 4 9" xfId="1280"/>
    <cellStyle name="Assumption Currency. 2 5 5" xfId="1281"/>
    <cellStyle name="Assumption Currency. 2 5 6" xfId="1282"/>
    <cellStyle name="Assumption Currency. 2 5 7" xfId="1283"/>
    <cellStyle name="Assumption Currency. 2 5 8" xfId="1284"/>
    <cellStyle name="Assumption Currency. 2 5 9" xfId="1285"/>
    <cellStyle name="Assumption Currency. 2 6" xfId="1286"/>
    <cellStyle name="Assumption Currency. 2 6 10" xfId="1287"/>
    <cellStyle name="Assumption Currency. 2 6 11" xfId="1288"/>
    <cellStyle name="Assumption Currency. 2 6 12" xfId="1289"/>
    <cellStyle name="Assumption Currency. 2 6 2" xfId="1290"/>
    <cellStyle name="Assumption Currency. 2 6 2 10" xfId="1291"/>
    <cellStyle name="Assumption Currency. 2 6 2 2" xfId="1292"/>
    <cellStyle name="Assumption Currency. 2 6 2 2 10" xfId="1293"/>
    <cellStyle name="Assumption Currency. 2 6 2 2 2" xfId="1294"/>
    <cellStyle name="Assumption Currency. 2 6 2 2 3" xfId="1295"/>
    <cellStyle name="Assumption Currency. 2 6 2 2 4" xfId="1296"/>
    <cellStyle name="Assumption Currency. 2 6 2 2 5" xfId="1297"/>
    <cellStyle name="Assumption Currency. 2 6 2 2 6" xfId="1298"/>
    <cellStyle name="Assumption Currency. 2 6 2 2 7" xfId="1299"/>
    <cellStyle name="Assumption Currency. 2 6 2 2 8" xfId="1300"/>
    <cellStyle name="Assumption Currency. 2 6 2 2 9" xfId="1301"/>
    <cellStyle name="Assumption Currency. 2 6 2 3" xfId="1302"/>
    <cellStyle name="Assumption Currency. 2 6 2 4" xfId="1303"/>
    <cellStyle name="Assumption Currency. 2 6 2 5" xfId="1304"/>
    <cellStyle name="Assumption Currency. 2 6 2 6" xfId="1305"/>
    <cellStyle name="Assumption Currency. 2 6 2 7" xfId="1306"/>
    <cellStyle name="Assumption Currency. 2 6 2 8" xfId="1307"/>
    <cellStyle name="Assumption Currency. 2 6 2 9" xfId="1308"/>
    <cellStyle name="Assumption Currency. 2 6 3" xfId="1309"/>
    <cellStyle name="Assumption Currency. 2 6 3 10" xfId="1310"/>
    <cellStyle name="Assumption Currency. 2 6 3 2" xfId="1311"/>
    <cellStyle name="Assumption Currency. 2 6 3 3" xfId="1312"/>
    <cellStyle name="Assumption Currency. 2 6 3 4" xfId="1313"/>
    <cellStyle name="Assumption Currency. 2 6 3 5" xfId="1314"/>
    <cellStyle name="Assumption Currency. 2 6 3 6" xfId="1315"/>
    <cellStyle name="Assumption Currency. 2 6 3 7" xfId="1316"/>
    <cellStyle name="Assumption Currency. 2 6 3 8" xfId="1317"/>
    <cellStyle name="Assumption Currency. 2 6 3 9" xfId="1318"/>
    <cellStyle name="Assumption Currency. 2 6 4" xfId="1319"/>
    <cellStyle name="Assumption Currency. 2 6 5" xfId="1320"/>
    <cellStyle name="Assumption Currency. 2 6 6" xfId="1321"/>
    <cellStyle name="Assumption Currency. 2 6 7" xfId="1322"/>
    <cellStyle name="Assumption Currency. 2 6 8" xfId="1323"/>
    <cellStyle name="Assumption Currency. 2 6 9" xfId="1324"/>
    <cellStyle name="Assumption Currency. 2 7" xfId="1325"/>
    <cellStyle name="Assumption Currency. 2 7 10" xfId="1326"/>
    <cellStyle name="Assumption Currency. 2 7 11" xfId="1327"/>
    <cellStyle name="Assumption Currency. 2 7 12" xfId="1328"/>
    <cellStyle name="Assumption Currency. 2 7 2" xfId="1329"/>
    <cellStyle name="Assumption Currency. 2 7 2 10" xfId="1330"/>
    <cellStyle name="Assumption Currency. 2 7 2 2" xfId="1331"/>
    <cellStyle name="Assumption Currency. 2 7 2 2 10" xfId="1332"/>
    <cellStyle name="Assumption Currency. 2 7 2 2 2" xfId="1333"/>
    <cellStyle name="Assumption Currency. 2 7 2 2 3" xfId="1334"/>
    <cellStyle name="Assumption Currency. 2 7 2 2 4" xfId="1335"/>
    <cellStyle name="Assumption Currency. 2 7 2 2 5" xfId="1336"/>
    <cellStyle name="Assumption Currency. 2 7 2 2 6" xfId="1337"/>
    <cellStyle name="Assumption Currency. 2 7 2 2 7" xfId="1338"/>
    <cellStyle name="Assumption Currency. 2 7 2 2 8" xfId="1339"/>
    <cellStyle name="Assumption Currency. 2 7 2 2 9" xfId="1340"/>
    <cellStyle name="Assumption Currency. 2 7 2 3" xfId="1341"/>
    <cellStyle name="Assumption Currency. 2 7 2 4" xfId="1342"/>
    <cellStyle name="Assumption Currency. 2 7 2 5" xfId="1343"/>
    <cellStyle name="Assumption Currency. 2 7 2 6" xfId="1344"/>
    <cellStyle name="Assumption Currency. 2 7 2 7" xfId="1345"/>
    <cellStyle name="Assumption Currency. 2 7 2 8" xfId="1346"/>
    <cellStyle name="Assumption Currency. 2 7 2 9" xfId="1347"/>
    <cellStyle name="Assumption Currency. 2 7 3" xfId="1348"/>
    <cellStyle name="Assumption Currency. 2 7 3 10" xfId="1349"/>
    <cellStyle name="Assumption Currency. 2 7 3 2" xfId="1350"/>
    <cellStyle name="Assumption Currency. 2 7 3 3" xfId="1351"/>
    <cellStyle name="Assumption Currency. 2 7 3 4" xfId="1352"/>
    <cellStyle name="Assumption Currency. 2 7 3 5" xfId="1353"/>
    <cellStyle name="Assumption Currency. 2 7 3 6" xfId="1354"/>
    <cellStyle name="Assumption Currency. 2 7 3 7" xfId="1355"/>
    <cellStyle name="Assumption Currency. 2 7 3 8" xfId="1356"/>
    <cellStyle name="Assumption Currency. 2 7 3 9" xfId="1357"/>
    <cellStyle name="Assumption Currency. 2 7 4" xfId="1358"/>
    <cellStyle name="Assumption Currency. 2 7 5" xfId="1359"/>
    <cellStyle name="Assumption Currency. 2 7 6" xfId="1360"/>
    <cellStyle name="Assumption Currency. 2 7 7" xfId="1361"/>
    <cellStyle name="Assumption Currency. 2 7 8" xfId="1362"/>
    <cellStyle name="Assumption Currency. 2 7 9" xfId="1363"/>
    <cellStyle name="Assumption Currency. 2 8" xfId="1364"/>
    <cellStyle name="Assumption Currency. 2 8 10" xfId="1365"/>
    <cellStyle name="Assumption Currency. 2 8 11" xfId="1366"/>
    <cellStyle name="Assumption Currency. 2 8 12" xfId="1367"/>
    <cellStyle name="Assumption Currency. 2 8 2" xfId="1368"/>
    <cellStyle name="Assumption Currency. 2 8 2 10" xfId="1369"/>
    <cellStyle name="Assumption Currency. 2 8 2 2" xfId="1370"/>
    <cellStyle name="Assumption Currency. 2 8 2 2 10" xfId="1371"/>
    <cellStyle name="Assumption Currency. 2 8 2 2 2" xfId="1372"/>
    <cellStyle name="Assumption Currency. 2 8 2 2 3" xfId="1373"/>
    <cellStyle name="Assumption Currency. 2 8 2 2 4" xfId="1374"/>
    <cellStyle name="Assumption Currency. 2 8 2 2 5" xfId="1375"/>
    <cellStyle name="Assumption Currency. 2 8 2 2 6" xfId="1376"/>
    <cellStyle name="Assumption Currency. 2 8 2 2 7" xfId="1377"/>
    <cellStyle name="Assumption Currency. 2 8 2 2 8" xfId="1378"/>
    <cellStyle name="Assumption Currency. 2 8 2 2 9" xfId="1379"/>
    <cellStyle name="Assumption Currency. 2 8 2 3" xfId="1380"/>
    <cellStyle name="Assumption Currency. 2 8 2 4" xfId="1381"/>
    <cellStyle name="Assumption Currency. 2 8 2 5" xfId="1382"/>
    <cellStyle name="Assumption Currency. 2 8 2 6" xfId="1383"/>
    <cellStyle name="Assumption Currency. 2 8 2 7" xfId="1384"/>
    <cellStyle name="Assumption Currency. 2 8 2 8" xfId="1385"/>
    <cellStyle name="Assumption Currency. 2 8 2 9" xfId="1386"/>
    <cellStyle name="Assumption Currency. 2 8 3" xfId="1387"/>
    <cellStyle name="Assumption Currency. 2 8 3 10" xfId="1388"/>
    <cellStyle name="Assumption Currency. 2 8 3 2" xfId="1389"/>
    <cellStyle name="Assumption Currency. 2 8 3 3" xfId="1390"/>
    <cellStyle name="Assumption Currency. 2 8 3 4" xfId="1391"/>
    <cellStyle name="Assumption Currency. 2 8 3 5" xfId="1392"/>
    <cellStyle name="Assumption Currency. 2 8 3 6" xfId="1393"/>
    <cellStyle name="Assumption Currency. 2 8 3 7" xfId="1394"/>
    <cellStyle name="Assumption Currency. 2 8 3 8" xfId="1395"/>
    <cellStyle name="Assumption Currency. 2 8 3 9" xfId="1396"/>
    <cellStyle name="Assumption Currency. 2 8 4" xfId="1397"/>
    <cellStyle name="Assumption Currency. 2 8 5" xfId="1398"/>
    <cellStyle name="Assumption Currency. 2 8 6" xfId="1399"/>
    <cellStyle name="Assumption Currency. 2 8 7" xfId="1400"/>
    <cellStyle name="Assumption Currency. 2 8 8" xfId="1401"/>
    <cellStyle name="Assumption Currency. 2 8 9" xfId="1402"/>
    <cellStyle name="Assumption Currency. 2 9" xfId="1403"/>
    <cellStyle name="Assumption Currency. 2 9 10" xfId="1404"/>
    <cellStyle name="Assumption Currency. 2 9 2" xfId="1405"/>
    <cellStyle name="Assumption Currency. 2 9 2 10" xfId="1406"/>
    <cellStyle name="Assumption Currency. 2 9 2 2" xfId="1407"/>
    <cellStyle name="Assumption Currency. 2 9 2 3" xfId="1408"/>
    <cellStyle name="Assumption Currency. 2 9 2 4" xfId="1409"/>
    <cellStyle name="Assumption Currency. 2 9 2 5" xfId="1410"/>
    <cellStyle name="Assumption Currency. 2 9 2 6" xfId="1411"/>
    <cellStyle name="Assumption Currency. 2 9 2 7" xfId="1412"/>
    <cellStyle name="Assumption Currency. 2 9 2 8" xfId="1413"/>
    <cellStyle name="Assumption Currency. 2 9 2 9" xfId="1414"/>
    <cellStyle name="Assumption Currency. 2 9 3" xfId="1415"/>
    <cellStyle name="Assumption Currency. 2 9 4" xfId="1416"/>
    <cellStyle name="Assumption Currency. 2 9 5" xfId="1417"/>
    <cellStyle name="Assumption Currency. 2 9 6" xfId="1418"/>
    <cellStyle name="Assumption Currency. 2 9 7" xfId="1419"/>
    <cellStyle name="Assumption Currency. 2 9 8" xfId="1420"/>
    <cellStyle name="Assumption Currency. 2 9 9" xfId="1421"/>
    <cellStyle name="Assumption Currency. 3" xfId="1422"/>
    <cellStyle name="Assumption Currency. 3 10" xfId="1423"/>
    <cellStyle name="Assumption Currency. 3 11" xfId="1424"/>
    <cellStyle name="Assumption Currency. 3 12" xfId="1425"/>
    <cellStyle name="Assumption Currency. 3 13" xfId="1426"/>
    <cellStyle name="Assumption Currency. 3 14" xfId="1427"/>
    <cellStyle name="Assumption Currency. 3 15" xfId="1428"/>
    <cellStyle name="Assumption Currency. 3 16" xfId="1429"/>
    <cellStyle name="Assumption Currency. 3 2" xfId="1430"/>
    <cellStyle name="Assumption Currency. 3 2 10" xfId="1431"/>
    <cellStyle name="Assumption Currency. 3 2 11" xfId="1432"/>
    <cellStyle name="Assumption Currency. 3 2 12" xfId="1433"/>
    <cellStyle name="Assumption Currency. 3 2 13" xfId="1434"/>
    <cellStyle name="Assumption Currency. 3 2 14" xfId="1435"/>
    <cellStyle name="Assumption Currency. 3 2 2" xfId="1436"/>
    <cellStyle name="Assumption Currency. 3 2 2 10" xfId="1437"/>
    <cellStyle name="Assumption Currency. 3 2 2 11" xfId="1438"/>
    <cellStyle name="Assumption Currency. 3 2 2 12" xfId="1439"/>
    <cellStyle name="Assumption Currency. 3 2 2 13" xfId="1440"/>
    <cellStyle name="Assumption Currency. 3 2 2 2" xfId="1441"/>
    <cellStyle name="Assumption Currency. 3 2 2 2 10" xfId="1442"/>
    <cellStyle name="Assumption Currency. 3 2 2 2 11" xfId="1443"/>
    <cellStyle name="Assumption Currency. 3 2 2 2 12" xfId="1444"/>
    <cellStyle name="Assumption Currency. 3 2 2 2 2" xfId="1445"/>
    <cellStyle name="Assumption Currency. 3 2 2 2 2 10" xfId="1446"/>
    <cellStyle name="Assumption Currency. 3 2 2 2 2 2" xfId="1447"/>
    <cellStyle name="Assumption Currency. 3 2 2 2 2 2 10" xfId="1448"/>
    <cellStyle name="Assumption Currency. 3 2 2 2 2 2 2" xfId="1449"/>
    <cellStyle name="Assumption Currency. 3 2 2 2 2 2 3" xfId="1450"/>
    <cellStyle name="Assumption Currency. 3 2 2 2 2 2 4" xfId="1451"/>
    <cellStyle name="Assumption Currency. 3 2 2 2 2 2 5" xfId="1452"/>
    <cellStyle name="Assumption Currency. 3 2 2 2 2 2 6" xfId="1453"/>
    <cellStyle name="Assumption Currency. 3 2 2 2 2 2 7" xfId="1454"/>
    <cellStyle name="Assumption Currency. 3 2 2 2 2 2 8" xfId="1455"/>
    <cellStyle name="Assumption Currency. 3 2 2 2 2 2 9" xfId="1456"/>
    <cellStyle name="Assumption Currency. 3 2 2 2 2 3" xfId="1457"/>
    <cellStyle name="Assumption Currency. 3 2 2 2 2 4" xfId="1458"/>
    <cellStyle name="Assumption Currency. 3 2 2 2 2 5" xfId="1459"/>
    <cellStyle name="Assumption Currency. 3 2 2 2 2 6" xfId="1460"/>
    <cellStyle name="Assumption Currency. 3 2 2 2 2 7" xfId="1461"/>
    <cellStyle name="Assumption Currency. 3 2 2 2 2 8" xfId="1462"/>
    <cellStyle name="Assumption Currency. 3 2 2 2 2 9" xfId="1463"/>
    <cellStyle name="Assumption Currency. 3 2 2 2 3" xfId="1464"/>
    <cellStyle name="Assumption Currency. 3 2 2 2 3 10" xfId="1465"/>
    <cellStyle name="Assumption Currency. 3 2 2 2 3 2" xfId="1466"/>
    <cellStyle name="Assumption Currency. 3 2 2 2 3 3" xfId="1467"/>
    <cellStyle name="Assumption Currency. 3 2 2 2 3 4" xfId="1468"/>
    <cellStyle name="Assumption Currency. 3 2 2 2 3 5" xfId="1469"/>
    <cellStyle name="Assumption Currency. 3 2 2 2 3 6" xfId="1470"/>
    <cellStyle name="Assumption Currency. 3 2 2 2 3 7" xfId="1471"/>
    <cellStyle name="Assumption Currency. 3 2 2 2 3 8" xfId="1472"/>
    <cellStyle name="Assumption Currency. 3 2 2 2 3 9" xfId="1473"/>
    <cellStyle name="Assumption Currency. 3 2 2 2 4" xfId="1474"/>
    <cellStyle name="Assumption Currency. 3 2 2 2 5" xfId="1475"/>
    <cellStyle name="Assumption Currency. 3 2 2 2 6" xfId="1476"/>
    <cellStyle name="Assumption Currency. 3 2 2 2 7" xfId="1477"/>
    <cellStyle name="Assumption Currency. 3 2 2 2 8" xfId="1478"/>
    <cellStyle name="Assumption Currency. 3 2 2 2 9" xfId="1479"/>
    <cellStyle name="Assumption Currency. 3 2 2 3" xfId="1480"/>
    <cellStyle name="Assumption Currency. 3 2 2 3 10" xfId="1481"/>
    <cellStyle name="Assumption Currency. 3 2 2 3 2" xfId="1482"/>
    <cellStyle name="Assumption Currency. 3 2 2 3 2 10" xfId="1483"/>
    <cellStyle name="Assumption Currency. 3 2 2 3 2 2" xfId="1484"/>
    <cellStyle name="Assumption Currency. 3 2 2 3 2 3" xfId="1485"/>
    <cellStyle name="Assumption Currency. 3 2 2 3 2 4" xfId="1486"/>
    <cellStyle name="Assumption Currency. 3 2 2 3 2 5" xfId="1487"/>
    <cellStyle name="Assumption Currency. 3 2 2 3 2 6" xfId="1488"/>
    <cellStyle name="Assumption Currency. 3 2 2 3 2 7" xfId="1489"/>
    <cellStyle name="Assumption Currency. 3 2 2 3 2 8" xfId="1490"/>
    <cellStyle name="Assumption Currency. 3 2 2 3 2 9" xfId="1491"/>
    <cellStyle name="Assumption Currency. 3 2 2 3 3" xfId="1492"/>
    <cellStyle name="Assumption Currency. 3 2 2 3 4" xfId="1493"/>
    <cellStyle name="Assumption Currency. 3 2 2 3 5" xfId="1494"/>
    <cellStyle name="Assumption Currency. 3 2 2 3 6" xfId="1495"/>
    <cellStyle name="Assumption Currency. 3 2 2 3 7" xfId="1496"/>
    <cellStyle name="Assumption Currency. 3 2 2 3 8" xfId="1497"/>
    <cellStyle name="Assumption Currency. 3 2 2 3 9" xfId="1498"/>
    <cellStyle name="Assumption Currency. 3 2 2 4" xfId="1499"/>
    <cellStyle name="Assumption Currency. 3 2 2 4 10" xfId="1500"/>
    <cellStyle name="Assumption Currency. 3 2 2 4 2" xfId="1501"/>
    <cellStyle name="Assumption Currency. 3 2 2 4 3" xfId="1502"/>
    <cellStyle name="Assumption Currency. 3 2 2 4 4" xfId="1503"/>
    <cellStyle name="Assumption Currency. 3 2 2 4 5" xfId="1504"/>
    <cellStyle name="Assumption Currency. 3 2 2 4 6" xfId="1505"/>
    <cellStyle name="Assumption Currency. 3 2 2 4 7" xfId="1506"/>
    <cellStyle name="Assumption Currency. 3 2 2 4 8" xfId="1507"/>
    <cellStyle name="Assumption Currency. 3 2 2 4 9" xfId="1508"/>
    <cellStyle name="Assumption Currency. 3 2 2 5" xfId="1509"/>
    <cellStyle name="Assumption Currency. 3 2 2 6" xfId="1510"/>
    <cellStyle name="Assumption Currency. 3 2 2 7" xfId="1511"/>
    <cellStyle name="Assumption Currency. 3 2 2 8" xfId="1512"/>
    <cellStyle name="Assumption Currency. 3 2 2 9" xfId="1513"/>
    <cellStyle name="Assumption Currency. 3 2 3" xfId="1514"/>
    <cellStyle name="Assumption Currency. 3 2 3 10" xfId="1515"/>
    <cellStyle name="Assumption Currency. 3 2 3 11" xfId="1516"/>
    <cellStyle name="Assumption Currency. 3 2 3 12" xfId="1517"/>
    <cellStyle name="Assumption Currency. 3 2 3 2" xfId="1518"/>
    <cellStyle name="Assumption Currency. 3 2 3 2 10" xfId="1519"/>
    <cellStyle name="Assumption Currency. 3 2 3 2 2" xfId="1520"/>
    <cellStyle name="Assumption Currency. 3 2 3 2 2 10" xfId="1521"/>
    <cellStyle name="Assumption Currency. 3 2 3 2 2 2" xfId="1522"/>
    <cellStyle name="Assumption Currency. 3 2 3 2 2 3" xfId="1523"/>
    <cellStyle name="Assumption Currency. 3 2 3 2 2 4" xfId="1524"/>
    <cellStyle name="Assumption Currency. 3 2 3 2 2 5" xfId="1525"/>
    <cellStyle name="Assumption Currency. 3 2 3 2 2 6" xfId="1526"/>
    <cellStyle name="Assumption Currency. 3 2 3 2 2 7" xfId="1527"/>
    <cellStyle name="Assumption Currency. 3 2 3 2 2 8" xfId="1528"/>
    <cellStyle name="Assumption Currency. 3 2 3 2 2 9" xfId="1529"/>
    <cellStyle name="Assumption Currency. 3 2 3 2 3" xfId="1530"/>
    <cellStyle name="Assumption Currency. 3 2 3 2 4" xfId="1531"/>
    <cellStyle name="Assumption Currency. 3 2 3 2 5" xfId="1532"/>
    <cellStyle name="Assumption Currency. 3 2 3 2 6" xfId="1533"/>
    <cellStyle name="Assumption Currency. 3 2 3 2 7" xfId="1534"/>
    <cellStyle name="Assumption Currency. 3 2 3 2 8" xfId="1535"/>
    <cellStyle name="Assumption Currency. 3 2 3 2 9" xfId="1536"/>
    <cellStyle name="Assumption Currency. 3 2 3 3" xfId="1537"/>
    <cellStyle name="Assumption Currency. 3 2 3 3 10" xfId="1538"/>
    <cellStyle name="Assumption Currency. 3 2 3 3 2" xfId="1539"/>
    <cellStyle name="Assumption Currency. 3 2 3 3 3" xfId="1540"/>
    <cellStyle name="Assumption Currency. 3 2 3 3 4" xfId="1541"/>
    <cellStyle name="Assumption Currency. 3 2 3 3 5" xfId="1542"/>
    <cellStyle name="Assumption Currency. 3 2 3 3 6" xfId="1543"/>
    <cellStyle name="Assumption Currency. 3 2 3 3 7" xfId="1544"/>
    <cellStyle name="Assumption Currency. 3 2 3 3 8" xfId="1545"/>
    <cellStyle name="Assumption Currency. 3 2 3 3 9" xfId="1546"/>
    <cellStyle name="Assumption Currency. 3 2 3 4" xfId="1547"/>
    <cellStyle name="Assumption Currency. 3 2 3 5" xfId="1548"/>
    <cellStyle name="Assumption Currency. 3 2 3 6" xfId="1549"/>
    <cellStyle name="Assumption Currency. 3 2 3 7" xfId="1550"/>
    <cellStyle name="Assumption Currency. 3 2 3 8" xfId="1551"/>
    <cellStyle name="Assumption Currency. 3 2 3 9" xfId="1552"/>
    <cellStyle name="Assumption Currency. 3 2 4" xfId="1553"/>
    <cellStyle name="Assumption Currency. 3 2 4 10" xfId="1554"/>
    <cellStyle name="Assumption Currency. 3 2 4 2" xfId="1555"/>
    <cellStyle name="Assumption Currency. 3 2 4 2 10" xfId="1556"/>
    <cellStyle name="Assumption Currency. 3 2 4 2 2" xfId="1557"/>
    <cellStyle name="Assumption Currency. 3 2 4 2 3" xfId="1558"/>
    <cellStyle name="Assumption Currency. 3 2 4 2 4" xfId="1559"/>
    <cellStyle name="Assumption Currency. 3 2 4 2 5" xfId="1560"/>
    <cellStyle name="Assumption Currency. 3 2 4 2 6" xfId="1561"/>
    <cellStyle name="Assumption Currency. 3 2 4 2 7" xfId="1562"/>
    <cellStyle name="Assumption Currency. 3 2 4 2 8" xfId="1563"/>
    <cellStyle name="Assumption Currency. 3 2 4 2 9" xfId="1564"/>
    <cellStyle name="Assumption Currency. 3 2 4 3" xfId="1565"/>
    <cellStyle name="Assumption Currency. 3 2 4 4" xfId="1566"/>
    <cellStyle name="Assumption Currency. 3 2 4 5" xfId="1567"/>
    <cellStyle name="Assumption Currency. 3 2 4 6" xfId="1568"/>
    <cellStyle name="Assumption Currency. 3 2 4 7" xfId="1569"/>
    <cellStyle name="Assumption Currency. 3 2 4 8" xfId="1570"/>
    <cellStyle name="Assumption Currency. 3 2 4 9" xfId="1571"/>
    <cellStyle name="Assumption Currency. 3 2 5" xfId="1572"/>
    <cellStyle name="Assumption Currency. 3 2 5 10" xfId="1573"/>
    <cellStyle name="Assumption Currency. 3 2 5 2" xfId="1574"/>
    <cellStyle name="Assumption Currency. 3 2 5 3" xfId="1575"/>
    <cellStyle name="Assumption Currency. 3 2 5 4" xfId="1576"/>
    <cellStyle name="Assumption Currency. 3 2 5 5" xfId="1577"/>
    <cellStyle name="Assumption Currency. 3 2 5 6" xfId="1578"/>
    <cellStyle name="Assumption Currency. 3 2 5 7" xfId="1579"/>
    <cellStyle name="Assumption Currency. 3 2 5 8" xfId="1580"/>
    <cellStyle name="Assumption Currency. 3 2 5 9" xfId="1581"/>
    <cellStyle name="Assumption Currency. 3 2 6" xfId="1582"/>
    <cellStyle name="Assumption Currency. 3 2 7" xfId="1583"/>
    <cellStyle name="Assumption Currency. 3 2 8" xfId="1584"/>
    <cellStyle name="Assumption Currency. 3 2 9" xfId="1585"/>
    <cellStyle name="Assumption Currency. 3 3" xfId="1586"/>
    <cellStyle name="Assumption Currency. 3 3 10" xfId="1587"/>
    <cellStyle name="Assumption Currency. 3 3 11" xfId="1588"/>
    <cellStyle name="Assumption Currency. 3 3 12" xfId="1589"/>
    <cellStyle name="Assumption Currency. 3 3 13" xfId="1590"/>
    <cellStyle name="Assumption Currency. 3 3 2" xfId="1591"/>
    <cellStyle name="Assumption Currency. 3 3 2 10" xfId="1592"/>
    <cellStyle name="Assumption Currency. 3 3 2 11" xfId="1593"/>
    <cellStyle name="Assumption Currency. 3 3 2 12" xfId="1594"/>
    <cellStyle name="Assumption Currency. 3 3 2 2" xfId="1595"/>
    <cellStyle name="Assumption Currency. 3 3 2 2 10" xfId="1596"/>
    <cellStyle name="Assumption Currency. 3 3 2 2 2" xfId="1597"/>
    <cellStyle name="Assumption Currency. 3 3 2 2 2 10" xfId="1598"/>
    <cellStyle name="Assumption Currency. 3 3 2 2 2 2" xfId="1599"/>
    <cellStyle name="Assumption Currency. 3 3 2 2 2 3" xfId="1600"/>
    <cellStyle name="Assumption Currency. 3 3 2 2 2 4" xfId="1601"/>
    <cellStyle name="Assumption Currency. 3 3 2 2 2 5" xfId="1602"/>
    <cellStyle name="Assumption Currency. 3 3 2 2 2 6" xfId="1603"/>
    <cellStyle name="Assumption Currency. 3 3 2 2 2 7" xfId="1604"/>
    <cellStyle name="Assumption Currency. 3 3 2 2 2 8" xfId="1605"/>
    <cellStyle name="Assumption Currency. 3 3 2 2 2 9" xfId="1606"/>
    <cellStyle name="Assumption Currency. 3 3 2 2 3" xfId="1607"/>
    <cellStyle name="Assumption Currency. 3 3 2 2 4" xfId="1608"/>
    <cellStyle name="Assumption Currency. 3 3 2 2 5" xfId="1609"/>
    <cellStyle name="Assumption Currency. 3 3 2 2 6" xfId="1610"/>
    <cellStyle name="Assumption Currency. 3 3 2 2 7" xfId="1611"/>
    <cellStyle name="Assumption Currency. 3 3 2 2 8" xfId="1612"/>
    <cellStyle name="Assumption Currency. 3 3 2 2 9" xfId="1613"/>
    <cellStyle name="Assumption Currency. 3 3 2 3" xfId="1614"/>
    <cellStyle name="Assumption Currency. 3 3 2 3 10" xfId="1615"/>
    <cellStyle name="Assumption Currency. 3 3 2 3 2" xfId="1616"/>
    <cellStyle name="Assumption Currency. 3 3 2 3 3" xfId="1617"/>
    <cellStyle name="Assumption Currency. 3 3 2 3 4" xfId="1618"/>
    <cellStyle name="Assumption Currency. 3 3 2 3 5" xfId="1619"/>
    <cellStyle name="Assumption Currency. 3 3 2 3 6" xfId="1620"/>
    <cellStyle name="Assumption Currency. 3 3 2 3 7" xfId="1621"/>
    <cellStyle name="Assumption Currency. 3 3 2 3 8" xfId="1622"/>
    <cellStyle name="Assumption Currency. 3 3 2 3 9" xfId="1623"/>
    <cellStyle name="Assumption Currency. 3 3 2 4" xfId="1624"/>
    <cellStyle name="Assumption Currency. 3 3 2 5" xfId="1625"/>
    <cellStyle name="Assumption Currency. 3 3 2 6" xfId="1626"/>
    <cellStyle name="Assumption Currency. 3 3 2 7" xfId="1627"/>
    <cellStyle name="Assumption Currency. 3 3 2 8" xfId="1628"/>
    <cellStyle name="Assumption Currency. 3 3 2 9" xfId="1629"/>
    <cellStyle name="Assumption Currency. 3 3 3" xfId="1630"/>
    <cellStyle name="Assumption Currency. 3 3 3 10" xfId="1631"/>
    <cellStyle name="Assumption Currency. 3 3 3 2" xfId="1632"/>
    <cellStyle name="Assumption Currency. 3 3 3 2 10" xfId="1633"/>
    <cellStyle name="Assumption Currency. 3 3 3 2 2" xfId="1634"/>
    <cellStyle name="Assumption Currency. 3 3 3 2 3" xfId="1635"/>
    <cellStyle name="Assumption Currency. 3 3 3 2 4" xfId="1636"/>
    <cellStyle name="Assumption Currency. 3 3 3 2 5" xfId="1637"/>
    <cellStyle name="Assumption Currency. 3 3 3 2 6" xfId="1638"/>
    <cellStyle name="Assumption Currency. 3 3 3 2 7" xfId="1639"/>
    <cellStyle name="Assumption Currency. 3 3 3 2 8" xfId="1640"/>
    <cellStyle name="Assumption Currency. 3 3 3 2 9" xfId="1641"/>
    <cellStyle name="Assumption Currency. 3 3 3 3" xfId="1642"/>
    <cellStyle name="Assumption Currency. 3 3 3 4" xfId="1643"/>
    <cellStyle name="Assumption Currency. 3 3 3 5" xfId="1644"/>
    <cellStyle name="Assumption Currency. 3 3 3 6" xfId="1645"/>
    <cellStyle name="Assumption Currency. 3 3 3 7" xfId="1646"/>
    <cellStyle name="Assumption Currency. 3 3 3 8" xfId="1647"/>
    <cellStyle name="Assumption Currency. 3 3 3 9" xfId="1648"/>
    <cellStyle name="Assumption Currency. 3 3 4" xfId="1649"/>
    <cellStyle name="Assumption Currency. 3 3 4 10" xfId="1650"/>
    <cellStyle name="Assumption Currency. 3 3 4 2" xfId="1651"/>
    <cellStyle name="Assumption Currency. 3 3 4 3" xfId="1652"/>
    <cellStyle name="Assumption Currency. 3 3 4 4" xfId="1653"/>
    <cellStyle name="Assumption Currency. 3 3 4 5" xfId="1654"/>
    <cellStyle name="Assumption Currency. 3 3 4 6" xfId="1655"/>
    <cellStyle name="Assumption Currency. 3 3 4 7" xfId="1656"/>
    <cellStyle name="Assumption Currency. 3 3 4 8" xfId="1657"/>
    <cellStyle name="Assumption Currency. 3 3 4 9" xfId="1658"/>
    <cellStyle name="Assumption Currency. 3 3 5" xfId="1659"/>
    <cellStyle name="Assumption Currency. 3 3 6" xfId="1660"/>
    <cellStyle name="Assumption Currency. 3 3 7" xfId="1661"/>
    <cellStyle name="Assumption Currency. 3 3 8" xfId="1662"/>
    <cellStyle name="Assumption Currency. 3 3 9" xfId="1663"/>
    <cellStyle name="Assumption Currency. 3 4" xfId="1664"/>
    <cellStyle name="Assumption Currency. 3 4 10" xfId="1665"/>
    <cellStyle name="Assumption Currency. 3 4 11" xfId="1666"/>
    <cellStyle name="Assumption Currency. 3 4 12" xfId="1667"/>
    <cellStyle name="Assumption Currency. 3 4 2" xfId="1668"/>
    <cellStyle name="Assumption Currency. 3 4 2 10" xfId="1669"/>
    <cellStyle name="Assumption Currency. 3 4 2 2" xfId="1670"/>
    <cellStyle name="Assumption Currency. 3 4 2 2 10" xfId="1671"/>
    <cellStyle name="Assumption Currency. 3 4 2 2 2" xfId="1672"/>
    <cellStyle name="Assumption Currency. 3 4 2 2 3" xfId="1673"/>
    <cellStyle name="Assumption Currency. 3 4 2 2 4" xfId="1674"/>
    <cellStyle name="Assumption Currency. 3 4 2 2 5" xfId="1675"/>
    <cellStyle name="Assumption Currency. 3 4 2 2 6" xfId="1676"/>
    <cellStyle name="Assumption Currency. 3 4 2 2 7" xfId="1677"/>
    <cellStyle name="Assumption Currency. 3 4 2 2 8" xfId="1678"/>
    <cellStyle name="Assumption Currency. 3 4 2 2 9" xfId="1679"/>
    <cellStyle name="Assumption Currency. 3 4 2 3" xfId="1680"/>
    <cellStyle name="Assumption Currency. 3 4 2 4" xfId="1681"/>
    <cellStyle name="Assumption Currency. 3 4 2 5" xfId="1682"/>
    <cellStyle name="Assumption Currency. 3 4 2 6" xfId="1683"/>
    <cellStyle name="Assumption Currency. 3 4 2 7" xfId="1684"/>
    <cellStyle name="Assumption Currency. 3 4 2 8" xfId="1685"/>
    <cellStyle name="Assumption Currency. 3 4 2 9" xfId="1686"/>
    <cellStyle name="Assumption Currency. 3 4 3" xfId="1687"/>
    <cellStyle name="Assumption Currency. 3 4 3 10" xfId="1688"/>
    <cellStyle name="Assumption Currency. 3 4 3 2" xfId="1689"/>
    <cellStyle name="Assumption Currency. 3 4 3 3" xfId="1690"/>
    <cellStyle name="Assumption Currency. 3 4 3 4" xfId="1691"/>
    <cellStyle name="Assumption Currency. 3 4 3 5" xfId="1692"/>
    <cellStyle name="Assumption Currency. 3 4 3 6" xfId="1693"/>
    <cellStyle name="Assumption Currency. 3 4 3 7" xfId="1694"/>
    <cellStyle name="Assumption Currency. 3 4 3 8" xfId="1695"/>
    <cellStyle name="Assumption Currency. 3 4 3 9" xfId="1696"/>
    <cellStyle name="Assumption Currency. 3 4 4" xfId="1697"/>
    <cellStyle name="Assumption Currency. 3 4 5" xfId="1698"/>
    <cellStyle name="Assumption Currency. 3 4 6" xfId="1699"/>
    <cellStyle name="Assumption Currency. 3 4 7" xfId="1700"/>
    <cellStyle name="Assumption Currency. 3 4 8" xfId="1701"/>
    <cellStyle name="Assumption Currency. 3 4 9" xfId="1702"/>
    <cellStyle name="Assumption Currency. 3 5" xfId="1703"/>
    <cellStyle name="Assumption Currency. 3 5 10" xfId="1704"/>
    <cellStyle name="Assumption Currency. 3 5 11" xfId="1705"/>
    <cellStyle name="Assumption Currency. 3 5 12" xfId="1706"/>
    <cellStyle name="Assumption Currency. 3 5 2" xfId="1707"/>
    <cellStyle name="Assumption Currency. 3 5 2 10" xfId="1708"/>
    <cellStyle name="Assumption Currency. 3 5 2 2" xfId="1709"/>
    <cellStyle name="Assumption Currency. 3 5 2 2 10" xfId="1710"/>
    <cellStyle name="Assumption Currency. 3 5 2 2 2" xfId="1711"/>
    <cellStyle name="Assumption Currency. 3 5 2 2 3" xfId="1712"/>
    <cellStyle name="Assumption Currency. 3 5 2 2 4" xfId="1713"/>
    <cellStyle name="Assumption Currency. 3 5 2 2 5" xfId="1714"/>
    <cellStyle name="Assumption Currency. 3 5 2 2 6" xfId="1715"/>
    <cellStyle name="Assumption Currency. 3 5 2 2 7" xfId="1716"/>
    <cellStyle name="Assumption Currency. 3 5 2 2 8" xfId="1717"/>
    <cellStyle name="Assumption Currency. 3 5 2 2 9" xfId="1718"/>
    <cellStyle name="Assumption Currency. 3 5 2 3" xfId="1719"/>
    <cellStyle name="Assumption Currency. 3 5 2 4" xfId="1720"/>
    <cellStyle name="Assumption Currency. 3 5 2 5" xfId="1721"/>
    <cellStyle name="Assumption Currency. 3 5 2 6" xfId="1722"/>
    <cellStyle name="Assumption Currency. 3 5 2 7" xfId="1723"/>
    <cellStyle name="Assumption Currency. 3 5 2 8" xfId="1724"/>
    <cellStyle name="Assumption Currency. 3 5 2 9" xfId="1725"/>
    <cellStyle name="Assumption Currency. 3 5 3" xfId="1726"/>
    <cellStyle name="Assumption Currency. 3 5 3 10" xfId="1727"/>
    <cellStyle name="Assumption Currency. 3 5 3 2" xfId="1728"/>
    <cellStyle name="Assumption Currency. 3 5 3 3" xfId="1729"/>
    <cellStyle name="Assumption Currency. 3 5 3 4" xfId="1730"/>
    <cellStyle name="Assumption Currency. 3 5 3 5" xfId="1731"/>
    <cellStyle name="Assumption Currency. 3 5 3 6" xfId="1732"/>
    <cellStyle name="Assumption Currency. 3 5 3 7" xfId="1733"/>
    <cellStyle name="Assumption Currency. 3 5 3 8" xfId="1734"/>
    <cellStyle name="Assumption Currency. 3 5 3 9" xfId="1735"/>
    <cellStyle name="Assumption Currency. 3 5 4" xfId="1736"/>
    <cellStyle name="Assumption Currency. 3 5 5" xfId="1737"/>
    <cellStyle name="Assumption Currency. 3 5 6" xfId="1738"/>
    <cellStyle name="Assumption Currency. 3 5 7" xfId="1739"/>
    <cellStyle name="Assumption Currency. 3 5 8" xfId="1740"/>
    <cellStyle name="Assumption Currency. 3 5 9" xfId="1741"/>
    <cellStyle name="Assumption Currency. 3 6" xfId="1742"/>
    <cellStyle name="Assumption Currency. 3 6 10" xfId="1743"/>
    <cellStyle name="Assumption Currency. 3 6 2" xfId="1744"/>
    <cellStyle name="Assumption Currency. 3 6 2 10" xfId="1745"/>
    <cellStyle name="Assumption Currency. 3 6 2 2" xfId="1746"/>
    <cellStyle name="Assumption Currency. 3 6 2 3" xfId="1747"/>
    <cellStyle name="Assumption Currency. 3 6 2 4" xfId="1748"/>
    <cellStyle name="Assumption Currency. 3 6 2 5" xfId="1749"/>
    <cellStyle name="Assumption Currency. 3 6 2 6" xfId="1750"/>
    <cellStyle name="Assumption Currency. 3 6 2 7" xfId="1751"/>
    <cellStyle name="Assumption Currency. 3 6 2 8" xfId="1752"/>
    <cellStyle name="Assumption Currency. 3 6 2 9" xfId="1753"/>
    <cellStyle name="Assumption Currency. 3 6 3" xfId="1754"/>
    <cellStyle name="Assumption Currency. 3 6 4" xfId="1755"/>
    <cellStyle name="Assumption Currency. 3 6 5" xfId="1756"/>
    <cellStyle name="Assumption Currency. 3 6 6" xfId="1757"/>
    <cellStyle name="Assumption Currency. 3 6 7" xfId="1758"/>
    <cellStyle name="Assumption Currency. 3 6 8" xfId="1759"/>
    <cellStyle name="Assumption Currency. 3 6 9" xfId="1760"/>
    <cellStyle name="Assumption Currency. 3 7" xfId="1761"/>
    <cellStyle name="Assumption Currency. 3 7 10" xfId="1762"/>
    <cellStyle name="Assumption Currency. 3 7 2" xfId="1763"/>
    <cellStyle name="Assumption Currency. 3 7 3" xfId="1764"/>
    <cellStyle name="Assumption Currency. 3 7 4" xfId="1765"/>
    <cellStyle name="Assumption Currency. 3 7 5" xfId="1766"/>
    <cellStyle name="Assumption Currency. 3 7 6" xfId="1767"/>
    <cellStyle name="Assumption Currency. 3 7 7" xfId="1768"/>
    <cellStyle name="Assumption Currency. 3 7 8" xfId="1769"/>
    <cellStyle name="Assumption Currency. 3 7 9" xfId="1770"/>
    <cellStyle name="Assumption Currency. 3 8" xfId="1771"/>
    <cellStyle name="Assumption Currency. 3 9" xfId="1772"/>
    <cellStyle name="Assumption Currency. 4" xfId="1773"/>
    <cellStyle name="Assumption Currency. 4 10" xfId="1774"/>
    <cellStyle name="Assumption Currency. 4 11" xfId="1775"/>
    <cellStyle name="Assumption Currency. 4 12" xfId="1776"/>
    <cellStyle name="Assumption Currency. 4 13" xfId="1777"/>
    <cellStyle name="Assumption Currency. 4 2" xfId="1778"/>
    <cellStyle name="Assumption Currency. 4 2 10" xfId="1779"/>
    <cellStyle name="Assumption Currency. 4 2 11" xfId="1780"/>
    <cellStyle name="Assumption Currency. 4 2 12" xfId="1781"/>
    <cellStyle name="Assumption Currency. 4 2 2" xfId="1782"/>
    <cellStyle name="Assumption Currency. 4 2 2 10" xfId="1783"/>
    <cellStyle name="Assumption Currency. 4 2 2 2" xfId="1784"/>
    <cellStyle name="Assumption Currency. 4 2 2 2 10" xfId="1785"/>
    <cellStyle name="Assumption Currency. 4 2 2 2 2" xfId="1786"/>
    <cellStyle name="Assumption Currency. 4 2 2 2 3" xfId="1787"/>
    <cellStyle name="Assumption Currency. 4 2 2 2 4" xfId="1788"/>
    <cellStyle name="Assumption Currency. 4 2 2 2 5" xfId="1789"/>
    <cellStyle name="Assumption Currency. 4 2 2 2 6" xfId="1790"/>
    <cellStyle name="Assumption Currency. 4 2 2 2 7" xfId="1791"/>
    <cellStyle name="Assumption Currency. 4 2 2 2 8" xfId="1792"/>
    <cellStyle name="Assumption Currency. 4 2 2 2 9" xfId="1793"/>
    <cellStyle name="Assumption Currency. 4 2 2 3" xfId="1794"/>
    <cellStyle name="Assumption Currency. 4 2 2 4" xfId="1795"/>
    <cellStyle name="Assumption Currency. 4 2 2 5" xfId="1796"/>
    <cellStyle name="Assumption Currency. 4 2 2 6" xfId="1797"/>
    <cellStyle name="Assumption Currency. 4 2 2 7" xfId="1798"/>
    <cellStyle name="Assumption Currency. 4 2 2 8" xfId="1799"/>
    <cellStyle name="Assumption Currency. 4 2 2 9" xfId="1800"/>
    <cellStyle name="Assumption Currency. 4 2 3" xfId="1801"/>
    <cellStyle name="Assumption Currency. 4 2 3 10" xfId="1802"/>
    <cellStyle name="Assumption Currency. 4 2 3 2" xfId="1803"/>
    <cellStyle name="Assumption Currency. 4 2 3 3" xfId="1804"/>
    <cellStyle name="Assumption Currency. 4 2 3 4" xfId="1805"/>
    <cellStyle name="Assumption Currency. 4 2 3 5" xfId="1806"/>
    <cellStyle name="Assumption Currency. 4 2 3 6" xfId="1807"/>
    <cellStyle name="Assumption Currency. 4 2 3 7" xfId="1808"/>
    <cellStyle name="Assumption Currency. 4 2 3 8" xfId="1809"/>
    <cellStyle name="Assumption Currency. 4 2 3 9" xfId="1810"/>
    <cellStyle name="Assumption Currency. 4 2 4" xfId="1811"/>
    <cellStyle name="Assumption Currency. 4 2 5" xfId="1812"/>
    <cellStyle name="Assumption Currency. 4 2 6" xfId="1813"/>
    <cellStyle name="Assumption Currency. 4 2 7" xfId="1814"/>
    <cellStyle name="Assumption Currency. 4 2 8" xfId="1815"/>
    <cellStyle name="Assumption Currency. 4 2 9" xfId="1816"/>
    <cellStyle name="Assumption Currency. 4 3" xfId="1817"/>
    <cellStyle name="Assumption Currency. 4 3 10" xfId="1818"/>
    <cellStyle name="Assumption Currency. 4 3 2" xfId="1819"/>
    <cellStyle name="Assumption Currency. 4 3 2 10" xfId="1820"/>
    <cellStyle name="Assumption Currency. 4 3 2 2" xfId="1821"/>
    <cellStyle name="Assumption Currency. 4 3 2 3" xfId="1822"/>
    <cellStyle name="Assumption Currency. 4 3 2 4" xfId="1823"/>
    <cellStyle name="Assumption Currency. 4 3 2 5" xfId="1824"/>
    <cellStyle name="Assumption Currency. 4 3 2 6" xfId="1825"/>
    <cellStyle name="Assumption Currency. 4 3 2 7" xfId="1826"/>
    <cellStyle name="Assumption Currency. 4 3 2 8" xfId="1827"/>
    <cellStyle name="Assumption Currency. 4 3 2 9" xfId="1828"/>
    <cellStyle name="Assumption Currency. 4 3 3" xfId="1829"/>
    <cellStyle name="Assumption Currency. 4 3 4" xfId="1830"/>
    <cellStyle name="Assumption Currency. 4 3 5" xfId="1831"/>
    <cellStyle name="Assumption Currency. 4 3 6" xfId="1832"/>
    <cellStyle name="Assumption Currency. 4 3 7" xfId="1833"/>
    <cellStyle name="Assumption Currency. 4 3 8" xfId="1834"/>
    <cellStyle name="Assumption Currency. 4 3 9" xfId="1835"/>
    <cellStyle name="Assumption Currency. 4 4" xfId="1836"/>
    <cellStyle name="Assumption Currency. 4 4 10" xfId="1837"/>
    <cellStyle name="Assumption Currency. 4 4 2" xfId="1838"/>
    <cellStyle name="Assumption Currency. 4 4 3" xfId="1839"/>
    <cellStyle name="Assumption Currency. 4 4 4" xfId="1840"/>
    <cellStyle name="Assumption Currency. 4 4 5" xfId="1841"/>
    <cellStyle name="Assumption Currency. 4 4 6" xfId="1842"/>
    <cellStyle name="Assumption Currency. 4 4 7" xfId="1843"/>
    <cellStyle name="Assumption Currency. 4 4 8" xfId="1844"/>
    <cellStyle name="Assumption Currency. 4 4 9" xfId="1845"/>
    <cellStyle name="Assumption Currency. 4 5" xfId="1846"/>
    <cellStyle name="Assumption Currency. 4 6" xfId="1847"/>
    <cellStyle name="Assumption Currency. 4 7" xfId="1848"/>
    <cellStyle name="Assumption Currency. 4 8" xfId="1849"/>
    <cellStyle name="Assumption Currency. 4 9" xfId="1850"/>
    <cellStyle name="Assumption Currency. 5" xfId="1851"/>
    <cellStyle name="Assumption Currency. 5 10" xfId="1852"/>
    <cellStyle name="Assumption Currency. 5 11" xfId="1853"/>
    <cellStyle name="Assumption Currency. 5 12" xfId="1854"/>
    <cellStyle name="Assumption Currency. 5 13" xfId="1855"/>
    <cellStyle name="Assumption Currency. 5 2" xfId="1856"/>
    <cellStyle name="Assumption Currency. 5 2 10" xfId="1857"/>
    <cellStyle name="Assumption Currency. 5 2 11" xfId="1858"/>
    <cellStyle name="Assumption Currency. 5 2 12" xfId="1859"/>
    <cellStyle name="Assumption Currency. 5 2 2" xfId="1860"/>
    <cellStyle name="Assumption Currency. 5 2 2 10" xfId="1861"/>
    <cellStyle name="Assumption Currency. 5 2 2 2" xfId="1862"/>
    <cellStyle name="Assumption Currency. 5 2 2 2 10" xfId="1863"/>
    <cellStyle name="Assumption Currency. 5 2 2 2 2" xfId="1864"/>
    <cellStyle name="Assumption Currency. 5 2 2 2 3" xfId="1865"/>
    <cellStyle name="Assumption Currency. 5 2 2 2 4" xfId="1866"/>
    <cellStyle name="Assumption Currency. 5 2 2 2 5" xfId="1867"/>
    <cellStyle name="Assumption Currency. 5 2 2 2 6" xfId="1868"/>
    <cellStyle name="Assumption Currency. 5 2 2 2 7" xfId="1869"/>
    <cellStyle name="Assumption Currency. 5 2 2 2 8" xfId="1870"/>
    <cellStyle name="Assumption Currency. 5 2 2 2 9" xfId="1871"/>
    <cellStyle name="Assumption Currency. 5 2 2 3" xfId="1872"/>
    <cellStyle name="Assumption Currency. 5 2 2 4" xfId="1873"/>
    <cellStyle name="Assumption Currency. 5 2 2 5" xfId="1874"/>
    <cellStyle name="Assumption Currency. 5 2 2 6" xfId="1875"/>
    <cellStyle name="Assumption Currency. 5 2 2 7" xfId="1876"/>
    <cellStyle name="Assumption Currency. 5 2 2 8" xfId="1877"/>
    <cellStyle name="Assumption Currency. 5 2 2 9" xfId="1878"/>
    <cellStyle name="Assumption Currency. 5 2 3" xfId="1879"/>
    <cellStyle name="Assumption Currency. 5 2 3 10" xfId="1880"/>
    <cellStyle name="Assumption Currency. 5 2 3 2" xfId="1881"/>
    <cellStyle name="Assumption Currency. 5 2 3 3" xfId="1882"/>
    <cellStyle name="Assumption Currency. 5 2 3 4" xfId="1883"/>
    <cellStyle name="Assumption Currency. 5 2 3 5" xfId="1884"/>
    <cellStyle name="Assumption Currency. 5 2 3 6" xfId="1885"/>
    <cellStyle name="Assumption Currency. 5 2 3 7" xfId="1886"/>
    <cellStyle name="Assumption Currency. 5 2 3 8" xfId="1887"/>
    <cellStyle name="Assumption Currency. 5 2 3 9" xfId="1888"/>
    <cellStyle name="Assumption Currency. 5 2 4" xfId="1889"/>
    <cellStyle name="Assumption Currency. 5 2 5" xfId="1890"/>
    <cellStyle name="Assumption Currency. 5 2 6" xfId="1891"/>
    <cellStyle name="Assumption Currency. 5 2 7" xfId="1892"/>
    <cellStyle name="Assumption Currency. 5 2 8" xfId="1893"/>
    <cellStyle name="Assumption Currency. 5 2 9" xfId="1894"/>
    <cellStyle name="Assumption Currency. 5 3" xfId="1895"/>
    <cellStyle name="Assumption Currency. 5 3 10" xfId="1896"/>
    <cellStyle name="Assumption Currency. 5 3 2" xfId="1897"/>
    <cellStyle name="Assumption Currency. 5 3 2 10" xfId="1898"/>
    <cellStyle name="Assumption Currency. 5 3 2 2" xfId="1899"/>
    <cellStyle name="Assumption Currency. 5 3 2 3" xfId="1900"/>
    <cellStyle name="Assumption Currency. 5 3 2 4" xfId="1901"/>
    <cellStyle name="Assumption Currency. 5 3 2 5" xfId="1902"/>
    <cellStyle name="Assumption Currency. 5 3 2 6" xfId="1903"/>
    <cellStyle name="Assumption Currency. 5 3 2 7" xfId="1904"/>
    <cellStyle name="Assumption Currency. 5 3 2 8" xfId="1905"/>
    <cellStyle name="Assumption Currency. 5 3 2 9" xfId="1906"/>
    <cellStyle name="Assumption Currency. 5 3 3" xfId="1907"/>
    <cellStyle name="Assumption Currency. 5 3 4" xfId="1908"/>
    <cellStyle name="Assumption Currency. 5 3 5" xfId="1909"/>
    <cellStyle name="Assumption Currency. 5 3 6" xfId="1910"/>
    <cellStyle name="Assumption Currency. 5 3 7" xfId="1911"/>
    <cellStyle name="Assumption Currency. 5 3 8" xfId="1912"/>
    <cellStyle name="Assumption Currency. 5 3 9" xfId="1913"/>
    <cellStyle name="Assumption Currency. 5 4" xfId="1914"/>
    <cellStyle name="Assumption Currency. 5 4 10" xfId="1915"/>
    <cellStyle name="Assumption Currency. 5 4 2" xfId="1916"/>
    <cellStyle name="Assumption Currency. 5 4 3" xfId="1917"/>
    <cellStyle name="Assumption Currency. 5 4 4" xfId="1918"/>
    <cellStyle name="Assumption Currency. 5 4 5" xfId="1919"/>
    <cellStyle name="Assumption Currency. 5 4 6" xfId="1920"/>
    <cellStyle name="Assumption Currency. 5 4 7" xfId="1921"/>
    <cellStyle name="Assumption Currency. 5 4 8" xfId="1922"/>
    <cellStyle name="Assumption Currency. 5 4 9" xfId="1923"/>
    <cellStyle name="Assumption Currency. 5 5" xfId="1924"/>
    <cellStyle name="Assumption Currency. 5 6" xfId="1925"/>
    <cellStyle name="Assumption Currency. 5 7" xfId="1926"/>
    <cellStyle name="Assumption Currency. 5 8" xfId="1927"/>
    <cellStyle name="Assumption Currency. 5 9" xfId="1928"/>
    <cellStyle name="Assumption Currency. 6" xfId="1929"/>
    <cellStyle name="Assumption Currency. 6 10" xfId="1930"/>
    <cellStyle name="Assumption Currency. 6 11" xfId="1931"/>
    <cellStyle name="Assumption Currency. 6 12" xfId="1932"/>
    <cellStyle name="Assumption Currency. 6 13" xfId="1933"/>
    <cellStyle name="Assumption Currency. 6 2" xfId="1934"/>
    <cellStyle name="Assumption Currency. 6 2 10" xfId="1935"/>
    <cellStyle name="Assumption Currency. 6 2 11" xfId="1936"/>
    <cellStyle name="Assumption Currency. 6 2 12" xfId="1937"/>
    <cellStyle name="Assumption Currency. 6 2 2" xfId="1938"/>
    <cellStyle name="Assumption Currency. 6 2 2 10" xfId="1939"/>
    <cellStyle name="Assumption Currency. 6 2 2 2" xfId="1940"/>
    <cellStyle name="Assumption Currency. 6 2 2 2 10" xfId="1941"/>
    <cellStyle name="Assumption Currency. 6 2 2 2 2" xfId="1942"/>
    <cellStyle name="Assumption Currency. 6 2 2 2 3" xfId="1943"/>
    <cellStyle name="Assumption Currency. 6 2 2 2 4" xfId="1944"/>
    <cellStyle name="Assumption Currency. 6 2 2 2 5" xfId="1945"/>
    <cellStyle name="Assumption Currency. 6 2 2 2 6" xfId="1946"/>
    <cellStyle name="Assumption Currency. 6 2 2 2 7" xfId="1947"/>
    <cellStyle name="Assumption Currency. 6 2 2 2 8" xfId="1948"/>
    <cellStyle name="Assumption Currency. 6 2 2 2 9" xfId="1949"/>
    <cellStyle name="Assumption Currency. 6 2 2 3" xfId="1950"/>
    <cellStyle name="Assumption Currency. 6 2 2 4" xfId="1951"/>
    <cellStyle name="Assumption Currency. 6 2 2 5" xfId="1952"/>
    <cellStyle name="Assumption Currency. 6 2 2 6" xfId="1953"/>
    <cellStyle name="Assumption Currency. 6 2 2 7" xfId="1954"/>
    <cellStyle name="Assumption Currency. 6 2 2 8" xfId="1955"/>
    <cellStyle name="Assumption Currency. 6 2 2 9" xfId="1956"/>
    <cellStyle name="Assumption Currency. 6 2 3" xfId="1957"/>
    <cellStyle name="Assumption Currency. 6 2 3 10" xfId="1958"/>
    <cellStyle name="Assumption Currency. 6 2 3 2" xfId="1959"/>
    <cellStyle name="Assumption Currency. 6 2 3 3" xfId="1960"/>
    <cellStyle name="Assumption Currency. 6 2 3 4" xfId="1961"/>
    <cellStyle name="Assumption Currency. 6 2 3 5" xfId="1962"/>
    <cellStyle name="Assumption Currency. 6 2 3 6" xfId="1963"/>
    <cellStyle name="Assumption Currency. 6 2 3 7" xfId="1964"/>
    <cellStyle name="Assumption Currency. 6 2 3 8" xfId="1965"/>
    <cellStyle name="Assumption Currency. 6 2 3 9" xfId="1966"/>
    <cellStyle name="Assumption Currency. 6 2 4" xfId="1967"/>
    <cellStyle name="Assumption Currency. 6 2 5" xfId="1968"/>
    <cellStyle name="Assumption Currency. 6 2 6" xfId="1969"/>
    <cellStyle name="Assumption Currency. 6 2 7" xfId="1970"/>
    <cellStyle name="Assumption Currency. 6 2 8" xfId="1971"/>
    <cellStyle name="Assumption Currency. 6 2 9" xfId="1972"/>
    <cellStyle name="Assumption Currency. 6 3" xfId="1973"/>
    <cellStyle name="Assumption Currency. 6 3 10" xfId="1974"/>
    <cellStyle name="Assumption Currency. 6 3 2" xfId="1975"/>
    <cellStyle name="Assumption Currency. 6 3 2 10" xfId="1976"/>
    <cellStyle name="Assumption Currency. 6 3 2 2" xfId="1977"/>
    <cellStyle name="Assumption Currency. 6 3 2 3" xfId="1978"/>
    <cellStyle name="Assumption Currency. 6 3 2 4" xfId="1979"/>
    <cellStyle name="Assumption Currency. 6 3 2 5" xfId="1980"/>
    <cellStyle name="Assumption Currency. 6 3 2 6" xfId="1981"/>
    <cellStyle name="Assumption Currency. 6 3 2 7" xfId="1982"/>
    <cellStyle name="Assumption Currency. 6 3 2 8" xfId="1983"/>
    <cellStyle name="Assumption Currency. 6 3 2 9" xfId="1984"/>
    <cellStyle name="Assumption Currency. 6 3 3" xfId="1985"/>
    <cellStyle name="Assumption Currency. 6 3 4" xfId="1986"/>
    <cellStyle name="Assumption Currency. 6 3 5" xfId="1987"/>
    <cellStyle name="Assumption Currency. 6 3 6" xfId="1988"/>
    <cellStyle name="Assumption Currency. 6 3 7" xfId="1989"/>
    <cellStyle name="Assumption Currency. 6 3 8" xfId="1990"/>
    <cellStyle name="Assumption Currency. 6 3 9" xfId="1991"/>
    <cellStyle name="Assumption Currency. 6 4" xfId="1992"/>
    <cellStyle name="Assumption Currency. 6 4 10" xfId="1993"/>
    <cellStyle name="Assumption Currency. 6 4 2" xfId="1994"/>
    <cellStyle name="Assumption Currency. 6 4 3" xfId="1995"/>
    <cellStyle name="Assumption Currency. 6 4 4" xfId="1996"/>
    <cellStyle name="Assumption Currency. 6 4 5" xfId="1997"/>
    <cellStyle name="Assumption Currency. 6 4 6" xfId="1998"/>
    <cellStyle name="Assumption Currency. 6 4 7" xfId="1999"/>
    <cellStyle name="Assumption Currency. 6 4 8" xfId="2000"/>
    <cellStyle name="Assumption Currency. 6 4 9" xfId="2001"/>
    <cellStyle name="Assumption Currency. 6 5" xfId="2002"/>
    <cellStyle name="Assumption Currency. 6 6" xfId="2003"/>
    <cellStyle name="Assumption Currency. 6 7" xfId="2004"/>
    <cellStyle name="Assumption Currency. 6 8" xfId="2005"/>
    <cellStyle name="Assumption Currency. 6 9" xfId="2006"/>
    <cellStyle name="Assumption Currency. 7" xfId="2007"/>
    <cellStyle name="Assumption Currency. 7 10" xfId="2008"/>
    <cellStyle name="Assumption Currency. 7 11" xfId="2009"/>
    <cellStyle name="Assumption Currency. 7 12" xfId="2010"/>
    <cellStyle name="Assumption Currency. 7 13" xfId="2011"/>
    <cellStyle name="Assumption Currency. 7 2" xfId="2012"/>
    <cellStyle name="Assumption Currency. 7 2 10" xfId="2013"/>
    <cellStyle name="Assumption Currency. 7 2 11" xfId="2014"/>
    <cellStyle name="Assumption Currency. 7 2 12" xfId="2015"/>
    <cellStyle name="Assumption Currency. 7 2 2" xfId="2016"/>
    <cellStyle name="Assumption Currency. 7 2 2 10" xfId="2017"/>
    <cellStyle name="Assumption Currency. 7 2 2 2" xfId="2018"/>
    <cellStyle name="Assumption Currency. 7 2 2 2 10" xfId="2019"/>
    <cellStyle name="Assumption Currency. 7 2 2 2 2" xfId="2020"/>
    <cellStyle name="Assumption Currency. 7 2 2 2 3" xfId="2021"/>
    <cellStyle name="Assumption Currency. 7 2 2 2 4" xfId="2022"/>
    <cellStyle name="Assumption Currency. 7 2 2 2 5" xfId="2023"/>
    <cellStyle name="Assumption Currency. 7 2 2 2 6" xfId="2024"/>
    <cellStyle name="Assumption Currency. 7 2 2 2 7" xfId="2025"/>
    <cellStyle name="Assumption Currency. 7 2 2 2 8" xfId="2026"/>
    <cellStyle name="Assumption Currency. 7 2 2 2 9" xfId="2027"/>
    <cellStyle name="Assumption Currency. 7 2 2 3" xfId="2028"/>
    <cellStyle name="Assumption Currency. 7 2 2 4" xfId="2029"/>
    <cellStyle name="Assumption Currency. 7 2 2 5" xfId="2030"/>
    <cellStyle name="Assumption Currency. 7 2 2 6" xfId="2031"/>
    <cellStyle name="Assumption Currency. 7 2 2 7" xfId="2032"/>
    <cellStyle name="Assumption Currency. 7 2 2 8" xfId="2033"/>
    <cellStyle name="Assumption Currency. 7 2 2 9" xfId="2034"/>
    <cellStyle name="Assumption Currency. 7 2 3" xfId="2035"/>
    <cellStyle name="Assumption Currency. 7 2 3 10" xfId="2036"/>
    <cellStyle name="Assumption Currency. 7 2 3 2" xfId="2037"/>
    <cellStyle name="Assumption Currency. 7 2 3 3" xfId="2038"/>
    <cellStyle name="Assumption Currency. 7 2 3 4" xfId="2039"/>
    <cellStyle name="Assumption Currency. 7 2 3 5" xfId="2040"/>
    <cellStyle name="Assumption Currency. 7 2 3 6" xfId="2041"/>
    <cellStyle name="Assumption Currency. 7 2 3 7" xfId="2042"/>
    <cellStyle name="Assumption Currency. 7 2 3 8" xfId="2043"/>
    <cellStyle name="Assumption Currency. 7 2 3 9" xfId="2044"/>
    <cellStyle name="Assumption Currency. 7 2 4" xfId="2045"/>
    <cellStyle name="Assumption Currency. 7 2 5" xfId="2046"/>
    <cellStyle name="Assumption Currency. 7 2 6" xfId="2047"/>
    <cellStyle name="Assumption Currency. 7 2 7" xfId="2048"/>
    <cellStyle name="Assumption Currency. 7 2 8" xfId="2049"/>
    <cellStyle name="Assumption Currency. 7 2 9" xfId="2050"/>
    <cellStyle name="Assumption Currency. 7 3" xfId="2051"/>
    <cellStyle name="Assumption Currency. 7 3 10" xfId="2052"/>
    <cellStyle name="Assumption Currency. 7 3 2" xfId="2053"/>
    <cellStyle name="Assumption Currency. 7 3 2 10" xfId="2054"/>
    <cellStyle name="Assumption Currency. 7 3 2 2" xfId="2055"/>
    <cellStyle name="Assumption Currency. 7 3 2 3" xfId="2056"/>
    <cellStyle name="Assumption Currency. 7 3 2 4" xfId="2057"/>
    <cellStyle name="Assumption Currency. 7 3 2 5" xfId="2058"/>
    <cellStyle name="Assumption Currency. 7 3 2 6" xfId="2059"/>
    <cellStyle name="Assumption Currency. 7 3 2 7" xfId="2060"/>
    <cellStyle name="Assumption Currency. 7 3 2 8" xfId="2061"/>
    <cellStyle name="Assumption Currency. 7 3 2 9" xfId="2062"/>
    <cellStyle name="Assumption Currency. 7 3 3" xfId="2063"/>
    <cellStyle name="Assumption Currency. 7 3 4" xfId="2064"/>
    <cellStyle name="Assumption Currency. 7 3 5" xfId="2065"/>
    <cellStyle name="Assumption Currency. 7 3 6" xfId="2066"/>
    <cellStyle name="Assumption Currency. 7 3 7" xfId="2067"/>
    <cellStyle name="Assumption Currency. 7 3 8" xfId="2068"/>
    <cellStyle name="Assumption Currency. 7 3 9" xfId="2069"/>
    <cellStyle name="Assumption Currency. 7 4" xfId="2070"/>
    <cellStyle name="Assumption Currency. 7 4 10" xfId="2071"/>
    <cellStyle name="Assumption Currency. 7 4 2" xfId="2072"/>
    <cellStyle name="Assumption Currency. 7 4 3" xfId="2073"/>
    <cellStyle name="Assumption Currency. 7 4 4" xfId="2074"/>
    <cellStyle name="Assumption Currency. 7 4 5" xfId="2075"/>
    <cellStyle name="Assumption Currency. 7 4 6" xfId="2076"/>
    <cellStyle name="Assumption Currency. 7 4 7" xfId="2077"/>
    <cellStyle name="Assumption Currency. 7 4 8" xfId="2078"/>
    <cellStyle name="Assumption Currency. 7 4 9" xfId="2079"/>
    <cellStyle name="Assumption Currency. 7 5" xfId="2080"/>
    <cellStyle name="Assumption Currency. 7 6" xfId="2081"/>
    <cellStyle name="Assumption Currency. 7 7" xfId="2082"/>
    <cellStyle name="Assumption Currency. 7 8" xfId="2083"/>
    <cellStyle name="Assumption Currency. 7 9" xfId="2084"/>
    <cellStyle name="Assumption Currency. 8" xfId="2085"/>
    <cellStyle name="Assumption Currency. 8 10" xfId="2086"/>
    <cellStyle name="Assumption Currency. 8 11" xfId="2087"/>
    <cellStyle name="Assumption Currency. 8 12" xfId="2088"/>
    <cellStyle name="Assumption Currency. 8 13" xfId="2089"/>
    <cellStyle name="Assumption Currency. 8 2" xfId="2090"/>
    <cellStyle name="Assumption Currency. 8 2 10" xfId="2091"/>
    <cellStyle name="Assumption Currency. 8 2 11" xfId="2092"/>
    <cellStyle name="Assumption Currency. 8 2 12" xfId="2093"/>
    <cellStyle name="Assumption Currency. 8 2 2" xfId="2094"/>
    <cellStyle name="Assumption Currency. 8 2 2 10" xfId="2095"/>
    <cellStyle name="Assumption Currency. 8 2 2 2" xfId="2096"/>
    <cellStyle name="Assumption Currency. 8 2 2 2 10" xfId="2097"/>
    <cellStyle name="Assumption Currency. 8 2 2 2 2" xfId="2098"/>
    <cellStyle name="Assumption Currency. 8 2 2 2 3" xfId="2099"/>
    <cellStyle name="Assumption Currency. 8 2 2 2 4" xfId="2100"/>
    <cellStyle name="Assumption Currency. 8 2 2 2 5" xfId="2101"/>
    <cellStyle name="Assumption Currency. 8 2 2 2 6" xfId="2102"/>
    <cellStyle name="Assumption Currency. 8 2 2 2 7" xfId="2103"/>
    <cellStyle name="Assumption Currency. 8 2 2 2 8" xfId="2104"/>
    <cellStyle name="Assumption Currency. 8 2 2 2 9" xfId="2105"/>
    <cellStyle name="Assumption Currency. 8 2 2 3" xfId="2106"/>
    <cellStyle name="Assumption Currency. 8 2 2 4" xfId="2107"/>
    <cellStyle name="Assumption Currency. 8 2 2 5" xfId="2108"/>
    <cellStyle name="Assumption Currency. 8 2 2 6" xfId="2109"/>
    <cellStyle name="Assumption Currency. 8 2 2 7" xfId="2110"/>
    <cellStyle name="Assumption Currency. 8 2 2 8" xfId="2111"/>
    <cellStyle name="Assumption Currency. 8 2 2 9" xfId="2112"/>
    <cellStyle name="Assumption Currency. 8 2 3" xfId="2113"/>
    <cellStyle name="Assumption Currency. 8 2 3 10" xfId="2114"/>
    <cellStyle name="Assumption Currency. 8 2 3 2" xfId="2115"/>
    <cellStyle name="Assumption Currency. 8 2 3 3" xfId="2116"/>
    <cellStyle name="Assumption Currency. 8 2 3 4" xfId="2117"/>
    <cellStyle name="Assumption Currency. 8 2 3 5" xfId="2118"/>
    <cellStyle name="Assumption Currency. 8 2 3 6" xfId="2119"/>
    <cellStyle name="Assumption Currency. 8 2 3 7" xfId="2120"/>
    <cellStyle name="Assumption Currency. 8 2 3 8" xfId="2121"/>
    <cellStyle name="Assumption Currency. 8 2 3 9" xfId="2122"/>
    <cellStyle name="Assumption Currency. 8 2 4" xfId="2123"/>
    <cellStyle name="Assumption Currency. 8 2 5" xfId="2124"/>
    <cellStyle name="Assumption Currency. 8 2 6" xfId="2125"/>
    <cellStyle name="Assumption Currency. 8 2 7" xfId="2126"/>
    <cellStyle name="Assumption Currency. 8 2 8" xfId="2127"/>
    <cellStyle name="Assumption Currency. 8 2 9" xfId="2128"/>
    <cellStyle name="Assumption Currency. 8 3" xfId="2129"/>
    <cellStyle name="Assumption Currency. 8 3 10" xfId="2130"/>
    <cellStyle name="Assumption Currency. 8 3 2" xfId="2131"/>
    <cellStyle name="Assumption Currency. 8 3 2 10" xfId="2132"/>
    <cellStyle name="Assumption Currency. 8 3 2 2" xfId="2133"/>
    <cellStyle name="Assumption Currency. 8 3 2 3" xfId="2134"/>
    <cellStyle name="Assumption Currency. 8 3 2 4" xfId="2135"/>
    <cellStyle name="Assumption Currency. 8 3 2 5" xfId="2136"/>
    <cellStyle name="Assumption Currency. 8 3 2 6" xfId="2137"/>
    <cellStyle name="Assumption Currency. 8 3 2 7" xfId="2138"/>
    <cellStyle name="Assumption Currency. 8 3 2 8" xfId="2139"/>
    <cellStyle name="Assumption Currency. 8 3 2 9" xfId="2140"/>
    <cellStyle name="Assumption Currency. 8 3 3" xfId="2141"/>
    <cellStyle name="Assumption Currency. 8 3 4" xfId="2142"/>
    <cellStyle name="Assumption Currency. 8 3 5" xfId="2143"/>
    <cellStyle name="Assumption Currency. 8 3 6" xfId="2144"/>
    <cellStyle name="Assumption Currency. 8 3 7" xfId="2145"/>
    <cellStyle name="Assumption Currency. 8 3 8" xfId="2146"/>
    <cellStyle name="Assumption Currency. 8 3 9" xfId="2147"/>
    <cellStyle name="Assumption Currency. 8 4" xfId="2148"/>
    <cellStyle name="Assumption Currency. 8 4 10" xfId="2149"/>
    <cellStyle name="Assumption Currency. 8 4 2" xfId="2150"/>
    <cellStyle name="Assumption Currency. 8 4 3" xfId="2151"/>
    <cellStyle name="Assumption Currency. 8 4 4" xfId="2152"/>
    <cellStyle name="Assumption Currency. 8 4 5" xfId="2153"/>
    <cellStyle name="Assumption Currency. 8 4 6" xfId="2154"/>
    <cellStyle name="Assumption Currency. 8 4 7" xfId="2155"/>
    <cellStyle name="Assumption Currency. 8 4 8" xfId="2156"/>
    <cellStyle name="Assumption Currency. 8 4 9" xfId="2157"/>
    <cellStyle name="Assumption Currency. 8 5" xfId="2158"/>
    <cellStyle name="Assumption Currency. 8 6" xfId="2159"/>
    <cellStyle name="Assumption Currency. 8 7" xfId="2160"/>
    <cellStyle name="Assumption Currency. 8 8" xfId="2161"/>
    <cellStyle name="Assumption Currency. 8 9" xfId="2162"/>
    <cellStyle name="Assumption Currency. 9" xfId="2163"/>
    <cellStyle name="Assumption Currency. 9 10" xfId="2164"/>
    <cellStyle name="Assumption Currency. 9 11" xfId="2165"/>
    <cellStyle name="Assumption Currency. 9 12" xfId="2166"/>
    <cellStyle name="Assumption Currency. 9 13" xfId="2167"/>
    <cellStyle name="Assumption Currency. 9 2" xfId="2168"/>
    <cellStyle name="Assumption Currency. 9 2 10" xfId="2169"/>
    <cellStyle name="Assumption Currency. 9 2 11" xfId="2170"/>
    <cellStyle name="Assumption Currency. 9 2 12" xfId="2171"/>
    <cellStyle name="Assumption Currency. 9 2 2" xfId="2172"/>
    <cellStyle name="Assumption Currency. 9 2 2 10" xfId="2173"/>
    <cellStyle name="Assumption Currency. 9 2 2 2" xfId="2174"/>
    <cellStyle name="Assumption Currency. 9 2 2 2 10" xfId="2175"/>
    <cellStyle name="Assumption Currency. 9 2 2 2 2" xfId="2176"/>
    <cellStyle name="Assumption Currency. 9 2 2 2 3" xfId="2177"/>
    <cellStyle name="Assumption Currency. 9 2 2 2 4" xfId="2178"/>
    <cellStyle name="Assumption Currency. 9 2 2 2 5" xfId="2179"/>
    <cellStyle name="Assumption Currency. 9 2 2 2 6" xfId="2180"/>
    <cellStyle name="Assumption Currency. 9 2 2 2 7" xfId="2181"/>
    <cellStyle name="Assumption Currency. 9 2 2 2 8" xfId="2182"/>
    <cellStyle name="Assumption Currency. 9 2 2 2 9" xfId="2183"/>
    <cellStyle name="Assumption Currency. 9 2 2 3" xfId="2184"/>
    <cellStyle name="Assumption Currency. 9 2 2 4" xfId="2185"/>
    <cellStyle name="Assumption Currency. 9 2 2 5" xfId="2186"/>
    <cellStyle name="Assumption Currency. 9 2 2 6" xfId="2187"/>
    <cellStyle name="Assumption Currency. 9 2 2 7" xfId="2188"/>
    <cellStyle name="Assumption Currency. 9 2 2 8" xfId="2189"/>
    <cellStyle name="Assumption Currency. 9 2 2 9" xfId="2190"/>
    <cellStyle name="Assumption Currency. 9 2 3" xfId="2191"/>
    <cellStyle name="Assumption Currency. 9 2 3 10" xfId="2192"/>
    <cellStyle name="Assumption Currency. 9 2 3 2" xfId="2193"/>
    <cellStyle name="Assumption Currency. 9 2 3 3" xfId="2194"/>
    <cellStyle name="Assumption Currency. 9 2 3 4" xfId="2195"/>
    <cellStyle name="Assumption Currency. 9 2 3 5" xfId="2196"/>
    <cellStyle name="Assumption Currency. 9 2 3 6" xfId="2197"/>
    <cellStyle name="Assumption Currency. 9 2 3 7" xfId="2198"/>
    <cellStyle name="Assumption Currency. 9 2 3 8" xfId="2199"/>
    <cellStyle name="Assumption Currency. 9 2 3 9" xfId="2200"/>
    <cellStyle name="Assumption Currency. 9 2 4" xfId="2201"/>
    <cellStyle name="Assumption Currency. 9 2 5" xfId="2202"/>
    <cellStyle name="Assumption Currency. 9 2 6" xfId="2203"/>
    <cellStyle name="Assumption Currency. 9 2 7" xfId="2204"/>
    <cellStyle name="Assumption Currency. 9 2 8" xfId="2205"/>
    <cellStyle name="Assumption Currency. 9 2 9" xfId="2206"/>
    <cellStyle name="Assumption Currency. 9 3" xfId="2207"/>
    <cellStyle name="Assumption Currency. 9 3 10" xfId="2208"/>
    <cellStyle name="Assumption Currency. 9 3 2" xfId="2209"/>
    <cellStyle name="Assumption Currency. 9 3 2 10" xfId="2210"/>
    <cellStyle name="Assumption Currency. 9 3 2 2" xfId="2211"/>
    <cellStyle name="Assumption Currency. 9 3 2 3" xfId="2212"/>
    <cellStyle name="Assumption Currency. 9 3 2 4" xfId="2213"/>
    <cellStyle name="Assumption Currency. 9 3 2 5" xfId="2214"/>
    <cellStyle name="Assumption Currency. 9 3 2 6" xfId="2215"/>
    <cellStyle name="Assumption Currency. 9 3 2 7" xfId="2216"/>
    <cellStyle name="Assumption Currency. 9 3 2 8" xfId="2217"/>
    <cellStyle name="Assumption Currency. 9 3 2 9" xfId="2218"/>
    <cellStyle name="Assumption Currency. 9 3 3" xfId="2219"/>
    <cellStyle name="Assumption Currency. 9 3 4" xfId="2220"/>
    <cellStyle name="Assumption Currency. 9 3 5" xfId="2221"/>
    <cellStyle name="Assumption Currency. 9 3 6" xfId="2222"/>
    <cellStyle name="Assumption Currency. 9 3 7" xfId="2223"/>
    <cellStyle name="Assumption Currency. 9 3 8" xfId="2224"/>
    <cellStyle name="Assumption Currency. 9 3 9" xfId="2225"/>
    <cellStyle name="Assumption Currency. 9 4" xfId="2226"/>
    <cellStyle name="Assumption Currency. 9 4 10" xfId="2227"/>
    <cellStyle name="Assumption Currency. 9 4 2" xfId="2228"/>
    <cellStyle name="Assumption Currency. 9 4 3" xfId="2229"/>
    <cellStyle name="Assumption Currency. 9 4 4" xfId="2230"/>
    <cellStyle name="Assumption Currency. 9 4 5" xfId="2231"/>
    <cellStyle name="Assumption Currency. 9 4 6" xfId="2232"/>
    <cellStyle name="Assumption Currency. 9 4 7" xfId="2233"/>
    <cellStyle name="Assumption Currency. 9 4 8" xfId="2234"/>
    <cellStyle name="Assumption Currency. 9 4 9" xfId="2235"/>
    <cellStyle name="Assumption Currency. 9 5" xfId="2236"/>
    <cellStyle name="Assumption Currency. 9 6" xfId="2237"/>
    <cellStyle name="Assumption Currency. 9 7" xfId="2238"/>
    <cellStyle name="Assumption Currency. 9 8" xfId="2239"/>
    <cellStyle name="Assumption Currency. 9 9" xfId="2240"/>
    <cellStyle name="Assumption Date." xfId="2241"/>
    <cellStyle name="Assumption Date. 10" xfId="2242"/>
    <cellStyle name="Assumption Date. 10 10" xfId="2243"/>
    <cellStyle name="Assumption Date. 10 11" xfId="2244"/>
    <cellStyle name="Assumption Date. 10 12" xfId="2245"/>
    <cellStyle name="Assumption Date. 10 13" xfId="2246"/>
    <cellStyle name="Assumption Date. 10 2" xfId="2247"/>
    <cellStyle name="Assumption Date. 10 2 10" xfId="2248"/>
    <cellStyle name="Assumption Date. 10 2 11" xfId="2249"/>
    <cellStyle name="Assumption Date. 10 2 12" xfId="2250"/>
    <cellStyle name="Assumption Date. 10 2 2" xfId="2251"/>
    <cellStyle name="Assumption Date. 10 2 2 10" xfId="2252"/>
    <cellStyle name="Assumption Date. 10 2 2 2" xfId="2253"/>
    <cellStyle name="Assumption Date. 10 2 2 2 10" xfId="2254"/>
    <cellStyle name="Assumption Date. 10 2 2 2 2" xfId="2255"/>
    <cellStyle name="Assumption Date. 10 2 2 2 3" xfId="2256"/>
    <cellStyle name="Assumption Date. 10 2 2 2 4" xfId="2257"/>
    <cellStyle name="Assumption Date. 10 2 2 2 5" xfId="2258"/>
    <cellStyle name="Assumption Date. 10 2 2 2 6" xfId="2259"/>
    <cellStyle name="Assumption Date. 10 2 2 2 7" xfId="2260"/>
    <cellStyle name="Assumption Date. 10 2 2 2 8" xfId="2261"/>
    <cellStyle name="Assumption Date. 10 2 2 2 9" xfId="2262"/>
    <cellStyle name="Assumption Date. 10 2 2 3" xfId="2263"/>
    <cellStyle name="Assumption Date. 10 2 2 4" xfId="2264"/>
    <cellStyle name="Assumption Date. 10 2 2 5" xfId="2265"/>
    <cellStyle name="Assumption Date. 10 2 2 6" xfId="2266"/>
    <cellStyle name="Assumption Date. 10 2 2 7" xfId="2267"/>
    <cellStyle name="Assumption Date. 10 2 2 8" xfId="2268"/>
    <cellStyle name="Assumption Date. 10 2 2 9" xfId="2269"/>
    <cellStyle name="Assumption Date. 10 2 3" xfId="2270"/>
    <cellStyle name="Assumption Date. 10 2 3 10" xfId="2271"/>
    <cellStyle name="Assumption Date. 10 2 3 2" xfId="2272"/>
    <cellStyle name="Assumption Date. 10 2 3 3" xfId="2273"/>
    <cellStyle name="Assumption Date. 10 2 3 4" xfId="2274"/>
    <cellStyle name="Assumption Date. 10 2 3 5" xfId="2275"/>
    <cellStyle name="Assumption Date. 10 2 3 6" xfId="2276"/>
    <cellStyle name="Assumption Date. 10 2 3 7" xfId="2277"/>
    <cellStyle name="Assumption Date. 10 2 3 8" xfId="2278"/>
    <cellStyle name="Assumption Date. 10 2 3 9" xfId="2279"/>
    <cellStyle name="Assumption Date. 10 2 4" xfId="2280"/>
    <cellStyle name="Assumption Date. 10 2 5" xfId="2281"/>
    <cellStyle name="Assumption Date. 10 2 6" xfId="2282"/>
    <cellStyle name="Assumption Date. 10 2 7" xfId="2283"/>
    <cellStyle name="Assumption Date. 10 2 8" xfId="2284"/>
    <cellStyle name="Assumption Date. 10 2 9" xfId="2285"/>
    <cellStyle name="Assumption Date. 10 3" xfId="2286"/>
    <cellStyle name="Assumption Date. 10 3 10" xfId="2287"/>
    <cellStyle name="Assumption Date. 10 3 2" xfId="2288"/>
    <cellStyle name="Assumption Date. 10 3 2 10" xfId="2289"/>
    <cellStyle name="Assumption Date. 10 3 2 2" xfId="2290"/>
    <cellStyle name="Assumption Date. 10 3 2 3" xfId="2291"/>
    <cellStyle name="Assumption Date. 10 3 2 4" xfId="2292"/>
    <cellStyle name="Assumption Date. 10 3 2 5" xfId="2293"/>
    <cellStyle name="Assumption Date. 10 3 2 6" xfId="2294"/>
    <cellStyle name="Assumption Date. 10 3 2 7" xfId="2295"/>
    <cellStyle name="Assumption Date. 10 3 2 8" xfId="2296"/>
    <cellStyle name="Assumption Date. 10 3 2 9" xfId="2297"/>
    <cellStyle name="Assumption Date. 10 3 3" xfId="2298"/>
    <cellStyle name="Assumption Date. 10 3 4" xfId="2299"/>
    <cellStyle name="Assumption Date. 10 3 5" xfId="2300"/>
    <cellStyle name="Assumption Date. 10 3 6" xfId="2301"/>
    <cellStyle name="Assumption Date. 10 3 7" xfId="2302"/>
    <cellStyle name="Assumption Date. 10 3 8" xfId="2303"/>
    <cellStyle name="Assumption Date. 10 3 9" xfId="2304"/>
    <cellStyle name="Assumption Date. 10 4" xfId="2305"/>
    <cellStyle name="Assumption Date. 10 4 10" xfId="2306"/>
    <cellStyle name="Assumption Date. 10 4 2" xfId="2307"/>
    <cellStyle name="Assumption Date. 10 4 3" xfId="2308"/>
    <cellStyle name="Assumption Date. 10 4 4" xfId="2309"/>
    <cellStyle name="Assumption Date. 10 4 5" xfId="2310"/>
    <cellStyle name="Assumption Date. 10 4 6" xfId="2311"/>
    <cellStyle name="Assumption Date. 10 4 7" xfId="2312"/>
    <cellStyle name="Assumption Date. 10 4 8" xfId="2313"/>
    <cellStyle name="Assumption Date. 10 4 9" xfId="2314"/>
    <cellStyle name="Assumption Date. 10 5" xfId="2315"/>
    <cellStyle name="Assumption Date. 10 6" xfId="2316"/>
    <cellStyle name="Assumption Date. 10 7" xfId="2317"/>
    <cellStyle name="Assumption Date. 10 8" xfId="2318"/>
    <cellStyle name="Assumption Date. 10 9" xfId="2319"/>
    <cellStyle name="Assumption Date. 11" xfId="2320"/>
    <cellStyle name="Assumption Date. 11 10" xfId="2321"/>
    <cellStyle name="Assumption Date. 11 11" xfId="2322"/>
    <cellStyle name="Assumption Date. 11 12" xfId="2323"/>
    <cellStyle name="Assumption Date. 11 2" xfId="2324"/>
    <cellStyle name="Assumption Date. 11 2 10" xfId="2325"/>
    <cellStyle name="Assumption Date. 11 2 2" xfId="2326"/>
    <cellStyle name="Assumption Date. 11 2 2 10" xfId="2327"/>
    <cellStyle name="Assumption Date. 11 2 2 2" xfId="2328"/>
    <cellStyle name="Assumption Date. 11 2 2 3" xfId="2329"/>
    <cellStyle name="Assumption Date. 11 2 2 4" xfId="2330"/>
    <cellStyle name="Assumption Date. 11 2 2 5" xfId="2331"/>
    <cellStyle name="Assumption Date. 11 2 2 6" xfId="2332"/>
    <cellStyle name="Assumption Date. 11 2 2 7" xfId="2333"/>
    <cellStyle name="Assumption Date. 11 2 2 8" xfId="2334"/>
    <cellStyle name="Assumption Date. 11 2 2 9" xfId="2335"/>
    <cellStyle name="Assumption Date. 11 2 3" xfId="2336"/>
    <cellStyle name="Assumption Date. 11 2 4" xfId="2337"/>
    <cellStyle name="Assumption Date. 11 2 5" xfId="2338"/>
    <cellStyle name="Assumption Date. 11 2 6" xfId="2339"/>
    <cellStyle name="Assumption Date. 11 2 7" xfId="2340"/>
    <cellStyle name="Assumption Date. 11 2 8" xfId="2341"/>
    <cellStyle name="Assumption Date. 11 2 9" xfId="2342"/>
    <cellStyle name="Assumption Date. 11 3" xfId="2343"/>
    <cellStyle name="Assumption Date. 11 3 10" xfId="2344"/>
    <cellStyle name="Assumption Date. 11 3 2" xfId="2345"/>
    <cellStyle name="Assumption Date. 11 3 3" xfId="2346"/>
    <cellStyle name="Assumption Date. 11 3 4" xfId="2347"/>
    <cellStyle name="Assumption Date. 11 3 5" xfId="2348"/>
    <cellStyle name="Assumption Date. 11 3 6" xfId="2349"/>
    <cellStyle name="Assumption Date. 11 3 7" xfId="2350"/>
    <cellStyle name="Assumption Date. 11 3 8" xfId="2351"/>
    <cellStyle name="Assumption Date. 11 3 9" xfId="2352"/>
    <cellStyle name="Assumption Date. 11 4" xfId="2353"/>
    <cellStyle name="Assumption Date. 11 5" xfId="2354"/>
    <cellStyle name="Assumption Date. 11 6" xfId="2355"/>
    <cellStyle name="Assumption Date. 11 7" xfId="2356"/>
    <cellStyle name="Assumption Date. 11 8" xfId="2357"/>
    <cellStyle name="Assumption Date. 11 9" xfId="2358"/>
    <cellStyle name="Assumption Date. 12" xfId="2359"/>
    <cellStyle name="Assumption Date. 12 10" xfId="2360"/>
    <cellStyle name="Assumption Date. 12 11" xfId="2361"/>
    <cellStyle name="Assumption Date. 12 12" xfId="2362"/>
    <cellStyle name="Assumption Date. 12 2" xfId="2363"/>
    <cellStyle name="Assumption Date. 12 2 10" xfId="2364"/>
    <cellStyle name="Assumption Date. 12 2 2" xfId="2365"/>
    <cellStyle name="Assumption Date. 12 2 2 10" xfId="2366"/>
    <cellStyle name="Assumption Date. 12 2 2 2" xfId="2367"/>
    <cellStyle name="Assumption Date. 12 2 2 3" xfId="2368"/>
    <cellStyle name="Assumption Date. 12 2 2 4" xfId="2369"/>
    <cellStyle name="Assumption Date. 12 2 2 5" xfId="2370"/>
    <cellStyle name="Assumption Date. 12 2 2 6" xfId="2371"/>
    <cellStyle name="Assumption Date. 12 2 2 7" xfId="2372"/>
    <cellStyle name="Assumption Date. 12 2 2 8" xfId="2373"/>
    <cellStyle name="Assumption Date. 12 2 2 9" xfId="2374"/>
    <cellStyle name="Assumption Date. 12 2 3" xfId="2375"/>
    <cellStyle name="Assumption Date. 12 2 4" xfId="2376"/>
    <cellStyle name="Assumption Date. 12 2 5" xfId="2377"/>
    <cellStyle name="Assumption Date. 12 2 6" xfId="2378"/>
    <cellStyle name="Assumption Date. 12 2 7" xfId="2379"/>
    <cellStyle name="Assumption Date. 12 2 8" xfId="2380"/>
    <cellStyle name="Assumption Date. 12 2 9" xfId="2381"/>
    <cellStyle name="Assumption Date. 12 3" xfId="2382"/>
    <cellStyle name="Assumption Date. 12 3 10" xfId="2383"/>
    <cellStyle name="Assumption Date. 12 3 2" xfId="2384"/>
    <cellStyle name="Assumption Date. 12 3 3" xfId="2385"/>
    <cellStyle name="Assumption Date. 12 3 4" xfId="2386"/>
    <cellStyle name="Assumption Date. 12 3 5" xfId="2387"/>
    <cellStyle name="Assumption Date. 12 3 6" xfId="2388"/>
    <cellStyle name="Assumption Date. 12 3 7" xfId="2389"/>
    <cellStyle name="Assumption Date. 12 3 8" xfId="2390"/>
    <cellStyle name="Assumption Date. 12 3 9" xfId="2391"/>
    <cellStyle name="Assumption Date. 12 4" xfId="2392"/>
    <cellStyle name="Assumption Date. 12 5" xfId="2393"/>
    <cellStyle name="Assumption Date. 12 6" xfId="2394"/>
    <cellStyle name="Assumption Date. 12 7" xfId="2395"/>
    <cellStyle name="Assumption Date. 12 8" xfId="2396"/>
    <cellStyle name="Assumption Date. 12 9" xfId="2397"/>
    <cellStyle name="Assumption Date. 13" xfId="2398"/>
    <cellStyle name="Assumption Date. 13 10" xfId="2399"/>
    <cellStyle name="Assumption Date. 13 2" xfId="2400"/>
    <cellStyle name="Assumption Date. 13 2 10" xfId="2401"/>
    <cellStyle name="Assumption Date. 13 2 2" xfId="2402"/>
    <cellStyle name="Assumption Date. 13 2 3" xfId="2403"/>
    <cellStyle name="Assumption Date. 13 2 4" xfId="2404"/>
    <cellStyle name="Assumption Date. 13 2 5" xfId="2405"/>
    <cellStyle name="Assumption Date. 13 2 6" xfId="2406"/>
    <cellStyle name="Assumption Date. 13 2 7" xfId="2407"/>
    <cellStyle name="Assumption Date. 13 2 8" xfId="2408"/>
    <cellStyle name="Assumption Date. 13 2 9" xfId="2409"/>
    <cellStyle name="Assumption Date. 13 3" xfId="2410"/>
    <cellStyle name="Assumption Date. 13 4" xfId="2411"/>
    <cellStyle name="Assumption Date. 13 5" xfId="2412"/>
    <cellStyle name="Assumption Date. 13 6" xfId="2413"/>
    <cellStyle name="Assumption Date. 13 7" xfId="2414"/>
    <cellStyle name="Assumption Date. 13 8" xfId="2415"/>
    <cellStyle name="Assumption Date. 13 9" xfId="2416"/>
    <cellStyle name="Assumption Date. 14" xfId="2417"/>
    <cellStyle name="Assumption Date. 14 10" xfId="2418"/>
    <cellStyle name="Assumption Date. 14 2" xfId="2419"/>
    <cellStyle name="Assumption Date. 14 3" xfId="2420"/>
    <cellStyle name="Assumption Date. 14 4" xfId="2421"/>
    <cellStyle name="Assumption Date. 14 5" xfId="2422"/>
    <cellStyle name="Assumption Date. 14 6" xfId="2423"/>
    <cellStyle name="Assumption Date. 14 7" xfId="2424"/>
    <cellStyle name="Assumption Date. 14 8" xfId="2425"/>
    <cellStyle name="Assumption Date. 14 9" xfId="2426"/>
    <cellStyle name="Assumption Date. 15" xfId="2427"/>
    <cellStyle name="Assumption Date. 16" xfId="2428"/>
    <cellStyle name="Assumption Date. 17" xfId="2429"/>
    <cellStyle name="Assumption Date. 18" xfId="2430"/>
    <cellStyle name="Assumption Date. 2" xfId="2431"/>
    <cellStyle name="Assumption Date. 2 10" xfId="2432"/>
    <cellStyle name="Assumption Date. 2 10 10" xfId="2433"/>
    <cellStyle name="Assumption Date. 2 10 2" xfId="2434"/>
    <cellStyle name="Assumption Date. 2 10 3" xfId="2435"/>
    <cellStyle name="Assumption Date. 2 10 4" xfId="2436"/>
    <cellStyle name="Assumption Date. 2 10 5" xfId="2437"/>
    <cellStyle name="Assumption Date. 2 10 6" xfId="2438"/>
    <cellStyle name="Assumption Date. 2 10 7" xfId="2439"/>
    <cellStyle name="Assumption Date. 2 10 8" xfId="2440"/>
    <cellStyle name="Assumption Date. 2 10 9" xfId="2441"/>
    <cellStyle name="Assumption Date. 2 11" xfId="2442"/>
    <cellStyle name="Assumption Date. 2 12" xfId="2443"/>
    <cellStyle name="Assumption Date. 2 13" xfId="2444"/>
    <cellStyle name="Assumption Date. 2 14" xfId="2445"/>
    <cellStyle name="Assumption Date. 2 15" xfId="2446"/>
    <cellStyle name="Assumption Date. 2 16" xfId="2447"/>
    <cellStyle name="Assumption Date. 2 17" xfId="2448"/>
    <cellStyle name="Assumption Date. 2 18" xfId="2449"/>
    <cellStyle name="Assumption Date. 2 19" xfId="2450"/>
    <cellStyle name="Assumption Date. 2 2" xfId="2451"/>
    <cellStyle name="Assumption Date. 2 2 10" xfId="2452"/>
    <cellStyle name="Assumption Date. 2 2 11" xfId="2453"/>
    <cellStyle name="Assumption Date. 2 2 12" xfId="2454"/>
    <cellStyle name="Assumption Date. 2 2 13" xfId="2455"/>
    <cellStyle name="Assumption Date. 2 2 14" xfId="2456"/>
    <cellStyle name="Assumption Date. 2 2 15" xfId="2457"/>
    <cellStyle name="Assumption Date. 2 2 16" xfId="2458"/>
    <cellStyle name="Assumption Date. 2 2 17" xfId="2459"/>
    <cellStyle name="Assumption Date. 2 2 18" xfId="2460"/>
    <cellStyle name="Assumption Date. 2 2 2" xfId="2461"/>
    <cellStyle name="Assumption Date. 2 2 2 10" xfId="2462"/>
    <cellStyle name="Assumption Date. 2 2 2 11" xfId="2463"/>
    <cellStyle name="Assumption Date. 2 2 2 12" xfId="2464"/>
    <cellStyle name="Assumption Date. 2 2 2 13" xfId="2465"/>
    <cellStyle name="Assumption Date. 2 2 2 14" xfId="2466"/>
    <cellStyle name="Assumption Date. 2 2 2 2" xfId="2467"/>
    <cellStyle name="Assumption Date. 2 2 2 2 10" xfId="2468"/>
    <cellStyle name="Assumption Date. 2 2 2 2 11" xfId="2469"/>
    <cellStyle name="Assumption Date. 2 2 2 2 12" xfId="2470"/>
    <cellStyle name="Assumption Date. 2 2 2 2 13" xfId="2471"/>
    <cellStyle name="Assumption Date. 2 2 2 2 2" xfId="2472"/>
    <cellStyle name="Assumption Date. 2 2 2 2 2 10" xfId="2473"/>
    <cellStyle name="Assumption Date. 2 2 2 2 2 11" xfId="2474"/>
    <cellStyle name="Assumption Date. 2 2 2 2 2 12" xfId="2475"/>
    <cellStyle name="Assumption Date. 2 2 2 2 2 2" xfId="2476"/>
    <cellStyle name="Assumption Date. 2 2 2 2 2 2 10" xfId="2477"/>
    <cellStyle name="Assumption Date. 2 2 2 2 2 2 2" xfId="2478"/>
    <cellStyle name="Assumption Date. 2 2 2 2 2 2 2 10" xfId="2479"/>
    <cellStyle name="Assumption Date. 2 2 2 2 2 2 2 2" xfId="2480"/>
    <cellStyle name="Assumption Date. 2 2 2 2 2 2 2 3" xfId="2481"/>
    <cellStyle name="Assumption Date. 2 2 2 2 2 2 2 4" xfId="2482"/>
    <cellStyle name="Assumption Date. 2 2 2 2 2 2 2 5" xfId="2483"/>
    <cellStyle name="Assumption Date. 2 2 2 2 2 2 2 6" xfId="2484"/>
    <cellStyle name="Assumption Date. 2 2 2 2 2 2 2 7" xfId="2485"/>
    <cellStyle name="Assumption Date. 2 2 2 2 2 2 2 8" xfId="2486"/>
    <cellStyle name="Assumption Date. 2 2 2 2 2 2 2 9" xfId="2487"/>
    <cellStyle name="Assumption Date. 2 2 2 2 2 2 3" xfId="2488"/>
    <cellStyle name="Assumption Date. 2 2 2 2 2 2 4" xfId="2489"/>
    <cellStyle name="Assumption Date. 2 2 2 2 2 2 5" xfId="2490"/>
    <cellStyle name="Assumption Date. 2 2 2 2 2 2 6" xfId="2491"/>
    <cellStyle name="Assumption Date. 2 2 2 2 2 2 7" xfId="2492"/>
    <cellStyle name="Assumption Date. 2 2 2 2 2 2 8" xfId="2493"/>
    <cellStyle name="Assumption Date. 2 2 2 2 2 2 9" xfId="2494"/>
    <cellStyle name="Assumption Date. 2 2 2 2 2 3" xfId="2495"/>
    <cellStyle name="Assumption Date. 2 2 2 2 2 3 10" xfId="2496"/>
    <cellStyle name="Assumption Date. 2 2 2 2 2 3 2" xfId="2497"/>
    <cellStyle name="Assumption Date. 2 2 2 2 2 3 3" xfId="2498"/>
    <cellStyle name="Assumption Date. 2 2 2 2 2 3 4" xfId="2499"/>
    <cellStyle name="Assumption Date. 2 2 2 2 2 3 5" xfId="2500"/>
    <cellStyle name="Assumption Date. 2 2 2 2 2 3 6" xfId="2501"/>
    <cellStyle name="Assumption Date. 2 2 2 2 2 3 7" xfId="2502"/>
    <cellStyle name="Assumption Date. 2 2 2 2 2 3 8" xfId="2503"/>
    <cellStyle name="Assumption Date. 2 2 2 2 2 3 9" xfId="2504"/>
    <cellStyle name="Assumption Date. 2 2 2 2 2 4" xfId="2505"/>
    <cellStyle name="Assumption Date. 2 2 2 2 2 5" xfId="2506"/>
    <cellStyle name="Assumption Date. 2 2 2 2 2 6" xfId="2507"/>
    <cellStyle name="Assumption Date. 2 2 2 2 2 7" xfId="2508"/>
    <cellStyle name="Assumption Date. 2 2 2 2 2 8" xfId="2509"/>
    <cellStyle name="Assumption Date. 2 2 2 2 2 9" xfId="2510"/>
    <cellStyle name="Assumption Date. 2 2 2 2 3" xfId="2511"/>
    <cellStyle name="Assumption Date. 2 2 2 2 3 10" xfId="2512"/>
    <cellStyle name="Assumption Date. 2 2 2 2 3 2" xfId="2513"/>
    <cellStyle name="Assumption Date. 2 2 2 2 3 2 10" xfId="2514"/>
    <cellStyle name="Assumption Date. 2 2 2 2 3 2 2" xfId="2515"/>
    <cellStyle name="Assumption Date. 2 2 2 2 3 2 3" xfId="2516"/>
    <cellStyle name="Assumption Date. 2 2 2 2 3 2 4" xfId="2517"/>
    <cellStyle name="Assumption Date. 2 2 2 2 3 2 5" xfId="2518"/>
    <cellStyle name="Assumption Date. 2 2 2 2 3 2 6" xfId="2519"/>
    <cellStyle name="Assumption Date. 2 2 2 2 3 2 7" xfId="2520"/>
    <cellStyle name="Assumption Date. 2 2 2 2 3 2 8" xfId="2521"/>
    <cellStyle name="Assumption Date. 2 2 2 2 3 2 9" xfId="2522"/>
    <cellStyle name="Assumption Date. 2 2 2 2 3 3" xfId="2523"/>
    <cellStyle name="Assumption Date. 2 2 2 2 3 4" xfId="2524"/>
    <cellStyle name="Assumption Date. 2 2 2 2 3 5" xfId="2525"/>
    <cellStyle name="Assumption Date. 2 2 2 2 3 6" xfId="2526"/>
    <cellStyle name="Assumption Date. 2 2 2 2 3 7" xfId="2527"/>
    <cellStyle name="Assumption Date. 2 2 2 2 3 8" xfId="2528"/>
    <cellStyle name="Assumption Date. 2 2 2 2 3 9" xfId="2529"/>
    <cellStyle name="Assumption Date. 2 2 2 2 4" xfId="2530"/>
    <cellStyle name="Assumption Date. 2 2 2 2 4 10" xfId="2531"/>
    <cellStyle name="Assumption Date. 2 2 2 2 4 2" xfId="2532"/>
    <cellStyle name="Assumption Date. 2 2 2 2 4 3" xfId="2533"/>
    <cellStyle name="Assumption Date. 2 2 2 2 4 4" xfId="2534"/>
    <cellStyle name="Assumption Date. 2 2 2 2 4 5" xfId="2535"/>
    <cellStyle name="Assumption Date. 2 2 2 2 4 6" xfId="2536"/>
    <cellStyle name="Assumption Date. 2 2 2 2 4 7" xfId="2537"/>
    <cellStyle name="Assumption Date. 2 2 2 2 4 8" xfId="2538"/>
    <cellStyle name="Assumption Date. 2 2 2 2 4 9" xfId="2539"/>
    <cellStyle name="Assumption Date. 2 2 2 2 5" xfId="2540"/>
    <cellStyle name="Assumption Date. 2 2 2 2 6" xfId="2541"/>
    <cellStyle name="Assumption Date. 2 2 2 2 7" xfId="2542"/>
    <cellStyle name="Assumption Date. 2 2 2 2 8" xfId="2543"/>
    <cellStyle name="Assumption Date. 2 2 2 2 9" xfId="2544"/>
    <cellStyle name="Assumption Date. 2 2 2 3" xfId="2545"/>
    <cellStyle name="Assumption Date. 2 2 2 3 10" xfId="2546"/>
    <cellStyle name="Assumption Date. 2 2 2 3 11" xfId="2547"/>
    <cellStyle name="Assumption Date. 2 2 2 3 12" xfId="2548"/>
    <cellStyle name="Assumption Date. 2 2 2 3 2" xfId="2549"/>
    <cellStyle name="Assumption Date. 2 2 2 3 2 10" xfId="2550"/>
    <cellStyle name="Assumption Date. 2 2 2 3 2 2" xfId="2551"/>
    <cellStyle name="Assumption Date. 2 2 2 3 2 2 10" xfId="2552"/>
    <cellStyle name="Assumption Date. 2 2 2 3 2 2 2" xfId="2553"/>
    <cellStyle name="Assumption Date. 2 2 2 3 2 2 3" xfId="2554"/>
    <cellStyle name="Assumption Date. 2 2 2 3 2 2 4" xfId="2555"/>
    <cellStyle name="Assumption Date. 2 2 2 3 2 2 5" xfId="2556"/>
    <cellStyle name="Assumption Date. 2 2 2 3 2 2 6" xfId="2557"/>
    <cellStyle name="Assumption Date. 2 2 2 3 2 2 7" xfId="2558"/>
    <cellStyle name="Assumption Date. 2 2 2 3 2 2 8" xfId="2559"/>
    <cellStyle name="Assumption Date. 2 2 2 3 2 2 9" xfId="2560"/>
    <cellStyle name="Assumption Date. 2 2 2 3 2 3" xfId="2561"/>
    <cellStyle name="Assumption Date. 2 2 2 3 2 4" xfId="2562"/>
    <cellStyle name="Assumption Date. 2 2 2 3 2 5" xfId="2563"/>
    <cellStyle name="Assumption Date. 2 2 2 3 2 6" xfId="2564"/>
    <cellStyle name="Assumption Date. 2 2 2 3 2 7" xfId="2565"/>
    <cellStyle name="Assumption Date. 2 2 2 3 2 8" xfId="2566"/>
    <cellStyle name="Assumption Date. 2 2 2 3 2 9" xfId="2567"/>
    <cellStyle name="Assumption Date. 2 2 2 3 3" xfId="2568"/>
    <cellStyle name="Assumption Date. 2 2 2 3 3 10" xfId="2569"/>
    <cellStyle name="Assumption Date. 2 2 2 3 3 2" xfId="2570"/>
    <cellStyle name="Assumption Date. 2 2 2 3 3 3" xfId="2571"/>
    <cellStyle name="Assumption Date. 2 2 2 3 3 4" xfId="2572"/>
    <cellStyle name="Assumption Date. 2 2 2 3 3 5" xfId="2573"/>
    <cellStyle name="Assumption Date. 2 2 2 3 3 6" xfId="2574"/>
    <cellStyle name="Assumption Date. 2 2 2 3 3 7" xfId="2575"/>
    <cellStyle name="Assumption Date. 2 2 2 3 3 8" xfId="2576"/>
    <cellStyle name="Assumption Date. 2 2 2 3 3 9" xfId="2577"/>
    <cellStyle name="Assumption Date. 2 2 2 3 4" xfId="2578"/>
    <cellStyle name="Assumption Date. 2 2 2 3 5" xfId="2579"/>
    <cellStyle name="Assumption Date. 2 2 2 3 6" xfId="2580"/>
    <cellStyle name="Assumption Date. 2 2 2 3 7" xfId="2581"/>
    <cellStyle name="Assumption Date. 2 2 2 3 8" xfId="2582"/>
    <cellStyle name="Assumption Date. 2 2 2 3 9" xfId="2583"/>
    <cellStyle name="Assumption Date. 2 2 2 4" xfId="2584"/>
    <cellStyle name="Assumption Date. 2 2 2 4 10" xfId="2585"/>
    <cellStyle name="Assumption Date. 2 2 2 4 2" xfId="2586"/>
    <cellStyle name="Assumption Date. 2 2 2 4 2 10" xfId="2587"/>
    <cellStyle name="Assumption Date. 2 2 2 4 2 2" xfId="2588"/>
    <cellStyle name="Assumption Date. 2 2 2 4 2 3" xfId="2589"/>
    <cellStyle name="Assumption Date. 2 2 2 4 2 4" xfId="2590"/>
    <cellStyle name="Assumption Date. 2 2 2 4 2 5" xfId="2591"/>
    <cellStyle name="Assumption Date. 2 2 2 4 2 6" xfId="2592"/>
    <cellStyle name="Assumption Date. 2 2 2 4 2 7" xfId="2593"/>
    <cellStyle name="Assumption Date. 2 2 2 4 2 8" xfId="2594"/>
    <cellStyle name="Assumption Date. 2 2 2 4 2 9" xfId="2595"/>
    <cellStyle name="Assumption Date. 2 2 2 4 3" xfId="2596"/>
    <cellStyle name="Assumption Date. 2 2 2 4 4" xfId="2597"/>
    <cellStyle name="Assumption Date. 2 2 2 4 5" xfId="2598"/>
    <cellStyle name="Assumption Date. 2 2 2 4 6" xfId="2599"/>
    <cellStyle name="Assumption Date. 2 2 2 4 7" xfId="2600"/>
    <cellStyle name="Assumption Date. 2 2 2 4 8" xfId="2601"/>
    <cellStyle name="Assumption Date. 2 2 2 4 9" xfId="2602"/>
    <cellStyle name="Assumption Date. 2 2 2 5" xfId="2603"/>
    <cellStyle name="Assumption Date. 2 2 2 5 10" xfId="2604"/>
    <cellStyle name="Assumption Date. 2 2 2 5 2" xfId="2605"/>
    <cellStyle name="Assumption Date. 2 2 2 5 3" xfId="2606"/>
    <cellStyle name="Assumption Date. 2 2 2 5 4" xfId="2607"/>
    <cellStyle name="Assumption Date. 2 2 2 5 5" xfId="2608"/>
    <cellStyle name="Assumption Date. 2 2 2 5 6" xfId="2609"/>
    <cellStyle name="Assumption Date. 2 2 2 5 7" xfId="2610"/>
    <cellStyle name="Assumption Date. 2 2 2 5 8" xfId="2611"/>
    <cellStyle name="Assumption Date. 2 2 2 5 9" xfId="2612"/>
    <cellStyle name="Assumption Date. 2 2 2 6" xfId="2613"/>
    <cellStyle name="Assumption Date. 2 2 2 7" xfId="2614"/>
    <cellStyle name="Assumption Date. 2 2 2 8" xfId="2615"/>
    <cellStyle name="Assumption Date. 2 2 2 9" xfId="2616"/>
    <cellStyle name="Assumption Date. 2 2 3" xfId="2617"/>
    <cellStyle name="Assumption Date. 2 2 3 10" xfId="2618"/>
    <cellStyle name="Assumption Date. 2 2 3 11" xfId="2619"/>
    <cellStyle name="Assumption Date. 2 2 3 12" xfId="2620"/>
    <cellStyle name="Assumption Date. 2 2 3 13" xfId="2621"/>
    <cellStyle name="Assumption Date. 2 2 3 2" xfId="2622"/>
    <cellStyle name="Assumption Date. 2 2 3 2 10" xfId="2623"/>
    <cellStyle name="Assumption Date. 2 2 3 2 11" xfId="2624"/>
    <cellStyle name="Assumption Date. 2 2 3 2 12" xfId="2625"/>
    <cellStyle name="Assumption Date. 2 2 3 2 2" xfId="2626"/>
    <cellStyle name="Assumption Date. 2 2 3 2 2 10" xfId="2627"/>
    <cellStyle name="Assumption Date. 2 2 3 2 2 2" xfId="2628"/>
    <cellStyle name="Assumption Date. 2 2 3 2 2 2 10" xfId="2629"/>
    <cellStyle name="Assumption Date. 2 2 3 2 2 2 2" xfId="2630"/>
    <cellStyle name="Assumption Date. 2 2 3 2 2 2 3" xfId="2631"/>
    <cellStyle name="Assumption Date. 2 2 3 2 2 2 4" xfId="2632"/>
    <cellStyle name="Assumption Date. 2 2 3 2 2 2 5" xfId="2633"/>
    <cellStyle name="Assumption Date. 2 2 3 2 2 2 6" xfId="2634"/>
    <cellStyle name="Assumption Date. 2 2 3 2 2 2 7" xfId="2635"/>
    <cellStyle name="Assumption Date. 2 2 3 2 2 2 8" xfId="2636"/>
    <cellStyle name="Assumption Date. 2 2 3 2 2 2 9" xfId="2637"/>
    <cellStyle name="Assumption Date. 2 2 3 2 2 3" xfId="2638"/>
    <cellStyle name="Assumption Date. 2 2 3 2 2 4" xfId="2639"/>
    <cellStyle name="Assumption Date. 2 2 3 2 2 5" xfId="2640"/>
    <cellStyle name="Assumption Date. 2 2 3 2 2 6" xfId="2641"/>
    <cellStyle name="Assumption Date. 2 2 3 2 2 7" xfId="2642"/>
    <cellStyle name="Assumption Date. 2 2 3 2 2 8" xfId="2643"/>
    <cellStyle name="Assumption Date. 2 2 3 2 2 9" xfId="2644"/>
    <cellStyle name="Assumption Date. 2 2 3 2 3" xfId="2645"/>
    <cellStyle name="Assumption Date. 2 2 3 2 3 10" xfId="2646"/>
    <cellStyle name="Assumption Date. 2 2 3 2 3 2" xfId="2647"/>
    <cellStyle name="Assumption Date. 2 2 3 2 3 3" xfId="2648"/>
    <cellStyle name="Assumption Date. 2 2 3 2 3 4" xfId="2649"/>
    <cellStyle name="Assumption Date. 2 2 3 2 3 5" xfId="2650"/>
    <cellStyle name="Assumption Date. 2 2 3 2 3 6" xfId="2651"/>
    <cellStyle name="Assumption Date. 2 2 3 2 3 7" xfId="2652"/>
    <cellStyle name="Assumption Date. 2 2 3 2 3 8" xfId="2653"/>
    <cellStyle name="Assumption Date. 2 2 3 2 3 9" xfId="2654"/>
    <cellStyle name="Assumption Date. 2 2 3 2 4" xfId="2655"/>
    <cellStyle name="Assumption Date. 2 2 3 2 5" xfId="2656"/>
    <cellStyle name="Assumption Date. 2 2 3 2 6" xfId="2657"/>
    <cellStyle name="Assumption Date. 2 2 3 2 7" xfId="2658"/>
    <cellStyle name="Assumption Date. 2 2 3 2 8" xfId="2659"/>
    <cellStyle name="Assumption Date. 2 2 3 2 9" xfId="2660"/>
    <cellStyle name="Assumption Date. 2 2 3 3" xfId="2661"/>
    <cellStyle name="Assumption Date. 2 2 3 3 10" xfId="2662"/>
    <cellStyle name="Assumption Date. 2 2 3 3 2" xfId="2663"/>
    <cellStyle name="Assumption Date. 2 2 3 3 2 10" xfId="2664"/>
    <cellStyle name="Assumption Date. 2 2 3 3 2 2" xfId="2665"/>
    <cellStyle name="Assumption Date. 2 2 3 3 2 3" xfId="2666"/>
    <cellStyle name="Assumption Date. 2 2 3 3 2 4" xfId="2667"/>
    <cellStyle name="Assumption Date. 2 2 3 3 2 5" xfId="2668"/>
    <cellStyle name="Assumption Date. 2 2 3 3 2 6" xfId="2669"/>
    <cellStyle name="Assumption Date. 2 2 3 3 2 7" xfId="2670"/>
    <cellStyle name="Assumption Date. 2 2 3 3 2 8" xfId="2671"/>
    <cellStyle name="Assumption Date. 2 2 3 3 2 9" xfId="2672"/>
    <cellStyle name="Assumption Date. 2 2 3 3 3" xfId="2673"/>
    <cellStyle name="Assumption Date. 2 2 3 3 4" xfId="2674"/>
    <cellStyle name="Assumption Date. 2 2 3 3 5" xfId="2675"/>
    <cellStyle name="Assumption Date. 2 2 3 3 6" xfId="2676"/>
    <cellStyle name="Assumption Date. 2 2 3 3 7" xfId="2677"/>
    <cellStyle name="Assumption Date. 2 2 3 3 8" xfId="2678"/>
    <cellStyle name="Assumption Date. 2 2 3 3 9" xfId="2679"/>
    <cellStyle name="Assumption Date. 2 2 3 4" xfId="2680"/>
    <cellStyle name="Assumption Date. 2 2 3 4 10" xfId="2681"/>
    <cellStyle name="Assumption Date. 2 2 3 4 2" xfId="2682"/>
    <cellStyle name="Assumption Date. 2 2 3 4 3" xfId="2683"/>
    <cellStyle name="Assumption Date. 2 2 3 4 4" xfId="2684"/>
    <cellStyle name="Assumption Date. 2 2 3 4 5" xfId="2685"/>
    <cellStyle name="Assumption Date. 2 2 3 4 6" xfId="2686"/>
    <cellStyle name="Assumption Date. 2 2 3 4 7" xfId="2687"/>
    <cellStyle name="Assumption Date. 2 2 3 4 8" xfId="2688"/>
    <cellStyle name="Assumption Date. 2 2 3 4 9" xfId="2689"/>
    <cellStyle name="Assumption Date. 2 2 3 5" xfId="2690"/>
    <cellStyle name="Assumption Date. 2 2 3 6" xfId="2691"/>
    <cellStyle name="Assumption Date. 2 2 3 7" xfId="2692"/>
    <cellStyle name="Assumption Date. 2 2 3 8" xfId="2693"/>
    <cellStyle name="Assumption Date. 2 2 3 9" xfId="2694"/>
    <cellStyle name="Assumption Date. 2 2 4" xfId="2695"/>
    <cellStyle name="Assumption Date. 2 2 4 10" xfId="2696"/>
    <cellStyle name="Assumption Date. 2 2 4 11" xfId="2697"/>
    <cellStyle name="Assumption Date. 2 2 4 12" xfId="2698"/>
    <cellStyle name="Assumption Date. 2 2 4 13" xfId="2699"/>
    <cellStyle name="Assumption Date. 2 2 4 2" xfId="2700"/>
    <cellStyle name="Assumption Date. 2 2 4 2 10" xfId="2701"/>
    <cellStyle name="Assumption Date. 2 2 4 2 11" xfId="2702"/>
    <cellStyle name="Assumption Date. 2 2 4 2 12" xfId="2703"/>
    <cellStyle name="Assumption Date. 2 2 4 2 2" xfId="2704"/>
    <cellStyle name="Assumption Date. 2 2 4 2 2 10" xfId="2705"/>
    <cellStyle name="Assumption Date. 2 2 4 2 2 2" xfId="2706"/>
    <cellStyle name="Assumption Date. 2 2 4 2 2 2 10" xfId="2707"/>
    <cellStyle name="Assumption Date. 2 2 4 2 2 2 2" xfId="2708"/>
    <cellStyle name="Assumption Date. 2 2 4 2 2 2 3" xfId="2709"/>
    <cellStyle name="Assumption Date. 2 2 4 2 2 2 4" xfId="2710"/>
    <cellStyle name="Assumption Date. 2 2 4 2 2 2 5" xfId="2711"/>
    <cellStyle name="Assumption Date. 2 2 4 2 2 2 6" xfId="2712"/>
    <cellStyle name="Assumption Date. 2 2 4 2 2 2 7" xfId="2713"/>
    <cellStyle name="Assumption Date. 2 2 4 2 2 2 8" xfId="2714"/>
    <cellStyle name="Assumption Date. 2 2 4 2 2 2 9" xfId="2715"/>
    <cellStyle name="Assumption Date. 2 2 4 2 2 3" xfId="2716"/>
    <cellStyle name="Assumption Date. 2 2 4 2 2 4" xfId="2717"/>
    <cellStyle name="Assumption Date. 2 2 4 2 2 5" xfId="2718"/>
    <cellStyle name="Assumption Date. 2 2 4 2 2 6" xfId="2719"/>
    <cellStyle name="Assumption Date. 2 2 4 2 2 7" xfId="2720"/>
    <cellStyle name="Assumption Date. 2 2 4 2 2 8" xfId="2721"/>
    <cellStyle name="Assumption Date. 2 2 4 2 2 9" xfId="2722"/>
    <cellStyle name="Assumption Date. 2 2 4 2 3" xfId="2723"/>
    <cellStyle name="Assumption Date. 2 2 4 2 3 10" xfId="2724"/>
    <cellStyle name="Assumption Date. 2 2 4 2 3 2" xfId="2725"/>
    <cellStyle name="Assumption Date. 2 2 4 2 3 3" xfId="2726"/>
    <cellStyle name="Assumption Date. 2 2 4 2 3 4" xfId="2727"/>
    <cellStyle name="Assumption Date. 2 2 4 2 3 5" xfId="2728"/>
    <cellStyle name="Assumption Date. 2 2 4 2 3 6" xfId="2729"/>
    <cellStyle name="Assumption Date. 2 2 4 2 3 7" xfId="2730"/>
    <cellStyle name="Assumption Date. 2 2 4 2 3 8" xfId="2731"/>
    <cellStyle name="Assumption Date. 2 2 4 2 3 9" xfId="2732"/>
    <cellStyle name="Assumption Date. 2 2 4 2 4" xfId="2733"/>
    <cellStyle name="Assumption Date. 2 2 4 2 5" xfId="2734"/>
    <cellStyle name="Assumption Date. 2 2 4 2 6" xfId="2735"/>
    <cellStyle name="Assumption Date. 2 2 4 2 7" xfId="2736"/>
    <cellStyle name="Assumption Date. 2 2 4 2 8" xfId="2737"/>
    <cellStyle name="Assumption Date. 2 2 4 2 9" xfId="2738"/>
    <cellStyle name="Assumption Date. 2 2 4 3" xfId="2739"/>
    <cellStyle name="Assumption Date. 2 2 4 3 10" xfId="2740"/>
    <cellStyle name="Assumption Date. 2 2 4 3 2" xfId="2741"/>
    <cellStyle name="Assumption Date. 2 2 4 3 2 10" xfId="2742"/>
    <cellStyle name="Assumption Date. 2 2 4 3 2 2" xfId="2743"/>
    <cellStyle name="Assumption Date. 2 2 4 3 2 3" xfId="2744"/>
    <cellStyle name="Assumption Date. 2 2 4 3 2 4" xfId="2745"/>
    <cellStyle name="Assumption Date. 2 2 4 3 2 5" xfId="2746"/>
    <cellStyle name="Assumption Date. 2 2 4 3 2 6" xfId="2747"/>
    <cellStyle name="Assumption Date. 2 2 4 3 2 7" xfId="2748"/>
    <cellStyle name="Assumption Date. 2 2 4 3 2 8" xfId="2749"/>
    <cellStyle name="Assumption Date. 2 2 4 3 2 9" xfId="2750"/>
    <cellStyle name="Assumption Date. 2 2 4 3 3" xfId="2751"/>
    <cellStyle name="Assumption Date. 2 2 4 3 4" xfId="2752"/>
    <cellStyle name="Assumption Date. 2 2 4 3 5" xfId="2753"/>
    <cellStyle name="Assumption Date. 2 2 4 3 6" xfId="2754"/>
    <cellStyle name="Assumption Date. 2 2 4 3 7" xfId="2755"/>
    <cellStyle name="Assumption Date. 2 2 4 3 8" xfId="2756"/>
    <cellStyle name="Assumption Date. 2 2 4 3 9" xfId="2757"/>
    <cellStyle name="Assumption Date. 2 2 4 4" xfId="2758"/>
    <cellStyle name="Assumption Date. 2 2 4 4 10" xfId="2759"/>
    <cellStyle name="Assumption Date. 2 2 4 4 2" xfId="2760"/>
    <cellStyle name="Assumption Date. 2 2 4 4 3" xfId="2761"/>
    <cellStyle name="Assumption Date. 2 2 4 4 4" xfId="2762"/>
    <cellStyle name="Assumption Date. 2 2 4 4 5" xfId="2763"/>
    <cellStyle name="Assumption Date. 2 2 4 4 6" xfId="2764"/>
    <cellStyle name="Assumption Date. 2 2 4 4 7" xfId="2765"/>
    <cellStyle name="Assumption Date. 2 2 4 4 8" xfId="2766"/>
    <cellStyle name="Assumption Date. 2 2 4 4 9" xfId="2767"/>
    <cellStyle name="Assumption Date. 2 2 4 5" xfId="2768"/>
    <cellStyle name="Assumption Date. 2 2 4 6" xfId="2769"/>
    <cellStyle name="Assumption Date. 2 2 4 7" xfId="2770"/>
    <cellStyle name="Assumption Date. 2 2 4 8" xfId="2771"/>
    <cellStyle name="Assumption Date. 2 2 4 9" xfId="2772"/>
    <cellStyle name="Assumption Date. 2 2 5" xfId="2773"/>
    <cellStyle name="Assumption Date. 2 2 5 10" xfId="2774"/>
    <cellStyle name="Assumption Date. 2 2 5 11" xfId="2775"/>
    <cellStyle name="Assumption Date. 2 2 5 12" xfId="2776"/>
    <cellStyle name="Assumption Date. 2 2 5 2" xfId="2777"/>
    <cellStyle name="Assumption Date. 2 2 5 2 10" xfId="2778"/>
    <cellStyle name="Assumption Date. 2 2 5 2 2" xfId="2779"/>
    <cellStyle name="Assumption Date. 2 2 5 2 2 10" xfId="2780"/>
    <cellStyle name="Assumption Date. 2 2 5 2 2 2" xfId="2781"/>
    <cellStyle name="Assumption Date. 2 2 5 2 2 3" xfId="2782"/>
    <cellStyle name="Assumption Date. 2 2 5 2 2 4" xfId="2783"/>
    <cellStyle name="Assumption Date. 2 2 5 2 2 5" xfId="2784"/>
    <cellStyle name="Assumption Date. 2 2 5 2 2 6" xfId="2785"/>
    <cellStyle name="Assumption Date. 2 2 5 2 2 7" xfId="2786"/>
    <cellStyle name="Assumption Date. 2 2 5 2 2 8" xfId="2787"/>
    <cellStyle name="Assumption Date. 2 2 5 2 2 9" xfId="2788"/>
    <cellStyle name="Assumption Date. 2 2 5 2 3" xfId="2789"/>
    <cellStyle name="Assumption Date. 2 2 5 2 4" xfId="2790"/>
    <cellStyle name="Assumption Date. 2 2 5 2 5" xfId="2791"/>
    <cellStyle name="Assumption Date. 2 2 5 2 6" xfId="2792"/>
    <cellStyle name="Assumption Date. 2 2 5 2 7" xfId="2793"/>
    <cellStyle name="Assumption Date. 2 2 5 2 8" xfId="2794"/>
    <cellStyle name="Assumption Date. 2 2 5 2 9" xfId="2795"/>
    <cellStyle name="Assumption Date. 2 2 5 3" xfId="2796"/>
    <cellStyle name="Assumption Date. 2 2 5 3 10" xfId="2797"/>
    <cellStyle name="Assumption Date. 2 2 5 3 2" xfId="2798"/>
    <cellStyle name="Assumption Date. 2 2 5 3 3" xfId="2799"/>
    <cellStyle name="Assumption Date. 2 2 5 3 4" xfId="2800"/>
    <cellStyle name="Assumption Date. 2 2 5 3 5" xfId="2801"/>
    <cellStyle name="Assumption Date. 2 2 5 3 6" xfId="2802"/>
    <cellStyle name="Assumption Date. 2 2 5 3 7" xfId="2803"/>
    <cellStyle name="Assumption Date. 2 2 5 3 8" xfId="2804"/>
    <cellStyle name="Assumption Date. 2 2 5 3 9" xfId="2805"/>
    <cellStyle name="Assumption Date. 2 2 5 4" xfId="2806"/>
    <cellStyle name="Assumption Date. 2 2 5 5" xfId="2807"/>
    <cellStyle name="Assumption Date. 2 2 5 6" xfId="2808"/>
    <cellStyle name="Assumption Date. 2 2 5 7" xfId="2809"/>
    <cellStyle name="Assumption Date. 2 2 5 8" xfId="2810"/>
    <cellStyle name="Assumption Date. 2 2 5 9" xfId="2811"/>
    <cellStyle name="Assumption Date. 2 2 6" xfId="2812"/>
    <cellStyle name="Assumption Date. 2 2 6 10" xfId="2813"/>
    <cellStyle name="Assumption Date. 2 2 6 11" xfId="2814"/>
    <cellStyle name="Assumption Date. 2 2 6 12" xfId="2815"/>
    <cellStyle name="Assumption Date. 2 2 6 2" xfId="2816"/>
    <cellStyle name="Assumption Date. 2 2 6 2 10" xfId="2817"/>
    <cellStyle name="Assumption Date. 2 2 6 2 2" xfId="2818"/>
    <cellStyle name="Assumption Date. 2 2 6 2 2 10" xfId="2819"/>
    <cellStyle name="Assumption Date. 2 2 6 2 2 2" xfId="2820"/>
    <cellStyle name="Assumption Date. 2 2 6 2 2 3" xfId="2821"/>
    <cellStyle name="Assumption Date. 2 2 6 2 2 4" xfId="2822"/>
    <cellStyle name="Assumption Date. 2 2 6 2 2 5" xfId="2823"/>
    <cellStyle name="Assumption Date. 2 2 6 2 2 6" xfId="2824"/>
    <cellStyle name="Assumption Date. 2 2 6 2 2 7" xfId="2825"/>
    <cellStyle name="Assumption Date. 2 2 6 2 2 8" xfId="2826"/>
    <cellStyle name="Assumption Date. 2 2 6 2 2 9" xfId="2827"/>
    <cellStyle name="Assumption Date. 2 2 6 2 3" xfId="2828"/>
    <cellStyle name="Assumption Date. 2 2 6 2 4" xfId="2829"/>
    <cellStyle name="Assumption Date. 2 2 6 2 5" xfId="2830"/>
    <cellStyle name="Assumption Date. 2 2 6 2 6" xfId="2831"/>
    <cellStyle name="Assumption Date. 2 2 6 2 7" xfId="2832"/>
    <cellStyle name="Assumption Date. 2 2 6 2 8" xfId="2833"/>
    <cellStyle name="Assumption Date. 2 2 6 2 9" xfId="2834"/>
    <cellStyle name="Assumption Date. 2 2 6 3" xfId="2835"/>
    <cellStyle name="Assumption Date. 2 2 6 3 10" xfId="2836"/>
    <cellStyle name="Assumption Date. 2 2 6 3 2" xfId="2837"/>
    <cellStyle name="Assumption Date. 2 2 6 3 3" xfId="2838"/>
    <cellStyle name="Assumption Date. 2 2 6 3 4" xfId="2839"/>
    <cellStyle name="Assumption Date. 2 2 6 3 5" xfId="2840"/>
    <cellStyle name="Assumption Date. 2 2 6 3 6" xfId="2841"/>
    <cellStyle name="Assumption Date. 2 2 6 3 7" xfId="2842"/>
    <cellStyle name="Assumption Date. 2 2 6 3 8" xfId="2843"/>
    <cellStyle name="Assumption Date. 2 2 6 3 9" xfId="2844"/>
    <cellStyle name="Assumption Date. 2 2 6 4" xfId="2845"/>
    <cellStyle name="Assumption Date. 2 2 6 5" xfId="2846"/>
    <cellStyle name="Assumption Date. 2 2 6 6" xfId="2847"/>
    <cellStyle name="Assumption Date. 2 2 6 7" xfId="2848"/>
    <cellStyle name="Assumption Date. 2 2 6 8" xfId="2849"/>
    <cellStyle name="Assumption Date. 2 2 6 9" xfId="2850"/>
    <cellStyle name="Assumption Date. 2 2 7" xfId="2851"/>
    <cellStyle name="Assumption Date. 2 2 7 10" xfId="2852"/>
    <cellStyle name="Assumption Date. 2 2 7 11" xfId="2853"/>
    <cellStyle name="Assumption Date. 2 2 7 12" xfId="2854"/>
    <cellStyle name="Assumption Date. 2 2 7 2" xfId="2855"/>
    <cellStyle name="Assumption Date. 2 2 7 2 10" xfId="2856"/>
    <cellStyle name="Assumption Date. 2 2 7 2 2" xfId="2857"/>
    <cellStyle name="Assumption Date. 2 2 7 2 2 10" xfId="2858"/>
    <cellStyle name="Assumption Date. 2 2 7 2 2 2" xfId="2859"/>
    <cellStyle name="Assumption Date. 2 2 7 2 2 3" xfId="2860"/>
    <cellStyle name="Assumption Date. 2 2 7 2 2 4" xfId="2861"/>
    <cellStyle name="Assumption Date. 2 2 7 2 2 5" xfId="2862"/>
    <cellStyle name="Assumption Date. 2 2 7 2 2 6" xfId="2863"/>
    <cellStyle name="Assumption Date. 2 2 7 2 2 7" xfId="2864"/>
    <cellStyle name="Assumption Date. 2 2 7 2 2 8" xfId="2865"/>
    <cellStyle name="Assumption Date. 2 2 7 2 2 9" xfId="2866"/>
    <cellStyle name="Assumption Date. 2 2 7 2 3" xfId="2867"/>
    <cellStyle name="Assumption Date. 2 2 7 2 4" xfId="2868"/>
    <cellStyle name="Assumption Date. 2 2 7 2 5" xfId="2869"/>
    <cellStyle name="Assumption Date. 2 2 7 2 6" xfId="2870"/>
    <cellStyle name="Assumption Date. 2 2 7 2 7" xfId="2871"/>
    <cellStyle name="Assumption Date. 2 2 7 2 8" xfId="2872"/>
    <cellStyle name="Assumption Date. 2 2 7 2 9" xfId="2873"/>
    <cellStyle name="Assumption Date. 2 2 7 3" xfId="2874"/>
    <cellStyle name="Assumption Date. 2 2 7 3 10" xfId="2875"/>
    <cellStyle name="Assumption Date. 2 2 7 3 2" xfId="2876"/>
    <cellStyle name="Assumption Date. 2 2 7 3 3" xfId="2877"/>
    <cellStyle name="Assumption Date. 2 2 7 3 4" xfId="2878"/>
    <cellStyle name="Assumption Date. 2 2 7 3 5" xfId="2879"/>
    <cellStyle name="Assumption Date. 2 2 7 3 6" xfId="2880"/>
    <cellStyle name="Assumption Date. 2 2 7 3 7" xfId="2881"/>
    <cellStyle name="Assumption Date. 2 2 7 3 8" xfId="2882"/>
    <cellStyle name="Assumption Date. 2 2 7 3 9" xfId="2883"/>
    <cellStyle name="Assumption Date. 2 2 7 4" xfId="2884"/>
    <cellStyle name="Assumption Date. 2 2 7 5" xfId="2885"/>
    <cellStyle name="Assumption Date. 2 2 7 6" xfId="2886"/>
    <cellStyle name="Assumption Date. 2 2 7 7" xfId="2887"/>
    <cellStyle name="Assumption Date. 2 2 7 8" xfId="2888"/>
    <cellStyle name="Assumption Date. 2 2 7 9" xfId="2889"/>
    <cellStyle name="Assumption Date. 2 2 8" xfId="2890"/>
    <cellStyle name="Assumption Date. 2 2 8 10" xfId="2891"/>
    <cellStyle name="Assumption Date. 2 2 8 2" xfId="2892"/>
    <cellStyle name="Assumption Date. 2 2 8 2 10" xfId="2893"/>
    <cellStyle name="Assumption Date. 2 2 8 2 2" xfId="2894"/>
    <cellStyle name="Assumption Date. 2 2 8 2 3" xfId="2895"/>
    <cellStyle name="Assumption Date. 2 2 8 2 4" xfId="2896"/>
    <cellStyle name="Assumption Date. 2 2 8 2 5" xfId="2897"/>
    <cellStyle name="Assumption Date. 2 2 8 2 6" xfId="2898"/>
    <cellStyle name="Assumption Date. 2 2 8 2 7" xfId="2899"/>
    <cellStyle name="Assumption Date. 2 2 8 2 8" xfId="2900"/>
    <cellStyle name="Assumption Date. 2 2 8 2 9" xfId="2901"/>
    <cellStyle name="Assumption Date. 2 2 8 3" xfId="2902"/>
    <cellStyle name="Assumption Date. 2 2 8 4" xfId="2903"/>
    <cellStyle name="Assumption Date. 2 2 8 5" xfId="2904"/>
    <cellStyle name="Assumption Date. 2 2 8 6" xfId="2905"/>
    <cellStyle name="Assumption Date. 2 2 8 7" xfId="2906"/>
    <cellStyle name="Assumption Date. 2 2 8 8" xfId="2907"/>
    <cellStyle name="Assumption Date. 2 2 8 9" xfId="2908"/>
    <cellStyle name="Assumption Date. 2 2 9" xfId="2909"/>
    <cellStyle name="Assumption Date. 2 2 9 10" xfId="2910"/>
    <cellStyle name="Assumption Date. 2 2 9 2" xfId="2911"/>
    <cellStyle name="Assumption Date. 2 2 9 3" xfId="2912"/>
    <cellStyle name="Assumption Date. 2 2 9 4" xfId="2913"/>
    <cellStyle name="Assumption Date. 2 2 9 5" xfId="2914"/>
    <cellStyle name="Assumption Date. 2 2 9 6" xfId="2915"/>
    <cellStyle name="Assumption Date. 2 2 9 7" xfId="2916"/>
    <cellStyle name="Assumption Date. 2 2 9 8" xfId="2917"/>
    <cellStyle name="Assumption Date. 2 2 9 9" xfId="2918"/>
    <cellStyle name="Assumption Date. 2 3" xfId="2919"/>
    <cellStyle name="Assumption Date. 2 3 10" xfId="2920"/>
    <cellStyle name="Assumption Date. 2 3 11" xfId="2921"/>
    <cellStyle name="Assumption Date. 2 3 12" xfId="2922"/>
    <cellStyle name="Assumption Date. 2 3 13" xfId="2923"/>
    <cellStyle name="Assumption Date. 2 3 14" xfId="2924"/>
    <cellStyle name="Assumption Date. 2 3 2" xfId="2925"/>
    <cellStyle name="Assumption Date. 2 3 2 10" xfId="2926"/>
    <cellStyle name="Assumption Date. 2 3 2 11" xfId="2927"/>
    <cellStyle name="Assumption Date. 2 3 2 12" xfId="2928"/>
    <cellStyle name="Assumption Date. 2 3 2 13" xfId="2929"/>
    <cellStyle name="Assumption Date. 2 3 2 2" xfId="2930"/>
    <cellStyle name="Assumption Date. 2 3 2 2 10" xfId="2931"/>
    <cellStyle name="Assumption Date. 2 3 2 2 11" xfId="2932"/>
    <cellStyle name="Assumption Date. 2 3 2 2 12" xfId="2933"/>
    <cellStyle name="Assumption Date. 2 3 2 2 2" xfId="2934"/>
    <cellStyle name="Assumption Date. 2 3 2 2 2 10" xfId="2935"/>
    <cellStyle name="Assumption Date. 2 3 2 2 2 2" xfId="2936"/>
    <cellStyle name="Assumption Date. 2 3 2 2 2 2 10" xfId="2937"/>
    <cellStyle name="Assumption Date. 2 3 2 2 2 2 2" xfId="2938"/>
    <cellStyle name="Assumption Date. 2 3 2 2 2 2 3" xfId="2939"/>
    <cellStyle name="Assumption Date. 2 3 2 2 2 2 4" xfId="2940"/>
    <cellStyle name="Assumption Date. 2 3 2 2 2 2 5" xfId="2941"/>
    <cellStyle name="Assumption Date. 2 3 2 2 2 2 6" xfId="2942"/>
    <cellStyle name="Assumption Date. 2 3 2 2 2 2 7" xfId="2943"/>
    <cellStyle name="Assumption Date. 2 3 2 2 2 2 8" xfId="2944"/>
    <cellStyle name="Assumption Date. 2 3 2 2 2 2 9" xfId="2945"/>
    <cellStyle name="Assumption Date. 2 3 2 2 2 3" xfId="2946"/>
    <cellStyle name="Assumption Date. 2 3 2 2 2 4" xfId="2947"/>
    <cellStyle name="Assumption Date. 2 3 2 2 2 5" xfId="2948"/>
    <cellStyle name="Assumption Date. 2 3 2 2 2 6" xfId="2949"/>
    <cellStyle name="Assumption Date. 2 3 2 2 2 7" xfId="2950"/>
    <cellStyle name="Assumption Date. 2 3 2 2 2 8" xfId="2951"/>
    <cellStyle name="Assumption Date. 2 3 2 2 2 9" xfId="2952"/>
    <cellStyle name="Assumption Date. 2 3 2 2 3" xfId="2953"/>
    <cellStyle name="Assumption Date. 2 3 2 2 3 10" xfId="2954"/>
    <cellStyle name="Assumption Date. 2 3 2 2 3 2" xfId="2955"/>
    <cellStyle name="Assumption Date. 2 3 2 2 3 3" xfId="2956"/>
    <cellStyle name="Assumption Date. 2 3 2 2 3 4" xfId="2957"/>
    <cellStyle name="Assumption Date. 2 3 2 2 3 5" xfId="2958"/>
    <cellStyle name="Assumption Date. 2 3 2 2 3 6" xfId="2959"/>
    <cellStyle name="Assumption Date. 2 3 2 2 3 7" xfId="2960"/>
    <cellStyle name="Assumption Date. 2 3 2 2 3 8" xfId="2961"/>
    <cellStyle name="Assumption Date. 2 3 2 2 3 9" xfId="2962"/>
    <cellStyle name="Assumption Date. 2 3 2 2 4" xfId="2963"/>
    <cellStyle name="Assumption Date. 2 3 2 2 5" xfId="2964"/>
    <cellStyle name="Assumption Date. 2 3 2 2 6" xfId="2965"/>
    <cellStyle name="Assumption Date. 2 3 2 2 7" xfId="2966"/>
    <cellStyle name="Assumption Date. 2 3 2 2 8" xfId="2967"/>
    <cellStyle name="Assumption Date. 2 3 2 2 9" xfId="2968"/>
    <cellStyle name="Assumption Date. 2 3 2 3" xfId="2969"/>
    <cellStyle name="Assumption Date. 2 3 2 3 10" xfId="2970"/>
    <cellStyle name="Assumption Date. 2 3 2 3 2" xfId="2971"/>
    <cellStyle name="Assumption Date. 2 3 2 3 2 10" xfId="2972"/>
    <cellStyle name="Assumption Date. 2 3 2 3 2 2" xfId="2973"/>
    <cellStyle name="Assumption Date. 2 3 2 3 2 3" xfId="2974"/>
    <cellStyle name="Assumption Date. 2 3 2 3 2 4" xfId="2975"/>
    <cellStyle name="Assumption Date. 2 3 2 3 2 5" xfId="2976"/>
    <cellStyle name="Assumption Date. 2 3 2 3 2 6" xfId="2977"/>
    <cellStyle name="Assumption Date. 2 3 2 3 2 7" xfId="2978"/>
    <cellStyle name="Assumption Date. 2 3 2 3 2 8" xfId="2979"/>
    <cellStyle name="Assumption Date. 2 3 2 3 2 9" xfId="2980"/>
    <cellStyle name="Assumption Date. 2 3 2 3 3" xfId="2981"/>
    <cellStyle name="Assumption Date. 2 3 2 3 4" xfId="2982"/>
    <cellStyle name="Assumption Date. 2 3 2 3 5" xfId="2983"/>
    <cellStyle name="Assumption Date. 2 3 2 3 6" xfId="2984"/>
    <cellStyle name="Assumption Date. 2 3 2 3 7" xfId="2985"/>
    <cellStyle name="Assumption Date. 2 3 2 3 8" xfId="2986"/>
    <cellStyle name="Assumption Date. 2 3 2 3 9" xfId="2987"/>
    <cellStyle name="Assumption Date. 2 3 2 4" xfId="2988"/>
    <cellStyle name="Assumption Date. 2 3 2 4 10" xfId="2989"/>
    <cellStyle name="Assumption Date. 2 3 2 4 2" xfId="2990"/>
    <cellStyle name="Assumption Date. 2 3 2 4 3" xfId="2991"/>
    <cellStyle name="Assumption Date. 2 3 2 4 4" xfId="2992"/>
    <cellStyle name="Assumption Date. 2 3 2 4 5" xfId="2993"/>
    <cellStyle name="Assumption Date. 2 3 2 4 6" xfId="2994"/>
    <cellStyle name="Assumption Date. 2 3 2 4 7" xfId="2995"/>
    <cellStyle name="Assumption Date. 2 3 2 4 8" xfId="2996"/>
    <cellStyle name="Assumption Date. 2 3 2 4 9" xfId="2997"/>
    <cellStyle name="Assumption Date. 2 3 2 5" xfId="2998"/>
    <cellStyle name="Assumption Date. 2 3 2 6" xfId="2999"/>
    <cellStyle name="Assumption Date. 2 3 2 7" xfId="3000"/>
    <cellStyle name="Assumption Date. 2 3 2 8" xfId="3001"/>
    <cellStyle name="Assumption Date. 2 3 2 9" xfId="3002"/>
    <cellStyle name="Assumption Date. 2 3 3" xfId="3003"/>
    <cellStyle name="Assumption Date. 2 3 3 10" xfId="3004"/>
    <cellStyle name="Assumption Date. 2 3 3 11" xfId="3005"/>
    <cellStyle name="Assumption Date. 2 3 3 12" xfId="3006"/>
    <cellStyle name="Assumption Date. 2 3 3 2" xfId="3007"/>
    <cellStyle name="Assumption Date. 2 3 3 2 10" xfId="3008"/>
    <cellStyle name="Assumption Date. 2 3 3 2 2" xfId="3009"/>
    <cellStyle name="Assumption Date. 2 3 3 2 2 10" xfId="3010"/>
    <cellStyle name="Assumption Date. 2 3 3 2 2 2" xfId="3011"/>
    <cellStyle name="Assumption Date. 2 3 3 2 2 3" xfId="3012"/>
    <cellStyle name="Assumption Date. 2 3 3 2 2 4" xfId="3013"/>
    <cellStyle name="Assumption Date. 2 3 3 2 2 5" xfId="3014"/>
    <cellStyle name="Assumption Date. 2 3 3 2 2 6" xfId="3015"/>
    <cellStyle name="Assumption Date. 2 3 3 2 2 7" xfId="3016"/>
    <cellStyle name="Assumption Date. 2 3 3 2 2 8" xfId="3017"/>
    <cellStyle name="Assumption Date. 2 3 3 2 2 9" xfId="3018"/>
    <cellStyle name="Assumption Date. 2 3 3 2 3" xfId="3019"/>
    <cellStyle name="Assumption Date. 2 3 3 2 4" xfId="3020"/>
    <cellStyle name="Assumption Date. 2 3 3 2 5" xfId="3021"/>
    <cellStyle name="Assumption Date. 2 3 3 2 6" xfId="3022"/>
    <cellStyle name="Assumption Date. 2 3 3 2 7" xfId="3023"/>
    <cellStyle name="Assumption Date. 2 3 3 2 8" xfId="3024"/>
    <cellStyle name="Assumption Date. 2 3 3 2 9" xfId="3025"/>
    <cellStyle name="Assumption Date. 2 3 3 3" xfId="3026"/>
    <cellStyle name="Assumption Date. 2 3 3 3 10" xfId="3027"/>
    <cellStyle name="Assumption Date. 2 3 3 3 2" xfId="3028"/>
    <cellStyle name="Assumption Date. 2 3 3 3 3" xfId="3029"/>
    <cellStyle name="Assumption Date. 2 3 3 3 4" xfId="3030"/>
    <cellStyle name="Assumption Date. 2 3 3 3 5" xfId="3031"/>
    <cellStyle name="Assumption Date. 2 3 3 3 6" xfId="3032"/>
    <cellStyle name="Assumption Date. 2 3 3 3 7" xfId="3033"/>
    <cellStyle name="Assumption Date. 2 3 3 3 8" xfId="3034"/>
    <cellStyle name="Assumption Date. 2 3 3 3 9" xfId="3035"/>
    <cellStyle name="Assumption Date. 2 3 3 4" xfId="3036"/>
    <cellStyle name="Assumption Date. 2 3 3 5" xfId="3037"/>
    <cellStyle name="Assumption Date. 2 3 3 6" xfId="3038"/>
    <cellStyle name="Assumption Date. 2 3 3 7" xfId="3039"/>
    <cellStyle name="Assumption Date. 2 3 3 8" xfId="3040"/>
    <cellStyle name="Assumption Date. 2 3 3 9" xfId="3041"/>
    <cellStyle name="Assumption Date. 2 3 4" xfId="3042"/>
    <cellStyle name="Assumption Date. 2 3 4 10" xfId="3043"/>
    <cellStyle name="Assumption Date. 2 3 4 2" xfId="3044"/>
    <cellStyle name="Assumption Date. 2 3 4 2 10" xfId="3045"/>
    <cellStyle name="Assumption Date. 2 3 4 2 2" xfId="3046"/>
    <cellStyle name="Assumption Date. 2 3 4 2 3" xfId="3047"/>
    <cellStyle name="Assumption Date. 2 3 4 2 4" xfId="3048"/>
    <cellStyle name="Assumption Date. 2 3 4 2 5" xfId="3049"/>
    <cellStyle name="Assumption Date. 2 3 4 2 6" xfId="3050"/>
    <cellStyle name="Assumption Date. 2 3 4 2 7" xfId="3051"/>
    <cellStyle name="Assumption Date. 2 3 4 2 8" xfId="3052"/>
    <cellStyle name="Assumption Date. 2 3 4 2 9" xfId="3053"/>
    <cellStyle name="Assumption Date. 2 3 4 3" xfId="3054"/>
    <cellStyle name="Assumption Date. 2 3 4 4" xfId="3055"/>
    <cellStyle name="Assumption Date. 2 3 4 5" xfId="3056"/>
    <cellStyle name="Assumption Date. 2 3 4 6" xfId="3057"/>
    <cellStyle name="Assumption Date. 2 3 4 7" xfId="3058"/>
    <cellStyle name="Assumption Date. 2 3 4 8" xfId="3059"/>
    <cellStyle name="Assumption Date. 2 3 4 9" xfId="3060"/>
    <cellStyle name="Assumption Date. 2 3 5" xfId="3061"/>
    <cellStyle name="Assumption Date. 2 3 5 10" xfId="3062"/>
    <cellStyle name="Assumption Date. 2 3 5 2" xfId="3063"/>
    <cellStyle name="Assumption Date. 2 3 5 3" xfId="3064"/>
    <cellStyle name="Assumption Date. 2 3 5 4" xfId="3065"/>
    <cellStyle name="Assumption Date. 2 3 5 5" xfId="3066"/>
    <cellStyle name="Assumption Date. 2 3 5 6" xfId="3067"/>
    <cellStyle name="Assumption Date. 2 3 5 7" xfId="3068"/>
    <cellStyle name="Assumption Date. 2 3 5 8" xfId="3069"/>
    <cellStyle name="Assumption Date. 2 3 5 9" xfId="3070"/>
    <cellStyle name="Assumption Date. 2 3 6" xfId="3071"/>
    <cellStyle name="Assumption Date. 2 3 7" xfId="3072"/>
    <cellStyle name="Assumption Date. 2 3 8" xfId="3073"/>
    <cellStyle name="Assumption Date. 2 3 9" xfId="3074"/>
    <cellStyle name="Assumption Date. 2 4" xfId="3075"/>
    <cellStyle name="Assumption Date. 2 4 10" xfId="3076"/>
    <cellStyle name="Assumption Date. 2 4 11" xfId="3077"/>
    <cellStyle name="Assumption Date. 2 4 12" xfId="3078"/>
    <cellStyle name="Assumption Date. 2 4 13" xfId="3079"/>
    <cellStyle name="Assumption Date. 2 4 2" xfId="3080"/>
    <cellStyle name="Assumption Date. 2 4 2 10" xfId="3081"/>
    <cellStyle name="Assumption Date. 2 4 2 11" xfId="3082"/>
    <cellStyle name="Assumption Date. 2 4 2 12" xfId="3083"/>
    <cellStyle name="Assumption Date. 2 4 2 2" xfId="3084"/>
    <cellStyle name="Assumption Date. 2 4 2 2 10" xfId="3085"/>
    <cellStyle name="Assumption Date. 2 4 2 2 2" xfId="3086"/>
    <cellStyle name="Assumption Date. 2 4 2 2 2 10" xfId="3087"/>
    <cellStyle name="Assumption Date. 2 4 2 2 2 2" xfId="3088"/>
    <cellStyle name="Assumption Date. 2 4 2 2 2 3" xfId="3089"/>
    <cellStyle name="Assumption Date. 2 4 2 2 2 4" xfId="3090"/>
    <cellStyle name="Assumption Date. 2 4 2 2 2 5" xfId="3091"/>
    <cellStyle name="Assumption Date. 2 4 2 2 2 6" xfId="3092"/>
    <cellStyle name="Assumption Date. 2 4 2 2 2 7" xfId="3093"/>
    <cellStyle name="Assumption Date. 2 4 2 2 2 8" xfId="3094"/>
    <cellStyle name="Assumption Date. 2 4 2 2 2 9" xfId="3095"/>
    <cellStyle name="Assumption Date. 2 4 2 2 3" xfId="3096"/>
    <cellStyle name="Assumption Date. 2 4 2 2 4" xfId="3097"/>
    <cellStyle name="Assumption Date. 2 4 2 2 5" xfId="3098"/>
    <cellStyle name="Assumption Date. 2 4 2 2 6" xfId="3099"/>
    <cellStyle name="Assumption Date. 2 4 2 2 7" xfId="3100"/>
    <cellStyle name="Assumption Date. 2 4 2 2 8" xfId="3101"/>
    <cellStyle name="Assumption Date. 2 4 2 2 9" xfId="3102"/>
    <cellStyle name="Assumption Date. 2 4 2 3" xfId="3103"/>
    <cellStyle name="Assumption Date. 2 4 2 3 10" xfId="3104"/>
    <cellStyle name="Assumption Date. 2 4 2 3 2" xfId="3105"/>
    <cellStyle name="Assumption Date. 2 4 2 3 3" xfId="3106"/>
    <cellStyle name="Assumption Date. 2 4 2 3 4" xfId="3107"/>
    <cellStyle name="Assumption Date. 2 4 2 3 5" xfId="3108"/>
    <cellStyle name="Assumption Date. 2 4 2 3 6" xfId="3109"/>
    <cellStyle name="Assumption Date. 2 4 2 3 7" xfId="3110"/>
    <cellStyle name="Assumption Date. 2 4 2 3 8" xfId="3111"/>
    <cellStyle name="Assumption Date. 2 4 2 3 9" xfId="3112"/>
    <cellStyle name="Assumption Date. 2 4 2 4" xfId="3113"/>
    <cellStyle name="Assumption Date. 2 4 2 5" xfId="3114"/>
    <cellStyle name="Assumption Date. 2 4 2 6" xfId="3115"/>
    <cellStyle name="Assumption Date. 2 4 2 7" xfId="3116"/>
    <cellStyle name="Assumption Date. 2 4 2 8" xfId="3117"/>
    <cellStyle name="Assumption Date. 2 4 2 9" xfId="3118"/>
    <cellStyle name="Assumption Date. 2 4 3" xfId="3119"/>
    <cellStyle name="Assumption Date. 2 4 3 10" xfId="3120"/>
    <cellStyle name="Assumption Date. 2 4 3 2" xfId="3121"/>
    <cellStyle name="Assumption Date. 2 4 3 2 10" xfId="3122"/>
    <cellStyle name="Assumption Date. 2 4 3 2 2" xfId="3123"/>
    <cellStyle name="Assumption Date. 2 4 3 2 3" xfId="3124"/>
    <cellStyle name="Assumption Date. 2 4 3 2 4" xfId="3125"/>
    <cellStyle name="Assumption Date. 2 4 3 2 5" xfId="3126"/>
    <cellStyle name="Assumption Date. 2 4 3 2 6" xfId="3127"/>
    <cellStyle name="Assumption Date. 2 4 3 2 7" xfId="3128"/>
    <cellStyle name="Assumption Date. 2 4 3 2 8" xfId="3129"/>
    <cellStyle name="Assumption Date. 2 4 3 2 9" xfId="3130"/>
    <cellStyle name="Assumption Date. 2 4 3 3" xfId="3131"/>
    <cellStyle name="Assumption Date. 2 4 3 4" xfId="3132"/>
    <cellStyle name="Assumption Date. 2 4 3 5" xfId="3133"/>
    <cellStyle name="Assumption Date. 2 4 3 6" xfId="3134"/>
    <cellStyle name="Assumption Date. 2 4 3 7" xfId="3135"/>
    <cellStyle name="Assumption Date. 2 4 3 8" xfId="3136"/>
    <cellStyle name="Assumption Date. 2 4 3 9" xfId="3137"/>
    <cellStyle name="Assumption Date. 2 4 4" xfId="3138"/>
    <cellStyle name="Assumption Date. 2 4 4 10" xfId="3139"/>
    <cellStyle name="Assumption Date. 2 4 4 2" xfId="3140"/>
    <cellStyle name="Assumption Date. 2 4 4 3" xfId="3141"/>
    <cellStyle name="Assumption Date. 2 4 4 4" xfId="3142"/>
    <cellStyle name="Assumption Date. 2 4 4 5" xfId="3143"/>
    <cellStyle name="Assumption Date. 2 4 4 6" xfId="3144"/>
    <cellStyle name="Assumption Date. 2 4 4 7" xfId="3145"/>
    <cellStyle name="Assumption Date. 2 4 4 8" xfId="3146"/>
    <cellStyle name="Assumption Date. 2 4 4 9" xfId="3147"/>
    <cellStyle name="Assumption Date. 2 4 5" xfId="3148"/>
    <cellStyle name="Assumption Date. 2 4 6" xfId="3149"/>
    <cellStyle name="Assumption Date. 2 4 7" xfId="3150"/>
    <cellStyle name="Assumption Date. 2 4 8" xfId="3151"/>
    <cellStyle name="Assumption Date. 2 4 9" xfId="3152"/>
    <cellStyle name="Assumption Date. 2 5" xfId="3153"/>
    <cellStyle name="Assumption Date. 2 5 10" xfId="3154"/>
    <cellStyle name="Assumption Date. 2 5 11" xfId="3155"/>
    <cellStyle name="Assumption Date. 2 5 12" xfId="3156"/>
    <cellStyle name="Assumption Date. 2 5 13" xfId="3157"/>
    <cellStyle name="Assumption Date. 2 5 2" xfId="3158"/>
    <cellStyle name="Assumption Date. 2 5 2 10" xfId="3159"/>
    <cellStyle name="Assumption Date. 2 5 2 11" xfId="3160"/>
    <cellStyle name="Assumption Date. 2 5 2 12" xfId="3161"/>
    <cellStyle name="Assumption Date. 2 5 2 2" xfId="3162"/>
    <cellStyle name="Assumption Date. 2 5 2 2 10" xfId="3163"/>
    <cellStyle name="Assumption Date. 2 5 2 2 2" xfId="3164"/>
    <cellStyle name="Assumption Date. 2 5 2 2 2 10" xfId="3165"/>
    <cellStyle name="Assumption Date. 2 5 2 2 2 2" xfId="3166"/>
    <cellStyle name="Assumption Date. 2 5 2 2 2 3" xfId="3167"/>
    <cellStyle name="Assumption Date. 2 5 2 2 2 4" xfId="3168"/>
    <cellStyle name="Assumption Date. 2 5 2 2 2 5" xfId="3169"/>
    <cellStyle name="Assumption Date. 2 5 2 2 2 6" xfId="3170"/>
    <cellStyle name="Assumption Date. 2 5 2 2 2 7" xfId="3171"/>
    <cellStyle name="Assumption Date. 2 5 2 2 2 8" xfId="3172"/>
    <cellStyle name="Assumption Date. 2 5 2 2 2 9" xfId="3173"/>
    <cellStyle name="Assumption Date. 2 5 2 2 3" xfId="3174"/>
    <cellStyle name="Assumption Date. 2 5 2 2 4" xfId="3175"/>
    <cellStyle name="Assumption Date. 2 5 2 2 5" xfId="3176"/>
    <cellStyle name="Assumption Date. 2 5 2 2 6" xfId="3177"/>
    <cellStyle name="Assumption Date. 2 5 2 2 7" xfId="3178"/>
    <cellStyle name="Assumption Date. 2 5 2 2 8" xfId="3179"/>
    <cellStyle name="Assumption Date. 2 5 2 2 9" xfId="3180"/>
    <cellStyle name="Assumption Date. 2 5 2 3" xfId="3181"/>
    <cellStyle name="Assumption Date. 2 5 2 3 10" xfId="3182"/>
    <cellStyle name="Assumption Date. 2 5 2 3 2" xfId="3183"/>
    <cellStyle name="Assumption Date. 2 5 2 3 3" xfId="3184"/>
    <cellStyle name="Assumption Date. 2 5 2 3 4" xfId="3185"/>
    <cellStyle name="Assumption Date. 2 5 2 3 5" xfId="3186"/>
    <cellStyle name="Assumption Date. 2 5 2 3 6" xfId="3187"/>
    <cellStyle name="Assumption Date. 2 5 2 3 7" xfId="3188"/>
    <cellStyle name="Assumption Date. 2 5 2 3 8" xfId="3189"/>
    <cellStyle name="Assumption Date. 2 5 2 3 9" xfId="3190"/>
    <cellStyle name="Assumption Date. 2 5 2 4" xfId="3191"/>
    <cellStyle name="Assumption Date. 2 5 2 5" xfId="3192"/>
    <cellStyle name="Assumption Date. 2 5 2 6" xfId="3193"/>
    <cellStyle name="Assumption Date. 2 5 2 7" xfId="3194"/>
    <cellStyle name="Assumption Date. 2 5 2 8" xfId="3195"/>
    <cellStyle name="Assumption Date. 2 5 2 9" xfId="3196"/>
    <cellStyle name="Assumption Date. 2 5 3" xfId="3197"/>
    <cellStyle name="Assumption Date. 2 5 3 10" xfId="3198"/>
    <cellStyle name="Assumption Date. 2 5 3 2" xfId="3199"/>
    <cellStyle name="Assumption Date. 2 5 3 2 10" xfId="3200"/>
    <cellStyle name="Assumption Date. 2 5 3 2 2" xfId="3201"/>
    <cellStyle name="Assumption Date. 2 5 3 2 3" xfId="3202"/>
    <cellStyle name="Assumption Date. 2 5 3 2 4" xfId="3203"/>
    <cellStyle name="Assumption Date. 2 5 3 2 5" xfId="3204"/>
    <cellStyle name="Assumption Date. 2 5 3 2 6" xfId="3205"/>
    <cellStyle name="Assumption Date. 2 5 3 2 7" xfId="3206"/>
    <cellStyle name="Assumption Date. 2 5 3 2 8" xfId="3207"/>
    <cellStyle name="Assumption Date. 2 5 3 2 9" xfId="3208"/>
    <cellStyle name="Assumption Date. 2 5 3 3" xfId="3209"/>
    <cellStyle name="Assumption Date. 2 5 3 4" xfId="3210"/>
    <cellStyle name="Assumption Date. 2 5 3 5" xfId="3211"/>
    <cellStyle name="Assumption Date. 2 5 3 6" xfId="3212"/>
    <cellStyle name="Assumption Date. 2 5 3 7" xfId="3213"/>
    <cellStyle name="Assumption Date. 2 5 3 8" xfId="3214"/>
    <cellStyle name="Assumption Date. 2 5 3 9" xfId="3215"/>
    <cellStyle name="Assumption Date. 2 5 4" xfId="3216"/>
    <cellStyle name="Assumption Date. 2 5 4 10" xfId="3217"/>
    <cellStyle name="Assumption Date. 2 5 4 2" xfId="3218"/>
    <cellStyle name="Assumption Date. 2 5 4 3" xfId="3219"/>
    <cellStyle name="Assumption Date. 2 5 4 4" xfId="3220"/>
    <cellStyle name="Assumption Date. 2 5 4 5" xfId="3221"/>
    <cellStyle name="Assumption Date. 2 5 4 6" xfId="3222"/>
    <cellStyle name="Assumption Date. 2 5 4 7" xfId="3223"/>
    <cellStyle name="Assumption Date. 2 5 4 8" xfId="3224"/>
    <cellStyle name="Assumption Date. 2 5 4 9" xfId="3225"/>
    <cellStyle name="Assumption Date. 2 5 5" xfId="3226"/>
    <cellStyle name="Assumption Date. 2 5 6" xfId="3227"/>
    <cellStyle name="Assumption Date. 2 5 7" xfId="3228"/>
    <cellStyle name="Assumption Date. 2 5 8" xfId="3229"/>
    <cellStyle name="Assumption Date. 2 5 9" xfId="3230"/>
    <cellStyle name="Assumption Date. 2 6" xfId="3231"/>
    <cellStyle name="Assumption Date. 2 6 10" xfId="3232"/>
    <cellStyle name="Assumption Date. 2 6 11" xfId="3233"/>
    <cellStyle name="Assumption Date. 2 6 12" xfId="3234"/>
    <cellStyle name="Assumption Date. 2 6 2" xfId="3235"/>
    <cellStyle name="Assumption Date. 2 6 2 10" xfId="3236"/>
    <cellStyle name="Assumption Date. 2 6 2 2" xfId="3237"/>
    <cellStyle name="Assumption Date. 2 6 2 2 10" xfId="3238"/>
    <cellStyle name="Assumption Date. 2 6 2 2 2" xfId="3239"/>
    <cellStyle name="Assumption Date. 2 6 2 2 3" xfId="3240"/>
    <cellStyle name="Assumption Date. 2 6 2 2 4" xfId="3241"/>
    <cellStyle name="Assumption Date. 2 6 2 2 5" xfId="3242"/>
    <cellStyle name="Assumption Date. 2 6 2 2 6" xfId="3243"/>
    <cellStyle name="Assumption Date. 2 6 2 2 7" xfId="3244"/>
    <cellStyle name="Assumption Date. 2 6 2 2 8" xfId="3245"/>
    <cellStyle name="Assumption Date. 2 6 2 2 9" xfId="3246"/>
    <cellStyle name="Assumption Date. 2 6 2 3" xfId="3247"/>
    <cellStyle name="Assumption Date. 2 6 2 4" xfId="3248"/>
    <cellStyle name="Assumption Date. 2 6 2 5" xfId="3249"/>
    <cellStyle name="Assumption Date. 2 6 2 6" xfId="3250"/>
    <cellStyle name="Assumption Date. 2 6 2 7" xfId="3251"/>
    <cellStyle name="Assumption Date. 2 6 2 8" xfId="3252"/>
    <cellStyle name="Assumption Date. 2 6 2 9" xfId="3253"/>
    <cellStyle name="Assumption Date. 2 6 3" xfId="3254"/>
    <cellStyle name="Assumption Date. 2 6 3 10" xfId="3255"/>
    <cellStyle name="Assumption Date. 2 6 3 2" xfId="3256"/>
    <cellStyle name="Assumption Date. 2 6 3 3" xfId="3257"/>
    <cellStyle name="Assumption Date. 2 6 3 4" xfId="3258"/>
    <cellStyle name="Assumption Date. 2 6 3 5" xfId="3259"/>
    <cellStyle name="Assumption Date. 2 6 3 6" xfId="3260"/>
    <cellStyle name="Assumption Date. 2 6 3 7" xfId="3261"/>
    <cellStyle name="Assumption Date. 2 6 3 8" xfId="3262"/>
    <cellStyle name="Assumption Date. 2 6 3 9" xfId="3263"/>
    <cellStyle name="Assumption Date. 2 6 4" xfId="3264"/>
    <cellStyle name="Assumption Date. 2 6 5" xfId="3265"/>
    <cellStyle name="Assumption Date. 2 6 6" xfId="3266"/>
    <cellStyle name="Assumption Date. 2 6 7" xfId="3267"/>
    <cellStyle name="Assumption Date. 2 6 8" xfId="3268"/>
    <cellStyle name="Assumption Date. 2 6 9" xfId="3269"/>
    <cellStyle name="Assumption Date. 2 7" xfId="3270"/>
    <cellStyle name="Assumption Date. 2 7 10" xfId="3271"/>
    <cellStyle name="Assumption Date. 2 7 11" xfId="3272"/>
    <cellStyle name="Assumption Date. 2 7 12" xfId="3273"/>
    <cellStyle name="Assumption Date. 2 7 2" xfId="3274"/>
    <cellStyle name="Assumption Date. 2 7 2 10" xfId="3275"/>
    <cellStyle name="Assumption Date. 2 7 2 2" xfId="3276"/>
    <cellStyle name="Assumption Date. 2 7 2 2 10" xfId="3277"/>
    <cellStyle name="Assumption Date. 2 7 2 2 2" xfId="3278"/>
    <cellStyle name="Assumption Date. 2 7 2 2 3" xfId="3279"/>
    <cellStyle name="Assumption Date. 2 7 2 2 4" xfId="3280"/>
    <cellStyle name="Assumption Date. 2 7 2 2 5" xfId="3281"/>
    <cellStyle name="Assumption Date. 2 7 2 2 6" xfId="3282"/>
    <cellStyle name="Assumption Date. 2 7 2 2 7" xfId="3283"/>
    <cellStyle name="Assumption Date. 2 7 2 2 8" xfId="3284"/>
    <cellStyle name="Assumption Date. 2 7 2 2 9" xfId="3285"/>
    <cellStyle name="Assumption Date. 2 7 2 3" xfId="3286"/>
    <cellStyle name="Assumption Date. 2 7 2 4" xfId="3287"/>
    <cellStyle name="Assumption Date. 2 7 2 5" xfId="3288"/>
    <cellStyle name="Assumption Date. 2 7 2 6" xfId="3289"/>
    <cellStyle name="Assumption Date. 2 7 2 7" xfId="3290"/>
    <cellStyle name="Assumption Date. 2 7 2 8" xfId="3291"/>
    <cellStyle name="Assumption Date. 2 7 2 9" xfId="3292"/>
    <cellStyle name="Assumption Date. 2 7 3" xfId="3293"/>
    <cellStyle name="Assumption Date. 2 7 3 10" xfId="3294"/>
    <cellStyle name="Assumption Date. 2 7 3 2" xfId="3295"/>
    <cellStyle name="Assumption Date. 2 7 3 3" xfId="3296"/>
    <cellStyle name="Assumption Date. 2 7 3 4" xfId="3297"/>
    <cellStyle name="Assumption Date. 2 7 3 5" xfId="3298"/>
    <cellStyle name="Assumption Date. 2 7 3 6" xfId="3299"/>
    <cellStyle name="Assumption Date. 2 7 3 7" xfId="3300"/>
    <cellStyle name="Assumption Date. 2 7 3 8" xfId="3301"/>
    <cellStyle name="Assumption Date. 2 7 3 9" xfId="3302"/>
    <cellStyle name="Assumption Date. 2 7 4" xfId="3303"/>
    <cellStyle name="Assumption Date. 2 7 5" xfId="3304"/>
    <cellStyle name="Assumption Date. 2 7 6" xfId="3305"/>
    <cellStyle name="Assumption Date. 2 7 7" xfId="3306"/>
    <cellStyle name="Assumption Date. 2 7 8" xfId="3307"/>
    <cellStyle name="Assumption Date. 2 7 9" xfId="3308"/>
    <cellStyle name="Assumption Date. 2 8" xfId="3309"/>
    <cellStyle name="Assumption Date. 2 8 10" xfId="3310"/>
    <cellStyle name="Assumption Date. 2 8 11" xfId="3311"/>
    <cellStyle name="Assumption Date. 2 8 12" xfId="3312"/>
    <cellStyle name="Assumption Date. 2 8 2" xfId="3313"/>
    <cellStyle name="Assumption Date. 2 8 2 10" xfId="3314"/>
    <cellStyle name="Assumption Date. 2 8 2 2" xfId="3315"/>
    <cellStyle name="Assumption Date. 2 8 2 2 10" xfId="3316"/>
    <cellStyle name="Assumption Date. 2 8 2 2 2" xfId="3317"/>
    <cellStyle name="Assumption Date. 2 8 2 2 3" xfId="3318"/>
    <cellStyle name="Assumption Date. 2 8 2 2 4" xfId="3319"/>
    <cellStyle name="Assumption Date. 2 8 2 2 5" xfId="3320"/>
    <cellStyle name="Assumption Date. 2 8 2 2 6" xfId="3321"/>
    <cellStyle name="Assumption Date. 2 8 2 2 7" xfId="3322"/>
    <cellStyle name="Assumption Date. 2 8 2 2 8" xfId="3323"/>
    <cellStyle name="Assumption Date. 2 8 2 2 9" xfId="3324"/>
    <cellStyle name="Assumption Date. 2 8 2 3" xfId="3325"/>
    <cellStyle name="Assumption Date. 2 8 2 4" xfId="3326"/>
    <cellStyle name="Assumption Date. 2 8 2 5" xfId="3327"/>
    <cellStyle name="Assumption Date. 2 8 2 6" xfId="3328"/>
    <cellStyle name="Assumption Date. 2 8 2 7" xfId="3329"/>
    <cellStyle name="Assumption Date. 2 8 2 8" xfId="3330"/>
    <cellStyle name="Assumption Date. 2 8 2 9" xfId="3331"/>
    <cellStyle name="Assumption Date. 2 8 3" xfId="3332"/>
    <cellStyle name="Assumption Date. 2 8 3 10" xfId="3333"/>
    <cellStyle name="Assumption Date. 2 8 3 2" xfId="3334"/>
    <cellStyle name="Assumption Date. 2 8 3 3" xfId="3335"/>
    <cellStyle name="Assumption Date. 2 8 3 4" xfId="3336"/>
    <cellStyle name="Assumption Date. 2 8 3 5" xfId="3337"/>
    <cellStyle name="Assumption Date. 2 8 3 6" xfId="3338"/>
    <cellStyle name="Assumption Date. 2 8 3 7" xfId="3339"/>
    <cellStyle name="Assumption Date. 2 8 3 8" xfId="3340"/>
    <cellStyle name="Assumption Date. 2 8 3 9" xfId="3341"/>
    <cellStyle name="Assumption Date. 2 8 4" xfId="3342"/>
    <cellStyle name="Assumption Date. 2 8 5" xfId="3343"/>
    <cellStyle name="Assumption Date. 2 8 6" xfId="3344"/>
    <cellStyle name="Assumption Date. 2 8 7" xfId="3345"/>
    <cellStyle name="Assumption Date. 2 8 8" xfId="3346"/>
    <cellStyle name="Assumption Date. 2 8 9" xfId="3347"/>
    <cellStyle name="Assumption Date. 2 9" xfId="3348"/>
    <cellStyle name="Assumption Date. 2 9 10" xfId="3349"/>
    <cellStyle name="Assumption Date. 2 9 2" xfId="3350"/>
    <cellStyle name="Assumption Date. 2 9 2 10" xfId="3351"/>
    <cellStyle name="Assumption Date. 2 9 2 2" xfId="3352"/>
    <cellStyle name="Assumption Date. 2 9 2 3" xfId="3353"/>
    <cellStyle name="Assumption Date. 2 9 2 4" xfId="3354"/>
    <cellStyle name="Assumption Date. 2 9 2 5" xfId="3355"/>
    <cellStyle name="Assumption Date. 2 9 2 6" xfId="3356"/>
    <cellStyle name="Assumption Date. 2 9 2 7" xfId="3357"/>
    <cellStyle name="Assumption Date. 2 9 2 8" xfId="3358"/>
    <cellStyle name="Assumption Date. 2 9 2 9" xfId="3359"/>
    <cellStyle name="Assumption Date. 2 9 3" xfId="3360"/>
    <cellStyle name="Assumption Date. 2 9 4" xfId="3361"/>
    <cellStyle name="Assumption Date. 2 9 5" xfId="3362"/>
    <cellStyle name="Assumption Date. 2 9 6" xfId="3363"/>
    <cellStyle name="Assumption Date. 2 9 7" xfId="3364"/>
    <cellStyle name="Assumption Date. 2 9 8" xfId="3365"/>
    <cellStyle name="Assumption Date. 2 9 9" xfId="3366"/>
    <cellStyle name="Assumption Date. 3" xfId="3367"/>
    <cellStyle name="Assumption Date. 3 10" xfId="3368"/>
    <cellStyle name="Assumption Date. 3 11" xfId="3369"/>
    <cellStyle name="Assumption Date. 3 12" xfId="3370"/>
    <cellStyle name="Assumption Date. 3 13" xfId="3371"/>
    <cellStyle name="Assumption Date. 3 14" xfId="3372"/>
    <cellStyle name="Assumption Date. 3 15" xfId="3373"/>
    <cellStyle name="Assumption Date. 3 16" xfId="3374"/>
    <cellStyle name="Assumption Date. 3 2" xfId="3375"/>
    <cellStyle name="Assumption Date. 3 2 10" xfId="3376"/>
    <cellStyle name="Assumption Date. 3 2 11" xfId="3377"/>
    <cellStyle name="Assumption Date. 3 2 12" xfId="3378"/>
    <cellStyle name="Assumption Date. 3 2 13" xfId="3379"/>
    <cellStyle name="Assumption Date. 3 2 14" xfId="3380"/>
    <cellStyle name="Assumption Date. 3 2 2" xfId="3381"/>
    <cellStyle name="Assumption Date. 3 2 2 10" xfId="3382"/>
    <cellStyle name="Assumption Date. 3 2 2 11" xfId="3383"/>
    <cellStyle name="Assumption Date. 3 2 2 12" xfId="3384"/>
    <cellStyle name="Assumption Date. 3 2 2 13" xfId="3385"/>
    <cellStyle name="Assumption Date. 3 2 2 2" xfId="3386"/>
    <cellStyle name="Assumption Date. 3 2 2 2 10" xfId="3387"/>
    <cellStyle name="Assumption Date. 3 2 2 2 11" xfId="3388"/>
    <cellStyle name="Assumption Date. 3 2 2 2 12" xfId="3389"/>
    <cellStyle name="Assumption Date. 3 2 2 2 2" xfId="3390"/>
    <cellStyle name="Assumption Date. 3 2 2 2 2 10" xfId="3391"/>
    <cellStyle name="Assumption Date. 3 2 2 2 2 2" xfId="3392"/>
    <cellStyle name="Assumption Date. 3 2 2 2 2 2 10" xfId="3393"/>
    <cellStyle name="Assumption Date. 3 2 2 2 2 2 2" xfId="3394"/>
    <cellStyle name="Assumption Date. 3 2 2 2 2 2 3" xfId="3395"/>
    <cellStyle name="Assumption Date. 3 2 2 2 2 2 4" xfId="3396"/>
    <cellStyle name="Assumption Date. 3 2 2 2 2 2 5" xfId="3397"/>
    <cellStyle name="Assumption Date. 3 2 2 2 2 2 6" xfId="3398"/>
    <cellStyle name="Assumption Date. 3 2 2 2 2 2 7" xfId="3399"/>
    <cellStyle name="Assumption Date. 3 2 2 2 2 2 8" xfId="3400"/>
    <cellStyle name="Assumption Date. 3 2 2 2 2 2 9" xfId="3401"/>
    <cellStyle name="Assumption Date. 3 2 2 2 2 3" xfId="3402"/>
    <cellStyle name="Assumption Date. 3 2 2 2 2 4" xfId="3403"/>
    <cellStyle name="Assumption Date. 3 2 2 2 2 5" xfId="3404"/>
    <cellStyle name="Assumption Date. 3 2 2 2 2 6" xfId="3405"/>
    <cellStyle name="Assumption Date. 3 2 2 2 2 7" xfId="3406"/>
    <cellStyle name="Assumption Date. 3 2 2 2 2 8" xfId="3407"/>
    <cellStyle name="Assumption Date. 3 2 2 2 2 9" xfId="3408"/>
    <cellStyle name="Assumption Date. 3 2 2 2 3" xfId="3409"/>
    <cellStyle name="Assumption Date. 3 2 2 2 3 10" xfId="3410"/>
    <cellStyle name="Assumption Date. 3 2 2 2 3 2" xfId="3411"/>
    <cellStyle name="Assumption Date. 3 2 2 2 3 3" xfId="3412"/>
    <cellStyle name="Assumption Date. 3 2 2 2 3 4" xfId="3413"/>
    <cellStyle name="Assumption Date. 3 2 2 2 3 5" xfId="3414"/>
    <cellStyle name="Assumption Date. 3 2 2 2 3 6" xfId="3415"/>
    <cellStyle name="Assumption Date. 3 2 2 2 3 7" xfId="3416"/>
    <cellStyle name="Assumption Date. 3 2 2 2 3 8" xfId="3417"/>
    <cellStyle name="Assumption Date. 3 2 2 2 3 9" xfId="3418"/>
    <cellStyle name="Assumption Date. 3 2 2 2 4" xfId="3419"/>
    <cellStyle name="Assumption Date. 3 2 2 2 5" xfId="3420"/>
    <cellStyle name="Assumption Date. 3 2 2 2 6" xfId="3421"/>
    <cellStyle name="Assumption Date. 3 2 2 2 7" xfId="3422"/>
    <cellStyle name="Assumption Date. 3 2 2 2 8" xfId="3423"/>
    <cellStyle name="Assumption Date. 3 2 2 2 9" xfId="3424"/>
    <cellStyle name="Assumption Date. 3 2 2 3" xfId="3425"/>
    <cellStyle name="Assumption Date. 3 2 2 3 10" xfId="3426"/>
    <cellStyle name="Assumption Date. 3 2 2 3 2" xfId="3427"/>
    <cellStyle name="Assumption Date. 3 2 2 3 2 10" xfId="3428"/>
    <cellStyle name="Assumption Date. 3 2 2 3 2 2" xfId="3429"/>
    <cellStyle name="Assumption Date. 3 2 2 3 2 3" xfId="3430"/>
    <cellStyle name="Assumption Date. 3 2 2 3 2 4" xfId="3431"/>
    <cellStyle name="Assumption Date. 3 2 2 3 2 5" xfId="3432"/>
    <cellStyle name="Assumption Date. 3 2 2 3 2 6" xfId="3433"/>
    <cellStyle name="Assumption Date. 3 2 2 3 2 7" xfId="3434"/>
    <cellStyle name="Assumption Date. 3 2 2 3 2 8" xfId="3435"/>
    <cellStyle name="Assumption Date. 3 2 2 3 2 9" xfId="3436"/>
    <cellStyle name="Assumption Date. 3 2 2 3 3" xfId="3437"/>
    <cellStyle name="Assumption Date. 3 2 2 3 4" xfId="3438"/>
    <cellStyle name="Assumption Date. 3 2 2 3 5" xfId="3439"/>
    <cellStyle name="Assumption Date. 3 2 2 3 6" xfId="3440"/>
    <cellStyle name="Assumption Date. 3 2 2 3 7" xfId="3441"/>
    <cellStyle name="Assumption Date. 3 2 2 3 8" xfId="3442"/>
    <cellStyle name="Assumption Date. 3 2 2 3 9" xfId="3443"/>
    <cellStyle name="Assumption Date. 3 2 2 4" xfId="3444"/>
    <cellStyle name="Assumption Date. 3 2 2 4 10" xfId="3445"/>
    <cellStyle name="Assumption Date. 3 2 2 4 2" xfId="3446"/>
    <cellStyle name="Assumption Date. 3 2 2 4 3" xfId="3447"/>
    <cellStyle name="Assumption Date. 3 2 2 4 4" xfId="3448"/>
    <cellStyle name="Assumption Date. 3 2 2 4 5" xfId="3449"/>
    <cellStyle name="Assumption Date. 3 2 2 4 6" xfId="3450"/>
    <cellStyle name="Assumption Date. 3 2 2 4 7" xfId="3451"/>
    <cellStyle name="Assumption Date. 3 2 2 4 8" xfId="3452"/>
    <cellStyle name="Assumption Date. 3 2 2 4 9" xfId="3453"/>
    <cellStyle name="Assumption Date. 3 2 2 5" xfId="3454"/>
    <cellStyle name="Assumption Date. 3 2 2 6" xfId="3455"/>
    <cellStyle name="Assumption Date. 3 2 2 7" xfId="3456"/>
    <cellStyle name="Assumption Date. 3 2 2 8" xfId="3457"/>
    <cellStyle name="Assumption Date. 3 2 2 9" xfId="3458"/>
    <cellStyle name="Assumption Date. 3 2 3" xfId="3459"/>
    <cellStyle name="Assumption Date. 3 2 3 10" xfId="3460"/>
    <cellStyle name="Assumption Date. 3 2 3 11" xfId="3461"/>
    <cellStyle name="Assumption Date. 3 2 3 12" xfId="3462"/>
    <cellStyle name="Assumption Date. 3 2 3 2" xfId="3463"/>
    <cellStyle name="Assumption Date. 3 2 3 2 10" xfId="3464"/>
    <cellStyle name="Assumption Date. 3 2 3 2 2" xfId="3465"/>
    <cellStyle name="Assumption Date. 3 2 3 2 2 10" xfId="3466"/>
    <cellStyle name="Assumption Date. 3 2 3 2 2 2" xfId="3467"/>
    <cellStyle name="Assumption Date. 3 2 3 2 2 3" xfId="3468"/>
    <cellStyle name="Assumption Date. 3 2 3 2 2 4" xfId="3469"/>
    <cellStyle name="Assumption Date. 3 2 3 2 2 5" xfId="3470"/>
    <cellStyle name="Assumption Date. 3 2 3 2 2 6" xfId="3471"/>
    <cellStyle name="Assumption Date. 3 2 3 2 2 7" xfId="3472"/>
    <cellStyle name="Assumption Date. 3 2 3 2 2 8" xfId="3473"/>
    <cellStyle name="Assumption Date. 3 2 3 2 2 9" xfId="3474"/>
    <cellStyle name="Assumption Date. 3 2 3 2 3" xfId="3475"/>
    <cellStyle name="Assumption Date. 3 2 3 2 4" xfId="3476"/>
    <cellStyle name="Assumption Date. 3 2 3 2 5" xfId="3477"/>
    <cellStyle name="Assumption Date. 3 2 3 2 6" xfId="3478"/>
    <cellStyle name="Assumption Date. 3 2 3 2 7" xfId="3479"/>
    <cellStyle name="Assumption Date. 3 2 3 2 8" xfId="3480"/>
    <cellStyle name="Assumption Date. 3 2 3 2 9" xfId="3481"/>
    <cellStyle name="Assumption Date. 3 2 3 3" xfId="3482"/>
    <cellStyle name="Assumption Date. 3 2 3 3 10" xfId="3483"/>
    <cellStyle name="Assumption Date. 3 2 3 3 2" xfId="3484"/>
    <cellStyle name="Assumption Date. 3 2 3 3 3" xfId="3485"/>
    <cellStyle name="Assumption Date. 3 2 3 3 4" xfId="3486"/>
    <cellStyle name="Assumption Date. 3 2 3 3 5" xfId="3487"/>
    <cellStyle name="Assumption Date. 3 2 3 3 6" xfId="3488"/>
    <cellStyle name="Assumption Date. 3 2 3 3 7" xfId="3489"/>
    <cellStyle name="Assumption Date. 3 2 3 3 8" xfId="3490"/>
    <cellStyle name="Assumption Date. 3 2 3 3 9" xfId="3491"/>
    <cellStyle name="Assumption Date. 3 2 3 4" xfId="3492"/>
    <cellStyle name="Assumption Date. 3 2 3 5" xfId="3493"/>
    <cellStyle name="Assumption Date. 3 2 3 6" xfId="3494"/>
    <cellStyle name="Assumption Date. 3 2 3 7" xfId="3495"/>
    <cellStyle name="Assumption Date. 3 2 3 8" xfId="3496"/>
    <cellStyle name="Assumption Date. 3 2 3 9" xfId="3497"/>
    <cellStyle name="Assumption Date. 3 2 4" xfId="3498"/>
    <cellStyle name="Assumption Date. 3 2 4 10" xfId="3499"/>
    <cellStyle name="Assumption Date. 3 2 4 2" xfId="3500"/>
    <cellStyle name="Assumption Date. 3 2 4 2 10" xfId="3501"/>
    <cellStyle name="Assumption Date. 3 2 4 2 2" xfId="3502"/>
    <cellStyle name="Assumption Date. 3 2 4 2 3" xfId="3503"/>
    <cellStyle name="Assumption Date. 3 2 4 2 4" xfId="3504"/>
    <cellStyle name="Assumption Date. 3 2 4 2 5" xfId="3505"/>
    <cellStyle name="Assumption Date. 3 2 4 2 6" xfId="3506"/>
    <cellStyle name="Assumption Date. 3 2 4 2 7" xfId="3507"/>
    <cellStyle name="Assumption Date. 3 2 4 2 8" xfId="3508"/>
    <cellStyle name="Assumption Date. 3 2 4 2 9" xfId="3509"/>
    <cellStyle name="Assumption Date. 3 2 4 3" xfId="3510"/>
    <cellStyle name="Assumption Date. 3 2 4 4" xfId="3511"/>
    <cellStyle name="Assumption Date. 3 2 4 5" xfId="3512"/>
    <cellStyle name="Assumption Date. 3 2 4 6" xfId="3513"/>
    <cellStyle name="Assumption Date. 3 2 4 7" xfId="3514"/>
    <cellStyle name="Assumption Date. 3 2 4 8" xfId="3515"/>
    <cellStyle name="Assumption Date. 3 2 4 9" xfId="3516"/>
    <cellStyle name="Assumption Date. 3 2 5" xfId="3517"/>
    <cellStyle name="Assumption Date. 3 2 5 10" xfId="3518"/>
    <cellStyle name="Assumption Date. 3 2 5 2" xfId="3519"/>
    <cellStyle name="Assumption Date. 3 2 5 3" xfId="3520"/>
    <cellStyle name="Assumption Date. 3 2 5 4" xfId="3521"/>
    <cellStyle name="Assumption Date. 3 2 5 5" xfId="3522"/>
    <cellStyle name="Assumption Date. 3 2 5 6" xfId="3523"/>
    <cellStyle name="Assumption Date. 3 2 5 7" xfId="3524"/>
    <cellStyle name="Assumption Date. 3 2 5 8" xfId="3525"/>
    <cellStyle name="Assumption Date. 3 2 5 9" xfId="3526"/>
    <cellStyle name="Assumption Date. 3 2 6" xfId="3527"/>
    <cellStyle name="Assumption Date. 3 2 7" xfId="3528"/>
    <cellStyle name="Assumption Date. 3 2 8" xfId="3529"/>
    <cellStyle name="Assumption Date. 3 2 9" xfId="3530"/>
    <cellStyle name="Assumption Date. 3 3" xfId="3531"/>
    <cellStyle name="Assumption Date. 3 3 10" xfId="3532"/>
    <cellStyle name="Assumption Date. 3 3 11" xfId="3533"/>
    <cellStyle name="Assumption Date. 3 3 12" xfId="3534"/>
    <cellStyle name="Assumption Date. 3 3 13" xfId="3535"/>
    <cellStyle name="Assumption Date. 3 3 2" xfId="3536"/>
    <cellStyle name="Assumption Date. 3 3 2 10" xfId="3537"/>
    <cellStyle name="Assumption Date. 3 3 2 11" xfId="3538"/>
    <cellStyle name="Assumption Date. 3 3 2 12" xfId="3539"/>
    <cellStyle name="Assumption Date. 3 3 2 2" xfId="3540"/>
    <cellStyle name="Assumption Date. 3 3 2 2 10" xfId="3541"/>
    <cellStyle name="Assumption Date. 3 3 2 2 2" xfId="3542"/>
    <cellStyle name="Assumption Date. 3 3 2 2 2 10" xfId="3543"/>
    <cellStyle name="Assumption Date. 3 3 2 2 2 2" xfId="3544"/>
    <cellStyle name="Assumption Date. 3 3 2 2 2 3" xfId="3545"/>
    <cellStyle name="Assumption Date. 3 3 2 2 2 4" xfId="3546"/>
    <cellStyle name="Assumption Date. 3 3 2 2 2 5" xfId="3547"/>
    <cellStyle name="Assumption Date. 3 3 2 2 2 6" xfId="3548"/>
    <cellStyle name="Assumption Date. 3 3 2 2 2 7" xfId="3549"/>
    <cellStyle name="Assumption Date. 3 3 2 2 2 8" xfId="3550"/>
    <cellStyle name="Assumption Date. 3 3 2 2 2 9" xfId="3551"/>
    <cellStyle name="Assumption Date. 3 3 2 2 3" xfId="3552"/>
    <cellStyle name="Assumption Date. 3 3 2 2 4" xfId="3553"/>
    <cellStyle name="Assumption Date. 3 3 2 2 5" xfId="3554"/>
    <cellStyle name="Assumption Date. 3 3 2 2 6" xfId="3555"/>
    <cellStyle name="Assumption Date. 3 3 2 2 7" xfId="3556"/>
    <cellStyle name="Assumption Date. 3 3 2 2 8" xfId="3557"/>
    <cellStyle name="Assumption Date. 3 3 2 2 9" xfId="3558"/>
    <cellStyle name="Assumption Date. 3 3 2 3" xfId="3559"/>
    <cellStyle name="Assumption Date. 3 3 2 3 10" xfId="3560"/>
    <cellStyle name="Assumption Date. 3 3 2 3 2" xfId="3561"/>
    <cellStyle name="Assumption Date. 3 3 2 3 3" xfId="3562"/>
    <cellStyle name="Assumption Date. 3 3 2 3 4" xfId="3563"/>
    <cellStyle name="Assumption Date. 3 3 2 3 5" xfId="3564"/>
    <cellStyle name="Assumption Date. 3 3 2 3 6" xfId="3565"/>
    <cellStyle name="Assumption Date. 3 3 2 3 7" xfId="3566"/>
    <cellStyle name="Assumption Date. 3 3 2 3 8" xfId="3567"/>
    <cellStyle name="Assumption Date. 3 3 2 3 9" xfId="3568"/>
    <cellStyle name="Assumption Date. 3 3 2 4" xfId="3569"/>
    <cellStyle name="Assumption Date. 3 3 2 5" xfId="3570"/>
    <cellStyle name="Assumption Date. 3 3 2 6" xfId="3571"/>
    <cellStyle name="Assumption Date. 3 3 2 7" xfId="3572"/>
    <cellStyle name="Assumption Date. 3 3 2 8" xfId="3573"/>
    <cellStyle name="Assumption Date. 3 3 2 9" xfId="3574"/>
    <cellStyle name="Assumption Date. 3 3 3" xfId="3575"/>
    <cellStyle name="Assumption Date. 3 3 3 10" xfId="3576"/>
    <cellStyle name="Assumption Date. 3 3 3 2" xfId="3577"/>
    <cellStyle name="Assumption Date. 3 3 3 2 10" xfId="3578"/>
    <cellStyle name="Assumption Date. 3 3 3 2 2" xfId="3579"/>
    <cellStyle name="Assumption Date. 3 3 3 2 3" xfId="3580"/>
    <cellStyle name="Assumption Date. 3 3 3 2 4" xfId="3581"/>
    <cellStyle name="Assumption Date. 3 3 3 2 5" xfId="3582"/>
    <cellStyle name="Assumption Date. 3 3 3 2 6" xfId="3583"/>
    <cellStyle name="Assumption Date. 3 3 3 2 7" xfId="3584"/>
    <cellStyle name="Assumption Date. 3 3 3 2 8" xfId="3585"/>
    <cellStyle name="Assumption Date. 3 3 3 2 9" xfId="3586"/>
    <cellStyle name="Assumption Date. 3 3 3 3" xfId="3587"/>
    <cellStyle name="Assumption Date. 3 3 3 4" xfId="3588"/>
    <cellStyle name="Assumption Date. 3 3 3 5" xfId="3589"/>
    <cellStyle name="Assumption Date. 3 3 3 6" xfId="3590"/>
    <cellStyle name="Assumption Date. 3 3 3 7" xfId="3591"/>
    <cellStyle name="Assumption Date. 3 3 3 8" xfId="3592"/>
    <cellStyle name="Assumption Date. 3 3 3 9" xfId="3593"/>
    <cellStyle name="Assumption Date. 3 3 4" xfId="3594"/>
    <cellStyle name="Assumption Date. 3 3 4 10" xfId="3595"/>
    <cellStyle name="Assumption Date. 3 3 4 2" xfId="3596"/>
    <cellStyle name="Assumption Date. 3 3 4 3" xfId="3597"/>
    <cellStyle name="Assumption Date. 3 3 4 4" xfId="3598"/>
    <cellStyle name="Assumption Date. 3 3 4 5" xfId="3599"/>
    <cellStyle name="Assumption Date. 3 3 4 6" xfId="3600"/>
    <cellStyle name="Assumption Date. 3 3 4 7" xfId="3601"/>
    <cellStyle name="Assumption Date. 3 3 4 8" xfId="3602"/>
    <cellStyle name="Assumption Date. 3 3 4 9" xfId="3603"/>
    <cellStyle name="Assumption Date. 3 3 5" xfId="3604"/>
    <cellStyle name="Assumption Date. 3 3 6" xfId="3605"/>
    <cellStyle name="Assumption Date. 3 3 7" xfId="3606"/>
    <cellStyle name="Assumption Date. 3 3 8" xfId="3607"/>
    <cellStyle name="Assumption Date. 3 3 9" xfId="3608"/>
    <cellStyle name="Assumption Date. 3 4" xfId="3609"/>
    <cellStyle name="Assumption Date. 3 4 10" xfId="3610"/>
    <cellStyle name="Assumption Date. 3 4 11" xfId="3611"/>
    <cellStyle name="Assumption Date. 3 4 12" xfId="3612"/>
    <cellStyle name="Assumption Date. 3 4 2" xfId="3613"/>
    <cellStyle name="Assumption Date. 3 4 2 10" xfId="3614"/>
    <cellStyle name="Assumption Date. 3 4 2 2" xfId="3615"/>
    <cellStyle name="Assumption Date. 3 4 2 2 10" xfId="3616"/>
    <cellStyle name="Assumption Date. 3 4 2 2 2" xfId="3617"/>
    <cellStyle name="Assumption Date. 3 4 2 2 3" xfId="3618"/>
    <cellStyle name="Assumption Date. 3 4 2 2 4" xfId="3619"/>
    <cellStyle name="Assumption Date. 3 4 2 2 5" xfId="3620"/>
    <cellStyle name="Assumption Date. 3 4 2 2 6" xfId="3621"/>
    <cellStyle name="Assumption Date. 3 4 2 2 7" xfId="3622"/>
    <cellStyle name="Assumption Date. 3 4 2 2 8" xfId="3623"/>
    <cellStyle name="Assumption Date. 3 4 2 2 9" xfId="3624"/>
    <cellStyle name="Assumption Date. 3 4 2 3" xfId="3625"/>
    <cellStyle name="Assumption Date. 3 4 2 4" xfId="3626"/>
    <cellStyle name="Assumption Date. 3 4 2 5" xfId="3627"/>
    <cellStyle name="Assumption Date. 3 4 2 6" xfId="3628"/>
    <cellStyle name="Assumption Date. 3 4 2 7" xfId="3629"/>
    <cellStyle name="Assumption Date. 3 4 2 8" xfId="3630"/>
    <cellStyle name="Assumption Date. 3 4 2 9" xfId="3631"/>
    <cellStyle name="Assumption Date. 3 4 3" xfId="3632"/>
    <cellStyle name="Assumption Date. 3 4 3 10" xfId="3633"/>
    <cellStyle name="Assumption Date. 3 4 3 2" xfId="3634"/>
    <cellStyle name="Assumption Date. 3 4 3 3" xfId="3635"/>
    <cellStyle name="Assumption Date. 3 4 3 4" xfId="3636"/>
    <cellStyle name="Assumption Date. 3 4 3 5" xfId="3637"/>
    <cellStyle name="Assumption Date. 3 4 3 6" xfId="3638"/>
    <cellStyle name="Assumption Date. 3 4 3 7" xfId="3639"/>
    <cellStyle name="Assumption Date. 3 4 3 8" xfId="3640"/>
    <cellStyle name="Assumption Date. 3 4 3 9" xfId="3641"/>
    <cellStyle name="Assumption Date. 3 4 4" xfId="3642"/>
    <cellStyle name="Assumption Date. 3 4 5" xfId="3643"/>
    <cellStyle name="Assumption Date. 3 4 6" xfId="3644"/>
    <cellStyle name="Assumption Date. 3 4 7" xfId="3645"/>
    <cellStyle name="Assumption Date. 3 4 8" xfId="3646"/>
    <cellStyle name="Assumption Date. 3 4 9" xfId="3647"/>
    <cellStyle name="Assumption Date. 3 5" xfId="3648"/>
    <cellStyle name="Assumption Date. 3 5 10" xfId="3649"/>
    <cellStyle name="Assumption Date. 3 5 11" xfId="3650"/>
    <cellStyle name="Assumption Date. 3 5 12" xfId="3651"/>
    <cellStyle name="Assumption Date. 3 5 2" xfId="3652"/>
    <cellStyle name="Assumption Date. 3 5 2 10" xfId="3653"/>
    <cellStyle name="Assumption Date. 3 5 2 2" xfId="3654"/>
    <cellStyle name="Assumption Date. 3 5 2 2 10" xfId="3655"/>
    <cellStyle name="Assumption Date. 3 5 2 2 2" xfId="3656"/>
    <cellStyle name="Assumption Date. 3 5 2 2 3" xfId="3657"/>
    <cellStyle name="Assumption Date. 3 5 2 2 4" xfId="3658"/>
    <cellStyle name="Assumption Date. 3 5 2 2 5" xfId="3659"/>
    <cellStyle name="Assumption Date. 3 5 2 2 6" xfId="3660"/>
    <cellStyle name="Assumption Date. 3 5 2 2 7" xfId="3661"/>
    <cellStyle name="Assumption Date. 3 5 2 2 8" xfId="3662"/>
    <cellStyle name="Assumption Date. 3 5 2 2 9" xfId="3663"/>
    <cellStyle name="Assumption Date. 3 5 2 3" xfId="3664"/>
    <cellStyle name="Assumption Date. 3 5 2 4" xfId="3665"/>
    <cellStyle name="Assumption Date. 3 5 2 5" xfId="3666"/>
    <cellStyle name="Assumption Date. 3 5 2 6" xfId="3667"/>
    <cellStyle name="Assumption Date. 3 5 2 7" xfId="3668"/>
    <cellStyle name="Assumption Date. 3 5 2 8" xfId="3669"/>
    <cellStyle name="Assumption Date. 3 5 2 9" xfId="3670"/>
    <cellStyle name="Assumption Date. 3 5 3" xfId="3671"/>
    <cellStyle name="Assumption Date. 3 5 3 10" xfId="3672"/>
    <cellStyle name="Assumption Date. 3 5 3 2" xfId="3673"/>
    <cellStyle name="Assumption Date. 3 5 3 3" xfId="3674"/>
    <cellStyle name="Assumption Date. 3 5 3 4" xfId="3675"/>
    <cellStyle name="Assumption Date. 3 5 3 5" xfId="3676"/>
    <cellStyle name="Assumption Date. 3 5 3 6" xfId="3677"/>
    <cellStyle name="Assumption Date. 3 5 3 7" xfId="3678"/>
    <cellStyle name="Assumption Date. 3 5 3 8" xfId="3679"/>
    <cellStyle name="Assumption Date. 3 5 3 9" xfId="3680"/>
    <cellStyle name="Assumption Date. 3 5 4" xfId="3681"/>
    <cellStyle name="Assumption Date. 3 5 5" xfId="3682"/>
    <cellStyle name="Assumption Date. 3 5 6" xfId="3683"/>
    <cellStyle name="Assumption Date. 3 5 7" xfId="3684"/>
    <cellStyle name="Assumption Date. 3 5 8" xfId="3685"/>
    <cellStyle name="Assumption Date. 3 5 9" xfId="3686"/>
    <cellStyle name="Assumption Date. 3 6" xfId="3687"/>
    <cellStyle name="Assumption Date. 3 6 10" xfId="3688"/>
    <cellStyle name="Assumption Date. 3 6 2" xfId="3689"/>
    <cellStyle name="Assumption Date. 3 6 2 10" xfId="3690"/>
    <cellStyle name="Assumption Date. 3 6 2 2" xfId="3691"/>
    <cellStyle name="Assumption Date. 3 6 2 3" xfId="3692"/>
    <cellStyle name="Assumption Date. 3 6 2 4" xfId="3693"/>
    <cellStyle name="Assumption Date. 3 6 2 5" xfId="3694"/>
    <cellStyle name="Assumption Date. 3 6 2 6" xfId="3695"/>
    <cellStyle name="Assumption Date. 3 6 2 7" xfId="3696"/>
    <cellStyle name="Assumption Date. 3 6 2 8" xfId="3697"/>
    <cellStyle name="Assumption Date. 3 6 2 9" xfId="3698"/>
    <cellStyle name="Assumption Date. 3 6 3" xfId="3699"/>
    <cellStyle name="Assumption Date. 3 6 4" xfId="3700"/>
    <cellStyle name="Assumption Date. 3 6 5" xfId="3701"/>
    <cellStyle name="Assumption Date. 3 6 6" xfId="3702"/>
    <cellStyle name="Assumption Date. 3 6 7" xfId="3703"/>
    <cellStyle name="Assumption Date. 3 6 8" xfId="3704"/>
    <cellStyle name="Assumption Date. 3 6 9" xfId="3705"/>
    <cellStyle name="Assumption Date. 3 7" xfId="3706"/>
    <cellStyle name="Assumption Date. 3 7 10" xfId="3707"/>
    <cellStyle name="Assumption Date. 3 7 2" xfId="3708"/>
    <cellStyle name="Assumption Date. 3 7 3" xfId="3709"/>
    <cellStyle name="Assumption Date. 3 7 4" xfId="3710"/>
    <cellStyle name="Assumption Date. 3 7 5" xfId="3711"/>
    <cellStyle name="Assumption Date. 3 7 6" xfId="3712"/>
    <cellStyle name="Assumption Date. 3 7 7" xfId="3713"/>
    <cellStyle name="Assumption Date. 3 7 8" xfId="3714"/>
    <cellStyle name="Assumption Date. 3 7 9" xfId="3715"/>
    <cellStyle name="Assumption Date. 3 8" xfId="3716"/>
    <cellStyle name="Assumption Date. 3 9" xfId="3717"/>
    <cellStyle name="Assumption Date. 4" xfId="3718"/>
    <cellStyle name="Assumption Date. 4 10" xfId="3719"/>
    <cellStyle name="Assumption Date. 4 11" xfId="3720"/>
    <cellStyle name="Assumption Date. 4 12" xfId="3721"/>
    <cellStyle name="Assumption Date. 4 13" xfId="3722"/>
    <cellStyle name="Assumption Date. 4 2" xfId="3723"/>
    <cellStyle name="Assumption Date. 4 2 10" xfId="3724"/>
    <cellStyle name="Assumption Date. 4 2 11" xfId="3725"/>
    <cellStyle name="Assumption Date. 4 2 12" xfId="3726"/>
    <cellStyle name="Assumption Date. 4 2 2" xfId="3727"/>
    <cellStyle name="Assumption Date. 4 2 2 10" xfId="3728"/>
    <cellStyle name="Assumption Date. 4 2 2 2" xfId="3729"/>
    <cellStyle name="Assumption Date. 4 2 2 2 10" xfId="3730"/>
    <cellStyle name="Assumption Date. 4 2 2 2 2" xfId="3731"/>
    <cellStyle name="Assumption Date. 4 2 2 2 3" xfId="3732"/>
    <cellStyle name="Assumption Date. 4 2 2 2 4" xfId="3733"/>
    <cellStyle name="Assumption Date. 4 2 2 2 5" xfId="3734"/>
    <cellStyle name="Assumption Date. 4 2 2 2 6" xfId="3735"/>
    <cellStyle name="Assumption Date. 4 2 2 2 7" xfId="3736"/>
    <cellStyle name="Assumption Date. 4 2 2 2 8" xfId="3737"/>
    <cellStyle name="Assumption Date. 4 2 2 2 9" xfId="3738"/>
    <cellStyle name="Assumption Date. 4 2 2 3" xfId="3739"/>
    <cellStyle name="Assumption Date. 4 2 2 4" xfId="3740"/>
    <cellStyle name="Assumption Date. 4 2 2 5" xfId="3741"/>
    <cellStyle name="Assumption Date. 4 2 2 6" xfId="3742"/>
    <cellStyle name="Assumption Date. 4 2 2 7" xfId="3743"/>
    <cellStyle name="Assumption Date. 4 2 2 8" xfId="3744"/>
    <cellStyle name="Assumption Date. 4 2 2 9" xfId="3745"/>
    <cellStyle name="Assumption Date. 4 2 3" xfId="3746"/>
    <cellStyle name="Assumption Date. 4 2 3 10" xfId="3747"/>
    <cellStyle name="Assumption Date. 4 2 3 2" xfId="3748"/>
    <cellStyle name="Assumption Date. 4 2 3 3" xfId="3749"/>
    <cellStyle name="Assumption Date. 4 2 3 4" xfId="3750"/>
    <cellStyle name="Assumption Date. 4 2 3 5" xfId="3751"/>
    <cellStyle name="Assumption Date. 4 2 3 6" xfId="3752"/>
    <cellStyle name="Assumption Date. 4 2 3 7" xfId="3753"/>
    <cellStyle name="Assumption Date. 4 2 3 8" xfId="3754"/>
    <cellStyle name="Assumption Date. 4 2 3 9" xfId="3755"/>
    <cellStyle name="Assumption Date. 4 2 4" xfId="3756"/>
    <cellStyle name="Assumption Date. 4 2 5" xfId="3757"/>
    <cellStyle name="Assumption Date. 4 2 6" xfId="3758"/>
    <cellStyle name="Assumption Date. 4 2 7" xfId="3759"/>
    <cellStyle name="Assumption Date. 4 2 8" xfId="3760"/>
    <cellStyle name="Assumption Date. 4 2 9" xfId="3761"/>
    <cellStyle name="Assumption Date. 4 3" xfId="3762"/>
    <cellStyle name="Assumption Date. 4 3 10" xfId="3763"/>
    <cellStyle name="Assumption Date. 4 3 2" xfId="3764"/>
    <cellStyle name="Assumption Date. 4 3 2 10" xfId="3765"/>
    <cellStyle name="Assumption Date. 4 3 2 2" xfId="3766"/>
    <cellStyle name="Assumption Date. 4 3 2 3" xfId="3767"/>
    <cellStyle name="Assumption Date. 4 3 2 4" xfId="3768"/>
    <cellStyle name="Assumption Date. 4 3 2 5" xfId="3769"/>
    <cellStyle name="Assumption Date. 4 3 2 6" xfId="3770"/>
    <cellStyle name="Assumption Date. 4 3 2 7" xfId="3771"/>
    <cellStyle name="Assumption Date. 4 3 2 8" xfId="3772"/>
    <cellStyle name="Assumption Date. 4 3 2 9" xfId="3773"/>
    <cellStyle name="Assumption Date. 4 3 3" xfId="3774"/>
    <cellStyle name="Assumption Date. 4 3 4" xfId="3775"/>
    <cellStyle name="Assumption Date. 4 3 5" xfId="3776"/>
    <cellStyle name="Assumption Date. 4 3 6" xfId="3777"/>
    <cellStyle name="Assumption Date. 4 3 7" xfId="3778"/>
    <cellStyle name="Assumption Date. 4 3 8" xfId="3779"/>
    <cellStyle name="Assumption Date. 4 3 9" xfId="3780"/>
    <cellStyle name="Assumption Date. 4 4" xfId="3781"/>
    <cellStyle name="Assumption Date. 4 4 10" xfId="3782"/>
    <cellStyle name="Assumption Date. 4 4 2" xfId="3783"/>
    <cellStyle name="Assumption Date. 4 4 3" xfId="3784"/>
    <cellStyle name="Assumption Date. 4 4 4" xfId="3785"/>
    <cellStyle name="Assumption Date. 4 4 5" xfId="3786"/>
    <cellStyle name="Assumption Date. 4 4 6" xfId="3787"/>
    <cellStyle name="Assumption Date. 4 4 7" xfId="3788"/>
    <cellStyle name="Assumption Date. 4 4 8" xfId="3789"/>
    <cellStyle name="Assumption Date. 4 4 9" xfId="3790"/>
    <cellStyle name="Assumption Date. 4 5" xfId="3791"/>
    <cellStyle name="Assumption Date. 4 6" xfId="3792"/>
    <cellStyle name="Assumption Date. 4 7" xfId="3793"/>
    <cellStyle name="Assumption Date. 4 8" xfId="3794"/>
    <cellStyle name="Assumption Date. 4 9" xfId="3795"/>
    <cellStyle name="Assumption Date. 5" xfId="3796"/>
    <cellStyle name="Assumption Date. 5 10" xfId="3797"/>
    <cellStyle name="Assumption Date. 5 11" xfId="3798"/>
    <cellStyle name="Assumption Date. 5 12" xfId="3799"/>
    <cellStyle name="Assumption Date. 5 13" xfId="3800"/>
    <cellStyle name="Assumption Date. 5 2" xfId="3801"/>
    <cellStyle name="Assumption Date. 5 2 10" xfId="3802"/>
    <cellStyle name="Assumption Date. 5 2 11" xfId="3803"/>
    <cellStyle name="Assumption Date. 5 2 12" xfId="3804"/>
    <cellStyle name="Assumption Date. 5 2 2" xfId="3805"/>
    <cellStyle name="Assumption Date. 5 2 2 10" xfId="3806"/>
    <cellStyle name="Assumption Date. 5 2 2 2" xfId="3807"/>
    <cellStyle name="Assumption Date. 5 2 2 2 10" xfId="3808"/>
    <cellStyle name="Assumption Date. 5 2 2 2 2" xfId="3809"/>
    <cellStyle name="Assumption Date. 5 2 2 2 3" xfId="3810"/>
    <cellStyle name="Assumption Date. 5 2 2 2 4" xfId="3811"/>
    <cellStyle name="Assumption Date. 5 2 2 2 5" xfId="3812"/>
    <cellStyle name="Assumption Date. 5 2 2 2 6" xfId="3813"/>
    <cellStyle name="Assumption Date. 5 2 2 2 7" xfId="3814"/>
    <cellStyle name="Assumption Date. 5 2 2 2 8" xfId="3815"/>
    <cellStyle name="Assumption Date. 5 2 2 2 9" xfId="3816"/>
    <cellStyle name="Assumption Date. 5 2 2 3" xfId="3817"/>
    <cellStyle name="Assumption Date. 5 2 2 4" xfId="3818"/>
    <cellStyle name="Assumption Date. 5 2 2 5" xfId="3819"/>
    <cellStyle name="Assumption Date. 5 2 2 6" xfId="3820"/>
    <cellStyle name="Assumption Date. 5 2 2 7" xfId="3821"/>
    <cellStyle name="Assumption Date. 5 2 2 8" xfId="3822"/>
    <cellStyle name="Assumption Date. 5 2 2 9" xfId="3823"/>
    <cellStyle name="Assumption Date. 5 2 3" xfId="3824"/>
    <cellStyle name="Assumption Date. 5 2 3 10" xfId="3825"/>
    <cellStyle name="Assumption Date. 5 2 3 2" xfId="3826"/>
    <cellStyle name="Assumption Date. 5 2 3 3" xfId="3827"/>
    <cellStyle name="Assumption Date. 5 2 3 4" xfId="3828"/>
    <cellStyle name="Assumption Date. 5 2 3 5" xfId="3829"/>
    <cellStyle name="Assumption Date. 5 2 3 6" xfId="3830"/>
    <cellStyle name="Assumption Date. 5 2 3 7" xfId="3831"/>
    <cellStyle name="Assumption Date. 5 2 3 8" xfId="3832"/>
    <cellStyle name="Assumption Date. 5 2 3 9" xfId="3833"/>
    <cellStyle name="Assumption Date. 5 2 4" xfId="3834"/>
    <cellStyle name="Assumption Date. 5 2 5" xfId="3835"/>
    <cellStyle name="Assumption Date. 5 2 6" xfId="3836"/>
    <cellStyle name="Assumption Date. 5 2 7" xfId="3837"/>
    <cellStyle name="Assumption Date. 5 2 8" xfId="3838"/>
    <cellStyle name="Assumption Date. 5 2 9" xfId="3839"/>
    <cellStyle name="Assumption Date. 5 3" xfId="3840"/>
    <cellStyle name="Assumption Date. 5 3 10" xfId="3841"/>
    <cellStyle name="Assumption Date. 5 3 2" xfId="3842"/>
    <cellStyle name="Assumption Date. 5 3 2 10" xfId="3843"/>
    <cellStyle name="Assumption Date. 5 3 2 2" xfId="3844"/>
    <cellStyle name="Assumption Date. 5 3 2 3" xfId="3845"/>
    <cellStyle name="Assumption Date. 5 3 2 4" xfId="3846"/>
    <cellStyle name="Assumption Date. 5 3 2 5" xfId="3847"/>
    <cellStyle name="Assumption Date. 5 3 2 6" xfId="3848"/>
    <cellStyle name="Assumption Date. 5 3 2 7" xfId="3849"/>
    <cellStyle name="Assumption Date. 5 3 2 8" xfId="3850"/>
    <cellStyle name="Assumption Date. 5 3 2 9" xfId="3851"/>
    <cellStyle name="Assumption Date. 5 3 3" xfId="3852"/>
    <cellStyle name="Assumption Date. 5 3 4" xfId="3853"/>
    <cellStyle name="Assumption Date. 5 3 5" xfId="3854"/>
    <cellStyle name="Assumption Date. 5 3 6" xfId="3855"/>
    <cellStyle name="Assumption Date. 5 3 7" xfId="3856"/>
    <cellStyle name="Assumption Date. 5 3 8" xfId="3857"/>
    <cellStyle name="Assumption Date. 5 3 9" xfId="3858"/>
    <cellStyle name="Assumption Date. 5 4" xfId="3859"/>
    <cellStyle name="Assumption Date. 5 4 10" xfId="3860"/>
    <cellStyle name="Assumption Date. 5 4 2" xfId="3861"/>
    <cellStyle name="Assumption Date. 5 4 3" xfId="3862"/>
    <cellStyle name="Assumption Date. 5 4 4" xfId="3863"/>
    <cellStyle name="Assumption Date. 5 4 5" xfId="3864"/>
    <cellStyle name="Assumption Date. 5 4 6" xfId="3865"/>
    <cellStyle name="Assumption Date. 5 4 7" xfId="3866"/>
    <cellStyle name="Assumption Date. 5 4 8" xfId="3867"/>
    <cellStyle name="Assumption Date. 5 4 9" xfId="3868"/>
    <cellStyle name="Assumption Date. 5 5" xfId="3869"/>
    <cellStyle name="Assumption Date. 5 6" xfId="3870"/>
    <cellStyle name="Assumption Date. 5 7" xfId="3871"/>
    <cellStyle name="Assumption Date. 5 8" xfId="3872"/>
    <cellStyle name="Assumption Date. 5 9" xfId="3873"/>
    <cellStyle name="Assumption Date. 6" xfId="3874"/>
    <cellStyle name="Assumption Date. 6 10" xfId="3875"/>
    <cellStyle name="Assumption Date. 6 11" xfId="3876"/>
    <cellStyle name="Assumption Date. 6 12" xfId="3877"/>
    <cellStyle name="Assumption Date. 6 13" xfId="3878"/>
    <cellStyle name="Assumption Date. 6 2" xfId="3879"/>
    <cellStyle name="Assumption Date. 6 2 10" xfId="3880"/>
    <cellStyle name="Assumption Date. 6 2 11" xfId="3881"/>
    <cellStyle name="Assumption Date. 6 2 12" xfId="3882"/>
    <cellStyle name="Assumption Date. 6 2 2" xfId="3883"/>
    <cellStyle name="Assumption Date. 6 2 2 10" xfId="3884"/>
    <cellStyle name="Assumption Date. 6 2 2 2" xfId="3885"/>
    <cellStyle name="Assumption Date. 6 2 2 2 10" xfId="3886"/>
    <cellStyle name="Assumption Date. 6 2 2 2 2" xfId="3887"/>
    <cellStyle name="Assumption Date. 6 2 2 2 3" xfId="3888"/>
    <cellStyle name="Assumption Date. 6 2 2 2 4" xfId="3889"/>
    <cellStyle name="Assumption Date. 6 2 2 2 5" xfId="3890"/>
    <cellStyle name="Assumption Date. 6 2 2 2 6" xfId="3891"/>
    <cellStyle name="Assumption Date. 6 2 2 2 7" xfId="3892"/>
    <cellStyle name="Assumption Date. 6 2 2 2 8" xfId="3893"/>
    <cellStyle name="Assumption Date. 6 2 2 2 9" xfId="3894"/>
    <cellStyle name="Assumption Date. 6 2 2 3" xfId="3895"/>
    <cellStyle name="Assumption Date. 6 2 2 4" xfId="3896"/>
    <cellStyle name="Assumption Date. 6 2 2 5" xfId="3897"/>
    <cellStyle name="Assumption Date. 6 2 2 6" xfId="3898"/>
    <cellStyle name="Assumption Date. 6 2 2 7" xfId="3899"/>
    <cellStyle name="Assumption Date. 6 2 2 8" xfId="3900"/>
    <cellStyle name="Assumption Date. 6 2 2 9" xfId="3901"/>
    <cellStyle name="Assumption Date. 6 2 3" xfId="3902"/>
    <cellStyle name="Assumption Date. 6 2 3 10" xfId="3903"/>
    <cellStyle name="Assumption Date. 6 2 3 2" xfId="3904"/>
    <cellStyle name="Assumption Date. 6 2 3 3" xfId="3905"/>
    <cellStyle name="Assumption Date. 6 2 3 4" xfId="3906"/>
    <cellStyle name="Assumption Date. 6 2 3 5" xfId="3907"/>
    <cellStyle name="Assumption Date. 6 2 3 6" xfId="3908"/>
    <cellStyle name="Assumption Date. 6 2 3 7" xfId="3909"/>
    <cellStyle name="Assumption Date. 6 2 3 8" xfId="3910"/>
    <cellStyle name="Assumption Date. 6 2 3 9" xfId="3911"/>
    <cellStyle name="Assumption Date. 6 2 4" xfId="3912"/>
    <cellStyle name="Assumption Date. 6 2 5" xfId="3913"/>
    <cellStyle name="Assumption Date. 6 2 6" xfId="3914"/>
    <cellStyle name="Assumption Date. 6 2 7" xfId="3915"/>
    <cellStyle name="Assumption Date. 6 2 8" xfId="3916"/>
    <cellStyle name="Assumption Date. 6 2 9" xfId="3917"/>
    <cellStyle name="Assumption Date. 6 3" xfId="3918"/>
    <cellStyle name="Assumption Date. 6 3 10" xfId="3919"/>
    <cellStyle name="Assumption Date. 6 3 2" xfId="3920"/>
    <cellStyle name="Assumption Date. 6 3 2 10" xfId="3921"/>
    <cellStyle name="Assumption Date. 6 3 2 2" xfId="3922"/>
    <cellStyle name="Assumption Date. 6 3 2 3" xfId="3923"/>
    <cellStyle name="Assumption Date. 6 3 2 4" xfId="3924"/>
    <cellStyle name="Assumption Date. 6 3 2 5" xfId="3925"/>
    <cellStyle name="Assumption Date. 6 3 2 6" xfId="3926"/>
    <cellStyle name="Assumption Date. 6 3 2 7" xfId="3927"/>
    <cellStyle name="Assumption Date. 6 3 2 8" xfId="3928"/>
    <cellStyle name="Assumption Date. 6 3 2 9" xfId="3929"/>
    <cellStyle name="Assumption Date. 6 3 3" xfId="3930"/>
    <cellStyle name="Assumption Date. 6 3 4" xfId="3931"/>
    <cellStyle name="Assumption Date. 6 3 5" xfId="3932"/>
    <cellStyle name="Assumption Date. 6 3 6" xfId="3933"/>
    <cellStyle name="Assumption Date. 6 3 7" xfId="3934"/>
    <cellStyle name="Assumption Date. 6 3 8" xfId="3935"/>
    <cellStyle name="Assumption Date. 6 3 9" xfId="3936"/>
    <cellStyle name="Assumption Date. 6 4" xfId="3937"/>
    <cellStyle name="Assumption Date. 6 4 10" xfId="3938"/>
    <cellStyle name="Assumption Date. 6 4 2" xfId="3939"/>
    <cellStyle name="Assumption Date. 6 4 3" xfId="3940"/>
    <cellStyle name="Assumption Date. 6 4 4" xfId="3941"/>
    <cellStyle name="Assumption Date. 6 4 5" xfId="3942"/>
    <cellStyle name="Assumption Date. 6 4 6" xfId="3943"/>
    <cellStyle name="Assumption Date. 6 4 7" xfId="3944"/>
    <cellStyle name="Assumption Date. 6 4 8" xfId="3945"/>
    <cellStyle name="Assumption Date. 6 4 9" xfId="3946"/>
    <cellStyle name="Assumption Date. 6 5" xfId="3947"/>
    <cellStyle name="Assumption Date. 6 6" xfId="3948"/>
    <cellStyle name="Assumption Date. 6 7" xfId="3949"/>
    <cellStyle name="Assumption Date. 6 8" xfId="3950"/>
    <cellStyle name="Assumption Date. 6 9" xfId="3951"/>
    <cellStyle name="Assumption Date. 7" xfId="3952"/>
    <cellStyle name="Assumption Date. 7 10" xfId="3953"/>
    <cellStyle name="Assumption Date. 7 11" xfId="3954"/>
    <cellStyle name="Assumption Date. 7 12" xfId="3955"/>
    <cellStyle name="Assumption Date. 7 13" xfId="3956"/>
    <cellStyle name="Assumption Date. 7 2" xfId="3957"/>
    <cellStyle name="Assumption Date. 7 2 10" xfId="3958"/>
    <cellStyle name="Assumption Date. 7 2 11" xfId="3959"/>
    <cellStyle name="Assumption Date. 7 2 12" xfId="3960"/>
    <cellStyle name="Assumption Date. 7 2 2" xfId="3961"/>
    <cellStyle name="Assumption Date. 7 2 2 10" xfId="3962"/>
    <cellStyle name="Assumption Date. 7 2 2 2" xfId="3963"/>
    <cellStyle name="Assumption Date. 7 2 2 2 10" xfId="3964"/>
    <cellStyle name="Assumption Date. 7 2 2 2 2" xfId="3965"/>
    <cellStyle name="Assumption Date. 7 2 2 2 3" xfId="3966"/>
    <cellStyle name="Assumption Date. 7 2 2 2 4" xfId="3967"/>
    <cellStyle name="Assumption Date. 7 2 2 2 5" xfId="3968"/>
    <cellStyle name="Assumption Date. 7 2 2 2 6" xfId="3969"/>
    <cellStyle name="Assumption Date. 7 2 2 2 7" xfId="3970"/>
    <cellStyle name="Assumption Date. 7 2 2 2 8" xfId="3971"/>
    <cellStyle name="Assumption Date. 7 2 2 2 9" xfId="3972"/>
    <cellStyle name="Assumption Date. 7 2 2 3" xfId="3973"/>
    <cellStyle name="Assumption Date. 7 2 2 4" xfId="3974"/>
    <cellStyle name="Assumption Date. 7 2 2 5" xfId="3975"/>
    <cellStyle name="Assumption Date. 7 2 2 6" xfId="3976"/>
    <cellStyle name="Assumption Date. 7 2 2 7" xfId="3977"/>
    <cellStyle name="Assumption Date. 7 2 2 8" xfId="3978"/>
    <cellStyle name="Assumption Date. 7 2 2 9" xfId="3979"/>
    <cellStyle name="Assumption Date. 7 2 3" xfId="3980"/>
    <cellStyle name="Assumption Date. 7 2 3 10" xfId="3981"/>
    <cellStyle name="Assumption Date. 7 2 3 2" xfId="3982"/>
    <cellStyle name="Assumption Date. 7 2 3 3" xfId="3983"/>
    <cellStyle name="Assumption Date. 7 2 3 4" xfId="3984"/>
    <cellStyle name="Assumption Date. 7 2 3 5" xfId="3985"/>
    <cellStyle name="Assumption Date. 7 2 3 6" xfId="3986"/>
    <cellStyle name="Assumption Date. 7 2 3 7" xfId="3987"/>
    <cellStyle name="Assumption Date. 7 2 3 8" xfId="3988"/>
    <cellStyle name="Assumption Date. 7 2 3 9" xfId="3989"/>
    <cellStyle name="Assumption Date. 7 2 4" xfId="3990"/>
    <cellStyle name="Assumption Date. 7 2 5" xfId="3991"/>
    <cellStyle name="Assumption Date. 7 2 6" xfId="3992"/>
    <cellStyle name="Assumption Date. 7 2 7" xfId="3993"/>
    <cellStyle name="Assumption Date. 7 2 8" xfId="3994"/>
    <cellStyle name="Assumption Date. 7 2 9" xfId="3995"/>
    <cellStyle name="Assumption Date. 7 3" xfId="3996"/>
    <cellStyle name="Assumption Date. 7 3 10" xfId="3997"/>
    <cellStyle name="Assumption Date. 7 3 2" xfId="3998"/>
    <cellStyle name="Assumption Date. 7 3 2 10" xfId="3999"/>
    <cellStyle name="Assumption Date. 7 3 2 2" xfId="4000"/>
    <cellStyle name="Assumption Date. 7 3 2 3" xfId="4001"/>
    <cellStyle name="Assumption Date. 7 3 2 4" xfId="4002"/>
    <cellStyle name="Assumption Date. 7 3 2 5" xfId="4003"/>
    <cellStyle name="Assumption Date. 7 3 2 6" xfId="4004"/>
    <cellStyle name="Assumption Date. 7 3 2 7" xfId="4005"/>
    <cellStyle name="Assumption Date. 7 3 2 8" xfId="4006"/>
    <cellStyle name="Assumption Date. 7 3 2 9" xfId="4007"/>
    <cellStyle name="Assumption Date. 7 3 3" xfId="4008"/>
    <cellStyle name="Assumption Date. 7 3 4" xfId="4009"/>
    <cellStyle name="Assumption Date. 7 3 5" xfId="4010"/>
    <cellStyle name="Assumption Date. 7 3 6" xfId="4011"/>
    <cellStyle name="Assumption Date. 7 3 7" xfId="4012"/>
    <cellStyle name="Assumption Date. 7 3 8" xfId="4013"/>
    <cellStyle name="Assumption Date. 7 3 9" xfId="4014"/>
    <cellStyle name="Assumption Date. 7 4" xfId="4015"/>
    <cellStyle name="Assumption Date. 7 4 10" xfId="4016"/>
    <cellStyle name="Assumption Date. 7 4 2" xfId="4017"/>
    <cellStyle name="Assumption Date. 7 4 3" xfId="4018"/>
    <cellStyle name="Assumption Date. 7 4 4" xfId="4019"/>
    <cellStyle name="Assumption Date. 7 4 5" xfId="4020"/>
    <cellStyle name="Assumption Date. 7 4 6" xfId="4021"/>
    <cellStyle name="Assumption Date. 7 4 7" xfId="4022"/>
    <cellStyle name="Assumption Date. 7 4 8" xfId="4023"/>
    <cellStyle name="Assumption Date. 7 4 9" xfId="4024"/>
    <cellStyle name="Assumption Date. 7 5" xfId="4025"/>
    <cellStyle name="Assumption Date. 7 6" xfId="4026"/>
    <cellStyle name="Assumption Date. 7 7" xfId="4027"/>
    <cellStyle name="Assumption Date. 7 8" xfId="4028"/>
    <cellStyle name="Assumption Date. 7 9" xfId="4029"/>
    <cellStyle name="Assumption Date. 8" xfId="4030"/>
    <cellStyle name="Assumption Date. 8 10" xfId="4031"/>
    <cellStyle name="Assumption Date. 8 11" xfId="4032"/>
    <cellStyle name="Assumption Date. 8 12" xfId="4033"/>
    <cellStyle name="Assumption Date. 8 13" xfId="4034"/>
    <cellStyle name="Assumption Date. 8 2" xfId="4035"/>
    <cellStyle name="Assumption Date. 8 2 10" xfId="4036"/>
    <cellStyle name="Assumption Date. 8 2 11" xfId="4037"/>
    <cellStyle name="Assumption Date. 8 2 12" xfId="4038"/>
    <cellStyle name="Assumption Date. 8 2 2" xfId="4039"/>
    <cellStyle name="Assumption Date. 8 2 2 10" xfId="4040"/>
    <cellStyle name="Assumption Date. 8 2 2 2" xfId="4041"/>
    <cellStyle name="Assumption Date. 8 2 2 2 10" xfId="4042"/>
    <cellStyle name="Assumption Date. 8 2 2 2 2" xfId="4043"/>
    <cellStyle name="Assumption Date. 8 2 2 2 3" xfId="4044"/>
    <cellStyle name="Assumption Date. 8 2 2 2 4" xfId="4045"/>
    <cellStyle name="Assumption Date. 8 2 2 2 5" xfId="4046"/>
    <cellStyle name="Assumption Date. 8 2 2 2 6" xfId="4047"/>
    <cellStyle name="Assumption Date. 8 2 2 2 7" xfId="4048"/>
    <cellStyle name="Assumption Date. 8 2 2 2 8" xfId="4049"/>
    <cellStyle name="Assumption Date. 8 2 2 2 9" xfId="4050"/>
    <cellStyle name="Assumption Date. 8 2 2 3" xfId="4051"/>
    <cellStyle name="Assumption Date. 8 2 2 4" xfId="4052"/>
    <cellStyle name="Assumption Date. 8 2 2 5" xfId="4053"/>
    <cellStyle name="Assumption Date. 8 2 2 6" xfId="4054"/>
    <cellStyle name="Assumption Date. 8 2 2 7" xfId="4055"/>
    <cellStyle name="Assumption Date. 8 2 2 8" xfId="4056"/>
    <cellStyle name="Assumption Date. 8 2 2 9" xfId="4057"/>
    <cellStyle name="Assumption Date. 8 2 3" xfId="4058"/>
    <cellStyle name="Assumption Date. 8 2 3 10" xfId="4059"/>
    <cellStyle name="Assumption Date. 8 2 3 2" xfId="4060"/>
    <cellStyle name="Assumption Date. 8 2 3 3" xfId="4061"/>
    <cellStyle name="Assumption Date. 8 2 3 4" xfId="4062"/>
    <cellStyle name="Assumption Date. 8 2 3 5" xfId="4063"/>
    <cellStyle name="Assumption Date. 8 2 3 6" xfId="4064"/>
    <cellStyle name="Assumption Date. 8 2 3 7" xfId="4065"/>
    <cellStyle name="Assumption Date. 8 2 3 8" xfId="4066"/>
    <cellStyle name="Assumption Date. 8 2 3 9" xfId="4067"/>
    <cellStyle name="Assumption Date. 8 2 4" xfId="4068"/>
    <cellStyle name="Assumption Date. 8 2 5" xfId="4069"/>
    <cellStyle name="Assumption Date. 8 2 6" xfId="4070"/>
    <cellStyle name="Assumption Date. 8 2 7" xfId="4071"/>
    <cellStyle name="Assumption Date. 8 2 8" xfId="4072"/>
    <cellStyle name="Assumption Date. 8 2 9" xfId="4073"/>
    <cellStyle name="Assumption Date. 8 3" xfId="4074"/>
    <cellStyle name="Assumption Date. 8 3 10" xfId="4075"/>
    <cellStyle name="Assumption Date. 8 3 2" xfId="4076"/>
    <cellStyle name="Assumption Date. 8 3 2 10" xfId="4077"/>
    <cellStyle name="Assumption Date. 8 3 2 2" xfId="4078"/>
    <cellStyle name="Assumption Date. 8 3 2 3" xfId="4079"/>
    <cellStyle name="Assumption Date. 8 3 2 4" xfId="4080"/>
    <cellStyle name="Assumption Date. 8 3 2 5" xfId="4081"/>
    <cellStyle name="Assumption Date. 8 3 2 6" xfId="4082"/>
    <cellStyle name="Assumption Date. 8 3 2 7" xfId="4083"/>
    <cellStyle name="Assumption Date. 8 3 2 8" xfId="4084"/>
    <cellStyle name="Assumption Date. 8 3 2 9" xfId="4085"/>
    <cellStyle name="Assumption Date. 8 3 3" xfId="4086"/>
    <cellStyle name="Assumption Date. 8 3 4" xfId="4087"/>
    <cellStyle name="Assumption Date. 8 3 5" xfId="4088"/>
    <cellStyle name="Assumption Date. 8 3 6" xfId="4089"/>
    <cellStyle name="Assumption Date. 8 3 7" xfId="4090"/>
    <cellStyle name="Assumption Date. 8 3 8" xfId="4091"/>
    <cellStyle name="Assumption Date. 8 3 9" xfId="4092"/>
    <cellStyle name="Assumption Date. 8 4" xfId="4093"/>
    <cellStyle name="Assumption Date. 8 4 10" xfId="4094"/>
    <cellStyle name="Assumption Date. 8 4 2" xfId="4095"/>
    <cellStyle name="Assumption Date. 8 4 3" xfId="4096"/>
    <cellStyle name="Assumption Date. 8 4 4" xfId="4097"/>
    <cellStyle name="Assumption Date. 8 4 5" xfId="4098"/>
    <cellStyle name="Assumption Date. 8 4 6" xfId="4099"/>
    <cellStyle name="Assumption Date. 8 4 7" xfId="4100"/>
    <cellStyle name="Assumption Date. 8 4 8" xfId="4101"/>
    <cellStyle name="Assumption Date. 8 4 9" xfId="4102"/>
    <cellStyle name="Assumption Date. 8 5" xfId="4103"/>
    <cellStyle name="Assumption Date. 8 6" xfId="4104"/>
    <cellStyle name="Assumption Date. 8 7" xfId="4105"/>
    <cellStyle name="Assumption Date. 8 8" xfId="4106"/>
    <cellStyle name="Assumption Date. 8 9" xfId="4107"/>
    <cellStyle name="Assumption Date. 9" xfId="4108"/>
    <cellStyle name="Assumption Date. 9 10" xfId="4109"/>
    <cellStyle name="Assumption Date. 9 11" xfId="4110"/>
    <cellStyle name="Assumption Date. 9 12" xfId="4111"/>
    <cellStyle name="Assumption Date. 9 13" xfId="4112"/>
    <cellStyle name="Assumption Date. 9 2" xfId="4113"/>
    <cellStyle name="Assumption Date. 9 2 10" xfId="4114"/>
    <cellStyle name="Assumption Date. 9 2 11" xfId="4115"/>
    <cellStyle name="Assumption Date. 9 2 12" xfId="4116"/>
    <cellStyle name="Assumption Date. 9 2 2" xfId="4117"/>
    <cellStyle name="Assumption Date. 9 2 2 10" xfId="4118"/>
    <cellStyle name="Assumption Date. 9 2 2 2" xfId="4119"/>
    <cellStyle name="Assumption Date. 9 2 2 2 10" xfId="4120"/>
    <cellStyle name="Assumption Date. 9 2 2 2 2" xfId="4121"/>
    <cellStyle name="Assumption Date. 9 2 2 2 3" xfId="4122"/>
    <cellStyle name="Assumption Date. 9 2 2 2 4" xfId="4123"/>
    <cellStyle name="Assumption Date. 9 2 2 2 5" xfId="4124"/>
    <cellStyle name="Assumption Date. 9 2 2 2 6" xfId="4125"/>
    <cellStyle name="Assumption Date. 9 2 2 2 7" xfId="4126"/>
    <cellStyle name="Assumption Date. 9 2 2 2 8" xfId="4127"/>
    <cellStyle name="Assumption Date. 9 2 2 2 9" xfId="4128"/>
    <cellStyle name="Assumption Date. 9 2 2 3" xfId="4129"/>
    <cellStyle name="Assumption Date. 9 2 2 4" xfId="4130"/>
    <cellStyle name="Assumption Date. 9 2 2 5" xfId="4131"/>
    <cellStyle name="Assumption Date. 9 2 2 6" xfId="4132"/>
    <cellStyle name="Assumption Date. 9 2 2 7" xfId="4133"/>
    <cellStyle name="Assumption Date. 9 2 2 8" xfId="4134"/>
    <cellStyle name="Assumption Date. 9 2 2 9" xfId="4135"/>
    <cellStyle name="Assumption Date. 9 2 3" xfId="4136"/>
    <cellStyle name="Assumption Date. 9 2 3 10" xfId="4137"/>
    <cellStyle name="Assumption Date. 9 2 3 2" xfId="4138"/>
    <cellStyle name="Assumption Date. 9 2 3 3" xfId="4139"/>
    <cellStyle name="Assumption Date. 9 2 3 4" xfId="4140"/>
    <cellStyle name="Assumption Date. 9 2 3 5" xfId="4141"/>
    <cellStyle name="Assumption Date. 9 2 3 6" xfId="4142"/>
    <cellStyle name="Assumption Date. 9 2 3 7" xfId="4143"/>
    <cellStyle name="Assumption Date. 9 2 3 8" xfId="4144"/>
    <cellStyle name="Assumption Date. 9 2 3 9" xfId="4145"/>
    <cellStyle name="Assumption Date. 9 2 4" xfId="4146"/>
    <cellStyle name="Assumption Date. 9 2 5" xfId="4147"/>
    <cellStyle name="Assumption Date. 9 2 6" xfId="4148"/>
    <cellStyle name="Assumption Date. 9 2 7" xfId="4149"/>
    <cellStyle name="Assumption Date. 9 2 8" xfId="4150"/>
    <cellStyle name="Assumption Date. 9 2 9" xfId="4151"/>
    <cellStyle name="Assumption Date. 9 3" xfId="4152"/>
    <cellStyle name="Assumption Date. 9 3 10" xfId="4153"/>
    <cellStyle name="Assumption Date. 9 3 2" xfId="4154"/>
    <cellStyle name="Assumption Date. 9 3 2 10" xfId="4155"/>
    <cellStyle name="Assumption Date. 9 3 2 2" xfId="4156"/>
    <cellStyle name="Assumption Date. 9 3 2 3" xfId="4157"/>
    <cellStyle name="Assumption Date. 9 3 2 4" xfId="4158"/>
    <cellStyle name="Assumption Date. 9 3 2 5" xfId="4159"/>
    <cellStyle name="Assumption Date. 9 3 2 6" xfId="4160"/>
    <cellStyle name="Assumption Date. 9 3 2 7" xfId="4161"/>
    <cellStyle name="Assumption Date. 9 3 2 8" xfId="4162"/>
    <cellStyle name="Assumption Date. 9 3 2 9" xfId="4163"/>
    <cellStyle name="Assumption Date. 9 3 3" xfId="4164"/>
    <cellStyle name="Assumption Date. 9 3 4" xfId="4165"/>
    <cellStyle name="Assumption Date. 9 3 5" xfId="4166"/>
    <cellStyle name="Assumption Date. 9 3 6" xfId="4167"/>
    <cellStyle name="Assumption Date. 9 3 7" xfId="4168"/>
    <cellStyle name="Assumption Date. 9 3 8" xfId="4169"/>
    <cellStyle name="Assumption Date. 9 3 9" xfId="4170"/>
    <cellStyle name="Assumption Date. 9 4" xfId="4171"/>
    <cellStyle name="Assumption Date. 9 4 10" xfId="4172"/>
    <cellStyle name="Assumption Date. 9 4 2" xfId="4173"/>
    <cellStyle name="Assumption Date. 9 4 3" xfId="4174"/>
    <cellStyle name="Assumption Date. 9 4 4" xfId="4175"/>
    <cellStyle name="Assumption Date. 9 4 5" xfId="4176"/>
    <cellStyle name="Assumption Date. 9 4 6" xfId="4177"/>
    <cellStyle name="Assumption Date. 9 4 7" xfId="4178"/>
    <cellStyle name="Assumption Date. 9 4 8" xfId="4179"/>
    <cellStyle name="Assumption Date. 9 4 9" xfId="4180"/>
    <cellStyle name="Assumption Date. 9 5" xfId="4181"/>
    <cellStyle name="Assumption Date. 9 6" xfId="4182"/>
    <cellStyle name="Assumption Date. 9 7" xfId="4183"/>
    <cellStyle name="Assumption Date. 9 8" xfId="4184"/>
    <cellStyle name="Assumption Date. 9 9" xfId="4185"/>
    <cellStyle name="Assumption Heading." xfId="4186"/>
    <cellStyle name="Assumption Heading. 10" xfId="4187"/>
    <cellStyle name="Assumption Heading. 10 10" xfId="4188"/>
    <cellStyle name="Assumption Heading. 10 11" xfId="4189"/>
    <cellStyle name="Assumption Heading. 10 12" xfId="4190"/>
    <cellStyle name="Assumption Heading. 10 13" xfId="4191"/>
    <cellStyle name="Assumption Heading. 10 2" xfId="4192"/>
    <cellStyle name="Assumption Heading. 10 2 10" xfId="4193"/>
    <cellStyle name="Assumption Heading. 10 2 11" xfId="4194"/>
    <cellStyle name="Assumption Heading. 10 2 12" xfId="4195"/>
    <cellStyle name="Assumption Heading. 10 2 2" xfId="4196"/>
    <cellStyle name="Assumption Heading. 10 2 2 10" xfId="4197"/>
    <cellStyle name="Assumption Heading. 10 2 2 2" xfId="4198"/>
    <cellStyle name="Assumption Heading. 10 2 2 2 10" xfId="4199"/>
    <cellStyle name="Assumption Heading. 10 2 2 2 2" xfId="4200"/>
    <cellStyle name="Assumption Heading. 10 2 2 2 3" xfId="4201"/>
    <cellStyle name="Assumption Heading. 10 2 2 2 4" xfId="4202"/>
    <cellStyle name="Assumption Heading. 10 2 2 2 5" xfId="4203"/>
    <cellStyle name="Assumption Heading. 10 2 2 2 6" xfId="4204"/>
    <cellStyle name="Assumption Heading. 10 2 2 2 7" xfId="4205"/>
    <cellStyle name="Assumption Heading. 10 2 2 2 8" xfId="4206"/>
    <cellStyle name="Assumption Heading. 10 2 2 2 9" xfId="4207"/>
    <cellStyle name="Assumption Heading. 10 2 2 3" xfId="4208"/>
    <cellStyle name="Assumption Heading. 10 2 2 4" xfId="4209"/>
    <cellStyle name="Assumption Heading. 10 2 2 5" xfId="4210"/>
    <cellStyle name="Assumption Heading. 10 2 2 6" xfId="4211"/>
    <cellStyle name="Assumption Heading. 10 2 2 7" xfId="4212"/>
    <cellStyle name="Assumption Heading. 10 2 2 8" xfId="4213"/>
    <cellStyle name="Assumption Heading. 10 2 2 9" xfId="4214"/>
    <cellStyle name="Assumption Heading. 10 2 3" xfId="4215"/>
    <cellStyle name="Assumption Heading. 10 2 3 10" xfId="4216"/>
    <cellStyle name="Assumption Heading. 10 2 3 2" xfId="4217"/>
    <cellStyle name="Assumption Heading. 10 2 3 3" xfId="4218"/>
    <cellStyle name="Assumption Heading. 10 2 3 4" xfId="4219"/>
    <cellStyle name="Assumption Heading. 10 2 3 5" xfId="4220"/>
    <cellStyle name="Assumption Heading. 10 2 3 6" xfId="4221"/>
    <cellStyle name="Assumption Heading. 10 2 3 7" xfId="4222"/>
    <cellStyle name="Assumption Heading. 10 2 3 8" xfId="4223"/>
    <cellStyle name="Assumption Heading. 10 2 3 9" xfId="4224"/>
    <cellStyle name="Assumption Heading. 10 2 4" xfId="4225"/>
    <cellStyle name="Assumption Heading. 10 2 5" xfId="4226"/>
    <cellStyle name="Assumption Heading. 10 2 6" xfId="4227"/>
    <cellStyle name="Assumption Heading. 10 2 7" xfId="4228"/>
    <cellStyle name="Assumption Heading. 10 2 8" xfId="4229"/>
    <cellStyle name="Assumption Heading. 10 2 9" xfId="4230"/>
    <cellStyle name="Assumption Heading. 10 3" xfId="4231"/>
    <cellStyle name="Assumption Heading. 10 3 10" xfId="4232"/>
    <cellStyle name="Assumption Heading. 10 3 2" xfId="4233"/>
    <cellStyle name="Assumption Heading. 10 3 2 10" xfId="4234"/>
    <cellStyle name="Assumption Heading. 10 3 2 2" xfId="4235"/>
    <cellStyle name="Assumption Heading. 10 3 2 3" xfId="4236"/>
    <cellStyle name="Assumption Heading. 10 3 2 4" xfId="4237"/>
    <cellStyle name="Assumption Heading. 10 3 2 5" xfId="4238"/>
    <cellStyle name="Assumption Heading. 10 3 2 6" xfId="4239"/>
    <cellStyle name="Assumption Heading. 10 3 2 7" xfId="4240"/>
    <cellStyle name="Assumption Heading. 10 3 2 8" xfId="4241"/>
    <cellStyle name="Assumption Heading. 10 3 2 9" xfId="4242"/>
    <cellStyle name="Assumption Heading. 10 3 3" xfId="4243"/>
    <cellStyle name="Assumption Heading. 10 3 4" xfId="4244"/>
    <cellStyle name="Assumption Heading. 10 3 5" xfId="4245"/>
    <cellStyle name="Assumption Heading. 10 3 6" xfId="4246"/>
    <cellStyle name="Assumption Heading. 10 3 7" xfId="4247"/>
    <cellStyle name="Assumption Heading. 10 3 8" xfId="4248"/>
    <cellStyle name="Assumption Heading. 10 3 9" xfId="4249"/>
    <cellStyle name="Assumption Heading. 10 4" xfId="4250"/>
    <cellStyle name="Assumption Heading. 10 4 10" xfId="4251"/>
    <cellStyle name="Assumption Heading. 10 4 2" xfId="4252"/>
    <cellStyle name="Assumption Heading. 10 4 3" xfId="4253"/>
    <cellStyle name="Assumption Heading. 10 4 4" xfId="4254"/>
    <cellStyle name="Assumption Heading. 10 4 5" xfId="4255"/>
    <cellStyle name="Assumption Heading. 10 4 6" xfId="4256"/>
    <cellStyle name="Assumption Heading. 10 4 7" xfId="4257"/>
    <cellStyle name="Assumption Heading. 10 4 8" xfId="4258"/>
    <cellStyle name="Assumption Heading. 10 4 9" xfId="4259"/>
    <cellStyle name="Assumption Heading. 10 5" xfId="4260"/>
    <cellStyle name="Assumption Heading. 10 6" xfId="4261"/>
    <cellStyle name="Assumption Heading. 10 7" xfId="4262"/>
    <cellStyle name="Assumption Heading. 10 8" xfId="4263"/>
    <cellStyle name="Assumption Heading. 10 9" xfId="4264"/>
    <cellStyle name="Assumption Heading. 11" xfId="4265"/>
    <cellStyle name="Assumption Heading. 11 10" xfId="4266"/>
    <cellStyle name="Assumption Heading. 11 11" xfId="4267"/>
    <cellStyle name="Assumption Heading. 11 12" xfId="4268"/>
    <cellStyle name="Assumption Heading. 11 2" xfId="4269"/>
    <cellStyle name="Assumption Heading. 11 2 10" xfId="4270"/>
    <cellStyle name="Assumption Heading. 11 2 2" xfId="4271"/>
    <cellStyle name="Assumption Heading. 11 2 2 10" xfId="4272"/>
    <cellStyle name="Assumption Heading. 11 2 2 2" xfId="4273"/>
    <cellStyle name="Assumption Heading. 11 2 2 3" xfId="4274"/>
    <cellStyle name="Assumption Heading. 11 2 2 4" xfId="4275"/>
    <cellStyle name="Assumption Heading. 11 2 2 5" xfId="4276"/>
    <cellStyle name="Assumption Heading. 11 2 2 6" xfId="4277"/>
    <cellStyle name="Assumption Heading. 11 2 2 7" xfId="4278"/>
    <cellStyle name="Assumption Heading. 11 2 2 8" xfId="4279"/>
    <cellStyle name="Assumption Heading. 11 2 2 9" xfId="4280"/>
    <cellStyle name="Assumption Heading. 11 2 3" xfId="4281"/>
    <cellStyle name="Assumption Heading. 11 2 4" xfId="4282"/>
    <cellStyle name="Assumption Heading. 11 2 5" xfId="4283"/>
    <cellStyle name="Assumption Heading. 11 2 6" xfId="4284"/>
    <cellStyle name="Assumption Heading. 11 2 7" xfId="4285"/>
    <cellStyle name="Assumption Heading. 11 2 8" xfId="4286"/>
    <cellStyle name="Assumption Heading. 11 2 9" xfId="4287"/>
    <cellStyle name="Assumption Heading. 11 3" xfId="4288"/>
    <cellStyle name="Assumption Heading. 11 3 10" xfId="4289"/>
    <cellStyle name="Assumption Heading. 11 3 2" xfId="4290"/>
    <cellStyle name="Assumption Heading. 11 3 3" xfId="4291"/>
    <cellStyle name="Assumption Heading. 11 3 4" xfId="4292"/>
    <cellStyle name="Assumption Heading. 11 3 5" xfId="4293"/>
    <cellStyle name="Assumption Heading. 11 3 6" xfId="4294"/>
    <cellStyle name="Assumption Heading. 11 3 7" xfId="4295"/>
    <cellStyle name="Assumption Heading. 11 3 8" xfId="4296"/>
    <cellStyle name="Assumption Heading. 11 3 9" xfId="4297"/>
    <cellStyle name="Assumption Heading. 11 4" xfId="4298"/>
    <cellStyle name="Assumption Heading. 11 5" xfId="4299"/>
    <cellStyle name="Assumption Heading. 11 6" xfId="4300"/>
    <cellStyle name="Assumption Heading. 11 7" xfId="4301"/>
    <cellStyle name="Assumption Heading. 11 8" xfId="4302"/>
    <cellStyle name="Assumption Heading. 11 9" xfId="4303"/>
    <cellStyle name="Assumption Heading. 12" xfId="4304"/>
    <cellStyle name="Assumption Heading. 12 10" xfId="4305"/>
    <cellStyle name="Assumption Heading. 12 11" xfId="4306"/>
    <cellStyle name="Assumption Heading. 12 12" xfId="4307"/>
    <cellStyle name="Assumption Heading. 12 2" xfId="4308"/>
    <cellStyle name="Assumption Heading. 12 2 10" xfId="4309"/>
    <cellStyle name="Assumption Heading. 12 2 2" xfId="4310"/>
    <cellStyle name="Assumption Heading. 12 2 2 10" xfId="4311"/>
    <cellStyle name="Assumption Heading. 12 2 2 2" xfId="4312"/>
    <cellStyle name="Assumption Heading. 12 2 2 3" xfId="4313"/>
    <cellStyle name="Assumption Heading. 12 2 2 4" xfId="4314"/>
    <cellStyle name="Assumption Heading. 12 2 2 5" xfId="4315"/>
    <cellStyle name="Assumption Heading. 12 2 2 6" xfId="4316"/>
    <cellStyle name="Assumption Heading. 12 2 2 7" xfId="4317"/>
    <cellStyle name="Assumption Heading. 12 2 2 8" xfId="4318"/>
    <cellStyle name="Assumption Heading. 12 2 2 9" xfId="4319"/>
    <cellStyle name="Assumption Heading. 12 2 3" xfId="4320"/>
    <cellStyle name="Assumption Heading. 12 2 4" xfId="4321"/>
    <cellStyle name="Assumption Heading. 12 2 5" xfId="4322"/>
    <cellStyle name="Assumption Heading. 12 2 6" xfId="4323"/>
    <cellStyle name="Assumption Heading. 12 2 7" xfId="4324"/>
    <cellStyle name="Assumption Heading. 12 2 8" xfId="4325"/>
    <cellStyle name="Assumption Heading. 12 2 9" xfId="4326"/>
    <cellStyle name="Assumption Heading. 12 3" xfId="4327"/>
    <cellStyle name="Assumption Heading. 12 3 10" xfId="4328"/>
    <cellStyle name="Assumption Heading. 12 3 2" xfId="4329"/>
    <cellStyle name="Assumption Heading. 12 3 3" xfId="4330"/>
    <cellStyle name="Assumption Heading. 12 3 4" xfId="4331"/>
    <cellStyle name="Assumption Heading. 12 3 5" xfId="4332"/>
    <cellStyle name="Assumption Heading. 12 3 6" xfId="4333"/>
    <cellStyle name="Assumption Heading. 12 3 7" xfId="4334"/>
    <cellStyle name="Assumption Heading. 12 3 8" xfId="4335"/>
    <cellStyle name="Assumption Heading. 12 3 9" xfId="4336"/>
    <cellStyle name="Assumption Heading. 12 4" xfId="4337"/>
    <cellStyle name="Assumption Heading. 12 5" xfId="4338"/>
    <cellStyle name="Assumption Heading. 12 6" xfId="4339"/>
    <cellStyle name="Assumption Heading. 12 7" xfId="4340"/>
    <cellStyle name="Assumption Heading. 12 8" xfId="4341"/>
    <cellStyle name="Assumption Heading. 12 9" xfId="4342"/>
    <cellStyle name="Assumption Heading. 13" xfId="4343"/>
    <cellStyle name="Assumption Heading. 13 10" xfId="4344"/>
    <cellStyle name="Assumption Heading. 13 11" xfId="4345"/>
    <cellStyle name="Assumption Heading. 13 12" xfId="4346"/>
    <cellStyle name="Assumption Heading. 13 2" xfId="4347"/>
    <cellStyle name="Assumption Heading. 13 2 10" xfId="4348"/>
    <cellStyle name="Assumption Heading. 13 2 2" xfId="4349"/>
    <cellStyle name="Assumption Heading. 13 2 2 10" xfId="4350"/>
    <cellStyle name="Assumption Heading. 13 2 2 2" xfId="4351"/>
    <cellStyle name="Assumption Heading. 13 2 2 3" xfId="4352"/>
    <cellStyle name="Assumption Heading. 13 2 2 4" xfId="4353"/>
    <cellStyle name="Assumption Heading. 13 2 2 5" xfId="4354"/>
    <cellStyle name="Assumption Heading. 13 2 2 6" xfId="4355"/>
    <cellStyle name="Assumption Heading. 13 2 2 7" xfId="4356"/>
    <cellStyle name="Assumption Heading. 13 2 2 8" xfId="4357"/>
    <cellStyle name="Assumption Heading. 13 2 2 9" xfId="4358"/>
    <cellStyle name="Assumption Heading. 13 2 3" xfId="4359"/>
    <cellStyle name="Assumption Heading. 13 2 4" xfId="4360"/>
    <cellStyle name="Assumption Heading. 13 2 5" xfId="4361"/>
    <cellStyle name="Assumption Heading. 13 2 6" xfId="4362"/>
    <cellStyle name="Assumption Heading. 13 2 7" xfId="4363"/>
    <cellStyle name="Assumption Heading. 13 2 8" xfId="4364"/>
    <cellStyle name="Assumption Heading. 13 2 9" xfId="4365"/>
    <cellStyle name="Assumption Heading. 13 3" xfId="4366"/>
    <cellStyle name="Assumption Heading. 13 3 10" xfId="4367"/>
    <cellStyle name="Assumption Heading. 13 3 2" xfId="4368"/>
    <cellStyle name="Assumption Heading. 13 3 3" xfId="4369"/>
    <cellStyle name="Assumption Heading. 13 3 4" xfId="4370"/>
    <cellStyle name="Assumption Heading. 13 3 5" xfId="4371"/>
    <cellStyle name="Assumption Heading. 13 3 6" xfId="4372"/>
    <cellStyle name="Assumption Heading. 13 3 7" xfId="4373"/>
    <cellStyle name="Assumption Heading. 13 3 8" xfId="4374"/>
    <cellStyle name="Assumption Heading. 13 3 9" xfId="4375"/>
    <cellStyle name="Assumption Heading. 13 4" xfId="4376"/>
    <cellStyle name="Assumption Heading. 13 5" xfId="4377"/>
    <cellStyle name="Assumption Heading. 13 6" xfId="4378"/>
    <cellStyle name="Assumption Heading. 13 7" xfId="4379"/>
    <cellStyle name="Assumption Heading. 13 8" xfId="4380"/>
    <cellStyle name="Assumption Heading. 13 9" xfId="4381"/>
    <cellStyle name="Assumption Heading. 14" xfId="4382"/>
    <cellStyle name="Assumption Heading. 14 10" xfId="4383"/>
    <cellStyle name="Assumption Heading. 14 2" xfId="4384"/>
    <cellStyle name="Assumption Heading. 14 2 10" xfId="4385"/>
    <cellStyle name="Assumption Heading. 14 2 2" xfId="4386"/>
    <cellStyle name="Assumption Heading. 14 2 3" xfId="4387"/>
    <cellStyle name="Assumption Heading. 14 2 4" xfId="4388"/>
    <cellStyle name="Assumption Heading. 14 2 5" xfId="4389"/>
    <cellStyle name="Assumption Heading. 14 2 6" xfId="4390"/>
    <cellStyle name="Assumption Heading. 14 2 7" xfId="4391"/>
    <cellStyle name="Assumption Heading. 14 2 8" xfId="4392"/>
    <cellStyle name="Assumption Heading. 14 2 9" xfId="4393"/>
    <cellStyle name="Assumption Heading. 14 3" xfId="4394"/>
    <cellStyle name="Assumption Heading. 14 4" xfId="4395"/>
    <cellStyle name="Assumption Heading. 14 5" xfId="4396"/>
    <cellStyle name="Assumption Heading. 14 6" xfId="4397"/>
    <cellStyle name="Assumption Heading. 14 7" xfId="4398"/>
    <cellStyle name="Assumption Heading. 14 8" xfId="4399"/>
    <cellStyle name="Assumption Heading. 14 9" xfId="4400"/>
    <cellStyle name="Assumption Heading. 15" xfId="4401"/>
    <cellStyle name="Assumption Heading. 15 10" xfId="4402"/>
    <cellStyle name="Assumption Heading. 15 2" xfId="4403"/>
    <cellStyle name="Assumption Heading. 15 3" xfId="4404"/>
    <cellStyle name="Assumption Heading. 15 4" xfId="4405"/>
    <cellStyle name="Assumption Heading. 15 5" xfId="4406"/>
    <cellStyle name="Assumption Heading. 15 6" xfId="4407"/>
    <cellStyle name="Assumption Heading. 15 7" xfId="4408"/>
    <cellStyle name="Assumption Heading. 15 8" xfId="4409"/>
    <cellStyle name="Assumption Heading. 15 9" xfId="4410"/>
    <cellStyle name="Assumption Heading. 16" xfId="4411"/>
    <cellStyle name="Assumption Heading. 17" xfId="4412"/>
    <cellStyle name="Assumption Heading. 18" xfId="4413"/>
    <cellStyle name="Assumption Heading. 19" xfId="4414"/>
    <cellStyle name="Assumption Heading. 2" xfId="4415"/>
    <cellStyle name="Assumption Heading. 2 10" xfId="4416"/>
    <cellStyle name="Assumption Heading. 2 10 10" xfId="4417"/>
    <cellStyle name="Assumption Heading. 2 10 2" xfId="4418"/>
    <cellStyle name="Assumption Heading. 2 10 3" xfId="4419"/>
    <cellStyle name="Assumption Heading. 2 10 4" xfId="4420"/>
    <cellStyle name="Assumption Heading. 2 10 5" xfId="4421"/>
    <cellStyle name="Assumption Heading. 2 10 6" xfId="4422"/>
    <cellStyle name="Assumption Heading. 2 10 7" xfId="4423"/>
    <cellStyle name="Assumption Heading. 2 10 8" xfId="4424"/>
    <cellStyle name="Assumption Heading. 2 10 9" xfId="4425"/>
    <cellStyle name="Assumption Heading. 2 11" xfId="4426"/>
    <cellStyle name="Assumption Heading. 2 12" xfId="4427"/>
    <cellStyle name="Assumption Heading. 2 13" xfId="4428"/>
    <cellStyle name="Assumption Heading. 2 14" xfId="4429"/>
    <cellStyle name="Assumption Heading. 2 15" xfId="4430"/>
    <cellStyle name="Assumption Heading. 2 16" xfId="4431"/>
    <cellStyle name="Assumption Heading. 2 17" xfId="4432"/>
    <cellStyle name="Assumption Heading. 2 18" xfId="4433"/>
    <cellStyle name="Assumption Heading. 2 19" xfId="4434"/>
    <cellStyle name="Assumption Heading. 2 2" xfId="4435"/>
    <cellStyle name="Assumption Heading. 2 2 10" xfId="4436"/>
    <cellStyle name="Assumption Heading. 2 2 11" xfId="4437"/>
    <cellStyle name="Assumption Heading. 2 2 12" xfId="4438"/>
    <cellStyle name="Assumption Heading. 2 2 13" xfId="4439"/>
    <cellStyle name="Assumption Heading. 2 2 14" xfId="4440"/>
    <cellStyle name="Assumption Heading. 2 2 15" xfId="4441"/>
    <cellStyle name="Assumption Heading. 2 2 16" xfId="4442"/>
    <cellStyle name="Assumption Heading. 2 2 17" xfId="4443"/>
    <cellStyle name="Assumption Heading. 2 2 18" xfId="4444"/>
    <cellStyle name="Assumption Heading. 2 2 2" xfId="4445"/>
    <cellStyle name="Assumption Heading. 2 2 2 10" xfId="4446"/>
    <cellStyle name="Assumption Heading. 2 2 2 11" xfId="4447"/>
    <cellStyle name="Assumption Heading. 2 2 2 12" xfId="4448"/>
    <cellStyle name="Assumption Heading. 2 2 2 13" xfId="4449"/>
    <cellStyle name="Assumption Heading. 2 2 2 14" xfId="4450"/>
    <cellStyle name="Assumption Heading. 2 2 2 2" xfId="4451"/>
    <cellStyle name="Assumption Heading. 2 2 2 2 10" xfId="4452"/>
    <cellStyle name="Assumption Heading. 2 2 2 2 11" xfId="4453"/>
    <cellStyle name="Assumption Heading. 2 2 2 2 12" xfId="4454"/>
    <cellStyle name="Assumption Heading. 2 2 2 2 13" xfId="4455"/>
    <cellStyle name="Assumption Heading. 2 2 2 2 2" xfId="4456"/>
    <cellStyle name="Assumption Heading. 2 2 2 2 2 10" xfId="4457"/>
    <cellStyle name="Assumption Heading. 2 2 2 2 2 11" xfId="4458"/>
    <cellStyle name="Assumption Heading. 2 2 2 2 2 12" xfId="4459"/>
    <cellStyle name="Assumption Heading. 2 2 2 2 2 2" xfId="4460"/>
    <cellStyle name="Assumption Heading. 2 2 2 2 2 2 10" xfId="4461"/>
    <cellStyle name="Assumption Heading. 2 2 2 2 2 2 2" xfId="4462"/>
    <cellStyle name="Assumption Heading. 2 2 2 2 2 2 2 10" xfId="4463"/>
    <cellStyle name="Assumption Heading. 2 2 2 2 2 2 2 2" xfId="4464"/>
    <cellStyle name="Assumption Heading. 2 2 2 2 2 2 2 3" xfId="4465"/>
    <cellStyle name="Assumption Heading. 2 2 2 2 2 2 2 4" xfId="4466"/>
    <cellStyle name="Assumption Heading. 2 2 2 2 2 2 2 5" xfId="4467"/>
    <cellStyle name="Assumption Heading. 2 2 2 2 2 2 2 6" xfId="4468"/>
    <cellStyle name="Assumption Heading. 2 2 2 2 2 2 2 7" xfId="4469"/>
    <cellStyle name="Assumption Heading. 2 2 2 2 2 2 2 8" xfId="4470"/>
    <cellStyle name="Assumption Heading. 2 2 2 2 2 2 2 9" xfId="4471"/>
    <cellStyle name="Assumption Heading. 2 2 2 2 2 2 3" xfId="4472"/>
    <cellStyle name="Assumption Heading. 2 2 2 2 2 2 4" xfId="4473"/>
    <cellStyle name="Assumption Heading. 2 2 2 2 2 2 5" xfId="4474"/>
    <cellStyle name="Assumption Heading. 2 2 2 2 2 2 6" xfId="4475"/>
    <cellStyle name="Assumption Heading. 2 2 2 2 2 2 7" xfId="4476"/>
    <cellStyle name="Assumption Heading. 2 2 2 2 2 2 8" xfId="4477"/>
    <cellStyle name="Assumption Heading. 2 2 2 2 2 2 9" xfId="4478"/>
    <cellStyle name="Assumption Heading. 2 2 2 2 2 3" xfId="4479"/>
    <cellStyle name="Assumption Heading. 2 2 2 2 2 3 10" xfId="4480"/>
    <cellStyle name="Assumption Heading. 2 2 2 2 2 3 2" xfId="4481"/>
    <cellStyle name="Assumption Heading. 2 2 2 2 2 3 3" xfId="4482"/>
    <cellStyle name="Assumption Heading. 2 2 2 2 2 3 4" xfId="4483"/>
    <cellStyle name="Assumption Heading. 2 2 2 2 2 3 5" xfId="4484"/>
    <cellStyle name="Assumption Heading. 2 2 2 2 2 3 6" xfId="4485"/>
    <cellStyle name="Assumption Heading. 2 2 2 2 2 3 7" xfId="4486"/>
    <cellStyle name="Assumption Heading. 2 2 2 2 2 3 8" xfId="4487"/>
    <cellStyle name="Assumption Heading. 2 2 2 2 2 3 9" xfId="4488"/>
    <cellStyle name="Assumption Heading. 2 2 2 2 2 4" xfId="4489"/>
    <cellStyle name="Assumption Heading. 2 2 2 2 2 5" xfId="4490"/>
    <cellStyle name="Assumption Heading. 2 2 2 2 2 6" xfId="4491"/>
    <cellStyle name="Assumption Heading. 2 2 2 2 2 7" xfId="4492"/>
    <cellStyle name="Assumption Heading. 2 2 2 2 2 8" xfId="4493"/>
    <cellStyle name="Assumption Heading. 2 2 2 2 2 9" xfId="4494"/>
    <cellStyle name="Assumption Heading. 2 2 2 2 3" xfId="4495"/>
    <cellStyle name="Assumption Heading. 2 2 2 2 3 10" xfId="4496"/>
    <cellStyle name="Assumption Heading. 2 2 2 2 3 2" xfId="4497"/>
    <cellStyle name="Assumption Heading. 2 2 2 2 3 2 10" xfId="4498"/>
    <cellStyle name="Assumption Heading. 2 2 2 2 3 2 2" xfId="4499"/>
    <cellStyle name="Assumption Heading. 2 2 2 2 3 2 3" xfId="4500"/>
    <cellStyle name="Assumption Heading. 2 2 2 2 3 2 4" xfId="4501"/>
    <cellStyle name="Assumption Heading. 2 2 2 2 3 2 5" xfId="4502"/>
    <cellStyle name="Assumption Heading. 2 2 2 2 3 2 6" xfId="4503"/>
    <cellStyle name="Assumption Heading. 2 2 2 2 3 2 7" xfId="4504"/>
    <cellStyle name="Assumption Heading. 2 2 2 2 3 2 8" xfId="4505"/>
    <cellStyle name="Assumption Heading. 2 2 2 2 3 2 9" xfId="4506"/>
    <cellStyle name="Assumption Heading. 2 2 2 2 3 3" xfId="4507"/>
    <cellStyle name="Assumption Heading. 2 2 2 2 3 4" xfId="4508"/>
    <cellStyle name="Assumption Heading. 2 2 2 2 3 5" xfId="4509"/>
    <cellStyle name="Assumption Heading. 2 2 2 2 3 6" xfId="4510"/>
    <cellStyle name="Assumption Heading. 2 2 2 2 3 7" xfId="4511"/>
    <cellStyle name="Assumption Heading. 2 2 2 2 3 8" xfId="4512"/>
    <cellStyle name="Assumption Heading. 2 2 2 2 3 9" xfId="4513"/>
    <cellStyle name="Assumption Heading. 2 2 2 2 4" xfId="4514"/>
    <cellStyle name="Assumption Heading. 2 2 2 2 4 10" xfId="4515"/>
    <cellStyle name="Assumption Heading. 2 2 2 2 4 2" xfId="4516"/>
    <cellStyle name="Assumption Heading. 2 2 2 2 4 3" xfId="4517"/>
    <cellStyle name="Assumption Heading. 2 2 2 2 4 4" xfId="4518"/>
    <cellStyle name="Assumption Heading. 2 2 2 2 4 5" xfId="4519"/>
    <cellStyle name="Assumption Heading. 2 2 2 2 4 6" xfId="4520"/>
    <cellStyle name="Assumption Heading. 2 2 2 2 4 7" xfId="4521"/>
    <cellStyle name="Assumption Heading. 2 2 2 2 4 8" xfId="4522"/>
    <cellStyle name="Assumption Heading. 2 2 2 2 4 9" xfId="4523"/>
    <cellStyle name="Assumption Heading. 2 2 2 2 5" xfId="4524"/>
    <cellStyle name="Assumption Heading. 2 2 2 2 6" xfId="4525"/>
    <cellStyle name="Assumption Heading. 2 2 2 2 7" xfId="4526"/>
    <cellStyle name="Assumption Heading. 2 2 2 2 8" xfId="4527"/>
    <cellStyle name="Assumption Heading. 2 2 2 2 9" xfId="4528"/>
    <cellStyle name="Assumption Heading. 2 2 2 3" xfId="4529"/>
    <cellStyle name="Assumption Heading. 2 2 2 3 10" xfId="4530"/>
    <cellStyle name="Assumption Heading. 2 2 2 3 11" xfId="4531"/>
    <cellStyle name="Assumption Heading. 2 2 2 3 12" xfId="4532"/>
    <cellStyle name="Assumption Heading. 2 2 2 3 2" xfId="4533"/>
    <cellStyle name="Assumption Heading. 2 2 2 3 2 10" xfId="4534"/>
    <cellStyle name="Assumption Heading. 2 2 2 3 2 2" xfId="4535"/>
    <cellStyle name="Assumption Heading. 2 2 2 3 2 2 10" xfId="4536"/>
    <cellStyle name="Assumption Heading. 2 2 2 3 2 2 2" xfId="4537"/>
    <cellStyle name="Assumption Heading. 2 2 2 3 2 2 3" xfId="4538"/>
    <cellStyle name="Assumption Heading. 2 2 2 3 2 2 4" xfId="4539"/>
    <cellStyle name="Assumption Heading. 2 2 2 3 2 2 5" xfId="4540"/>
    <cellStyle name="Assumption Heading. 2 2 2 3 2 2 6" xfId="4541"/>
    <cellStyle name="Assumption Heading. 2 2 2 3 2 2 7" xfId="4542"/>
    <cellStyle name="Assumption Heading. 2 2 2 3 2 2 8" xfId="4543"/>
    <cellStyle name="Assumption Heading. 2 2 2 3 2 2 9" xfId="4544"/>
    <cellStyle name="Assumption Heading. 2 2 2 3 2 3" xfId="4545"/>
    <cellStyle name="Assumption Heading. 2 2 2 3 2 4" xfId="4546"/>
    <cellStyle name="Assumption Heading. 2 2 2 3 2 5" xfId="4547"/>
    <cellStyle name="Assumption Heading. 2 2 2 3 2 6" xfId="4548"/>
    <cellStyle name="Assumption Heading. 2 2 2 3 2 7" xfId="4549"/>
    <cellStyle name="Assumption Heading. 2 2 2 3 2 8" xfId="4550"/>
    <cellStyle name="Assumption Heading. 2 2 2 3 2 9" xfId="4551"/>
    <cellStyle name="Assumption Heading. 2 2 2 3 3" xfId="4552"/>
    <cellStyle name="Assumption Heading. 2 2 2 3 3 10" xfId="4553"/>
    <cellStyle name="Assumption Heading. 2 2 2 3 3 2" xfId="4554"/>
    <cellStyle name="Assumption Heading. 2 2 2 3 3 3" xfId="4555"/>
    <cellStyle name="Assumption Heading. 2 2 2 3 3 4" xfId="4556"/>
    <cellStyle name="Assumption Heading. 2 2 2 3 3 5" xfId="4557"/>
    <cellStyle name="Assumption Heading. 2 2 2 3 3 6" xfId="4558"/>
    <cellStyle name="Assumption Heading. 2 2 2 3 3 7" xfId="4559"/>
    <cellStyle name="Assumption Heading. 2 2 2 3 3 8" xfId="4560"/>
    <cellStyle name="Assumption Heading. 2 2 2 3 3 9" xfId="4561"/>
    <cellStyle name="Assumption Heading. 2 2 2 3 4" xfId="4562"/>
    <cellStyle name="Assumption Heading. 2 2 2 3 5" xfId="4563"/>
    <cellStyle name="Assumption Heading. 2 2 2 3 6" xfId="4564"/>
    <cellStyle name="Assumption Heading. 2 2 2 3 7" xfId="4565"/>
    <cellStyle name="Assumption Heading. 2 2 2 3 8" xfId="4566"/>
    <cellStyle name="Assumption Heading. 2 2 2 3 9" xfId="4567"/>
    <cellStyle name="Assumption Heading. 2 2 2 4" xfId="4568"/>
    <cellStyle name="Assumption Heading. 2 2 2 4 10" xfId="4569"/>
    <cellStyle name="Assumption Heading. 2 2 2 4 2" xfId="4570"/>
    <cellStyle name="Assumption Heading. 2 2 2 4 2 10" xfId="4571"/>
    <cellStyle name="Assumption Heading. 2 2 2 4 2 2" xfId="4572"/>
    <cellStyle name="Assumption Heading. 2 2 2 4 2 3" xfId="4573"/>
    <cellStyle name="Assumption Heading. 2 2 2 4 2 4" xfId="4574"/>
    <cellStyle name="Assumption Heading. 2 2 2 4 2 5" xfId="4575"/>
    <cellStyle name="Assumption Heading. 2 2 2 4 2 6" xfId="4576"/>
    <cellStyle name="Assumption Heading. 2 2 2 4 2 7" xfId="4577"/>
    <cellStyle name="Assumption Heading. 2 2 2 4 2 8" xfId="4578"/>
    <cellStyle name="Assumption Heading. 2 2 2 4 2 9" xfId="4579"/>
    <cellStyle name="Assumption Heading. 2 2 2 4 3" xfId="4580"/>
    <cellStyle name="Assumption Heading. 2 2 2 4 4" xfId="4581"/>
    <cellStyle name="Assumption Heading. 2 2 2 4 5" xfId="4582"/>
    <cellStyle name="Assumption Heading. 2 2 2 4 6" xfId="4583"/>
    <cellStyle name="Assumption Heading. 2 2 2 4 7" xfId="4584"/>
    <cellStyle name="Assumption Heading. 2 2 2 4 8" xfId="4585"/>
    <cellStyle name="Assumption Heading. 2 2 2 4 9" xfId="4586"/>
    <cellStyle name="Assumption Heading. 2 2 2 5" xfId="4587"/>
    <cellStyle name="Assumption Heading. 2 2 2 5 10" xfId="4588"/>
    <cellStyle name="Assumption Heading. 2 2 2 5 2" xfId="4589"/>
    <cellStyle name="Assumption Heading. 2 2 2 5 3" xfId="4590"/>
    <cellStyle name="Assumption Heading. 2 2 2 5 4" xfId="4591"/>
    <cellStyle name="Assumption Heading. 2 2 2 5 5" xfId="4592"/>
    <cellStyle name="Assumption Heading. 2 2 2 5 6" xfId="4593"/>
    <cellStyle name="Assumption Heading. 2 2 2 5 7" xfId="4594"/>
    <cellStyle name="Assumption Heading. 2 2 2 5 8" xfId="4595"/>
    <cellStyle name="Assumption Heading. 2 2 2 5 9" xfId="4596"/>
    <cellStyle name="Assumption Heading. 2 2 2 6" xfId="4597"/>
    <cellStyle name="Assumption Heading. 2 2 2 7" xfId="4598"/>
    <cellStyle name="Assumption Heading. 2 2 2 8" xfId="4599"/>
    <cellStyle name="Assumption Heading. 2 2 2 9" xfId="4600"/>
    <cellStyle name="Assumption Heading. 2 2 3" xfId="4601"/>
    <cellStyle name="Assumption Heading. 2 2 3 10" xfId="4602"/>
    <cellStyle name="Assumption Heading. 2 2 3 11" xfId="4603"/>
    <cellStyle name="Assumption Heading. 2 2 3 12" xfId="4604"/>
    <cellStyle name="Assumption Heading. 2 2 3 13" xfId="4605"/>
    <cellStyle name="Assumption Heading. 2 2 3 2" xfId="4606"/>
    <cellStyle name="Assumption Heading. 2 2 3 2 10" xfId="4607"/>
    <cellStyle name="Assumption Heading. 2 2 3 2 11" xfId="4608"/>
    <cellStyle name="Assumption Heading. 2 2 3 2 12" xfId="4609"/>
    <cellStyle name="Assumption Heading. 2 2 3 2 2" xfId="4610"/>
    <cellStyle name="Assumption Heading. 2 2 3 2 2 10" xfId="4611"/>
    <cellStyle name="Assumption Heading. 2 2 3 2 2 2" xfId="4612"/>
    <cellStyle name="Assumption Heading. 2 2 3 2 2 2 10" xfId="4613"/>
    <cellStyle name="Assumption Heading. 2 2 3 2 2 2 2" xfId="4614"/>
    <cellStyle name="Assumption Heading. 2 2 3 2 2 2 3" xfId="4615"/>
    <cellStyle name="Assumption Heading. 2 2 3 2 2 2 4" xfId="4616"/>
    <cellStyle name="Assumption Heading. 2 2 3 2 2 2 5" xfId="4617"/>
    <cellStyle name="Assumption Heading. 2 2 3 2 2 2 6" xfId="4618"/>
    <cellStyle name="Assumption Heading. 2 2 3 2 2 2 7" xfId="4619"/>
    <cellStyle name="Assumption Heading. 2 2 3 2 2 2 8" xfId="4620"/>
    <cellStyle name="Assumption Heading. 2 2 3 2 2 2 9" xfId="4621"/>
    <cellStyle name="Assumption Heading. 2 2 3 2 2 3" xfId="4622"/>
    <cellStyle name="Assumption Heading. 2 2 3 2 2 4" xfId="4623"/>
    <cellStyle name="Assumption Heading. 2 2 3 2 2 5" xfId="4624"/>
    <cellStyle name="Assumption Heading. 2 2 3 2 2 6" xfId="4625"/>
    <cellStyle name="Assumption Heading. 2 2 3 2 2 7" xfId="4626"/>
    <cellStyle name="Assumption Heading. 2 2 3 2 2 8" xfId="4627"/>
    <cellStyle name="Assumption Heading. 2 2 3 2 2 9" xfId="4628"/>
    <cellStyle name="Assumption Heading. 2 2 3 2 3" xfId="4629"/>
    <cellStyle name="Assumption Heading. 2 2 3 2 3 10" xfId="4630"/>
    <cellStyle name="Assumption Heading. 2 2 3 2 3 2" xfId="4631"/>
    <cellStyle name="Assumption Heading. 2 2 3 2 3 3" xfId="4632"/>
    <cellStyle name="Assumption Heading. 2 2 3 2 3 4" xfId="4633"/>
    <cellStyle name="Assumption Heading. 2 2 3 2 3 5" xfId="4634"/>
    <cellStyle name="Assumption Heading. 2 2 3 2 3 6" xfId="4635"/>
    <cellStyle name="Assumption Heading. 2 2 3 2 3 7" xfId="4636"/>
    <cellStyle name="Assumption Heading. 2 2 3 2 3 8" xfId="4637"/>
    <cellStyle name="Assumption Heading. 2 2 3 2 3 9" xfId="4638"/>
    <cellStyle name="Assumption Heading. 2 2 3 2 4" xfId="4639"/>
    <cellStyle name="Assumption Heading. 2 2 3 2 5" xfId="4640"/>
    <cellStyle name="Assumption Heading. 2 2 3 2 6" xfId="4641"/>
    <cellStyle name="Assumption Heading. 2 2 3 2 7" xfId="4642"/>
    <cellStyle name="Assumption Heading. 2 2 3 2 8" xfId="4643"/>
    <cellStyle name="Assumption Heading. 2 2 3 2 9" xfId="4644"/>
    <cellStyle name="Assumption Heading. 2 2 3 3" xfId="4645"/>
    <cellStyle name="Assumption Heading. 2 2 3 3 10" xfId="4646"/>
    <cellStyle name="Assumption Heading. 2 2 3 3 2" xfId="4647"/>
    <cellStyle name="Assumption Heading. 2 2 3 3 2 10" xfId="4648"/>
    <cellStyle name="Assumption Heading. 2 2 3 3 2 2" xfId="4649"/>
    <cellStyle name="Assumption Heading. 2 2 3 3 2 3" xfId="4650"/>
    <cellStyle name="Assumption Heading. 2 2 3 3 2 4" xfId="4651"/>
    <cellStyle name="Assumption Heading. 2 2 3 3 2 5" xfId="4652"/>
    <cellStyle name="Assumption Heading. 2 2 3 3 2 6" xfId="4653"/>
    <cellStyle name="Assumption Heading. 2 2 3 3 2 7" xfId="4654"/>
    <cellStyle name="Assumption Heading. 2 2 3 3 2 8" xfId="4655"/>
    <cellStyle name="Assumption Heading. 2 2 3 3 2 9" xfId="4656"/>
    <cellStyle name="Assumption Heading. 2 2 3 3 3" xfId="4657"/>
    <cellStyle name="Assumption Heading. 2 2 3 3 4" xfId="4658"/>
    <cellStyle name="Assumption Heading. 2 2 3 3 5" xfId="4659"/>
    <cellStyle name="Assumption Heading. 2 2 3 3 6" xfId="4660"/>
    <cellStyle name="Assumption Heading. 2 2 3 3 7" xfId="4661"/>
    <cellStyle name="Assumption Heading. 2 2 3 3 8" xfId="4662"/>
    <cellStyle name="Assumption Heading. 2 2 3 3 9" xfId="4663"/>
    <cellStyle name="Assumption Heading. 2 2 3 4" xfId="4664"/>
    <cellStyle name="Assumption Heading. 2 2 3 4 10" xfId="4665"/>
    <cellStyle name="Assumption Heading. 2 2 3 4 2" xfId="4666"/>
    <cellStyle name="Assumption Heading. 2 2 3 4 3" xfId="4667"/>
    <cellStyle name="Assumption Heading. 2 2 3 4 4" xfId="4668"/>
    <cellStyle name="Assumption Heading. 2 2 3 4 5" xfId="4669"/>
    <cellStyle name="Assumption Heading. 2 2 3 4 6" xfId="4670"/>
    <cellStyle name="Assumption Heading. 2 2 3 4 7" xfId="4671"/>
    <cellStyle name="Assumption Heading. 2 2 3 4 8" xfId="4672"/>
    <cellStyle name="Assumption Heading. 2 2 3 4 9" xfId="4673"/>
    <cellStyle name="Assumption Heading. 2 2 3 5" xfId="4674"/>
    <cellStyle name="Assumption Heading. 2 2 3 6" xfId="4675"/>
    <cellStyle name="Assumption Heading. 2 2 3 7" xfId="4676"/>
    <cellStyle name="Assumption Heading. 2 2 3 8" xfId="4677"/>
    <cellStyle name="Assumption Heading. 2 2 3 9" xfId="4678"/>
    <cellStyle name="Assumption Heading. 2 2 4" xfId="4679"/>
    <cellStyle name="Assumption Heading. 2 2 4 10" xfId="4680"/>
    <cellStyle name="Assumption Heading. 2 2 4 11" xfId="4681"/>
    <cellStyle name="Assumption Heading. 2 2 4 12" xfId="4682"/>
    <cellStyle name="Assumption Heading. 2 2 4 13" xfId="4683"/>
    <cellStyle name="Assumption Heading. 2 2 4 2" xfId="4684"/>
    <cellStyle name="Assumption Heading. 2 2 4 2 10" xfId="4685"/>
    <cellStyle name="Assumption Heading. 2 2 4 2 11" xfId="4686"/>
    <cellStyle name="Assumption Heading. 2 2 4 2 12" xfId="4687"/>
    <cellStyle name="Assumption Heading. 2 2 4 2 2" xfId="4688"/>
    <cellStyle name="Assumption Heading. 2 2 4 2 2 10" xfId="4689"/>
    <cellStyle name="Assumption Heading. 2 2 4 2 2 2" xfId="4690"/>
    <cellStyle name="Assumption Heading. 2 2 4 2 2 2 10" xfId="4691"/>
    <cellStyle name="Assumption Heading. 2 2 4 2 2 2 2" xfId="4692"/>
    <cellStyle name="Assumption Heading. 2 2 4 2 2 2 3" xfId="4693"/>
    <cellStyle name="Assumption Heading. 2 2 4 2 2 2 4" xfId="4694"/>
    <cellStyle name="Assumption Heading. 2 2 4 2 2 2 5" xfId="4695"/>
    <cellStyle name="Assumption Heading. 2 2 4 2 2 2 6" xfId="4696"/>
    <cellStyle name="Assumption Heading. 2 2 4 2 2 2 7" xfId="4697"/>
    <cellStyle name="Assumption Heading. 2 2 4 2 2 2 8" xfId="4698"/>
    <cellStyle name="Assumption Heading. 2 2 4 2 2 2 9" xfId="4699"/>
    <cellStyle name="Assumption Heading. 2 2 4 2 2 3" xfId="4700"/>
    <cellStyle name="Assumption Heading. 2 2 4 2 2 4" xfId="4701"/>
    <cellStyle name="Assumption Heading. 2 2 4 2 2 5" xfId="4702"/>
    <cellStyle name="Assumption Heading. 2 2 4 2 2 6" xfId="4703"/>
    <cellStyle name="Assumption Heading. 2 2 4 2 2 7" xfId="4704"/>
    <cellStyle name="Assumption Heading. 2 2 4 2 2 8" xfId="4705"/>
    <cellStyle name="Assumption Heading. 2 2 4 2 2 9" xfId="4706"/>
    <cellStyle name="Assumption Heading. 2 2 4 2 3" xfId="4707"/>
    <cellStyle name="Assumption Heading. 2 2 4 2 3 10" xfId="4708"/>
    <cellStyle name="Assumption Heading. 2 2 4 2 3 2" xfId="4709"/>
    <cellStyle name="Assumption Heading. 2 2 4 2 3 3" xfId="4710"/>
    <cellStyle name="Assumption Heading. 2 2 4 2 3 4" xfId="4711"/>
    <cellStyle name="Assumption Heading. 2 2 4 2 3 5" xfId="4712"/>
    <cellStyle name="Assumption Heading. 2 2 4 2 3 6" xfId="4713"/>
    <cellStyle name="Assumption Heading. 2 2 4 2 3 7" xfId="4714"/>
    <cellStyle name="Assumption Heading. 2 2 4 2 3 8" xfId="4715"/>
    <cellStyle name="Assumption Heading. 2 2 4 2 3 9" xfId="4716"/>
    <cellStyle name="Assumption Heading. 2 2 4 2 4" xfId="4717"/>
    <cellStyle name="Assumption Heading. 2 2 4 2 5" xfId="4718"/>
    <cellStyle name="Assumption Heading. 2 2 4 2 6" xfId="4719"/>
    <cellStyle name="Assumption Heading. 2 2 4 2 7" xfId="4720"/>
    <cellStyle name="Assumption Heading. 2 2 4 2 8" xfId="4721"/>
    <cellStyle name="Assumption Heading. 2 2 4 2 9" xfId="4722"/>
    <cellStyle name="Assumption Heading. 2 2 4 3" xfId="4723"/>
    <cellStyle name="Assumption Heading. 2 2 4 3 10" xfId="4724"/>
    <cellStyle name="Assumption Heading. 2 2 4 3 2" xfId="4725"/>
    <cellStyle name="Assumption Heading. 2 2 4 3 2 10" xfId="4726"/>
    <cellStyle name="Assumption Heading. 2 2 4 3 2 2" xfId="4727"/>
    <cellStyle name="Assumption Heading. 2 2 4 3 2 3" xfId="4728"/>
    <cellStyle name="Assumption Heading. 2 2 4 3 2 4" xfId="4729"/>
    <cellStyle name="Assumption Heading. 2 2 4 3 2 5" xfId="4730"/>
    <cellStyle name="Assumption Heading. 2 2 4 3 2 6" xfId="4731"/>
    <cellStyle name="Assumption Heading. 2 2 4 3 2 7" xfId="4732"/>
    <cellStyle name="Assumption Heading. 2 2 4 3 2 8" xfId="4733"/>
    <cellStyle name="Assumption Heading. 2 2 4 3 2 9" xfId="4734"/>
    <cellStyle name="Assumption Heading. 2 2 4 3 3" xfId="4735"/>
    <cellStyle name="Assumption Heading. 2 2 4 3 4" xfId="4736"/>
    <cellStyle name="Assumption Heading. 2 2 4 3 5" xfId="4737"/>
    <cellStyle name="Assumption Heading. 2 2 4 3 6" xfId="4738"/>
    <cellStyle name="Assumption Heading. 2 2 4 3 7" xfId="4739"/>
    <cellStyle name="Assumption Heading. 2 2 4 3 8" xfId="4740"/>
    <cellStyle name="Assumption Heading. 2 2 4 3 9" xfId="4741"/>
    <cellStyle name="Assumption Heading. 2 2 4 4" xfId="4742"/>
    <cellStyle name="Assumption Heading. 2 2 4 4 10" xfId="4743"/>
    <cellStyle name="Assumption Heading. 2 2 4 4 2" xfId="4744"/>
    <cellStyle name="Assumption Heading. 2 2 4 4 3" xfId="4745"/>
    <cellStyle name="Assumption Heading. 2 2 4 4 4" xfId="4746"/>
    <cellStyle name="Assumption Heading. 2 2 4 4 5" xfId="4747"/>
    <cellStyle name="Assumption Heading. 2 2 4 4 6" xfId="4748"/>
    <cellStyle name="Assumption Heading. 2 2 4 4 7" xfId="4749"/>
    <cellStyle name="Assumption Heading. 2 2 4 4 8" xfId="4750"/>
    <cellStyle name="Assumption Heading. 2 2 4 4 9" xfId="4751"/>
    <cellStyle name="Assumption Heading. 2 2 4 5" xfId="4752"/>
    <cellStyle name="Assumption Heading. 2 2 4 6" xfId="4753"/>
    <cellStyle name="Assumption Heading. 2 2 4 7" xfId="4754"/>
    <cellStyle name="Assumption Heading. 2 2 4 8" xfId="4755"/>
    <cellStyle name="Assumption Heading. 2 2 4 9" xfId="4756"/>
    <cellStyle name="Assumption Heading. 2 2 5" xfId="4757"/>
    <cellStyle name="Assumption Heading. 2 2 5 10" xfId="4758"/>
    <cellStyle name="Assumption Heading. 2 2 5 11" xfId="4759"/>
    <cellStyle name="Assumption Heading. 2 2 5 12" xfId="4760"/>
    <cellStyle name="Assumption Heading. 2 2 5 2" xfId="4761"/>
    <cellStyle name="Assumption Heading. 2 2 5 2 10" xfId="4762"/>
    <cellStyle name="Assumption Heading. 2 2 5 2 2" xfId="4763"/>
    <cellStyle name="Assumption Heading. 2 2 5 2 2 10" xfId="4764"/>
    <cellStyle name="Assumption Heading. 2 2 5 2 2 2" xfId="4765"/>
    <cellStyle name="Assumption Heading. 2 2 5 2 2 3" xfId="4766"/>
    <cellStyle name="Assumption Heading. 2 2 5 2 2 4" xfId="4767"/>
    <cellStyle name="Assumption Heading. 2 2 5 2 2 5" xfId="4768"/>
    <cellStyle name="Assumption Heading. 2 2 5 2 2 6" xfId="4769"/>
    <cellStyle name="Assumption Heading. 2 2 5 2 2 7" xfId="4770"/>
    <cellStyle name="Assumption Heading. 2 2 5 2 2 8" xfId="4771"/>
    <cellStyle name="Assumption Heading. 2 2 5 2 2 9" xfId="4772"/>
    <cellStyle name="Assumption Heading. 2 2 5 2 3" xfId="4773"/>
    <cellStyle name="Assumption Heading. 2 2 5 2 4" xfId="4774"/>
    <cellStyle name="Assumption Heading. 2 2 5 2 5" xfId="4775"/>
    <cellStyle name="Assumption Heading. 2 2 5 2 6" xfId="4776"/>
    <cellStyle name="Assumption Heading. 2 2 5 2 7" xfId="4777"/>
    <cellStyle name="Assumption Heading. 2 2 5 2 8" xfId="4778"/>
    <cellStyle name="Assumption Heading. 2 2 5 2 9" xfId="4779"/>
    <cellStyle name="Assumption Heading. 2 2 5 3" xfId="4780"/>
    <cellStyle name="Assumption Heading. 2 2 5 3 10" xfId="4781"/>
    <cellStyle name="Assumption Heading. 2 2 5 3 2" xfId="4782"/>
    <cellStyle name="Assumption Heading. 2 2 5 3 3" xfId="4783"/>
    <cellStyle name="Assumption Heading. 2 2 5 3 4" xfId="4784"/>
    <cellStyle name="Assumption Heading. 2 2 5 3 5" xfId="4785"/>
    <cellStyle name="Assumption Heading. 2 2 5 3 6" xfId="4786"/>
    <cellStyle name="Assumption Heading. 2 2 5 3 7" xfId="4787"/>
    <cellStyle name="Assumption Heading. 2 2 5 3 8" xfId="4788"/>
    <cellStyle name="Assumption Heading. 2 2 5 3 9" xfId="4789"/>
    <cellStyle name="Assumption Heading. 2 2 5 4" xfId="4790"/>
    <cellStyle name="Assumption Heading. 2 2 5 5" xfId="4791"/>
    <cellStyle name="Assumption Heading. 2 2 5 6" xfId="4792"/>
    <cellStyle name="Assumption Heading. 2 2 5 7" xfId="4793"/>
    <cellStyle name="Assumption Heading. 2 2 5 8" xfId="4794"/>
    <cellStyle name="Assumption Heading. 2 2 5 9" xfId="4795"/>
    <cellStyle name="Assumption Heading. 2 2 6" xfId="4796"/>
    <cellStyle name="Assumption Heading. 2 2 6 10" xfId="4797"/>
    <cellStyle name="Assumption Heading. 2 2 6 11" xfId="4798"/>
    <cellStyle name="Assumption Heading. 2 2 6 12" xfId="4799"/>
    <cellStyle name="Assumption Heading. 2 2 6 2" xfId="4800"/>
    <cellStyle name="Assumption Heading. 2 2 6 2 10" xfId="4801"/>
    <cellStyle name="Assumption Heading. 2 2 6 2 2" xfId="4802"/>
    <cellStyle name="Assumption Heading. 2 2 6 2 2 10" xfId="4803"/>
    <cellStyle name="Assumption Heading. 2 2 6 2 2 2" xfId="4804"/>
    <cellStyle name="Assumption Heading. 2 2 6 2 2 3" xfId="4805"/>
    <cellStyle name="Assumption Heading. 2 2 6 2 2 4" xfId="4806"/>
    <cellStyle name="Assumption Heading. 2 2 6 2 2 5" xfId="4807"/>
    <cellStyle name="Assumption Heading. 2 2 6 2 2 6" xfId="4808"/>
    <cellStyle name="Assumption Heading. 2 2 6 2 2 7" xfId="4809"/>
    <cellStyle name="Assumption Heading. 2 2 6 2 2 8" xfId="4810"/>
    <cellStyle name="Assumption Heading. 2 2 6 2 2 9" xfId="4811"/>
    <cellStyle name="Assumption Heading. 2 2 6 2 3" xfId="4812"/>
    <cellStyle name="Assumption Heading. 2 2 6 2 4" xfId="4813"/>
    <cellStyle name="Assumption Heading. 2 2 6 2 5" xfId="4814"/>
    <cellStyle name="Assumption Heading. 2 2 6 2 6" xfId="4815"/>
    <cellStyle name="Assumption Heading. 2 2 6 2 7" xfId="4816"/>
    <cellStyle name="Assumption Heading. 2 2 6 2 8" xfId="4817"/>
    <cellStyle name="Assumption Heading. 2 2 6 2 9" xfId="4818"/>
    <cellStyle name="Assumption Heading. 2 2 6 3" xfId="4819"/>
    <cellStyle name="Assumption Heading. 2 2 6 3 10" xfId="4820"/>
    <cellStyle name="Assumption Heading. 2 2 6 3 2" xfId="4821"/>
    <cellStyle name="Assumption Heading. 2 2 6 3 3" xfId="4822"/>
    <cellStyle name="Assumption Heading. 2 2 6 3 4" xfId="4823"/>
    <cellStyle name="Assumption Heading. 2 2 6 3 5" xfId="4824"/>
    <cellStyle name="Assumption Heading. 2 2 6 3 6" xfId="4825"/>
    <cellStyle name="Assumption Heading. 2 2 6 3 7" xfId="4826"/>
    <cellStyle name="Assumption Heading. 2 2 6 3 8" xfId="4827"/>
    <cellStyle name="Assumption Heading. 2 2 6 3 9" xfId="4828"/>
    <cellStyle name="Assumption Heading. 2 2 6 4" xfId="4829"/>
    <cellStyle name="Assumption Heading. 2 2 6 5" xfId="4830"/>
    <cellStyle name="Assumption Heading. 2 2 6 6" xfId="4831"/>
    <cellStyle name="Assumption Heading. 2 2 6 7" xfId="4832"/>
    <cellStyle name="Assumption Heading. 2 2 6 8" xfId="4833"/>
    <cellStyle name="Assumption Heading. 2 2 6 9" xfId="4834"/>
    <cellStyle name="Assumption Heading. 2 2 7" xfId="4835"/>
    <cellStyle name="Assumption Heading. 2 2 7 10" xfId="4836"/>
    <cellStyle name="Assumption Heading. 2 2 7 11" xfId="4837"/>
    <cellStyle name="Assumption Heading. 2 2 7 12" xfId="4838"/>
    <cellStyle name="Assumption Heading. 2 2 7 2" xfId="4839"/>
    <cellStyle name="Assumption Heading. 2 2 7 2 10" xfId="4840"/>
    <cellStyle name="Assumption Heading. 2 2 7 2 2" xfId="4841"/>
    <cellStyle name="Assumption Heading. 2 2 7 2 2 10" xfId="4842"/>
    <cellStyle name="Assumption Heading. 2 2 7 2 2 2" xfId="4843"/>
    <cellStyle name="Assumption Heading. 2 2 7 2 2 3" xfId="4844"/>
    <cellStyle name="Assumption Heading. 2 2 7 2 2 4" xfId="4845"/>
    <cellStyle name="Assumption Heading. 2 2 7 2 2 5" xfId="4846"/>
    <cellStyle name="Assumption Heading. 2 2 7 2 2 6" xfId="4847"/>
    <cellStyle name="Assumption Heading. 2 2 7 2 2 7" xfId="4848"/>
    <cellStyle name="Assumption Heading. 2 2 7 2 2 8" xfId="4849"/>
    <cellStyle name="Assumption Heading. 2 2 7 2 2 9" xfId="4850"/>
    <cellStyle name="Assumption Heading. 2 2 7 2 3" xfId="4851"/>
    <cellStyle name="Assumption Heading. 2 2 7 2 4" xfId="4852"/>
    <cellStyle name="Assumption Heading. 2 2 7 2 5" xfId="4853"/>
    <cellStyle name="Assumption Heading. 2 2 7 2 6" xfId="4854"/>
    <cellStyle name="Assumption Heading. 2 2 7 2 7" xfId="4855"/>
    <cellStyle name="Assumption Heading. 2 2 7 2 8" xfId="4856"/>
    <cellStyle name="Assumption Heading. 2 2 7 2 9" xfId="4857"/>
    <cellStyle name="Assumption Heading. 2 2 7 3" xfId="4858"/>
    <cellStyle name="Assumption Heading. 2 2 7 3 10" xfId="4859"/>
    <cellStyle name="Assumption Heading. 2 2 7 3 2" xfId="4860"/>
    <cellStyle name="Assumption Heading. 2 2 7 3 3" xfId="4861"/>
    <cellStyle name="Assumption Heading. 2 2 7 3 4" xfId="4862"/>
    <cellStyle name="Assumption Heading. 2 2 7 3 5" xfId="4863"/>
    <cellStyle name="Assumption Heading. 2 2 7 3 6" xfId="4864"/>
    <cellStyle name="Assumption Heading. 2 2 7 3 7" xfId="4865"/>
    <cellStyle name="Assumption Heading. 2 2 7 3 8" xfId="4866"/>
    <cellStyle name="Assumption Heading. 2 2 7 3 9" xfId="4867"/>
    <cellStyle name="Assumption Heading. 2 2 7 4" xfId="4868"/>
    <cellStyle name="Assumption Heading. 2 2 7 5" xfId="4869"/>
    <cellStyle name="Assumption Heading. 2 2 7 6" xfId="4870"/>
    <cellStyle name="Assumption Heading. 2 2 7 7" xfId="4871"/>
    <cellStyle name="Assumption Heading. 2 2 7 8" xfId="4872"/>
    <cellStyle name="Assumption Heading. 2 2 7 9" xfId="4873"/>
    <cellStyle name="Assumption Heading. 2 2 8" xfId="4874"/>
    <cellStyle name="Assumption Heading. 2 2 8 10" xfId="4875"/>
    <cellStyle name="Assumption Heading. 2 2 8 2" xfId="4876"/>
    <cellStyle name="Assumption Heading. 2 2 8 2 10" xfId="4877"/>
    <cellStyle name="Assumption Heading. 2 2 8 2 2" xfId="4878"/>
    <cellStyle name="Assumption Heading. 2 2 8 2 3" xfId="4879"/>
    <cellStyle name="Assumption Heading. 2 2 8 2 4" xfId="4880"/>
    <cellStyle name="Assumption Heading. 2 2 8 2 5" xfId="4881"/>
    <cellStyle name="Assumption Heading. 2 2 8 2 6" xfId="4882"/>
    <cellStyle name="Assumption Heading. 2 2 8 2 7" xfId="4883"/>
    <cellStyle name="Assumption Heading. 2 2 8 2 8" xfId="4884"/>
    <cellStyle name="Assumption Heading. 2 2 8 2 9" xfId="4885"/>
    <cellStyle name="Assumption Heading. 2 2 8 3" xfId="4886"/>
    <cellStyle name="Assumption Heading. 2 2 8 4" xfId="4887"/>
    <cellStyle name="Assumption Heading. 2 2 8 5" xfId="4888"/>
    <cellStyle name="Assumption Heading. 2 2 8 6" xfId="4889"/>
    <cellStyle name="Assumption Heading. 2 2 8 7" xfId="4890"/>
    <cellStyle name="Assumption Heading. 2 2 8 8" xfId="4891"/>
    <cellStyle name="Assumption Heading. 2 2 8 9" xfId="4892"/>
    <cellStyle name="Assumption Heading. 2 2 9" xfId="4893"/>
    <cellStyle name="Assumption Heading. 2 2 9 10" xfId="4894"/>
    <cellStyle name="Assumption Heading. 2 2 9 2" xfId="4895"/>
    <cellStyle name="Assumption Heading. 2 2 9 3" xfId="4896"/>
    <cellStyle name="Assumption Heading. 2 2 9 4" xfId="4897"/>
    <cellStyle name="Assumption Heading. 2 2 9 5" xfId="4898"/>
    <cellStyle name="Assumption Heading. 2 2 9 6" xfId="4899"/>
    <cellStyle name="Assumption Heading. 2 2 9 7" xfId="4900"/>
    <cellStyle name="Assumption Heading. 2 2 9 8" xfId="4901"/>
    <cellStyle name="Assumption Heading. 2 2 9 9" xfId="4902"/>
    <cellStyle name="Assumption Heading. 2 3" xfId="4903"/>
    <cellStyle name="Assumption Heading. 2 3 10" xfId="4904"/>
    <cellStyle name="Assumption Heading. 2 3 11" xfId="4905"/>
    <cellStyle name="Assumption Heading. 2 3 12" xfId="4906"/>
    <cellStyle name="Assumption Heading. 2 3 13" xfId="4907"/>
    <cellStyle name="Assumption Heading. 2 3 14" xfId="4908"/>
    <cellStyle name="Assumption Heading. 2 3 2" xfId="4909"/>
    <cellStyle name="Assumption Heading. 2 3 2 10" xfId="4910"/>
    <cellStyle name="Assumption Heading. 2 3 2 11" xfId="4911"/>
    <cellStyle name="Assumption Heading. 2 3 2 12" xfId="4912"/>
    <cellStyle name="Assumption Heading. 2 3 2 13" xfId="4913"/>
    <cellStyle name="Assumption Heading. 2 3 2 2" xfId="4914"/>
    <cellStyle name="Assumption Heading. 2 3 2 2 10" xfId="4915"/>
    <cellStyle name="Assumption Heading. 2 3 2 2 11" xfId="4916"/>
    <cellStyle name="Assumption Heading. 2 3 2 2 12" xfId="4917"/>
    <cellStyle name="Assumption Heading. 2 3 2 2 2" xfId="4918"/>
    <cellStyle name="Assumption Heading. 2 3 2 2 2 10" xfId="4919"/>
    <cellStyle name="Assumption Heading. 2 3 2 2 2 2" xfId="4920"/>
    <cellStyle name="Assumption Heading. 2 3 2 2 2 2 10" xfId="4921"/>
    <cellStyle name="Assumption Heading. 2 3 2 2 2 2 2" xfId="4922"/>
    <cellStyle name="Assumption Heading. 2 3 2 2 2 2 3" xfId="4923"/>
    <cellStyle name="Assumption Heading. 2 3 2 2 2 2 4" xfId="4924"/>
    <cellStyle name="Assumption Heading. 2 3 2 2 2 2 5" xfId="4925"/>
    <cellStyle name="Assumption Heading. 2 3 2 2 2 2 6" xfId="4926"/>
    <cellStyle name="Assumption Heading. 2 3 2 2 2 2 7" xfId="4927"/>
    <cellStyle name="Assumption Heading. 2 3 2 2 2 2 8" xfId="4928"/>
    <cellStyle name="Assumption Heading. 2 3 2 2 2 2 9" xfId="4929"/>
    <cellStyle name="Assumption Heading. 2 3 2 2 2 3" xfId="4930"/>
    <cellStyle name="Assumption Heading. 2 3 2 2 2 4" xfId="4931"/>
    <cellStyle name="Assumption Heading. 2 3 2 2 2 5" xfId="4932"/>
    <cellStyle name="Assumption Heading. 2 3 2 2 2 6" xfId="4933"/>
    <cellStyle name="Assumption Heading. 2 3 2 2 2 7" xfId="4934"/>
    <cellStyle name="Assumption Heading. 2 3 2 2 2 8" xfId="4935"/>
    <cellStyle name="Assumption Heading. 2 3 2 2 2 9" xfId="4936"/>
    <cellStyle name="Assumption Heading. 2 3 2 2 3" xfId="4937"/>
    <cellStyle name="Assumption Heading. 2 3 2 2 3 10" xfId="4938"/>
    <cellStyle name="Assumption Heading. 2 3 2 2 3 2" xfId="4939"/>
    <cellStyle name="Assumption Heading. 2 3 2 2 3 3" xfId="4940"/>
    <cellStyle name="Assumption Heading. 2 3 2 2 3 4" xfId="4941"/>
    <cellStyle name="Assumption Heading. 2 3 2 2 3 5" xfId="4942"/>
    <cellStyle name="Assumption Heading. 2 3 2 2 3 6" xfId="4943"/>
    <cellStyle name="Assumption Heading. 2 3 2 2 3 7" xfId="4944"/>
    <cellStyle name="Assumption Heading. 2 3 2 2 3 8" xfId="4945"/>
    <cellStyle name="Assumption Heading. 2 3 2 2 3 9" xfId="4946"/>
    <cellStyle name="Assumption Heading. 2 3 2 2 4" xfId="4947"/>
    <cellStyle name="Assumption Heading. 2 3 2 2 5" xfId="4948"/>
    <cellStyle name="Assumption Heading. 2 3 2 2 6" xfId="4949"/>
    <cellStyle name="Assumption Heading. 2 3 2 2 7" xfId="4950"/>
    <cellStyle name="Assumption Heading. 2 3 2 2 8" xfId="4951"/>
    <cellStyle name="Assumption Heading. 2 3 2 2 9" xfId="4952"/>
    <cellStyle name="Assumption Heading. 2 3 2 3" xfId="4953"/>
    <cellStyle name="Assumption Heading. 2 3 2 3 10" xfId="4954"/>
    <cellStyle name="Assumption Heading. 2 3 2 3 2" xfId="4955"/>
    <cellStyle name="Assumption Heading. 2 3 2 3 2 10" xfId="4956"/>
    <cellStyle name="Assumption Heading. 2 3 2 3 2 2" xfId="4957"/>
    <cellStyle name="Assumption Heading. 2 3 2 3 2 3" xfId="4958"/>
    <cellStyle name="Assumption Heading. 2 3 2 3 2 4" xfId="4959"/>
    <cellStyle name="Assumption Heading. 2 3 2 3 2 5" xfId="4960"/>
    <cellStyle name="Assumption Heading. 2 3 2 3 2 6" xfId="4961"/>
    <cellStyle name="Assumption Heading. 2 3 2 3 2 7" xfId="4962"/>
    <cellStyle name="Assumption Heading. 2 3 2 3 2 8" xfId="4963"/>
    <cellStyle name="Assumption Heading. 2 3 2 3 2 9" xfId="4964"/>
    <cellStyle name="Assumption Heading. 2 3 2 3 3" xfId="4965"/>
    <cellStyle name="Assumption Heading. 2 3 2 3 4" xfId="4966"/>
    <cellStyle name="Assumption Heading. 2 3 2 3 5" xfId="4967"/>
    <cellStyle name="Assumption Heading. 2 3 2 3 6" xfId="4968"/>
    <cellStyle name="Assumption Heading. 2 3 2 3 7" xfId="4969"/>
    <cellStyle name="Assumption Heading. 2 3 2 3 8" xfId="4970"/>
    <cellStyle name="Assumption Heading. 2 3 2 3 9" xfId="4971"/>
    <cellStyle name="Assumption Heading. 2 3 2 4" xfId="4972"/>
    <cellStyle name="Assumption Heading. 2 3 2 4 10" xfId="4973"/>
    <cellStyle name="Assumption Heading. 2 3 2 4 2" xfId="4974"/>
    <cellStyle name="Assumption Heading. 2 3 2 4 3" xfId="4975"/>
    <cellStyle name="Assumption Heading. 2 3 2 4 4" xfId="4976"/>
    <cellStyle name="Assumption Heading. 2 3 2 4 5" xfId="4977"/>
    <cellStyle name="Assumption Heading. 2 3 2 4 6" xfId="4978"/>
    <cellStyle name="Assumption Heading. 2 3 2 4 7" xfId="4979"/>
    <cellStyle name="Assumption Heading. 2 3 2 4 8" xfId="4980"/>
    <cellStyle name="Assumption Heading. 2 3 2 4 9" xfId="4981"/>
    <cellStyle name="Assumption Heading. 2 3 2 5" xfId="4982"/>
    <cellStyle name="Assumption Heading. 2 3 2 6" xfId="4983"/>
    <cellStyle name="Assumption Heading. 2 3 2 7" xfId="4984"/>
    <cellStyle name="Assumption Heading. 2 3 2 8" xfId="4985"/>
    <cellStyle name="Assumption Heading. 2 3 2 9" xfId="4986"/>
    <cellStyle name="Assumption Heading. 2 3 3" xfId="4987"/>
    <cellStyle name="Assumption Heading. 2 3 3 10" xfId="4988"/>
    <cellStyle name="Assumption Heading. 2 3 3 11" xfId="4989"/>
    <cellStyle name="Assumption Heading. 2 3 3 12" xfId="4990"/>
    <cellStyle name="Assumption Heading. 2 3 3 2" xfId="4991"/>
    <cellStyle name="Assumption Heading. 2 3 3 2 10" xfId="4992"/>
    <cellStyle name="Assumption Heading. 2 3 3 2 2" xfId="4993"/>
    <cellStyle name="Assumption Heading. 2 3 3 2 2 10" xfId="4994"/>
    <cellStyle name="Assumption Heading. 2 3 3 2 2 2" xfId="4995"/>
    <cellStyle name="Assumption Heading. 2 3 3 2 2 3" xfId="4996"/>
    <cellStyle name="Assumption Heading. 2 3 3 2 2 4" xfId="4997"/>
    <cellStyle name="Assumption Heading. 2 3 3 2 2 5" xfId="4998"/>
    <cellStyle name="Assumption Heading. 2 3 3 2 2 6" xfId="4999"/>
    <cellStyle name="Assumption Heading. 2 3 3 2 2 7" xfId="5000"/>
    <cellStyle name="Assumption Heading. 2 3 3 2 2 8" xfId="5001"/>
    <cellStyle name="Assumption Heading. 2 3 3 2 2 9" xfId="5002"/>
    <cellStyle name="Assumption Heading. 2 3 3 2 3" xfId="5003"/>
    <cellStyle name="Assumption Heading. 2 3 3 2 4" xfId="5004"/>
    <cellStyle name="Assumption Heading. 2 3 3 2 5" xfId="5005"/>
    <cellStyle name="Assumption Heading. 2 3 3 2 6" xfId="5006"/>
    <cellStyle name="Assumption Heading. 2 3 3 2 7" xfId="5007"/>
    <cellStyle name="Assumption Heading. 2 3 3 2 8" xfId="5008"/>
    <cellStyle name="Assumption Heading. 2 3 3 2 9" xfId="5009"/>
    <cellStyle name="Assumption Heading. 2 3 3 3" xfId="5010"/>
    <cellStyle name="Assumption Heading. 2 3 3 3 10" xfId="5011"/>
    <cellStyle name="Assumption Heading. 2 3 3 3 2" xfId="5012"/>
    <cellStyle name="Assumption Heading. 2 3 3 3 3" xfId="5013"/>
    <cellStyle name="Assumption Heading. 2 3 3 3 4" xfId="5014"/>
    <cellStyle name="Assumption Heading. 2 3 3 3 5" xfId="5015"/>
    <cellStyle name="Assumption Heading. 2 3 3 3 6" xfId="5016"/>
    <cellStyle name="Assumption Heading. 2 3 3 3 7" xfId="5017"/>
    <cellStyle name="Assumption Heading. 2 3 3 3 8" xfId="5018"/>
    <cellStyle name="Assumption Heading. 2 3 3 3 9" xfId="5019"/>
    <cellStyle name="Assumption Heading. 2 3 3 4" xfId="5020"/>
    <cellStyle name="Assumption Heading. 2 3 3 5" xfId="5021"/>
    <cellStyle name="Assumption Heading. 2 3 3 6" xfId="5022"/>
    <cellStyle name="Assumption Heading. 2 3 3 7" xfId="5023"/>
    <cellStyle name="Assumption Heading. 2 3 3 8" xfId="5024"/>
    <cellStyle name="Assumption Heading. 2 3 3 9" xfId="5025"/>
    <cellStyle name="Assumption Heading. 2 3 4" xfId="5026"/>
    <cellStyle name="Assumption Heading. 2 3 4 10" xfId="5027"/>
    <cellStyle name="Assumption Heading. 2 3 4 2" xfId="5028"/>
    <cellStyle name="Assumption Heading. 2 3 4 2 10" xfId="5029"/>
    <cellStyle name="Assumption Heading. 2 3 4 2 2" xfId="5030"/>
    <cellStyle name="Assumption Heading. 2 3 4 2 3" xfId="5031"/>
    <cellStyle name="Assumption Heading. 2 3 4 2 4" xfId="5032"/>
    <cellStyle name="Assumption Heading. 2 3 4 2 5" xfId="5033"/>
    <cellStyle name="Assumption Heading. 2 3 4 2 6" xfId="5034"/>
    <cellStyle name="Assumption Heading. 2 3 4 2 7" xfId="5035"/>
    <cellStyle name="Assumption Heading. 2 3 4 2 8" xfId="5036"/>
    <cellStyle name="Assumption Heading. 2 3 4 2 9" xfId="5037"/>
    <cellStyle name="Assumption Heading. 2 3 4 3" xfId="5038"/>
    <cellStyle name="Assumption Heading. 2 3 4 4" xfId="5039"/>
    <cellStyle name="Assumption Heading. 2 3 4 5" xfId="5040"/>
    <cellStyle name="Assumption Heading. 2 3 4 6" xfId="5041"/>
    <cellStyle name="Assumption Heading. 2 3 4 7" xfId="5042"/>
    <cellStyle name="Assumption Heading. 2 3 4 8" xfId="5043"/>
    <cellStyle name="Assumption Heading. 2 3 4 9" xfId="5044"/>
    <cellStyle name="Assumption Heading. 2 3 5" xfId="5045"/>
    <cellStyle name="Assumption Heading. 2 3 5 10" xfId="5046"/>
    <cellStyle name="Assumption Heading. 2 3 5 2" xfId="5047"/>
    <cellStyle name="Assumption Heading. 2 3 5 3" xfId="5048"/>
    <cellStyle name="Assumption Heading. 2 3 5 4" xfId="5049"/>
    <cellStyle name="Assumption Heading. 2 3 5 5" xfId="5050"/>
    <cellStyle name="Assumption Heading. 2 3 5 6" xfId="5051"/>
    <cellStyle name="Assumption Heading. 2 3 5 7" xfId="5052"/>
    <cellStyle name="Assumption Heading. 2 3 5 8" xfId="5053"/>
    <cellStyle name="Assumption Heading. 2 3 5 9" xfId="5054"/>
    <cellStyle name="Assumption Heading. 2 3 6" xfId="5055"/>
    <cellStyle name="Assumption Heading. 2 3 7" xfId="5056"/>
    <cellStyle name="Assumption Heading. 2 3 8" xfId="5057"/>
    <cellStyle name="Assumption Heading. 2 3 9" xfId="5058"/>
    <cellStyle name="Assumption Heading. 2 4" xfId="5059"/>
    <cellStyle name="Assumption Heading. 2 4 10" xfId="5060"/>
    <cellStyle name="Assumption Heading. 2 4 11" xfId="5061"/>
    <cellStyle name="Assumption Heading. 2 4 12" xfId="5062"/>
    <cellStyle name="Assumption Heading. 2 4 13" xfId="5063"/>
    <cellStyle name="Assumption Heading. 2 4 2" xfId="5064"/>
    <cellStyle name="Assumption Heading. 2 4 2 10" xfId="5065"/>
    <cellStyle name="Assumption Heading. 2 4 2 11" xfId="5066"/>
    <cellStyle name="Assumption Heading. 2 4 2 12" xfId="5067"/>
    <cellStyle name="Assumption Heading. 2 4 2 2" xfId="5068"/>
    <cellStyle name="Assumption Heading. 2 4 2 2 10" xfId="5069"/>
    <cellStyle name="Assumption Heading. 2 4 2 2 2" xfId="5070"/>
    <cellStyle name="Assumption Heading. 2 4 2 2 2 10" xfId="5071"/>
    <cellStyle name="Assumption Heading. 2 4 2 2 2 2" xfId="5072"/>
    <cellStyle name="Assumption Heading. 2 4 2 2 2 3" xfId="5073"/>
    <cellStyle name="Assumption Heading. 2 4 2 2 2 4" xfId="5074"/>
    <cellStyle name="Assumption Heading. 2 4 2 2 2 5" xfId="5075"/>
    <cellStyle name="Assumption Heading. 2 4 2 2 2 6" xfId="5076"/>
    <cellStyle name="Assumption Heading. 2 4 2 2 2 7" xfId="5077"/>
    <cellStyle name="Assumption Heading. 2 4 2 2 2 8" xfId="5078"/>
    <cellStyle name="Assumption Heading. 2 4 2 2 2 9" xfId="5079"/>
    <cellStyle name="Assumption Heading. 2 4 2 2 3" xfId="5080"/>
    <cellStyle name="Assumption Heading. 2 4 2 2 4" xfId="5081"/>
    <cellStyle name="Assumption Heading. 2 4 2 2 5" xfId="5082"/>
    <cellStyle name="Assumption Heading. 2 4 2 2 6" xfId="5083"/>
    <cellStyle name="Assumption Heading. 2 4 2 2 7" xfId="5084"/>
    <cellStyle name="Assumption Heading. 2 4 2 2 8" xfId="5085"/>
    <cellStyle name="Assumption Heading. 2 4 2 2 9" xfId="5086"/>
    <cellStyle name="Assumption Heading. 2 4 2 3" xfId="5087"/>
    <cellStyle name="Assumption Heading. 2 4 2 3 10" xfId="5088"/>
    <cellStyle name="Assumption Heading. 2 4 2 3 2" xfId="5089"/>
    <cellStyle name="Assumption Heading. 2 4 2 3 3" xfId="5090"/>
    <cellStyle name="Assumption Heading. 2 4 2 3 4" xfId="5091"/>
    <cellStyle name="Assumption Heading. 2 4 2 3 5" xfId="5092"/>
    <cellStyle name="Assumption Heading. 2 4 2 3 6" xfId="5093"/>
    <cellStyle name="Assumption Heading. 2 4 2 3 7" xfId="5094"/>
    <cellStyle name="Assumption Heading. 2 4 2 3 8" xfId="5095"/>
    <cellStyle name="Assumption Heading. 2 4 2 3 9" xfId="5096"/>
    <cellStyle name="Assumption Heading. 2 4 2 4" xfId="5097"/>
    <cellStyle name="Assumption Heading. 2 4 2 5" xfId="5098"/>
    <cellStyle name="Assumption Heading. 2 4 2 6" xfId="5099"/>
    <cellStyle name="Assumption Heading. 2 4 2 7" xfId="5100"/>
    <cellStyle name="Assumption Heading. 2 4 2 8" xfId="5101"/>
    <cellStyle name="Assumption Heading. 2 4 2 9" xfId="5102"/>
    <cellStyle name="Assumption Heading. 2 4 3" xfId="5103"/>
    <cellStyle name="Assumption Heading. 2 4 3 10" xfId="5104"/>
    <cellStyle name="Assumption Heading. 2 4 3 2" xfId="5105"/>
    <cellStyle name="Assumption Heading. 2 4 3 2 10" xfId="5106"/>
    <cellStyle name="Assumption Heading. 2 4 3 2 2" xfId="5107"/>
    <cellStyle name="Assumption Heading. 2 4 3 2 3" xfId="5108"/>
    <cellStyle name="Assumption Heading. 2 4 3 2 4" xfId="5109"/>
    <cellStyle name="Assumption Heading. 2 4 3 2 5" xfId="5110"/>
    <cellStyle name="Assumption Heading. 2 4 3 2 6" xfId="5111"/>
    <cellStyle name="Assumption Heading. 2 4 3 2 7" xfId="5112"/>
    <cellStyle name="Assumption Heading. 2 4 3 2 8" xfId="5113"/>
    <cellStyle name="Assumption Heading. 2 4 3 2 9" xfId="5114"/>
    <cellStyle name="Assumption Heading. 2 4 3 3" xfId="5115"/>
    <cellStyle name="Assumption Heading. 2 4 3 4" xfId="5116"/>
    <cellStyle name="Assumption Heading. 2 4 3 5" xfId="5117"/>
    <cellStyle name="Assumption Heading. 2 4 3 6" xfId="5118"/>
    <cellStyle name="Assumption Heading. 2 4 3 7" xfId="5119"/>
    <cellStyle name="Assumption Heading. 2 4 3 8" xfId="5120"/>
    <cellStyle name="Assumption Heading. 2 4 3 9" xfId="5121"/>
    <cellStyle name="Assumption Heading. 2 4 4" xfId="5122"/>
    <cellStyle name="Assumption Heading. 2 4 4 10" xfId="5123"/>
    <cellStyle name="Assumption Heading. 2 4 4 2" xfId="5124"/>
    <cellStyle name="Assumption Heading. 2 4 4 3" xfId="5125"/>
    <cellStyle name="Assumption Heading. 2 4 4 4" xfId="5126"/>
    <cellStyle name="Assumption Heading. 2 4 4 5" xfId="5127"/>
    <cellStyle name="Assumption Heading. 2 4 4 6" xfId="5128"/>
    <cellStyle name="Assumption Heading. 2 4 4 7" xfId="5129"/>
    <cellStyle name="Assumption Heading. 2 4 4 8" xfId="5130"/>
    <cellStyle name="Assumption Heading. 2 4 4 9" xfId="5131"/>
    <cellStyle name="Assumption Heading. 2 4 5" xfId="5132"/>
    <cellStyle name="Assumption Heading. 2 4 6" xfId="5133"/>
    <cellStyle name="Assumption Heading. 2 4 7" xfId="5134"/>
    <cellStyle name="Assumption Heading. 2 4 8" xfId="5135"/>
    <cellStyle name="Assumption Heading. 2 4 9" xfId="5136"/>
    <cellStyle name="Assumption Heading. 2 5" xfId="5137"/>
    <cellStyle name="Assumption Heading. 2 5 10" xfId="5138"/>
    <cellStyle name="Assumption Heading. 2 5 11" xfId="5139"/>
    <cellStyle name="Assumption Heading. 2 5 12" xfId="5140"/>
    <cellStyle name="Assumption Heading. 2 5 13" xfId="5141"/>
    <cellStyle name="Assumption Heading. 2 5 2" xfId="5142"/>
    <cellStyle name="Assumption Heading. 2 5 2 10" xfId="5143"/>
    <cellStyle name="Assumption Heading. 2 5 2 11" xfId="5144"/>
    <cellStyle name="Assumption Heading. 2 5 2 12" xfId="5145"/>
    <cellStyle name="Assumption Heading. 2 5 2 2" xfId="5146"/>
    <cellStyle name="Assumption Heading. 2 5 2 2 10" xfId="5147"/>
    <cellStyle name="Assumption Heading. 2 5 2 2 2" xfId="5148"/>
    <cellStyle name="Assumption Heading. 2 5 2 2 2 10" xfId="5149"/>
    <cellStyle name="Assumption Heading. 2 5 2 2 2 2" xfId="5150"/>
    <cellStyle name="Assumption Heading. 2 5 2 2 2 3" xfId="5151"/>
    <cellStyle name="Assumption Heading. 2 5 2 2 2 4" xfId="5152"/>
    <cellStyle name="Assumption Heading. 2 5 2 2 2 5" xfId="5153"/>
    <cellStyle name="Assumption Heading. 2 5 2 2 2 6" xfId="5154"/>
    <cellStyle name="Assumption Heading. 2 5 2 2 2 7" xfId="5155"/>
    <cellStyle name="Assumption Heading. 2 5 2 2 2 8" xfId="5156"/>
    <cellStyle name="Assumption Heading. 2 5 2 2 2 9" xfId="5157"/>
    <cellStyle name="Assumption Heading. 2 5 2 2 3" xfId="5158"/>
    <cellStyle name="Assumption Heading. 2 5 2 2 4" xfId="5159"/>
    <cellStyle name="Assumption Heading. 2 5 2 2 5" xfId="5160"/>
    <cellStyle name="Assumption Heading. 2 5 2 2 6" xfId="5161"/>
    <cellStyle name="Assumption Heading. 2 5 2 2 7" xfId="5162"/>
    <cellStyle name="Assumption Heading. 2 5 2 2 8" xfId="5163"/>
    <cellStyle name="Assumption Heading. 2 5 2 2 9" xfId="5164"/>
    <cellStyle name="Assumption Heading. 2 5 2 3" xfId="5165"/>
    <cellStyle name="Assumption Heading. 2 5 2 3 10" xfId="5166"/>
    <cellStyle name="Assumption Heading. 2 5 2 3 2" xfId="5167"/>
    <cellStyle name="Assumption Heading. 2 5 2 3 3" xfId="5168"/>
    <cellStyle name="Assumption Heading. 2 5 2 3 4" xfId="5169"/>
    <cellStyle name="Assumption Heading. 2 5 2 3 5" xfId="5170"/>
    <cellStyle name="Assumption Heading. 2 5 2 3 6" xfId="5171"/>
    <cellStyle name="Assumption Heading. 2 5 2 3 7" xfId="5172"/>
    <cellStyle name="Assumption Heading. 2 5 2 3 8" xfId="5173"/>
    <cellStyle name="Assumption Heading. 2 5 2 3 9" xfId="5174"/>
    <cellStyle name="Assumption Heading. 2 5 2 4" xfId="5175"/>
    <cellStyle name="Assumption Heading. 2 5 2 5" xfId="5176"/>
    <cellStyle name="Assumption Heading. 2 5 2 6" xfId="5177"/>
    <cellStyle name="Assumption Heading. 2 5 2 7" xfId="5178"/>
    <cellStyle name="Assumption Heading. 2 5 2 8" xfId="5179"/>
    <cellStyle name="Assumption Heading. 2 5 2 9" xfId="5180"/>
    <cellStyle name="Assumption Heading. 2 5 3" xfId="5181"/>
    <cellStyle name="Assumption Heading. 2 5 3 10" xfId="5182"/>
    <cellStyle name="Assumption Heading. 2 5 3 2" xfId="5183"/>
    <cellStyle name="Assumption Heading. 2 5 3 2 10" xfId="5184"/>
    <cellStyle name="Assumption Heading. 2 5 3 2 2" xfId="5185"/>
    <cellStyle name="Assumption Heading. 2 5 3 2 3" xfId="5186"/>
    <cellStyle name="Assumption Heading. 2 5 3 2 4" xfId="5187"/>
    <cellStyle name="Assumption Heading. 2 5 3 2 5" xfId="5188"/>
    <cellStyle name="Assumption Heading. 2 5 3 2 6" xfId="5189"/>
    <cellStyle name="Assumption Heading. 2 5 3 2 7" xfId="5190"/>
    <cellStyle name="Assumption Heading. 2 5 3 2 8" xfId="5191"/>
    <cellStyle name="Assumption Heading. 2 5 3 2 9" xfId="5192"/>
    <cellStyle name="Assumption Heading. 2 5 3 3" xfId="5193"/>
    <cellStyle name="Assumption Heading. 2 5 3 4" xfId="5194"/>
    <cellStyle name="Assumption Heading. 2 5 3 5" xfId="5195"/>
    <cellStyle name="Assumption Heading. 2 5 3 6" xfId="5196"/>
    <cellStyle name="Assumption Heading. 2 5 3 7" xfId="5197"/>
    <cellStyle name="Assumption Heading. 2 5 3 8" xfId="5198"/>
    <cellStyle name="Assumption Heading. 2 5 3 9" xfId="5199"/>
    <cellStyle name="Assumption Heading. 2 5 4" xfId="5200"/>
    <cellStyle name="Assumption Heading. 2 5 4 10" xfId="5201"/>
    <cellStyle name="Assumption Heading. 2 5 4 2" xfId="5202"/>
    <cellStyle name="Assumption Heading. 2 5 4 3" xfId="5203"/>
    <cellStyle name="Assumption Heading. 2 5 4 4" xfId="5204"/>
    <cellStyle name="Assumption Heading. 2 5 4 5" xfId="5205"/>
    <cellStyle name="Assumption Heading. 2 5 4 6" xfId="5206"/>
    <cellStyle name="Assumption Heading. 2 5 4 7" xfId="5207"/>
    <cellStyle name="Assumption Heading. 2 5 4 8" xfId="5208"/>
    <cellStyle name="Assumption Heading. 2 5 4 9" xfId="5209"/>
    <cellStyle name="Assumption Heading. 2 5 5" xfId="5210"/>
    <cellStyle name="Assumption Heading. 2 5 6" xfId="5211"/>
    <cellStyle name="Assumption Heading. 2 5 7" xfId="5212"/>
    <cellStyle name="Assumption Heading. 2 5 8" xfId="5213"/>
    <cellStyle name="Assumption Heading. 2 5 9" xfId="5214"/>
    <cellStyle name="Assumption Heading. 2 6" xfId="5215"/>
    <cellStyle name="Assumption Heading. 2 6 10" xfId="5216"/>
    <cellStyle name="Assumption Heading. 2 6 11" xfId="5217"/>
    <cellStyle name="Assumption Heading. 2 6 12" xfId="5218"/>
    <cellStyle name="Assumption Heading. 2 6 2" xfId="5219"/>
    <cellStyle name="Assumption Heading. 2 6 2 10" xfId="5220"/>
    <cellStyle name="Assumption Heading. 2 6 2 2" xfId="5221"/>
    <cellStyle name="Assumption Heading. 2 6 2 2 10" xfId="5222"/>
    <cellStyle name="Assumption Heading. 2 6 2 2 2" xfId="5223"/>
    <cellStyle name="Assumption Heading. 2 6 2 2 3" xfId="5224"/>
    <cellStyle name="Assumption Heading. 2 6 2 2 4" xfId="5225"/>
    <cellStyle name="Assumption Heading. 2 6 2 2 5" xfId="5226"/>
    <cellStyle name="Assumption Heading. 2 6 2 2 6" xfId="5227"/>
    <cellStyle name="Assumption Heading. 2 6 2 2 7" xfId="5228"/>
    <cellStyle name="Assumption Heading. 2 6 2 2 8" xfId="5229"/>
    <cellStyle name="Assumption Heading. 2 6 2 2 9" xfId="5230"/>
    <cellStyle name="Assumption Heading. 2 6 2 3" xfId="5231"/>
    <cellStyle name="Assumption Heading. 2 6 2 4" xfId="5232"/>
    <cellStyle name="Assumption Heading. 2 6 2 5" xfId="5233"/>
    <cellStyle name="Assumption Heading. 2 6 2 6" xfId="5234"/>
    <cellStyle name="Assumption Heading. 2 6 2 7" xfId="5235"/>
    <cellStyle name="Assumption Heading. 2 6 2 8" xfId="5236"/>
    <cellStyle name="Assumption Heading. 2 6 2 9" xfId="5237"/>
    <cellStyle name="Assumption Heading. 2 6 3" xfId="5238"/>
    <cellStyle name="Assumption Heading. 2 6 3 10" xfId="5239"/>
    <cellStyle name="Assumption Heading. 2 6 3 2" xfId="5240"/>
    <cellStyle name="Assumption Heading. 2 6 3 3" xfId="5241"/>
    <cellStyle name="Assumption Heading. 2 6 3 4" xfId="5242"/>
    <cellStyle name="Assumption Heading. 2 6 3 5" xfId="5243"/>
    <cellStyle name="Assumption Heading. 2 6 3 6" xfId="5244"/>
    <cellStyle name="Assumption Heading. 2 6 3 7" xfId="5245"/>
    <cellStyle name="Assumption Heading. 2 6 3 8" xfId="5246"/>
    <cellStyle name="Assumption Heading. 2 6 3 9" xfId="5247"/>
    <cellStyle name="Assumption Heading. 2 6 4" xfId="5248"/>
    <cellStyle name="Assumption Heading. 2 6 5" xfId="5249"/>
    <cellStyle name="Assumption Heading. 2 6 6" xfId="5250"/>
    <cellStyle name="Assumption Heading. 2 6 7" xfId="5251"/>
    <cellStyle name="Assumption Heading. 2 6 8" xfId="5252"/>
    <cellStyle name="Assumption Heading. 2 6 9" xfId="5253"/>
    <cellStyle name="Assumption Heading. 2 7" xfId="5254"/>
    <cellStyle name="Assumption Heading. 2 7 10" xfId="5255"/>
    <cellStyle name="Assumption Heading. 2 7 11" xfId="5256"/>
    <cellStyle name="Assumption Heading. 2 7 12" xfId="5257"/>
    <cellStyle name="Assumption Heading. 2 7 2" xfId="5258"/>
    <cellStyle name="Assumption Heading. 2 7 2 10" xfId="5259"/>
    <cellStyle name="Assumption Heading. 2 7 2 2" xfId="5260"/>
    <cellStyle name="Assumption Heading. 2 7 2 2 10" xfId="5261"/>
    <cellStyle name="Assumption Heading. 2 7 2 2 2" xfId="5262"/>
    <cellStyle name="Assumption Heading. 2 7 2 2 3" xfId="5263"/>
    <cellStyle name="Assumption Heading. 2 7 2 2 4" xfId="5264"/>
    <cellStyle name="Assumption Heading. 2 7 2 2 5" xfId="5265"/>
    <cellStyle name="Assumption Heading. 2 7 2 2 6" xfId="5266"/>
    <cellStyle name="Assumption Heading. 2 7 2 2 7" xfId="5267"/>
    <cellStyle name="Assumption Heading. 2 7 2 2 8" xfId="5268"/>
    <cellStyle name="Assumption Heading. 2 7 2 2 9" xfId="5269"/>
    <cellStyle name="Assumption Heading. 2 7 2 3" xfId="5270"/>
    <cellStyle name="Assumption Heading. 2 7 2 4" xfId="5271"/>
    <cellStyle name="Assumption Heading. 2 7 2 5" xfId="5272"/>
    <cellStyle name="Assumption Heading. 2 7 2 6" xfId="5273"/>
    <cellStyle name="Assumption Heading. 2 7 2 7" xfId="5274"/>
    <cellStyle name="Assumption Heading. 2 7 2 8" xfId="5275"/>
    <cellStyle name="Assumption Heading. 2 7 2 9" xfId="5276"/>
    <cellStyle name="Assumption Heading. 2 7 3" xfId="5277"/>
    <cellStyle name="Assumption Heading. 2 7 3 10" xfId="5278"/>
    <cellStyle name="Assumption Heading. 2 7 3 2" xfId="5279"/>
    <cellStyle name="Assumption Heading. 2 7 3 3" xfId="5280"/>
    <cellStyle name="Assumption Heading. 2 7 3 4" xfId="5281"/>
    <cellStyle name="Assumption Heading. 2 7 3 5" xfId="5282"/>
    <cellStyle name="Assumption Heading. 2 7 3 6" xfId="5283"/>
    <cellStyle name="Assumption Heading. 2 7 3 7" xfId="5284"/>
    <cellStyle name="Assumption Heading. 2 7 3 8" xfId="5285"/>
    <cellStyle name="Assumption Heading. 2 7 3 9" xfId="5286"/>
    <cellStyle name="Assumption Heading. 2 7 4" xfId="5287"/>
    <cellStyle name="Assumption Heading. 2 7 5" xfId="5288"/>
    <cellStyle name="Assumption Heading. 2 7 6" xfId="5289"/>
    <cellStyle name="Assumption Heading. 2 7 7" xfId="5290"/>
    <cellStyle name="Assumption Heading. 2 7 8" xfId="5291"/>
    <cellStyle name="Assumption Heading. 2 7 9" xfId="5292"/>
    <cellStyle name="Assumption Heading. 2 8" xfId="5293"/>
    <cellStyle name="Assumption Heading. 2 8 10" xfId="5294"/>
    <cellStyle name="Assumption Heading. 2 8 11" xfId="5295"/>
    <cellStyle name="Assumption Heading. 2 8 12" xfId="5296"/>
    <cellStyle name="Assumption Heading. 2 8 2" xfId="5297"/>
    <cellStyle name="Assumption Heading. 2 8 2 10" xfId="5298"/>
    <cellStyle name="Assumption Heading. 2 8 2 2" xfId="5299"/>
    <cellStyle name="Assumption Heading. 2 8 2 2 10" xfId="5300"/>
    <cellStyle name="Assumption Heading. 2 8 2 2 2" xfId="5301"/>
    <cellStyle name="Assumption Heading. 2 8 2 2 3" xfId="5302"/>
    <cellStyle name="Assumption Heading. 2 8 2 2 4" xfId="5303"/>
    <cellStyle name="Assumption Heading. 2 8 2 2 5" xfId="5304"/>
    <cellStyle name="Assumption Heading. 2 8 2 2 6" xfId="5305"/>
    <cellStyle name="Assumption Heading. 2 8 2 2 7" xfId="5306"/>
    <cellStyle name="Assumption Heading. 2 8 2 2 8" xfId="5307"/>
    <cellStyle name="Assumption Heading. 2 8 2 2 9" xfId="5308"/>
    <cellStyle name="Assumption Heading. 2 8 2 3" xfId="5309"/>
    <cellStyle name="Assumption Heading. 2 8 2 4" xfId="5310"/>
    <cellStyle name="Assumption Heading. 2 8 2 5" xfId="5311"/>
    <cellStyle name="Assumption Heading. 2 8 2 6" xfId="5312"/>
    <cellStyle name="Assumption Heading. 2 8 2 7" xfId="5313"/>
    <cellStyle name="Assumption Heading. 2 8 2 8" xfId="5314"/>
    <cellStyle name="Assumption Heading. 2 8 2 9" xfId="5315"/>
    <cellStyle name="Assumption Heading. 2 8 3" xfId="5316"/>
    <cellStyle name="Assumption Heading. 2 8 3 10" xfId="5317"/>
    <cellStyle name="Assumption Heading. 2 8 3 2" xfId="5318"/>
    <cellStyle name="Assumption Heading. 2 8 3 3" xfId="5319"/>
    <cellStyle name="Assumption Heading. 2 8 3 4" xfId="5320"/>
    <cellStyle name="Assumption Heading. 2 8 3 5" xfId="5321"/>
    <cellStyle name="Assumption Heading. 2 8 3 6" xfId="5322"/>
    <cellStyle name="Assumption Heading. 2 8 3 7" xfId="5323"/>
    <cellStyle name="Assumption Heading. 2 8 3 8" xfId="5324"/>
    <cellStyle name="Assumption Heading. 2 8 3 9" xfId="5325"/>
    <cellStyle name="Assumption Heading. 2 8 4" xfId="5326"/>
    <cellStyle name="Assumption Heading. 2 8 5" xfId="5327"/>
    <cellStyle name="Assumption Heading. 2 8 6" xfId="5328"/>
    <cellStyle name="Assumption Heading. 2 8 7" xfId="5329"/>
    <cellStyle name="Assumption Heading. 2 8 8" xfId="5330"/>
    <cellStyle name="Assumption Heading. 2 8 9" xfId="5331"/>
    <cellStyle name="Assumption Heading. 2 9" xfId="5332"/>
    <cellStyle name="Assumption Heading. 2 9 10" xfId="5333"/>
    <cellStyle name="Assumption Heading. 2 9 2" xfId="5334"/>
    <cellStyle name="Assumption Heading. 2 9 2 10" xfId="5335"/>
    <cellStyle name="Assumption Heading. 2 9 2 2" xfId="5336"/>
    <cellStyle name="Assumption Heading. 2 9 2 3" xfId="5337"/>
    <cellStyle name="Assumption Heading. 2 9 2 4" xfId="5338"/>
    <cellStyle name="Assumption Heading. 2 9 2 5" xfId="5339"/>
    <cellStyle name="Assumption Heading. 2 9 2 6" xfId="5340"/>
    <cellStyle name="Assumption Heading. 2 9 2 7" xfId="5341"/>
    <cellStyle name="Assumption Heading. 2 9 2 8" xfId="5342"/>
    <cellStyle name="Assumption Heading. 2 9 2 9" xfId="5343"/>
    <cellStyle name="Assumption Heading. 2 9 3" xfId="5344"/>
    <cellStyle name="Assumption Heading. 2 9 4" xfId="5345"/>
    <cellStyle name="Assumption Heading. 2 9 5" xfId="5346"/>
    <cellStyle name="Assumption Heading. 2 9 6" xfId="5347"/>
    <cellStyle name="Assumption Heading. 2 9 7" xfId="5348"/>
    <cellStyle name="Assumption Heading. 2 9 8" xfId="5349"/>
    <cellStyle name="Assumption Heading. 2 9 9" xfId="5350"/>
    <cellStyle name="Assumption Heading. 3" xfId="5351"/>
    <cellStyle name="Assumption Heading. 3 10" xfId="5352"/>
    <cellStyle name="Assumption Heading. 3 11" xfId="5353"/>
    <cellStyle name="Assumption Heading. 3 12" xfId="5354"/>
    <cellStyle name="Assumption Heading. 3 13" xfId="5355"/>
    <cellStyle name="Assumption Heading. 3 14" xfId="5356"/>
    <cellStyle name="Assumption Heading. 3 15" xfId="5357"/>
    <cellStyle name="Assumption Heading. 3 16" xfId="5358"/>
    <cellStyle name="Assumption Heading. 3 2" xfId="5359"/>
    <cellStyle name="Assumption Heading. 3 2 10" xfId="5360"/>
    <cellStyle name="Assumption Heading. 3 2 11" xfId="5361"/>
    <cellStyle name="Assumption Heading. 3 2 12" xfId="5362"/>
    <cellStyle name="Assumption Heading. 3 2 13" xfId="5363"/>
    <cellStyle name="Assumption Heading. 3 2 14" xfId="5364"/>
    <cellStyle name="Assumption Heading. 3 2 2" xfId="5365"/>
    <cellStyle name="Assumption Heading. 3 2 2 10" xfId="5366"/>
    <cellStyle name="Assumption Heading. 3 2 2 11" xfId="5367"/>
    <cellStyle name="Assumption Heading. 3 2 2 12" xfId="5368"/>
    <cellStyle name="Assumption Heading. 3 2 2 13" xfId="5369"/>
    <cellStyle name="Assumption Heading. 3 2 2 2" xfId="5370"/>
    <cellStyle name="Assumption Heading. 3 2 2 2 10" xfId="5371"/>
    <cellStyle name="Assumption Heading. 3 2 2 2 11" xfId="5372"/>
    <cellStyle name="Assumption Heading. 3 2 2 2 12" xfId="5373"/>
    <cellStyle name="Assumption Heading. 3 2 2 2 2" xfId="5374"/>
    <cellStyle name="Assumption Heading. 3 2 2 2 2 10" xfId="5375"/>
    <cellStyle name="Assumption Heading. 3 2 2 2 2 2" xfId="5376"/>
    <cellStyle name="Assumption Heading. 3 2 2 2 2 2 10" xfId="5377"/>
    <cellStyle name="Assumption Heading. 3 2 2 2 2 2 2" xfId="5378"/>
    <cellStyle name="Assumption Heading. 3 2 2 2 2 2 3" xfId="5379"/>
    <cellStyle name="Assumption Heading. 3 2 2 2 2 2 4" xfId="5380"/>
    <cellStyle name="Assumption Heading. 3 2 2 2 2 2 5" xfId="5381"/>
    <cellStyle name="Assumption Heading. 3 2 2 2 2 2 6" xfId="5382"/>
    <cellStyle name="Assumption Heading. 3 2 2 2 2 2 7" xfId="5383"/>
    <cellStyle name="Assumption Heading. 3 2 2 2 2 2 8" xfId="5384"/>
    <cellStyle name="Assumption Heading. 3 2 2 2 2 2 9" xfId="5385"/>
    <cellStyle name="Assumption Heading. 3 2 2 2 2 3" xfId="5386"/>
    <cellStyle name="Assumption Heading. 3 2 2 2 2 4" xfId="5387"/>
    <cellStyle name="Assumption Heading. 3 2 2 2 2 5" xfId="5388"/>
    <cellStyle name="Assumption Heading. 3 2 2 2 2 6" xfId="5389"/>
    <cellStyle name="Assumption Heading. 3 2 2 2 2 7" xfId="5390"/>
    <cellStyle name="Assumption Heading. 3 2 2 2 2 8" xfId="5391"/>
    <cellStyle name="Assumption Heading. 3 2 2 2 2 9" xfId="5392"/>
    <cellStyle name="Assumption Heading. 3 2 2 2 3" xfId="5393"/>
    <cellStyle name="Assumption Heading. 3 2 2 2 3 10" xfId="5394"/>
    <cellStyle name="Assumption Heading. 3 2 2 2 3 2" xfId="5395"/>
    <cellStyle name="Assumption Heading. 3 2 2 2 3 3" xfId="5396"/>
    <cellStyle name="Assumption Heading. 3 2 2 2 3 4" xfId="5397"/>
    <cellStyle name="Assumption Heading. 3 2 2 2 3 5" xfId="5398"/>
    <cellStyle name="Assumption Heading. 3 2 2 2 3 6" xfId="5399"/>
    <cellStyle name="Assumption Heading. 3 2 2 2 3 7" xfId="5400"/>
    <cellStyle name="Assumption Heading. 3 2 2 2 3 8" xfId="5401"/>
    <cellStyle name="Assumption Heading. 3 2 2 2 3 9" xfId="5402"/>
    <cellStyle name="Assumption Heading. 3 2 2 2 4" xfId="5403"/>
    <cellStyle name="Assumption Heading. 3 2 2 2 5" xfId="5404"/>
    <cellStyle name="Assumption Heading. 3 2 2 2 6" xfId="5405"/>
    <cellStyle name="Assumption Heading. 3 2 2 2 7" xfId="5406"/>
    <cellStyle name="Assumption Heading. 3 2 2 2 8" xfId="5407"/>
    <cellStyle name="Assumption Heading. 3 2 2 2 9" xfId="5408"/>
    <cellStyle name="Assumption Heading. 3 2 2 3" xfId="5409"/>
    <cellStyle name="Assumption Heading. 3 2 2 3 10" xfId="5410"/>
    <cellStyle name="Assumption Heading. 3 2 2 3 2" xfId="5411"/>
    <cellStyle name="Assumption Heading. 3 2 2 3 2 10" xfId="5412"/>
    <cellStyle name="Assumption Heading. 3 2 2 3 2 2" xfId="5413"/>
    <cellStyle name="Assumption Heading. 3 2 2 3 2 3" xfId="5414"/>
    <cellStyle name="Assumption Heading. 3 2 2 3 2 4" xfId="5415"/>
    <cellStyle name="Assumption Heading. 3 2 2 3 2 5" xfId="5416"/>
    <cellStyle name="Assumption Heading. 3 2 2 3 2 6" xfId="5417"/>
    <cellStyle name="Assumption Heading. 3 2 2 3 2 7" xfId="5418"/>
    <cellStyle name="Assumption Heading. 3 2 2 3 2 8" xfId="5419"/>
    <cellStyle name="Assumption Heading. 3 2 2 3 2 9" xfId="5420"/>
    <cellStyle name="Assumption Heading. 3 2 2 3 3" xfId="5421"/>
    <cellStyle name="Assumption Heading. 3 2 2 3 4" xfId="5422"/>
    <cellStyle name="Assumption Heading. 3 2 2 3 5" xfId="5423"/>
    <cellStyle name="Assumption Heading. 3 2 2 3 6" xfId="5424"/>
    <cellStyle name="Assumption Heading. 3 2 2 3 7" xfId="5425"/>
    <cellStyle name="Assumption Heading. 3 2 2 3 8" xfId="5426"/>
    <cellStyle name="Assumption Heading. 3 2 2 3 9" xfId="5427"/>
    <cellStyle name="Assumption Heading. 3 2 2 4" xfId="5428"/>
    <cellStyle name="Assumption Heading. 3 2 2 4 10" xfId="5429"/>
    <cellStyle name="Assumption Heading. 3 2 2 4 2" xfId="5430"/>
    <cellStyle name="Assumption Heading. 3 2 2 4 3" xfId="5431"/>
    <cellStyle name="Assumption Heading. 3 2 2 4 4" xfId="5432"/>
    <cellStyle name="Assumption Heading. 3 2 2 4 5" xfId="5433"/>
    <cellStyle name="Assumption Heading. 3 2 2 4 6" xfId="5434"/>
    <cellStyle name="Assumption Heading. 3 2 2 4 7" xfId="5435"/>
    <cellStyle name="Assumption Heading. 3 2 2 4 8" xfId="5436"/>
    <cellStyle name="Assumption Heading. 3 2 2 4 9" xfId="5437"/>
    <cellStyle name="Assumption Heading. 3 2 2 5" xfId="5438"/>
    <cellStyle name="Assumption Heading. 3 2 2 6" xfId="5439"/>
    <cellStyle name="Assumption Heading. 3 2 2 7" xfId="5440"/>
    <cellStyle name="Assumption Heading. 3 2 2 8" xfId="5441"/>
    <cellStyle name="Assumption Heading. 3 2 2 9" xfId="5442"/>
    <cellStyle name="Assumption Heading. 3 2 3" xfId="5443"/>
    <cellStyle name="Assumption Heading. 3 2 3 10" xfId="5444"/>
    <cellStyle name="Assumption Heading. 3 2 3 11" xfId="5445"/>
    <cellStyle name="Assumption Heading. 3 2 3 12" xfId="5446"/>
    <cellStyle name="Assumption Heading. 3 2 3 2" xfId="5447"/>
    <cellStyle name="Assumption Heading. 3 2 3 2 10" xfId="5448"/>
    <cellStyle name="Assumption Heading. 3 2 3 2 2" xfId="5449"/>
    <cellStyle name="Assumption Heading. 3 2 3 2 2 10" xfId="5450"/>
    <cellStyle name="Assumption Heading. 3 2 3 2 2 2" xfId="5451"/>
    <cellStyle name="Assumption Heading. 3 2 3 2 2 3" xfId="5452"/>
    <cellStyle name="Assumption Heading. 3 2 3 2 2 4" xfId="5453"/>
    <cellStyle name="Assumption Heading. 3 2 3 2 2 5" xfId="5454"/>
    <cellStyle name="Assumption Heading. 3 2 3 2 2 6" xfId="5455"/>
    <cellStyle name="Assumption Heading. 3 2 3 2 2 7" xfId="5456"/>
    <cellStyle name="Assumption Heading. 3 2 3 2 2 8" xfId="5457"/>
    <cellStyle name="Assumption Heading. 3 2 3 2 2 9" xfId="5458"/>
    <cellStyle name="Assumption Heading. 3 2 3 2 3" xfId="5459"/>
    <cellStyle name="Assumption Heading. 3 2 3 2 4" xfId="5460"/>
    <cellStyle name="Assumption Heading. 3 2 3 2 5" xfId="5461"/>
    <cellStyle name="Assumption Heading. 3 2 3 2 6" xfId="5462"/>
    <cellStyle name="Assumption Heading. 3 2 3 2 7" xfId="5463"/>
    <cellStyle name="Assumption Heading. 3 2 3 2 8" xfId="5464"/>
    <cellStyle name="Assumption Heading. 3 2 3 2 9" xfId="5465"/>
    <cellStyle name="Assumption Heading. 3 2 3 3" xfId="5466"/>
    <cellStyle name="Assumption Heading. 3 2 3 3 10" xfId="5467"/>
    <cellStyle name="Assumption Heading. 3 2 3 3 2" xfId="5468"/>
    <cellStyle name="Assumption Heading. 3 2 3 3 3" xfId="5469"/>
    <cellStyle name="Assumption Heading. 3 2 3 3 4" xfId="5470"/>
    <cellStyle name="Assumption Heading. 3 2 3 3 5" xfId="5471"/>
    <cellStyle name="Assumption Heading. 3 2 3 3 6" xfId="5472"/>
    <cellStyle name="Assumption Heading. 3 2 3 3 7" xfId="5473"/>
    <cellStyle name="Assumption Heading. 3 2 3 3 8" xfId="5474"/>
    <cellStyle name="Assumption Heading. 3 2 3 3 9" xfId="5475"/>
    <cellStyle name="Assumption Heading. 3 2 3 4" xfId="5476"/>
    <cellStyle name="Assumption Heading. 3 2 3 5" xfId="5477"/>
    <cellStyle name="Assumption Heading. 3 2 3 6" xfId="5478"/>
    <cellStyle name="Assumption Heading. 3 2 3 7" xfId="5479"/>
    <cellStyle name="Assumption Heading. 3 2 3 8" xfId="5480"/>
    <cellStyle name="Assumption Heading. 3 2 3 9" xfId="5481"/>
    <cellStyle name="Assumption Heading. 3 2 4" xfId="5482"/>
    <cellStyle name="Assumption Heading. 3 2 4 10" xfId="5483"/>
    <cellStyle name="Assumption Heading. 3 2 4 2" xfId="5484"/>
    <cellStyle name="Assumption Heading. 3 2 4 2 10" xfId="5485"/>
    <cellStyle name="Assumption Heading. 3 2 4 2 2" xfId="5486"/>
    <cellStyle name="Assumption Heading. 3 2 4 2 3" xfId="5487"/>
    <cellStyle name="Assumption Heading. 3 2 4 2 4" xfId="5488"/>
    <cellStyle name="Assumption Heading. 3 2 4 2 5" xfId="5489"/>
    <cellStyle name="Assumption Heading. 3 2 4 2 6" xfId="5490"/>
    <cellStyle name="Assumption Heading. 3 2 4 2 7" xfId="5491"/>
    <cellStyle name="Assumption Heading. 3 2 4 2 8" xfId="5492"/>
    <cellStyle name="Assumption Heading. 3 2 4 2 9" xfId="5493"/>
    <cellStyle name="Assumption Heading. 3 2 4 3" xfId="5494"/>
    <cellStyle name="Assumption Heading. 3 2 4 4" xfId="5495"/>
    <cellStyle name="Assumption Heading. 3 2 4 5" xfId="5496"/>
    <cellStyle name="Assumption Heading. 3 2 4 6" xfId="5497"/>
    <cellStyle name="Assumption Heading. 3 2 4 7" xfId="5498"/>
    <cellStyle name="Assumption Heading. 3 2 4 8" xfId="5499"/>
    <cellStyle name="Assumption Heading. 3 2 4 9" xfId="5500"/>
    <cellStyle name="Assumption Heading. 3 2 5" xfId="5501"/>
    <cellStyle name="Assumption Heading. 3 2 5 10" xfId="5502"/>
    <cellStyle name="Assumption Heading. 3 2 5 2" xfId="5503"/>
    <cellStyle name="Assumption Heading. 3 2 5 3" xfId="5504"/>
    <cellStyle name="Assumption Heading. 3 2 5 4" xfId="5505"/>
    <cellStyle name="Assumption Heading. 3 2 5 5" xfId="5506"/>
    <cellStyle name="Assumption Heading. 3 2 5 6" xfId="5507"/>
    <cellStyle name="Assumption Heading. 3 2 5 7" xfId="5508"/>
    <cellStyle name="Assumption Heading. 3 2 5 8" xfId="5509"/>
    <cellStyle name="Assumption Heading. 3 2 5 9" xfId="5510"/>
    <cellStyle name="Assumption Heading. 3 2 6" xfId="5511"/>
    <cellStyle name="Assumption Heading. 3 2 7" xfId="5512"/>
    <cellStyle name="Assumption Heading. 3 2 8" xfId="5513"/>
    <cellStyle name="Assumption Heading. 3 2 9" xfId="5514"/>
    <cellStyle name="Assumption Heading. 3 3" xfId="5515"/>
    <cellStyle name="Assumption Heading. 3 3 10" xfId="5516"/>
    <cellStyle name="Assumption Heading. 3 3 11" xfId="5517"/>
    <cellStyle name="Assumption Heading. 3 3 12" xfId="5518"/>
    <cellStyle name="Assumption Heading. 3 3 13" xfId="5519"/>
    <cellStyle name="Assumption Heading. 3 3 2" xfId="5520"/>
    <cellStyle name="Assumption Heading. 3 3 2 10" xfId="5521"/>
    <cellStyle name="Assumption Heading. 3 3 2 11" xfId="5522"/>
    <cellStyle name="Assumption Heading. 3 3 2 12" xfId="5523"/>
    <cellStyle name="Assumption Heading. 3 3 2 2" xfId="5524"/>
    <cellStyle name="Assumption Heading. 3 3 2 2 10" xfId="5525"/>
    <cellStyle name="Assumption Heading. 3 3 2 2 2" xfId="5526"/>
    <cellStyle name="Assumption Heading. 3 3 2 2 2 10" xfId="5527"/>
    <cellStyle name="Assumption Heading. 3 3 2 2 2 2" xfId="5528"/>
    <cellStyle name="Assumption Heading. 3 3 2 2 2 3" xfId="5529"/>
    <cellStyle name="Assumption Heading. 3 3 2 2 2 4" xfId="5530"/>
    <cellStyle name="Assumption Heading. 3 3 2 2 2 5" xfId="5531"/>
    <cellStyle name="Assumption Heading. 3 3 2 2 2 6" xfId="5532"/>
    <cellStyle name="Assumption Heading. 3 3 2 2 2 7" xfId="5533"/>
    <cellStyle name="Assumption Heading. 3 3 2 2 2 8" xfId="5534"/>
    <cellStyle name="Assumption Heading. 3 3 2 2 2 9" xfId="5535"/>
    <cellStyle name="Assumption Heading. 3 3 2 2 3" xfId="5536"/>
    <cellStyle name="Assumption Heading. 3 3 2 2 4" xfId="5537"/>
    <cellStyle name="Assumption Heading. 3 3 2 2 5" xfId="5538"/>
    <cellStyle name="Assumption Heading. 3 3 2 2 6" xfId="5539"/>
    <cellStyle name="Assumption Heading. 3 3 2 2 7" xfId="5540"/>
    <cellStyle name="Assumption Heading. 3 3 2 2 8" xfId="5541"/>
    <cellStyle name="Assumption Heading. 3 3 2 2 9" xfId="5542"/>
    <cellStyle name="Assumption Heading. 3 3 2 3" xfId="5543"/>
    <cellStyle name="Assumption Heading. 3 3 2 3 10" xfId="5544"/>
    <cellStyle name="Assumption Heading. 3 3 2 3 2" xfId="5545"/>
    <cellStyle name="Assumption Heading. 3 3 2 3 3" xfId="5546"/>
    <cellStyle name="Assumption Heading. 3 3 2 3 4" xfId="5547"/>
    <cellStyle name="Assumption Heading. 3 3 2 3 5" xfId="5548"/>
    <cellStyle name="Assumption Heading. 3 3 2 3 6" xfId="5549"/>
    <cellStyle name="Assumption Heading. 3 3 2 3 7" xfId="5550"/>
    <cellStyle name="Assumption Heading. 3 3 2 3 8" xfId="5551"/>
    <cellStyle name="Assumption Heading. 3 3 2 3 9" xfId="5552"/>
    <cellStyle name="Assumption Heading. 3 3 2 4" xfId="5553"/>
    <cellStyle name="Assumption Heading. 3 3 2 5" xfId="5554"/>
    <cellStyle name="Assumption Heading. 3 3 2 6" xfId="5555"/>
    <cellStyle name="Assumption Heading. 3 3 2 7" xfId="5556"/>
    <cellStyle name="Assumption Heading. 3 3 2 8" xfId="5557"/>
    <cellStyle name="Assumption Heading. 3 3 2 9" xfId="5558"/>
    <cellStyle name="Assumption Heading. 3 3 3" xfId="5559"/>
    <cellStyle name="Assumption Heading. 3 3 3 10" xfId="5560"/>
    <cellStyle name="Assumption Heading. 3 3 3 2" xfId="5561"/>
    <cellStyle name="Assumption Heading. 3 3 3 2 10" xfId="5562"/>
    <cellStyle name="Assumption Heading. 3 3 3 2 2" xfId="5563"/>
    <cellStyle name="Assumption Heading. 3 3 3 2 3" xfId="5564"/>
    <cellStyle name="Assumption Heading. 3 3 3 2 4" xfId="5565"/>
    <cellStyle name="Assumption Heading. 3 3 3 2 5" xfId="5566"/>
    <cellStyle name="Assumption Heading. 3 3 3 2 6" xfId="5567"/>
    <cellStyle name="Assumption Heading. 3 3 3 2 7" xfId="5568"/>
    <cellStyle name="Assumption Heading. 3 3 3 2 8" xfId="5569"/>
    <cellStyle name="Assumption Heading. 3 3 3 2 9" xfId="5570"/>
    <cellStyle name="Assumption Heading. 3 3 3 3" xfId="5571"/>
    <cellStyle name="Assumption Heading. 3 3 3 4" xfId="5572"/>
    <cellStyle name="Assumption Heading. 3 3 3 5" xfId="5573"/>
    <cellStyle name="Assumption Heading. 3 3 3 6" xfId="5574"/>
    <cellStyle name="Assumption Heading. 3 3 3 7" xfId="5575"/>
    <cellStyle name="Assumption Heading. 3 3 3 8" xfId="5576"/>
    <cellStyle name="Assumption Heading. 3 3 3 9" xfId="5577"/>
    <cellStyle name="Assumption Heading. 3 3 4" xfId="5578"/>
    <cellStyle name="Assumption Heading. 3 3 4 10" xfId="5579"/>
    <cellStyle name="Assumption Heading. 3 3 4 2" xfId="5580"/>
    <cellStyle name="Assumption Heading. 3 3 4 3" xfId="5581"/>
    <cellStyle name="Assumption Heading. 3 3 4 4" xfId="5582"/>
    <cellStyle name="Assumption Heading. 3 3 4 5" xfId="5583"/>
    <cellStyle name="Assumption Heading. 3 3 4 6" xfId="5584"/>
    <cellStyle name="Assumption Heading. 3 3 4 7" xfId="5585"/>
    <cellStyle name="Assumption Heading. 3 3 4 8" xfId="5586"/>
    <cellStyle name="Assumption Heading. 3 3 4 9" xfId="5587"/>
    <cellStyle name="Assumption Heading. 3 3 5" xfId="5588"/>
    <cellStyle name="Assumption Heading. 3 3 6" xfId="5589"/>
    <cellStyle name="Assumption Heading. 3 3 7" xfId="5590"/>
    <cellStyle name="Assumption Heading. 3 3 8" xfId="5591"/>
    <cellStyle name="Assumption Heading. 3 3 9" xfId="5592"/>
    <cellStyle name="Assumption Heading. 3 4" xfId="5593"/>
    <cellStyle name="Assumption Heading. 3 4 10" xfId="5594"/>
    <cellStyle name="Assumption Heading. 3 4 11" xfId="5595"/>
    <cellStyle name="Assumption Heading. 3 4 12" xfId="5596"/>
    <cellStyle name="Assumption Heading. 3 4 2" xfId="5597"/>
    <cellStyle name="Assumption Heading. 3 4 2 10" xfId="5598"/>
    <cellStyle name="Assumption Heading. 3 4 2 2" xfId="5599"/>
    <cellStyle name="Assumption Heading. 3 4 2 2 10" xfId="5600"/>
    <cellStyle name="Assumption Heading. 3 4 2 2 2" xfId="5601"/>
    <cellStyle name="Assumption Heading. 3 4 2 2 3" xfId="5602"/>
    <cellStyle name="Assumption Heading. 3 4 2 2 4" xfId="5603"/>
    <cellStyle name="Assumption Heading. 3 4 2 2 5" xfId="5604"/>
    <cellStyle name="Assumption Heading. 3 4 2 2 6" xfId="5605"/>
    <cellStyle name="Assumption Heading. 3 4 2 2 7" xfId="5606"/>
    <cellStyle name="Assumption Heading. 3 4 2 2 8" xfId="5607"/>
    <cellStyle name="Assumption Heading. 3 4 2 2 9" xfId="5608"/>
    <cellStyle name="Assumption Heading. 3 4 2 3" xfId="5609"/>
    <cellStyle name="Assumption Heading. 3 4 2 4" xfId="5610"/>
    <cellStyle name="Assumption Heading. 3 4 2 5" xfId="5611"/>
    <cellStyle name="Assumption Heading. 3 4 2 6" xfId="5612"/>
    <cellStyle name="Assumption Heading. 3 4 2 7" xfId="5613"/>
    <cellStyle name="Assumption Heading. 3 4 2 8" xfId="5614"/>
    <cellStyle name="Assumption Heading. 3 4 2 9" xfId="5615"/>
    <cellStyle name="Assumption Heading. 3 4 3" xfId="5616"/>
    <cellStyle name="Assumption Heading. 3 4 3 10" xfId="5617"/>
    <cellStyle name="Assumption Heading. 3 4 3 2" xfId="5618"/>
    <cellStyle name="Assumption Heading. 3 4 3 3" xfId="5619"/>
    <cellStyle name="Assumption Heading. 3 4 3 4" xfId="5620"/>
    <cellStyle name="Assumption Heading. 3 4 3 5" xfId="5621"/>
    <cellStyle name="Assumption Heading. 3 4 3 6" xfId="5622"/>
    <cellStyle name="Assumption Heading. 3 4 3 7" xfId="5623"/>
    <cellStyle name="Assumption Heading. 3 4 3 8" xfId="5624"/>
    <cellStyle name="Assumption Heading. 3 4 3 9" xfId="5625"/>
    <cellStyle name="Assumption Heading. 3 4 4" xfId="5626"/>
    <cellStyle name="Assumption Heading. 3 4 5" xfId="5627"/>
    <cellStyle name="Assumption Heading. 3 4 6" xfId="5628"/>
    <cellStyle name="Assumption Heading. 3 4 7" xfId="5629"/>
    <cellStyle name="Assumption Heading. 3 4 8" xfId="5630"/>
    <cellStyle name="Assumption Heading. 3 4 9" xfId="5631"/>
    <cellStyle name="Assumption Heading. 3 5" xfId="5632"/>
    <cellStyle name="Assumption Heading. 3 5 10" xfId="5633"/>
    <cellStyle name="Assumption Heading. 3 5 11" xfId="5634"/>
    <cellStyle name="Assumption Heading. 3 5 12" xfId="5635"/>
    <cellStyle name="Assumption Heading. 3 5 2" xfId="5636"/>
    <cellStyle name="Assumption Heading. 3 5 2 10" xfId="5637"/>
    <cellStyle name="Assumption Heading. 3 5 2 2" xfId="5638"/>
    <cellStyle name="Assumption Heading. 3 5 2 2 10" xfId="5639"/>
    <cellStyle name="Assumption Heading. 3 5 2 2 2" xfId="5640"/>
    <cellStyle name="Assumption Heading. 3 5 2 2 3" xfId="5641"/>
    <cellStyle name="Assumption Heading. 3 5 2 2 4" xfId="5642"/>
    <cellStyle name="Assumption Heading. 3 5 2 2 5" xfId="5643"/>
    <cellStyle name="Assumption Heading. 3 5 2 2 6" xfId="5644"/>
    <cellStyle name="Assumption Heading. 3 5 2 2 7" xfId="5645"/>
    <cellStyle name="Assumption Heading. 3 5 2 2 8" xfId="5646"/>
    <cellStyle name="Assumption Heading. 3 5 2 2 9" xfId="5647"/>
    <cellStyle name="Assumption Heading. 3 5 2 3" xfId="5648"/>
    <cellStyle name="Assumption Heading. 3 5 2 4" xfId="5649"/>
    <cellStyle name="Assumption Heading. 3 5 2 5" xfId="5650"/>
    <cellStyle name="Assumption Heading. 3 5 2 6" xfId="5651"/>
    <cellStyle name="Assumption Heading. 3 5 2 7" xfId="5652"/>
    <cellStyle name="Assumption Heading. 3 5 2 8" xfId="5653"/>
    <cellStyle name="Assumption Heading. 3 5 2 9" xfId="5654"/>
    <cellStyle name="Assumption Heading. 3 5 3" xfId="5655"/>
    <cellStyle name="Assumption Heading. 3 5 3 10" xfId="5656"/>
    <cellStyle name="Assumption Heading. 3 5 3 2" xfId="5657"/>
    <cellStyle name="Assumption Heading. 3 5 3 3" xfId="5658"/>
    <cellStyle name="Assumption Heading. 3 5 3 4" xfId="5659"/>
    <cellStyle name="Assumption Heading. 3 5 3 5" xfId="5660"/>
    <cellStyle name="Assumption Heading. 3 5 3 6" xfId="5661"/>
    <cellStyle name="Assumption Heading. 3 5 3 7" xfId="5662"/>
    <cellStyle name="Assumption Heading. 3 5 3 8" xfId="5663"/>
    <cellStyle name="Assumption Heading. 3 5 3 9" xfId="5664"/>
    <cellStyle name="Assumption Heading. 3 5 4" xfId="5665"/>
    <cellStyle name="Assumption Heading. 3 5 5" xfId="5666"/>
    <cellStyle name="Assumption Heading. 3 5 6" xfId="5667"/>
    <cellStyle name="Assumption Heading. 3 5 7" xfId="5668"/>
    <cellStyle name="Assumption Heading. 3 5 8" xfId="5669"/>
    <cellStyle name="Assumption Heading. 3 5 9" xfId="5670"/>
    <cellStyle name="Assumption Heading. 3 6" xfId="5671"/>
    <cellStyle name="Assumption Heading. 3 6 10" xfId="5672"/>
    <cellStyle name="Assumption Heading. 3 6 2" xfId="5673"/>
    <cellStyle name="Assumption Heading. 3 6 2 10" xfId="5674"/>
    <cellStyle name="Assumption Heading. 3 6 2 2" xfId="5675"/>
    <cellStyle name="Assumption Heading. 3 6 2 3" xfId="5676"/>
    <cellStyle name="Assumption Heading. 3 6 2 4" xfId="5677"/>
    <cellStyle name="Assumption Heading. 3 6 2 5" xfId="5678"/>
    <cellStyle name="Assumption Heading. 3 6 2 6" xfId="5679"/>
    <cellStyle name="Assumption Heading. 3 6 2 7" xfId="5680"/>
    <cellStyle name="Assumption Heading. 3 6 2 8" xfId="5681"/>
    <cellStyle name="Assumption Heading. 3 6 2 9" xfId="5682"/>
    <cellStyle name="Assumption Heading. 3 6 3" xfId="5683"/>
    <cellStyle name="Assumption Heading. 3 6 4" xfId="5684"/>
    <cellStyle name="Assumption Heading. 3 6 5" xfId="5685"/>
    <cellStyle name="Assumption Heading. 3 6 6" xfId="5686"/>
    <cellStyle name="Assumption Heading. 3 6 7" xfId="5687"/>
    <cellStyle name="Assumption Heading. 3 6 8" xfId="5688"/>
    <cellStyle name="Assumption Heading. 3 6 9" xfId="5689"/>
    <cellStyle name="Assumption Heading. 3 7" xfId="5690"/>
    <cellStyle name="Assumption Heading. 3 7 10" xfId="5691"/>
    <cellStyle name="Assumption Heading. 3 7 2" xfId="5692"/>
    <cellStyle name="Assumption Heading. 3 7 3" xfId="5693"/>
    <cellStyle name="Assumption Heading. 3 7 4" xfId="5694"/>
    <cellStyle name="Assumption Heading. 3 7 5" xfId="5695"/>
    <cellStyle name="Assumption Heading. 3 7 6" xfId="5696"/>
    <cellStyle name="Assumption Heading. 3 7 7" xfId="5697"/>
    <cellStyle name="Assumption Heading. 3 7 8" xfId="5698"/>
    <cellStyle name="Assumption Heading. 3 7 9" xfId="5699"/>
    <cellStyle name="Assumption Heading. 3 8" xfId="5700"/>
    <cellStyle name="Assumption Heading. 3 9" xfId="5701"/>
    <cellStyle name="Assumption Heading. 4" xfId="5702"/>
    <cellStyle name="Assumption Heading. 4 10" xfId="5703"/>
    <cellStyle name="Assumption Heading. 4 11" xfId="5704"/>
    <cellStyle name="Assumption Heading. 4 12" xfId="5705"/>
    <cellStyle name="Assumption Heading. 4 13" xfId="5706"/>
    <cellStyle name="Assumption Heading. 4 2" xfId="5707"/>
    <cellStyle name="Assumption Heading. 4 2 10" xfId="5708"/>
    <cellStyle name="Assumption Heading. 4 2 11" xfId="5709"/>
    <cellStyle name="Assumption Heading. 4 2 12" xfId="5710"/>
    <cellStyle name="Assumption Heading. 4 2 2" xfId="5711"/>
    <cellStyle name="Assumption Heading. 4 2 2 10" xfId="5712"/>
    <cellStyle name="Assumption Heading. 4 2 2 2" xfId="5713"/>
    <cellStyle name="Assumption Heading. 4 2 2 2 10" xfId="5714"/>
    <cellStyle name="Assumption Heading. 4 2 2 2 2" xfId="5715"/>
    <cellStyle name="Assumption Heading. 4 2 2 2 3" xfId="5716"/>
    <cellStyle name="Assumption Heading. 4 2 2 2 4" xfId="5717"/>
    <cellStyle name="Assumption Heading. 4 2 2 2 5" xfId="5718"/>
    <cellStyle name="Assumption Heading. 4 2 2 2 6" xfId="5719"/>
    <cellStyle name="Assumption Heading. 4 2 2 2 7" xfId="5720"/>
    <cellStyle name="Assumption Heading. 4 2 2 2 8" xfId="5721"/>
    <cellStyle name="Assumption Heading. 4 2 2 2 9" xfId="5722"/>
    <cellStyle name="Assumption Heading. 4 2 2 3" xfId="5723"/>
    <cellStyle name="Assumption Heading. 4 2 2 4" xfId="5724"/>
    <cellStyle name="Assumption Heading. 4 2 2 5" xfId="5725"/>
    <cellStyle name="Assumption Heading. 4 2 2 6" xfId="5726"/>
    <cellStyle name="Assumption Heading. 4 2 2 7" xfId="5727"/>
    <cellStyle name="Assumption Heading. 4 2 2 8" xfId="5728"/>
    <cellStyle name="Assumption Heading. 4 2 2 9" xfId="5729"/>
    <cellStyle name="Assumption Heading. 4 2 3" xfId="5730"/>
    <cellStyle name="Assumption Heading. 4 2 3 10" xfId="5731"/>
    <cellStyle name="Assumption Heading. 4 2 3 2" xfId="5732"/>
    <cellStyle name="Assumption Heading. 4 2 3 3" xfId="5733"/>
    <cellStyle name="Assumption Heading. 4 2 3 4" xfId="5734"/>
    <cellStyle name="Assumption Heading. 4 2 3 5" xfId="5735"/>
    <cellStyle name="Assumption Heading. 4 2 3 6" xfId="5736"/>
    <cellStyle name="Assumption Heading. 4 2 3 7" xfId="5737"/>
    <cellStyle name="Assumption Heading. 4 2 3 8" xfId="5738"/>
    <cellStyle name="Assumption Heading. 4 2 3 9" xfId="5739"/>
    <cellStyle name="Assumption Heading. 4 2 4" xfId="5740"/>
    <cellStyle name="Assumption Heading. 4 2 5" xfId="5741"/>
    <cellStyle name="Assumption Heading. 4 2 6" xfId="5742"/>
    <cellStyle name="Assumption Heading. 4 2 7" xfId="5743"/>
    <cellStyle name="Assumption Heading. 4 2 8" xfId="5744"/>
    <cellStyle name="Assumption Heading. 4 2 9" xfId="5745"/>
    <cellStyle name="Assumption Heading. 4 3" xfId="5746"/>
    <cellStyle name="Assumption Heading. 4 3 10" xfId="5747"/>
    <cellStyle name="Assumption Heading. 4 3 2" xfId="5748"/>
    <cellStyle name="Assumption Heading. 4 3 2 10" xfId="5749"/>
    <cellStyle name="Assumption Heading. 4 3 2 2" xfId="5750"/>
    <cellStyle name="Assumption Heading. 4 3 2 3" xfId="5751"/>
    <cellStyle name="Assumption Heading. 4 3 2 4" xfId="5752"/>
    <cellStyle name="Assumption Heading. 4 3 2 5" xfId="5753"/>
    <cellStyle name="Assumption Heading. 4 3 2 6" xfId="5754"/>
    <cellStyle name="Assumption Heading. 4 3 2 7" xfId="5755"/>
    <cellStyle name="Assumption Heading. 4 3 2 8" xfId="5756"/>
    <cellStyle name="Assumption Heading. 4 3 2 9" xfId="5757"/>
    <cellStyle name="Assumption Heading. 4 3 3" xfId="5758"/>
    <cellStyle name="Assumption Heading. 4 3 4" xfId="5759"/>
    <cellStyle name="Assumption Heading. 4 3 5" xfId="5760"/>
    <cellStyle name="Assumption Heading. 4 3 6" xfId="5761"/>
    <cellStyle name="Assumption Heading. 4 3 7" xfId="5762"/>
    <cellStyle name="Assumption Heading. 4 3 8" xfId="5763"/>
    <cellStyle name="Assumption Heading. 4 3 9" xfId="5764"/>
    <cellStyle name="Assumption Heading. 4 4" xfId="5765"/>
    <cellStyle name="Assumption Heading. 4 4 10" xfId="5766"/>
    <cellStyle name="Assumption Heading. 4 4 2" xfId="5767"/>
    <cellStyle name="Assumption Heading. 4 4 3" xfId="5768"/>
    <cellStyle name="Assumption Heading. 4 4 4" xfId="5769"/>
    <cellStyle name="Assumption Heading. 4 4 5" xfId="5770"/>
    <cellStyle name="Assumption Heading. 4 4 6" xfId="5771"/>
    <cellStyle name="Assumption Heading. 4 4 7" xfId="5772"/>
    <cellStyle name="Assumption Heading. 4 4 8" xfId="5773"/>
    <cellStyle name="Assumption Heading. 4 4 9" xfId="5774"/>
    <cellStyle name="Assumption Heading. 4 5" xfId="5775"/>
    <cellStyle name="Assumption Heading. 4 6" xfId="5776"/>
    <cellStyle name="Assumption Heading. 4 7" xfId="5777"/>
    <cellStyle name="Assumption Heading. 4 8" xfId="5778"/>
    <cellStyle name="Assumption Heading. 4 9" xfId="5779"/>
    <cellStyle name="Assumption Heading. 5" xfId="5780"/>
    <cellStyle name="Assumption Heading. 5 10" xfId="5781"/>
    <cellStyle name="Assumption Heading. 5 11" xfId="5782"/>
    <cellStyle name="Assumption Heading. 5 12" xfId="5783"/>
    <cellStyle name="Assumption Heading. 5 13" xfId="5784"/>
    <cellStyle name="Assumption Heading. 5 2" xfId="5785"/>
    <cellStyle name="Assumption Heading. 5 2 10" xfId="5786"/>
    <cellStyle name="Assumption Heading. 5 2 11" xfId="5787"/>
    <cellStyle name="Assumption Heading. 5 2 12" xfId="5788"/>
    <cellStyle name="Assumption Heading. 5 2 2" xfId="5789"/>
    <cellStyle name="Assumption Heading. 5 2 2 10" xfId="5790"/>
    <cellStyle name="Assumption Heading. 5 2 2 2" xfId="5791"/>
    <cellStyle name="Assumption Heading. 5 2 2 2 10" xfId="5792"/>
    <cellStyle name="Assumption Heading. 5 2 2 2 2" xfId="5793"/>
    <cellStyle name="Assumption Heading. 5 2 2 2 3" xfId="5794"/>
    <cellStyle name="Assumption Heading. 5 2 2 2 4" xfId="5795"/>
    <cellStyle name="Assumption Heading. 5 2 2 2 5" xfId="5796"/>
    <cellStyle name="Assumption Heading. 5 2 2 2 6" xfId="5797"/>
    <cellStyle name="Assumption Heading. 5 2 2 2 7" xfId="5798"/>
    <cellStyle name="Assumption Heading. 5 2 2 2 8" xfId="5799"/>
    <cellStyle name="Assumption Heading. 5 2 2 2 9" xfId="5800"/>
    <cellStyle name="Assumption Heading. 5 2 2 3" xfId="5801"/>
    <cellStyle name="Assumption Heading. 5 2 2 4" xfId="5802"/>
    <cellStyle name="Assumption Heading. 5 2 2 5" xfId="5803"/>
    <cellStyle name="Assumption Heading. 5 2 2 6" xfId="5804"/>
    <cellStyle name="Assumption Heading. 5 2 2 7" xfId="5805"/>
    <cellStyle name="Assumption Heading. 5 2 2 8" xfId="5806"/>
    <cellStyle name="Assumption Heading. 5 2 2 9" xfId="5807"/>
    <cellStyle name="Assumption Heading. 5 2 3" xfId="5808"/>
    <cellStyle name="Assumption Heading. 5 2 3 10" xfId="5809"/>
    <cellStyle name="Assumption Heading. 5 2 3 2" xfId="5810"/>
    <cellStyle name="Assumption Heading. 5 2 3 3" xfId="5811"/>
    <cellStyle name="Assumption Heading. 5 2 3 4" xfId="5812"/>
    <cellStyle name="Assumption Heading. 5 2 3 5" xfId="5813"/>
    <cellStyle name="Assumption Heading. 5 2 3 6" xfId="5814"/>
    <cellStyle name="Assumption Heading. 5 2 3 7" xfId="5815"/>
    <cellStyle name="Assumption Heading. 5 2 3 8" xfId="5816"/>
    <cellStyle name="Assumption Heading. 5 2 3 9" xfId="5817"/>
    <cellStyle name="Assumption Heading. 5 2 4" xfId="5818"/>
    <cellStyle name="Assumption Heading. 5 2 5" xfId="5819"/>
    <cellStyle name="Assumption Heading. 5 2 6" xfId="5820"/>
    <cellStyle name="Assumption Heading. 5 2 7" xfId="5821"/>
    <cellStyle name="Assumption Heading. 5 2 8" xfId="5822"/>
    <cellStyle name="Assumption Heading. 5 2 9" xfId="5823"/>
    <cellStyle name="Assumption Heading. 5 3" xfId="5824"/>
    <cellStyle name="Assumption Heading. 5 3 10" xfId="5825"/>
    <cellStyle name="Assumption Heading. 5 3 2" xfId="5826"/>
    <cellStyle name="Assumption Heading. 5 3 2 10" xfId="5827"/>
    <cellStyle name="Assumption Heading. 5 3 2 2" xfId="5828"/>
    <cellStyle name="Assumption Heading. 5 3 2 3" xfId="5829"/>
    <cellStyle name="Assumption Heading. 5 3 2 4" xfId="5830"/>
    <cellStyle name="Assumption Heading. 5 3 2 5" xfId="5831"/>
    <cellStyle name="Assumption Heading. 5 3 2 6" xfId="5832"/>
    <cellStyle name="Assumption Heading. 5 3 2 7" xfId="5833"/>
    <cellStyle name="Assumption Heading. 5 3 2 8" xfId="5834"/>
    <cellStyle name="Assumption Heading. 5 3 2 9" xfId="5835"/>
    <cellStyle name="Assumption Heading. 5 3 3" xfId="5836"/>
    <cellStyle name="Assumption Heading. 5 3 4" xfId="5837"/>
    <cellStyle name="Assumption Heading. 5 3 5" xfId="5838"/>
    <cellStyle name="Assumption Heading. 5 3 6" xfId="5839"/>
    <cellStyle name="Assumption Heading. 5 3 7" xfId="5840"/>
    <cellStyle name="Assumption Heading. 5 3 8" xfId="5841"/>
    <cellStyle name="Assumption Heading. 5 3 9" xfId="5842"/>
    <cellStyle name="Assumption Heading. 5 4" xfId="5843"/>
    <cellStyle name="Assumption Heading. 5 4 10" xfId="5844"/>
    <cellStyle name="Assumption Heading. 5 4 2" xfId="5845"/>
    <cellStyle name="Assumption Heading. 5 4 3" xfId="5846"/>
    <cellStyle name="Assumption Heading. 5 4 4" xfId="5847"/>
    <cellStyle name="Assumption Heading. 5 4 5" xfId="5848"/>
    <cellStyle name="Assumption Heading. 5 4 6" xfId="5849"/>
    <cellStyle name="Assumption Heading. 5 4 7" xfId="5850"/>
    <cellStyle name="Assumption Heading. 5 4 8" xfId="5851"/>
    <cellStyle name="Assumption Heading. 5 4 9" xfId="5852"/>
    <cellStyle name="Assumption Heading. 5 5" xfId="5853"/>
    <cellStyle name="Assumption Heading. 5 6" xfId="5854"/>
    <cellStyle name="Assumption Heading. 5 7" xfId="5855"/>
    <cellStyle name="Assumption Heading. 5 8" xfId="5856"/>
    <cellStyle name="Assumption Heading. 5 9" xfId="5857"/>
    <cellStyle name="Assumption Heading. 6" xfId="5858"/>
    <cellStyle name="Assumption Heading. 6 10" xfId="5859"/>
    <cellStyle name="Assumption Heading. 6 11" xfId="5860"/>
    <cellStyle name="Assumption Heading. 6 12" xfId="5861"/>
    <cellStyle name="Assumption Heading. 6 13" xfId="5862"/>
    <cellStyle name="Assumption Heading. 6 2" xfId="5863"/>
    <cellStyle name="Assumption Heading. 6 2 10" xfId="5864"/>
    <cellStyle name="Assumption Heading. 6 2 11" xfId="5865"/>
    <cellStyle name="Assumption Heading. 6 2 12" xfId="5866"/>
    <cellStyle name="Assumption Heading. 6 2 2" xfId="5867"/>
    <cellStyle name="Assumption Heading. 6 2 2 10" xfId="5868"/>
    <cellStyle name="Assumption Heading. 6 2 2 2" xfId="5869"/>
    <cellStyle name="Assumption Heading. 6 2 2 2 10" xfId="5870"/>
    <cellStyle name="Assumption Heading. 6 2 2 2 2" xfId="5871"/>
    <cellStyle name="Assumption Heading. 6 2 2 2 3" xfId="5872"/>
    <cellStyle name="Assumption Heading. 6 2 2 2 4" xfId="5873"/>
    <cellStyle name="Assumption Heading. 6 2 2 2 5" xfId="5874"/>
    <cellStyle name="Assumption Heading. 6 2 2 2 6" xfId="5875"/>
    <cellStyle name="Assumption Heading. 6 2 2 2 7" xfId="5876"/>
    <cellStyle name="Assumption Heading. 6 2 2 2 8" xfId="5877"/>
    <cellStyle name="Assumption Heading. 6 2 2 2 9" xfId="5878"/>
    <cellStyle name="Assumption Heading. 6 2 2 3" xfId="5879"/>
    <cellStyle name="Assumption Heading. 6 2 2 4" xfId="5880"/>
    <cellStyle name="Assumption Heading. 6 2 2 5" xfId="5881"/>
    <cellStyle name="Assumption Heading. 6 2 2 6" xfId="5882"/>
    <cellStyle name="Assumption Heading. 6 2 2 7" xfId="5883"/>
    <cellStyle name="Assumption Heading. 6 2 2 8" xfId="5884"/>
    <cellStyle name="Assumption Heading. 6 2 2 9" xfId="5885"/>
    <cellStyle name="Assumption Heading. 6 2 3" xfId="5886"/>
    <cellStyle name="Assumption Heading. 6 2 3 10" xfId="5887"/>
    <cellStyle name="Assumption Heading. 6 2 3 2" xfId="5888"/>
    <cellStyle name="Assumption Heading. 6 2 3 3" xfId="5889"/>
    <cellStyle name="Assumption Heading. 6 2 3 4" xfId="5890"/>
    <cellStyle name="Assumption Heading. 6 2 3 5" xfId="5891"/>
    <cellStyle name="Assumption Heading. 6 2 3 6" xfId="5892"/>
    <cellStyle name="Assumption Heading. 6 2 3 7" xfId="5893"/>
    <cellStyle name="Assumption Heading. 6 2 3 8" xfId="5894"/>
    <cellStyle name="Assumption Heading. 6 2 3 9" xfId="5895"/>
    <cellStyle name="Assumption Heading. 6 2 4" xfId="5896"/>
    <cellStyle name="Assumption Heading. 6 2 5" xfId="5897"/>
    <cellStyle name="Assumption Heading. 6 2 6" xfId="5898"/>
    <cellStyle name="Assumption Heading. 6 2 7" xfId="5899"/>
    <cellStyle name="Assumption Heading. 6 2 8" xfId="5900"/>
    <cellStyle name="Assumption Heading. 6 2 9" xfId="5901"/>
    <cellStyle name="Assumption Heading. 6 3" xfId="5902"/>
    <cellStyle name="Assumption Heading. 6 3 10" xfId="5903"/>
    <cellStyle name="Assumption Heading. 6 3 2" xfId="5904"/>
    <cellStyle name="Assumption Heading. 6 3 2 10" xfId="5905"/>
    <cellStyle name="Assumption Heading. 6 3 2 2" xfId="5906"/>
    <cellStyle name="Assumption Heading. 6 3 2 3" xfId="5907"/>
    <cellStyle name="Assumption Heading. 6 3 2 4" xfId="5908"/>
    <cellStyle name="Assumption Heading. 6 3 2 5" xfId="5909"/>
    <cellStyle name="Assumption Heading. 6 3 2 6" xfId="5910"/>
    <cellStyle name="Assumption Heading. 6 3 2 7" xfId="5911"/>
    <cellStyle name="Assumption Heading. 6 3 2 8" xfId="5912"/>
    <cellStyle name="Assumption Heading. 6 3 2 9" xfId="5913"/>
    <cellStyle name="Assumption Heading. 6 3 3" xfId="5914"/>
    <cellStyle name="Assumption Heading. 6 3 4" xfId="5915"/>
    <cellStyle name="Assumption Heading. 6 3 5" xfId="5916"/>
    <cellStyle name="Assumption Heading. 6 3 6" xfId="5917"/>
    <cellStyle name="Assumption Heading. 6 3 7" xfId="5918"/>
    <cellStyle name="Assumption Heading. 6 3 8" xfId="5919"/>
    <cellStyle name="Assumption Heading. 6 3 9" xfId="5920"/>
    <cellStyle name="Assumption Heading. 6 4" xfId="5921"/>
    <cellStyle name="Assumption Heading. 6 4 10" xfId="5922"/>
    <cellStyle name="Assumption Heading. 6 4 2" xfId="5923"/>
    <cellStyle name="Assumption Heading. 6 4 3" xfId="5924"/>
    <cellStyle name="Assumption Heading. 6 4 4" xfId="5925"/>
    <cellStyle name="Assumption Heading. 6 4 5" xfId="5926"/>
    <cellStyle name="Assumption Heading. 6 4 6" xfId="5927"/>
    <cellStyle name="Assumption Heading. 6 4 7" xfId="5928"/>
    <cellStyle name="Assumption Heading. 6 4 8" xfId="5929"/>
    <cellStyle name="Assumption Heading. 6 4 9" xfId="5930"/>
    <cellStyle name="Assumption Heading. 6 5" xfId="5931"/>
    <cellStyle name="Assumption Heading. 6 6" xfId="5932"/>
    <cellStyle name="Assumption Heading. 6 7" xfId="5933"/>
    <cellStyle name="Assumption Heading. 6 8" xfId="5934"/>
    <cellStyle name="Assumption Heading. 6 9" xfId="5935"/>
    <cellStyle name="Assumption Heading. 7" xfId="5936"/>
    <cellStyle name="Assumption Heading. 7 10" xfId="5937"/>
    <cellStyle name="Assumption Heading. 7 11" xfId="5938"/>
    <cellStyle name="Assumption Heading. 7 12" xfId="5939"/>
    <cellStyle name="Assumption Heading. 7 13" xfId="5940"/>
    <cellStyle name="Assumption Heading. 7 2" xfId="5941"/>
    <cellStyle name="Assumption Heading. 7 2 10" xfId="5942"/>
    <cellStyle name="Assumption Heading. 7 2 11" xfId="5943"/>
    <cellStyle name="Assumption Heading. 7 2 12" xfId="5944"/>
    <cellStyle name="Assumption Heading. 7 2 2" xfId="5945"/>
    <cellStyle name="Assumption Heading. 7 2 2 10" xfId="5946"/>
    <cellStyle name="Assumption Heading. 7 2 2 2" xfId="5947"/>
    <cellStyle name="Assumption Heading. 7 2 2 2 10" xfId="5948"/>
    <cellStyle name="Assumption Heading. 7 2 2 2 2" xfId="5949"/>
    <cellStyle name="Assumption Heading. 7 2 2 2 3" xfId="5950"/>
    <cellStyle name="Assumption Heading. 7 2 2 2 4" xfId="5951"/>
    <cellStyle name="Assumption Heading. 7 2 2 2 5" xfId="5952"/>
    <cellStyle name="Assumption Heading. 7 2 2 2 6" xfId="5953"/>
    <cellStyle name="Assumption Heading. 7 2 2 2 7" xfId="5954"/>
    <cellStyle name="Assumption Heading. 7 2 2 2 8" xfId="5955"/>
    <cellStyle name="Assumption Heading. 7 2 2 2 9" xfId="5956"/>
    <cellStyle name="Assumption Heading. 7 2 2 3" xfId="5957"/>
    <cellStyle name="Assumption Heading. 7 2 2 4" xfId="5958"/>
    <cellStyle name="Assumption Heading. 7 2 2 5" xfId="5959"/>
    <cellStyle name="Assumption Heading. 7 2 2 6" xfId="5960"/>
    <cellStyle name="Assumption Heading. 7 2 2 7" xfId="5961"/>
    <cellStyle name="Assumption Heading. 7 2 2 8" xfId="5962"/>
    <cellStyle name="Assumption Heading. 7 2 2 9" xfId="5963"/>
    <cellStyle name="Assumption Heading. 7 2 3" xfId="5964"/>
    <cellStyle name="Assumption Heading. 7 2 3 10" xfId="5965"/>
    <cellStyle name="Assumption Heading. 7 2 3 2" xfId="5966"/>
    <cellStyle name="Assumption Heading. 7 2 3 3" xfId="5967"/>
    <cellStyle name="Assumption Heading. 7 2 3 4" xfId="5968"/>
    <cellStyle name="Assumption Heading. 7 2 3 5" xfId="5969"/>
    <cellStyle name="Assumption Heading. 7 2 3 6" xfId="5970"/>
    <cellStyle name="Assumption Heading. 7 2 3 7" xfId="5971"/>
    <cellStyle name="Assumption Heading. 7 2 3 8" xfId="5972"/>
    <cellStyle name="Assumption Heading. 7 2 3 9" xfId="5973"/>
    <cellStyle name="Assumption Heading. 7 2 4" xfId="5974"/>
    <cellStyle name="Assumption Heading. 7 2 5" xfId="5975"/>
    <cellStyle name="Assumption Heading. 7 2 6" xfId="5976"/>
    <cellStyle name="Assumption Heading. 7 2 7" xfId="5977"/>
    <cellStyle name="Assumption Heading. 7 2 8" xfId="5978"/>
    <cellStyle name="Assumption Heading. 7 2 9" xfId="5979"/>
    <cellStyle name="Assumption Heading. 7 3" xfId="5980"/>
    <cellStyle name="Assumption Heading. 7 3 10" xfId="5981"/>
    <cellStyle name="Assumption Heading. 7 3 2" xfId="5982"/>
    <cellStyle name="Assumption Heading. 7 3 2 10" xfId="5983"/>
    <cellStyle name="Assumption Heading. 7 3 2 2" xfId="5984"/>
    <cellStyle name="Assumption Heading. 7 3 2 3" xfId="5985"/>
    <cellStyle name="Assumption Heading. 7 3 2 4" xfId="5986"/>
    <cellStyle name="Assumption Heading. 7 3 2 5" xfId="5987"/>
    <cellStyle name="Assumption Heading. 7 3 2 6" xfId="5988"/>
    <cellStyle name="Assumption Heading. 7 3 2 7" xfId="5989"/>
    <cellStyle name="Assumption Heading. 7 3 2 8" xfId="5990"/>
    <cellStyle name="Assumption Heading. 7 3 2 9" xfId="5991"/>
    <cellStyle name="Assumption Heading. 7 3 3" xfId="5992"/>
    <cellStyle name="Assumption Heading. 7 3 4" xfId="5993"/>
    <cellStyle name="Assumption Heading. 7 3 5" xfId="5994"/>
    <cellStyle name="Assumption Heading. 7 3 6" xfId="5995"/>
    <cellStyle name="Assumption Heading. 7 3 7" xfId="5996"/>
    <cellStyle name="Assumption Heading. 7 3 8" xfId="5997"/>
    <cellStyle name="Assumption Heading. 7 3 9" xfId="5998"/>
    <cellStyle name="Assumption Heading. 7 4" xfId="5999"/>
    <cellStyle name="Assumption Heading. 7 4 10" xfId="6000"/>
    <cellStyle name="Assumption Heading. 7 4 2" xfId="6001"/>
    <cellStyle name="Assumption Heading. 7 4 3" xfId="6002"/>
    <cellStyle name="Assumption Heading. 7 4 4" xfId="6003"/>
    <cellStyle name="Assumption Heading. 7 4 5" xfId="6004"/>
    <cellStyle name="Assumption Heading. 7 4 6" xfId="6005"/>
    <cellStyle name="Assumption Heading. 7 4 7" xfId="6006"/>
    <cellStyle name="Assumption Heading. 7 4 8" xfId="6007"/>
    <cellStyle name="Assumption Heading. 7 4 9" xfId="6008"/>
    <cellStyle name="Assumption Heading. 7 5" xfId="6009"/>
    <cellStyle name="Assumption Heading. 7 6" xfId="6010"/>
    <cellStyle name="Assumption Heading. 7 7" xfId="6011"/>
    <cellStyle name="Assumption Heading. 7 8" xfId="6012"/>
    <cellStyle name="Assumption Heading. 7 9" xfId="6013"/>
    <cellStyle name="Assumption Heading. 8" xfId="6014"/>
    <cellStyle name="Assumption Heading. 8 10" xfId="6015"/>
    <cellStyle name="Assumption Heading. 8 11" xfId="6016"/>
    <cellStyle name="Assumption Heading. 8 12" xfId="6017"/>
    <cellStyle name="Assumption Heading. 8 13" xfId="6018"/>
    <cellStyle name="Assumption Heading. 8 2" xfId="6019"/>
    <cellStyle name="Assumption Heading. 8 2 10" xfId="6020"/>
    <cellStyle name="Assumption Heading. 8 2 11" xfId="6021"/>
    <cellStyle name="Assumption Heading. 8 2 12" xfId="6022"/>
    <cellStyle name="Assumption Heading. 8 2 2" xfId="6023"/>
    <cellStyle name="Assumption Heading. 8 2 2 10" xfId="6024"/>
    <cellStyle name="Assumption Heading. 8 2 2 2" xfId="6025"/>
    <cellStyle name="Assumption Heading. 8 2 2 2 10" xfId="6026"/>
    <cellStyle name="Assumption Heading. 8 2 2 2 2" xfId="6027"/>
    <cellStyle name="Assumption Heading. 8 2 2 2 3" xfId="6028"/>
    <cellStyle name="Assumption Heading. 8 2 2 2 4" xfId="6029"/>
    <cellStyle name="Assumption Heading. 8 2 2 2 5" xfId="6030"/>
    <cellStyle name="Assumption Heading. 8 2 2 2 6" xfId="6031"/>
    <cellStyle name="Assumption Heading. 8 2 2 2 7" xfId="6032"/>
    <cellStyle name="Assumption Heading. 8 2 2 2 8" xfId="6033"/>
    <cellStyle name="Assumption Heading. 8 2 2 2 9" xfId="6034"/>
    <cellStyle name="Assumption Heading. 8 2 2 3" xfId="6035"/>
    <cellStyle name="Assumption Heading. 8 2 2 4" xfId="6036"/>
    <cellStyle name="Assumption Heading. 8 2 2 5" xfId="6037"/>
    <cellStyle name="Assumption Heading. 8 2 2 6" xfId="6038"/>
    <cellStyle name="Assumption Heading. 8 2 2 7" xfId="6039"/>
    <cellStyle name="Assumption Heading. 8 2 2 8" xfId="6040"/>
    <cellStyle name="Assumption Heading. 8 2 2 9" xfId="6041"/>
    <cellStyle name="Assumption Heading. 8 2 3" xfId="6042"/>
    <cellStyle name="Assumption Heading. 8 2 3 10" xfId="6043"/>
    <cellStyle name="Assumption Heading. 8 2 3 2" xfId="6044"/>
    <cellStyle name="Assumption Heading. 8 2 3 3" xfId="6045"/>
    <cellStyle name="Assumption Heading. 8 2 3 4" xfId="6046"/>
    <cellStyle name="Assumption Heading. 8 2 3 5" xfId="6047"/>
    <cellStyle name="Assumption Heading. 8 2 3 6" xfId="6048"/>
    <cellStyle name="Assumption Heading. 8 2 3 7" xfId="6049"/>
    <cellStyle name="Assumption Heading. 8 2 3 8" xfId="6050"/>
    <cellStyle name="Assumption Heading. 8 2 3 9" xfId="6051"/>
    <cellStyle name="Assumption Heading. 8 2 4" xfId="6052"/>
    <cellStyle name="Assumption Heading. 8 2 5" xfId="6053"/>
    <cellStyle name="Assumption Heading. 8 2 6" xfId="6054"/>
    <cellStyle name="Assumption Heading. 8 2 7" xfId="6055"/>
    <cellStyle name="Assumption Heading. 8 2 8" xfId="6056"/>
    <cellStyle name="Assumption Heading. 8 2 9" xfId="6057"/>
    <cellStyle name="Assumption Heading. 8 3" xfId="6058"/>
    <cellStyle name="Assumption Heading. 8 3 10" xfId="6059"/>
    <cellStyle name="Assumption Heading. 8 3 2" xfId="6060"/>
    <cellStyle name="Assumption Heading. 8 3 2 10" xfId="6061"/>
    <cellStyle name="Assumption Heading. 8 3 2 2" xfId="6062"/>
    <cellStyle name="Assumption Heading. 8 3 2 3" xfId="6063"/>
    <cellStyle name="Assumption Heading. 8 3 2 4" xfId="6064"/>
    <cellStyle name="Assumption Heading. 8 3 2 5" xfId="6065"/>
    <cellStyle name="Assumption Heading. 8 3 2 6" xfId="6066"/>
    <cellStyle name="Assumption Heading. 8 3 2 7" xfId="6067"/>
    <cellStyle name="Assumption Heading. 8 3 2 8" xfId="6068"/>
    <cellStyle name="Assumption Heading. 8 3 2 9" xfId="6069"/>
    <cellStyle name="Assumption Heading. 8 3 3" xfId="6070"/>
    <cellStyle name="Assumption Heading. 8 3 4" xfId="6071"/>
    <cellStyle name="Assumption Heading. 8 3 5" xfId="6072"/>
    <cellStyle name="Assumption Heading. 8 3 6" xfId="6073"/>
    <cellStyle name="Assumption Heading. 8 3 7" xfId="6074"/>
    <cellStyle name="Assumption Heading. 8 3 8" xfId="6075"/>
    <cellStyle name="Assumption Heading. 8 3 9" xfId="6076"/>
    <cellStyle name="Assumption Heading. 8 4" xfId="6077"/>
    <cellStyle name="Assumption Heading. 8 4 10" xfId="6078"/>
    <cellStyle name="Assumption Heading. 8 4 2" xfId="6079"/>
    <cellStyle name="Assumption Heading. 8 4 3" xfId="6080"/>
    <cellStyle name="Assumption Heading. 8 4 4" xfId="6081"/>
    <cellStyle name="Assumption Heading. 8 4 5" xfId="6082"/>
    <cellStyle name="Assumption Heading. 8 4 6" xfId="6083"/>
    <cellStyle name="Assumption Heading. 8 4 7" xfId="6084"/>
    <cellStyle name="Assumption Heading. 8 4 8" xfId="6085"/>
    <cellStyle name="Assumption Heading. 8 4 9" xfId="6086"/>
    <cellStyle name="Assumption Heading. 8 5" xfId="6087"/>
    <cellStyle name="Assumption Heading. 8 6" xfId="6088"/>
    <cellStyle name="Assumption Heading. 8 7" xfId="6089"/>
    <cellStyle name="Assumption Heading. 8 8" xfId="6090"/>
    <cellStyle name="Assumption Heading. 8 9" xfId="6091"/>
    <cellStyle name="Assumption Heading. 9" xfId="6092"/>
    <cellStyle name="Assumption Heading. 9 10" xfId="6093"/>
    <cellStyle name="Assumption Heading. 9 11" xfId="6094"/>
    <cellStyle name="Assumption Heading. 9 12" xfId="6095"/>
    <cellStyle name="Assumption Heading. 9 13" xfId="6096"/>
    <cellStyle name="Assumption Heading. 9 2" xfId="6097"/>
    <cellStyle name="Assumption Heading. 9 2 10" xfId="6098"/>
    <cellStyle name="Assumption Heading. 9 2 11" xfId="6099"/>
    <cellStyle name="Assumption Heading. 9 2 12" xfId="6100"/>
    <cellStyle name="Assumption Heading. 9 2 2" xfId="6101"/>
    <cellStyle name="Assumption Heading. 9 2 2 10" xfId="6102"/>
    <cellStyle name="Assumption Heading. 9 2 2 2" xfId="6103"/>
    <cellStyle name="Assumption Heading. 9 2 2 2 10" xfId="6104"/>
    <cellStyle name="Assumption Heading. 9 2 2 2 2" xfId="6105"/>
    <cellStyle name="Assumption Heading. 9 2 2 2 3" xfId="6106"/>
    <cellStyle name="Assumption Heading. 9 2 2 2 4" xfId="6107"/>
    <cellStyle name="Assumption Heading. 9 2 2 2 5" xfId="6108"/>
    <cellStyle name="Assumption Heading. 9 2 2 2 6" xfId="6109"/>
    <cellStyle name="Assumption Heading. 9 2 2 2 7" xfId="6110"/>
    <cellStyle name="Assumption Heading. 9 2 2 2 8" xfId="6111"/>
    <cellStyle name="Assumption Heading. 9 2 2 2 9" xfId="6112"/>
    <cellStyle name="Assumption Heading. 9 2 2 3" xfId="6113"/>
    <cellStyle name="Assumption Heading. 9 2 2 4" xfId="6114"/>
    <cellStyle name="Assumption Heading. 9 2 2 5" xfId="6115"/>
    <cellStyle name="Assumption Heading. 9 2 2 6" xfId="6116"/>
    <cellStyle name="Assumption Heading. 9 2 2 7" xfId="6117"/>
    <cellStyle name="Assumption Heading. 9 2 2 8" xfId="6118"/>
    <cellStyle name="Assumption Heading. 9 2 2 9" xfId="6119"/>
    <cellStyle name="Assumption Heading. 9 2 3" xfId="6120"/>
    <cellStyle name="Assumption Heading. 9 2 3 10" xfId="6121"/>
    <cellStyle name="Assumption Heading. 9 2 3 2" xfId="6122"/>
    <cellStyle name="Assumption Heading. 9 2 3 3" xfId="6123"/>
    <cellStyle name="Assumption Heading. 9 2 3 4" xfId="6124"/>
    <cellStyle name="Assumption Heading. 9 2 3 5" xfId="6125"/>
    <cellStyle name="Assumption Heading. 9 2 3 6" xfId="6126"/>
    <cellStyle name="Assumption Heading. 9 2 3 7" xfId="6127"/>
    <cellStyle name="Assumption Heading. 9 2 3 8" xfId="6128"/>
    <cellStyle name="Assumption Heading. 9 2 3 9" xfId="6129"/>
    <cellStyle name="Assumption Heading. 9 2 4" xfId="6130"/>
    <cellStyle name="Assumption Heading. 9 2 5" xfId="6131"/>
    <cellStyle name="Assumption Heading. 9 2 6" xfId="6132"/>
    <cellStyle name="Assumption Heading. 9 2 7" xfId="6133"/>
    <cellStyle name="Assumption Heading. 9 2 8" xfId="6134"/>
    <cellStyle name="Assumption Heading. 9 2 9" xfId="6135"/>
    <cellStyle name="Assumption Heading. 9 3" xfId="6136"/>
    <cellStyle name="Assumption Heading. 9 3 10" xfId="6137"/>
    <cellStyle name="Assumption Heading. 9 3 2" xfId="6138"/>
    <cellStyle name="Assumption Heading. 9 3 2 10" xfId="6139"/>
    <cellStyle name="Assumption Heading. 9 3 2 2" xfId="6140"/>
    <cellStyle name="Assumption Heading. 9 3 2 3" xfId="6141"/>
    <cellStyle name="Assumption Heading. 9 3 2 4" xfId="6142"/>
    <cellStyle name="Assumption Heading. 9 3 2 5" xfId="6143"/>
    <cellStyle name="Assumption Heading. 9 3 2 6" xfId="6144"/>
    <cellStyle name="Assumption Heading. 9 3 2 7" xfId="6145"/>
    <cellStyle name="Assumption Heading. 9 3 2 8" xfId="6146"/>
    <cellStyle name="Assumption Heading. 9 3 2 9" xfId="6147"/>
    <cellStyle name="Assumption Heading. 9 3 3" xfId="6148"/>
    <cellStyle name="Assumption Heading. 9 3 4" xfId="6149"/>
    <cellStyle name="Assumption Heading. 9 3 5" xfId="6150"/>
    <cellStyle name="Assumption Heading. 9 3 6" xfId="6151"/>
    <cellStyle name="Assumption Heading. 9 3 7" xfId="6152"/>
    <cellStyle name="Assumption Heading. 9 3 8" xfId="6153"/>
    <cellStyle name="Assumption Heading. 9 3 9" xfId="6154"/>
    <cellStyle name="Assumption Heading. 9 4" xfId="6155"/>
    <cellStyle name="Assumption Heading. 9 4 10" xfId="6156"/>
    <cellStyle name="Assumption Heading. 9 4 2" xfId="6157"/>
    <cellStyle name="Assumption Heading. 9 4 3" xfId="6158"/>
    <cellStyle name="Assumption Heading. 9 4 4" xfId="6159"/>
    <cellStyle name="Assumption Heading. 9 4 5" xfId="6160"/>
    <cellStyle name="Assumption Heading. 9 4 6" xfId="6161"/>
    <cellStyle name="Assumption Heading. 9 4 7" xfId="6162"/>
    <cellStyle name="Assumption Heading. 9 4 8" xfId="6163"/>
    <cellStyle name="Assumption Heading. 9 4 9" xfId="6164"/>
    <cellStyle name="Assumption Heading. 9 5" xfId="6165"/>
    <cellStyle name="Assumption Heading. 9 6" xfId="6166"/>
    <cellStyle name="Assumption Heading. 9 7" xfId="6167"/>
    <cellStyle name="Assumption Heading. 9 8" xfId="6168"/>
    <cellStyle name="Assumption Heading. 9 9" xfId="6169"/>
    <cellStyle name="Assumption Multiple." xfId="6170"/>
    <cellStyle name="Assumption Multiple. 10" xfId="6171"/>
    <cellStyle name="Assumption Multiple. 10 10" xfId="6172"/>
    <cellStyle name="Assumption Multiple. 10 11" xfId="6173"/>
    <cellStyle name="Assumption Multiple. 10 12" xfId="6174"/>
    <cellStyle name="Assumption Multiple. 10 13" xfId="6175"/>
    <cellStyle name="Assumption Multiple. 10 2" xfId="6176"/>
    <cellStyle name="Assumption Multiple. 10 2 10" xfId="6177"/>
    <cellStyle name="Assumption Multiple. 10 2 11" xfId="6178"/>
    <cellStyle name="Assumption Multiple. 10 2 12" xfId="6179"/>
    <cellStyle name="Assumption Multiple. 10 2 2" xfId="6180"/>
    <cellStyle name="Assumption Multiple. 10 2 2 10" xfId="6181"/>
    <cellStyle name="Assumption Multiple. 10 2 2 2" xfId="6182"/>
    <cellStyle name="Assumption Multiple. 10 2 2 2 10" xfId="6183"/>
    <cellStyle name="Assumption Multiple. 10 2 2 2 2" xfId="6184"/>
    <cellStyle name="Assumption Multiple. 10 2 2 2 3" xfId="6185"/>
    <cellStyle name="Assumption Multiple. 10 2 2 2 4" xfId="6186"/>
    <cellStyle name="Assumption Multiple. 10 2 2 2 5" xfId="6187"/>
    <cellStyle name="Assumption Multiple. 10 2 2 2 6" xfId="6188"/>
    <cellStyle name="Assumption Multiple. 10 2 2 2 7" xfId="6189"/>
    <cellStyle name="Assumption Multiple. 10 2 2 2 8" xfId="6190"/>
    <cellStyle name="Assumption Multiple. 10 2 2 2 9" xfId="6191"/>
    <cellStyle name="Assumption Multiple. 10 2 2 3" xfId="6192"/>
    <cellStyle name="Assumption Multiple. 10 2 2 4" xfId="6193"/>
    <cellStyle name="Assumption Multiple. 10 2 2 5" xfId="6194"/>
    <cellStyle name="Assumption Multiple. 10 2 2 6" xfId="6195"/>
    <cellStyle name="Assumption Multiple. 10 2 2 7" xfId="6196"/>
    <cellStyle name="Assumption Multiple. 10 2 2 8" xfId="6197"/>
    <cellStyle name="Assumption Multiple. 10 2 2 9" xfId="6198"/>
    <cellStyle name="Assumption Multiple. 10 2 3" xfId="6199"/>
    <cellStyle name="Assumption Multiple. 10 2 3 10" xfId="6200"/>
    <cellStyle name="Assumption Multiple. 10 2 3 2" xfId="6201"/>
    <cellStyle name="Assumption Multiple. 10 2 3 3" xfId="6202"/>
    <cellStyle name="Assumption Multiple. 10 2 3 4" xfId="6203"/>
    <cellStyle name="Assumption Multiple. 10 2 3 5" xfId="6204"/>
    <cellStyle name="Assumption Multiple. 10 2 3 6" xfId="6205"/>
    <cellStyle name="Assumption Multiple. 10 2 3 7" xfId="6206"/>
    <cellStyle name="Assumption Multiple. 10 2 3 8" xfId="6207"/>
    <cellStyle name="Assumption Multiple. 10 2 3 9" xfId="6208"/>
    <cellStyle name="Assumption Multiple. 10 2 4" xfId="6209"/>
    <cellStyle name="Assumption Multiple. 10 2 5" xfId="6210"/>
    <cellStyle name="Assumption Multiple. 10 2 6" xfId="6211"/>
    <cellStyle name="Assumption Multiple. 10 2 7" xfId="6212"/>
    <cellStyle name="Assumption Multiple. 10 2 8" xfId="6213"/>
    <cellStyle name="Assumption Multiple. 10 2 9" xfId="6214"/>
    <cellStyle name="Assumption Multiple. 10 3" xfId="6215"/>
    <cellStyle name="Assumption Multiple. 10 3 10" xfId="6216"/>
    <cellStyle name="Assumption Multiple. 10 3 2" xfId="6217"/>
    <cellStyle name="Assumption Multiple. 10 3 2 10" xfId="6218"/>
    <cellStyle name="Assumption Multiple. 10 3 2 2" xfId="6219"/>
    <cellStyle name="Assumption Multiple. 10 3 2 3" xfId="6220"/>
    <cellStyle name="Assumption Multiple. 10 3 2 4" xfId="6221"/>
    <cellStyle name="Assumption Multiple. 10 3 2 5" xfId="6222"/>
    <cellStyle name="Assumption Multiple. 10 3 2 6" xfId="6223"/>
    <cellStyle name="Assumption Multiple. 10 3 2 7" xfId="6224"/>
    <cellStyle name="Assumption Multiple. 10 3 2 8" xfId="6225"/>
    <cellStyle name="Assumption Multiple. 10 3 2 9" xfId="6226"/>
    <cellStyle name="Assumption Multiple. 10 3 3" xfId="6227"/>
    <cellStyle name="Assumption Multiple. 10 3 4" xfId="6228"/>
    <cellStyle name="Assumption Multiple. 10 3 5" xfId="6229"/>
    <cellStyle name="Assumption Multiple. 10 3 6" xfId="6230"/>
    <cellStyle name="Assumption Multiple. 10 3 7" xfId="6231"/>
    <cellStyle name="Assumption Multiple. 10 3 8" xfId="6232"/>
    <cellStyle name="Assumption Multiple. 10 3 9" xfId="6233"/>
    <cellStyle name="Assumption Multiple. 10 4" xfId="6234"/>
    <cellStyle name="Assumption Multiple. 10 4 10" xfId="6235"/>
    <cellStyle name="Assumption Multiple. 10 4 2" xfId="6236"/>
    <cellStyle name="Assumption Multiple. 10 4 3" xfId="6237"/>
    <cellStyle name="Assumption Multiple. 10 4 4" xfId="6238"/>
    <cellStyle name="Assumption Multiple. 10 4 5" xfId="6239"/>
    <cellStyle name="Assumption Multiple. 10 4 6" xfId="6240"/>
    <cellStyle name="Assumption Multiple. 10 4 7" xfId="6241"/>
    <cellStyle name="Assumption Multiple. 10 4 8" xfId="6242"/>
    <cellStyle name="Assumption Multiple. 10 4 9" xfId="6243"/>
    <cellStyle name="Assumption Multiple. 10 5" xfId="6244"/>
    <cellStyle name="Assumption Multiple. 10 6" xfId="6245"/>
    <cellStyle name="Assumption Multiple. 10 7" xfId="6246"/>
    <cellStyle name="Assumption Multiple. 10 8" xfId="6247"/>
    <cellStyle name="Assumption Multiple. 10 9" xfId="6248"/>
    <cellStyle name="Assumption Multiple. 11" xfId="6249"/>
    <cellStyle name="Assumption Multiple. 11 10" xfId="6250"/>
    <cellStyle name="Assumption Multiple. 11 11" xfId="6251"/>
    <cellStyle name="Assumption Multiple. 11 12" xfId="6252"/>
    <cellStyle name="Assumption Multiple. 11 2" xfId="6253"/>
    <cellStyle name="Assumption Multiple. 11 2 10" xfId="6254"/>
    <cellStyle name="Assumption Multiple. 11 2 2" xfId="6255"/>
    <cellStyle name="Assumption Multiple. 11 2 2 10" xfId="6256"/>
    <cellStyle name="Assumption Multiple. 11 2 2 2" xfId="6257"/>
    <cellStyle name="Assumption Multiple. 11 2 2 3" xfId="6258"/>
    <cellStyle name="Assumption Multiple. 11 2 2 4" xfId="6259"/>
    <cellStyle name="Assumption Multiple. 11 2 2 5" xfId="6260"/>
    <cellStyle name="Assumption Multiple. 11 2 2 6" xfId="6261"/>
    <cellStyle name="Assumption Multiple. 11 2 2 7" xfId="6262"/>
    <cellStyle name="Assumption Multiple. 11 2 2 8" xfId="6263"/>
    <cellStyle name="Assumption Multiple. 11 2 2 9" xfId="6264"/>
    <cellStyle name="Assumption Multiple. 11 2 3" xfId="6265"/>
    <cellStyle name="Assumption Multiple. 11 2 4" xfId="6266"/>
    <cellStyle name="Assumption Multiple. 11 2 5" xfId="6267"/>
    <cellStyle name="Assumption Multiple. 11 2 6" xfId="6268"/>
    <cellStyle name="Assumption Multiple. 11 2 7" xfId="6269"/>
    <cellStyle name="Assumption Multiple. 11 2 8" xfId="6270"/>
    <cellStyle name="Assumption Multiple. 11 2 9" xfId="6271"/>
    <cellStyle name="Assumption Multiple. 11 3" xfId="6272"/>
    <cellStyle name="Assumption Multiple. 11 3 10" xfId="6273"/>
    <cellStyle name="Assumption Multiple. 11 3 2" xfId="6274"/>
    <cellStyle name="Assumption Multiple. 11 3 3" xfId="6275"/>
    <cellStyle name="Assumption Multiple. 11 3 4" xfId="6276"/>
    <cellStyle name="Assumption Multiple. 11 3 5" xfId="6277"/>
    <cellStyle name="Assumption Multiple. 11 3 6" xfId="6278"/>
    <cellStyle name="Assumption Multiple. 11 3 7" xfId="6279"/>
    <cellStyle name="Assumption Multiple. 11 3 8" xfId="6280"/>
    <cellStyle name="Assumption Multiple. 11 3 9" xfId="6281"/>
    <cellStyle name="Assumption Multiple. 11 4" xfId="6282"/>
    <cellStyle name="Assumption Multiple. 11 5" xfId="6283"/>
    <cellStyle name="Assumption Multiple. 11 6" xfId="6284"/>
    <cellStyle name="Assumption Multiple. 11 7" xfId="6285"/>
    <cellStyle name="Assumption Multiple. 11 8" xfId="6286"/>
    <cellStyle name="Assumption Multiple. 11 9" xfId="6287"/>
    <cellStyle name="Assumption Multiple. 12" xfId="6288"/>
    <cellStyle name="Assumption Multiple. 12 10" xfId="6289"/>
    <cellStyle name="Assumption Multiple. 12 11" xfId="6290"/>
    <cellStyle name="Assumption Multiple. 12 12" xfId="6291"/>
    <cellStyle name="Assumption Multiple. 12 2" xfId="6292"/>
    <cellStyle name="Assumption Multiple. 12 2 10" xfId="6293"/>
    <cellStyle name="Assumption Multiple. 12 2 2" xfId="6294"/>
    <cellStyle name="Assumption Multiple. 12 2 2 10" xfId="6295"/>
    <cellStyle name="Assumption Multiple. 12 2 2 2" xfId="6296"/>
    <cellStyle name="Assumption Multiple. 12 2 2 3" xfId="6297"/>
    <cellStyle name="Assumption Multiple. 12 2 2 4" xfId="6298"/>
    <cellStyle name="Assumption Multiple. 12 2 2 5" xfId="6299"/>
    <cellStyle name="Assumption Multiple. 12 2 2 6" xfId="6300"/>
    <cellStyle name="Assumption Multiple. 12 2 2 7" xfId="6301"/>
    <cellStyle name="Assumption Multiple. 12 2 2 8" xfId="6302"/>
    <cellStyle name="Assumption Multiple. 12 2 2 9" xfId="6303"/>
    <cellStyle name="Assumption Multiple. 12 2 3" xfId="6304"/>
    <cellStyle name="Assumption Multiple. 12 2 4" xfId="6305"/>
    <cellStyle name="Assumption Multiple. 12 2 5" xfId="6306"/>
    <cellStyle name="Assumption Multiple. 12 2 6" xfId="6307"/>
    <cellStyle name="Assumption Multiple. 12 2 7" xfId="6308"/>
    <cellStyle name="Assumption Multiple. 12 2 8" xfId="6309"/>
    <cellStyle name="Assumption Multiple. 12 2 9" xfId="6310"/>
    <cellStyle name="Assumption Multiple. 12 3" xfId="6311"/>
    <cellStyle name="Assumption Multiple. 12 3 10" xfId="6312"/>
    <cellStyle name="Assumption Multiple. 12 3 2" xfId="6313"/>
    <cellStyle name="Assumption Multiple. 12 3 3" xfId="6314"/>
    <cellStyle name="Assumption Multiple. 12 3 4" xfId="6315"/>
    <cellStyle name="Assumption Multiple. 12 3 5" xfId="6316"/>
    <cellStyle name="Assumption Multiple. 12 3 6" xfId="6317"/>
    <cellStyle name="Assumption Multiple. 12 3 7" xfId="6318"/>
    <cellStyle name="Assumption Multiple. 12 3 8" xfId="6319"/>
    <cellStyle name="Assumption Multiple. 12 3 9" xfId="6320"/>
    <cellStyle name="Assumption Multiple. 12 4" xfId="6321"/>
    <cellStyle name="Assumption Multiple. 12 5" xfId="6322"/>
    <cellStyle name="Assumption Multiple. 12 6" xfId="6323"/>
    <cellStyle name="Assumption Multiple. 12 7" xfId="6324"/>
    <cellStyle name="Assumption Multiple. 12 8" xfId="6325"/>
    <cellStyle name="Assumption Multiple. 12 9" xfId="6326"/>
    <cellStyle name="Assumption Multiple. 13" xfId="6327"/>
    <cellStyle name="Assumption Multiple. 13 10" xfId="6328"/>
    <cellStyle name="Assumption Multiple. 13 2" xfId="6329"/>
    <cellStyle name="Assumption Multiple. 13 2 10" xfId="6330"/>
    <cellStyle name="Assumption Multiple. 13 2 2" xfId="6331"/>
    <cellStyle name="Assumption Multiple. 13 2 3" xfId="6332"/>
    <cellStyle name="Assumption Multiple. 13 2 4" xfId="6333"/>
    <cellStyle name="Assumption Multiple. 13 2 5" xfId="6334"/>
    <cellStyle name="Assumption Multiple. 13 2 6" xfId="6335"/>
    <cellStyle name="Assumption Multiple. 13 2 7" xfId="6336"/>
    <cellStyle name="Assumption Multiple. 13 2 8" xfId="6337"/>
    <cellStyle name="Assumption Multiple. 13 2 9" xfId="6338"/>
    <cellStyle name="Assumption Multiple. 13 3" xfId="6339"/>
    <cellStyle name="Assumption Multiple. 13 4" xfId="6340"/>
    <cellStyle name="Assumption Multiple. 13 5" xfId="6341"/>
    <cellStyle name="Assumption Multiple. 13 6" xfId="6342"/>
    <cellStyle name="Assumption Multiple. 13 7" xfId="6343"/>
    <cellStyle name="Assumption Multiple. 13 8" xfId="6344"/>
    <cellStyle name="Assumption Multiple. 13 9" xfId="6345"/>
    <cellStyle name="Assumption Multiple. 14" xfId="6346"/>
    <cellStyle name="Assumption Multiple. 14 10" xfId="6347"/>
    <cellStyle name="Assumption Multiple. 14 2" xfId="6348"/>
    <cellStyle name="Assumption Multiple. 14 3" xfId="6349"/>
    <cellStyle name="Assumption Multiple. 14 4" xfId="6350"/>
    <cellStyle name="Assumption Multiple. 14 5" xfId="6351"/>
    <cellStyle name="Assumption Multiple. 14 6" xfId="6352"/>
    <cellStyle name="Assumption Multiple. 14 7" xfId="6353"/>
    <cellStyle name="Assumption Multiple. 14 8" xfId="6354"/>
    <cellStyle name="Assumption Multiple. 14 9" xfId="6355"/>
    <cellStyle name="Assumption Multiple. 15" xfId="6356"/>
    <cellStyle name="Assumption Multiple. 16" xfId="6357"/>
    <cellStyle name="Assumption Multiple. 17" xfId="6358"/>
    <cellStyle name="Assumption Multiple. 18" xfId="6359"/>
    <cellStyle name="Assumption Multiple. 2" xfId="6360"/>
    <cellStyle name="Assumption Multiple. 2 10" xfId="6361"/>
    <cellStyle name="Assumption Multiple. 2 10 10" xfId="6362"/>
    <cellStyle name="Assumption Multiple. 2 10 2" xfId="6363"/>
    <cellStyle name="Assumption Multiple. 2 10 3" xfId="6364"/>
    <cellStyle name="Assumption Multiple. 2 10 4" xfId="6365"/>
    <cellStyle name="Assumption Multiple. 2 10 5" xfId="6366"/>
    <cellStyle name="Assumption Multiple. 2 10 6" xfId="6367"/>
    <cellStyle name="Assumption Multiple. 2 10 7" xfId="6368"/>
    <cellStyle name="Assumption Multiple. 2 10 8" xfId="6369"/>
    <cellStyle name="Assumption Multiple. 2 10 9" xfId="6370"/>
    <cellStyle name="Assumption Multiple. 2 11" xfId="6371"/>
    <cellStyle name="Assumption Multiple. 2 12" xfId="6372"/>
    <cellStyle name="Assumption Multiple. 2 13" xfId="6373"/>
    <cellStyle name="Assumption Multiple. 2 14" xfId="6374"/>
    <cellStyle name="Assumption Multiple. 2 15" xfId="6375"/>
    <cellStyle name="Assumption Multiple. 2 16" xfId="6376"/>
    <cellStyle name="Assumption Multiple. 2 17" xfId="6377"/>
    <cellStyle name="Assumption Multiple. 2 18" xfId="6378"/>
    <cellStyle name="Assumption Multiple. 2 19" xfId="6379"/>
    <cellStyle name="Assumption Multiple. 2 2" xfId="6380"/>
    <cellStyle name="Assumption Multiple. 2 2 10" xfId="6381"/>
    <cellStyle name="Assumption Multiple. 2 2 11" xfId="6382"/>
    <cellStyle name="Assumption Multiple. 2 2 12" xfId="6383"/>
    <cellStyle name="Assumption Multiple. 2 2 13" xfId="6384"/>
    <cellStyle name="Assumption Multiple. 2 2 14" xfId="6385"/>
    <cellStyle name="Assumption Multiple. 2 2 15" xfId="6386"/>
    <cellStyle name="Assumption Multiple. 2 2 16" xfId="6387"/>
    <cellStyle name="Assumption Multiple. 2 2 17" xfId="6388"/>
    <cellStyle name="Assumption Multiple. 2 2 18" xfId="6389"/>
    <cellStyle name="Assumption Multiple. 2 2 2" xfId="6390"/>
    <cellStyle name="Assumption Multiple. 2 2 2 10" xfId="6391"/>
    <cellStyle name="Assumption Multiple. 2 2 2 11" xfId="6392"/>
    <cellStyle name="Assumption Multiple. 2 2 2 12" xfId="6393"/>
    <cellStyle name="Assumption Multiple. 2 2 2 13" xfId="6394"/>
    <cellStyle name="Assumption Multiple. 2 2 2 14" xfId="6395"/>
    <cellStyle name="Assumption Multiple. 2 2 2 2" xfId="6396"/>
    <cellStyle name="Assumption Multiple. 2 2 2 2 10" xfId="6397"/>
    <cellStyle name="Assumption Multiple. 2 2 2 2 11" xfId="6398"/>
    <cellStyle name="Assumption Multiple. 2 2 2 2 12" xfId="6399"/>
    <cellStyle name="Assumption Multiple. 2 2 2 2 13" xfId="6400"/>
    <cellStyle name="Assumption Multiple. 2 2 2 2 2" xfId="6401"/>
    <cellStyle name="Assumption Multiple. 2 2 2 2 2 10" xfId="6402"/>
    <cellStyle name="Assumption Multiple. 2 2 2 2 2 11" xfId="6403"/>
    <cellStyle name="Assumption Multiple. 2 2 2 2 2 12" xfId="6404"/>
    <cellStyle name="Assumption Multiple. 2 2 2 2 2 2" xfId="6405"/>
    <cellStyle name="Assumption Multiple. 2 2 2 2 2 2 10" xfId="6406"/>
    <cellStyle name="Assumption Multiple. 2 2 2 2 2 2 2" xfId="6407"/>
    <cellStyle name="Assumption Multiple. 2 2 2 2 2 2 2 10" xfId="6408"/>
    <cellStyle name="Assumption Multiple. 2 2 2 2 2 2 2 2" xfId="6409"/>
    <cellStyle name="Assumption Multiple. 2 2 2 2 2 2 2 3" xfId="6410"/>
    <cellStyle name="Assumption Multiple. 2 2 2 2 2 2 2 4" xfId="6411"/>
    <cellStyle name="Assumption Multiple. 2 2 2 2 2 2 2 5" xfId="6412"/>
    <cellStyle name="Assumption Multiple. 2 2 2 2 2 2 2 6" xfId="6413"/>
    <cellStyle name="Assumption Multiple. 2 2 2 2 2 2 2 7" xfId="6414"/>
    <cellStyle name="Assumption Multiple. 2 2 2 2 2 2 2 8" xfId="6415"/>
    <cellStyle name="Assumption Multiple. 2 2 2 2 2 2 2 9" xfId="6416"/>
    <cellStyle name="Assumption Multiple. 2 2 2 2 2 2 3" xfId="6417"/>
    <cellStyle name="Assumption Multiple. 2 2 2 2 2 2 4" xfId="6418"/>
    <cellStyle name="Assumption Multiple. 2 2 2 2 2 2 5" xfId="6419"/>
    <cellStyle name="Assumption Multiple. 2 2 2 2 2 2 6" xfId="6420"/>
    <cellStyle name="Assumption Multiple. 2 2 2 2 2 2 7" xfId="6421"/>
    <cellStyle name="Assumption Multiple. 2 2 2 2 2 2 8" xfId="6422"/>
    <cellStyle name="Assumption Multiple. 2 2 2 2 2 2 9" xfId="6423"/>
    <cellStyle name="Assumption Multiple. 2 2 2 2 2 3" xfId="6424"/>
    <cellStyle name="Assumption Multiple. 2 2 2 2 2 3 10" xfId="6425"/>
    <cellStyle name="Assumption Multiple. 2 2 2 2 2 3 2" xfId="6426"/>
    <cellStyle name="Assumption Multiple. 2 2 2 2 2 3 3" xfId="6427"/>
    <cellStyle name="Assumption Multiple. 2 2 2 2 2 3 4" xfId="6428"/>
    <cellStyle name="Assumption Multiple. 2 2 2 2 2 3 5" xfId="6429"/>
    <cellStyle name="Assumption Multiple. 2 2 2 2 2 3 6" xfId="6430"/>
    <cellStyle name="Assumption Multiple. 2 2 2 2 2 3 7" xfId="6431"/>
    <cellStyle name="Assumption Multiple. 2 2 2 2 2 3 8" xfId="6432"/>
    <cellStyle name="Assumption Multiple. 2 2 2 2 2 3 9" xfId="6433"/>
    <cellStyle name="Assumption Multiple. 2 2 2 2 2 4" xfId="6434"/>
    <cellStyle name="Assumption Multiple. 2 2 2 2 2 5" xfId="6435"/>
    <cellStyle name="Assumption Multiple. 2 2 2 2 2 6" xfId="6436"/>
    <cellStyle name="Assumption Multiple. 2 2 2 2 2 7" xfId="6437"/>
    <cellStyle name="Assumption Multiple. 2 2 2 2 2 8" xfId="6438"/>
    <cellStyle name="Assumption Multiple. 2 2 2 2 2 9" xfId="6439"/>
    <cellStyle name="Assumption Multiple. 2 2 2 2 3" xfId="6440"/>
    <cellStyle name="Assumption Multiple. 2 2 2 2 3 10" xfId="6441"/>
    <cellStyle name="Assumption Multiple. 2 2 2 2 3 2" xfId="6442"/>
    <cellStyle name="Assumption Multiple. 2 2 2 2 3 2 10" xfId="6443"/>
    <cellStyle name="Assumption Multiple. 2 2 2 2 3 2 2" xfId="6444"/>
    <cellStyle name="Assumption Multiple. 2 2 2 2 3 2 3" xfId="6445"/>
    <cellStyle name="Assumption Multiple. 2 2 2 2 3 2 4" xfId="6446"/>
    <cellStyle name="Assumption Multiple. 2 2 2 2 3 2 5" xfId="6447"/>
    <cellStyle name="Assumption Multiple. 2 2 2 2 3 2 6" xfId="6448"/>
    <cellStyle name="Assumption Multiple. 2 2 2 2 3 2 7" xfId="6449"/>
    <cellStyle name="Assumption Multiple. 2 2 2 2 3 2 8" xfId="6450"/>
    <cellStyle name="Assumption Multiple. 2 2 2 2 3 2 9" xfId="6451"/>
    <cellStyle name="Assumption Multiple. 2 2 2 2 3 3" xfId="6452"/>
    <cellStyle name="Assumption Multiple. 2 2 2 2 3 4" xfId="6453"/>
    <cellStyle name="Assumption Multiple. 2 2 2 2 3 5" xfId="6454"/>
    <cellStyle name="Assumption Multiple. 2 2 2 2 3 6" xfId="6455"/>
    <cellStyle name="Assumption Multiple. 2 2 2 2 3 7" xfId="6456"/>
    <cellStyle name="Assumption Multiple. 2 2 2 2 3 8" xfId="6457"/>
    <cellStyle name="Assumption Multiple. 2 2 2 2 3 9" xfId="6458"/>
    <cellStyle name="Assumption Multiple. 2 2 2 2 4" xfId="6459"/>
    <cellStyle name="Assumption Multiple. 2 2 2 2 4 10" xfId="6460"/>
    <cellStyle name="Assumption Multiple. 2 2 2 2 4 2" xfId="6461"/>
    <cellStyle name="Assumption Multiple. 2 2 2 2 4 3" xfId="6462"/>
    <cellStyle name="Assumption Multiple. 2 2 2 2 4 4" xfId="6463"/>
    <cellStyle name="Assumption Multiple. 2 2 2 2 4 5" xfId="6464"/>
    <cellStyle name="Assumption Multiple. 2 2 2 2 4 6" xfId="6465"/>
    <cellStyle name="Assumption Multiple. 2 2 2 2 4 7" xfId="6466"/>
    <cellStyle name="Assumption Multiple. 2 2 2 2 4 8" xfId="6467"/>
    <cellStyle name="Assumption Multiple. 2 2 2 2 4 9" xfId="6468"/>
    <cellStyle name="Assumption Multiple. 2 2 2 2 5" xfId="6469"/>
    <cellStyle name="Assumption Multiple. 2 2 2 2 6" xfId="6470"/>
    <cellStyle name="Assumption Multiple. 2 2 2 2 7" xfId="6471"/>
    <cellStyle name="Assumption Multiple. 2 2 2 2 8" xfId="6472"/>
    <cellStyle name="Assumption Multiple. 2 2 2 2 9" xfId="6473"/>
    <cellStyle name="Assumption Multiple. 2 2 2 3" xfId="6474"/>
    <cellStyle name="Assumption Multiple. 2 2 2 3 10" xfId="6475"/>
    <cellStyle name="Assumption Multiple. 2 2 2 3 11" xfId="6476"/>
    <cellStyle name="Assumption Multiple. 2 2 2 3 12" xfId="6477"/>
    <cellStyle name="Assumption Multiple. 2 2 2 3 2" xfId="6478"/>
    <cellStyle name="Assumption Multiple. 2 2 2 3 2 10" xfId="6479"/>
    <cellStyle name="Assumption Multiple. 2 2 2 3 2 2" xfId="6480"/>
    <cellStyle name="Assumption Multiple. 2 2 2 3 2 2 10" xfId="6481"/>
    <cellStyle name="Assumption Multiple. 2 2 2 3 2 2 2" xfId="6482"/>
    <cellStyle name="Assumption Multiple. 2 2 2 3 2 2 3" xfId="6483"/>
    <cellStyle name="Assumption Multiple. 2 2 2 3 2 2 4" xfId="6484"/>
    <cellStyle name="Assumption Multiple. 2 2 2 3 2 2 5" xfId="6485"/>
    <cellStyle name="Assumption Multiple. 2 2 2 3 2 2 6" xfId="6486"/>
    <cellStyle name="Assumption Multiple. 2 2 2 3 2 2 7" xfId="6487"/>
    <cellStyle name="Assumption Multiple. 2 2 2 3 2 2 8" xfId="6488"/>
    <cellStyle name="Assumption Multiple. 2 2 2 3 2 2 9" xfId="6489"/>
    <cellStyle name="Assumption Multiple. 2 2 2 3 2 3" xfId="6490"/>
    <cellStyle name="Assumption Multiple. 2 2 2 3 2 4" xfId="6491"/>
    <cellStyle name="Assumption Multiple. 2 2 2 3 2 5" xfId="6492"/>
    <cellStyle name="Assumption Multiple. 2 2 2 3 2 6" xfId="6493"/>
    <cellStyle name="Assumption Multiple. 2 2 2 3 2 7" xfId="6494"/>
    <cellStyle name="Assumption Multiple. 2 2 2 3 2 8" xfId="6495"/>
    <cellStyle name="Assumption Multiple. 2 2 2 3 2 9" xfId="6496"/>
    <cellStyle name="Assumption Multiple. 2 2 2 3 3" xfId="6497"/>
    <cellStyle name="Assumption Multiple. 2 2 2 3 3 10" xfId="6498"/>
    <cellStyle name="Assumption Multiple. 2 2 2 3 3 2" xfId="6499"/>
    <cellStyle name="Assumption Multiple. 2 2 2 3 3 3" xfId="6500"/>
    <cellStyle name="Assumption Multiple. 2 2 2 3 3 4" xfId="6501"/>
    <cellStyle name="Assumption Multiple. 2 2 2 3 3 5" xfId="6502"/>
    <cellStyle name="Assumption Multiple. 2 2 2 3 3 6" xfId="6503"/>
    <cellStyle name="Assumption Multiple. 2 2 2 3 3 7" xfId="6504"/>
    <cellStyle name="Assumption Multiple. 2 2 2 3 3 8" xfId="6505"/>
    <cellStyle name="Assumption Multiple. 2 2 2 3 3 9" xfId="6506"/>
    <cellStyle name="Assumption Multiple. 2 2 2 3 4" xfId="6507"/>
    <cellStyle name="Assumption Multiple. 2 2 2 3 5" xfId="6508"/>
    <cellStyle name="Assumption Multiple. 2 2 2 3 6" xfId="6509"/>
    <cellStyle name="Assumption Multiple. 2 2 2 3 7" xfId="6510"/>
    <cellStyle name="Assumption Multiple. 2 2 2 3 8" xfId="6511"/>
    <cellStyle name="Assumption Multiple. 2 2 2 3 9" xfId="6512"/>
    <cellStyle name="Assumption Multiple. 2 2 2 4" xfId="6513"/>
    <cellStyle name="Assumption Multiple. 2 2 2 4 10" xfId="6514"/>
    <cellStyle name="Assumption Multiple. 2 2 2 4 2" xfId="6515"/>
    <cellStyle name="Assumption Multiple. 2 2 2 4 2 10" xfId="6516"/>
    <cellStyle name="Assumption Multiple. 2 2 2 4 2 2" xfId="6517"/>
    <cellStyle name="Assumption Multiple. 2 2 2 4 2 3" xfId="6518"/>
    <cellStyle name="Assumption Multiple. 2 2 2 4 2 4" xfId="6519"/>
    <cellStyle name="Assumption Multiple. 2 2 2 4 2 5" xfId="6520"/>
    <cellStyle name="Assumption Multiple. 2 2 2 4 2 6" xfId="6521"/>
    <cellStyle name="Assumption Multiple. 2 2 2 4 2 7" xfId="6522"/>
    <cellStyle name="Assumption Multiple. 2 2 2 4 2 8" xfId="6523"/>
    <cellStyle name="Assumption Multiple. 2 2 2 4 2 9" xfId="6524"/>
    <cellStyle name="Assumption Multiple. 2 2 2 4 3" xfId="6525"/>
    <cellStyle name="Assumption Multiple. 2 2 2 4 4" xfId="6526"/>
    <cellStyle name="Assumption Multiple. 2 2 2 4 5" xfId="6527"/>
    <cellStyle name="Assumption Multiple. 2 2 2 4 6" xfId="6528"/>
    <cellStyle name="Assumption Multiple. 2 2 2 4 7" xfId="6529"/>
    <cellStyle name="Assumption Multiple. 2 2 2 4 8" xfId="6530"/>
    <cellStyle name="Assumption Multiple. 2 2 2 4 9" xfId="6531"/>
    <cellStyle name="Assumption Multiple. 2 2 2 5" xfId="6532"/>
    <cellStyle name="Assumption Multiple. 2 2 2 5 10" xfId="6533"/>
    <cellStyle name="Assumption Multiple. 2 2 2 5 2" xfId="6534"/>
    <cellStyle name="Assumption Multiple. 2 2 2 5 3" xfId="6535"/>
    <cellStyle name="Assumption Multiple. 2 2 2 5 4" xfId="6536"/>
    <cellStyle name="Assumption Multiple. 2 2 2 5 5" xfId="6537"/>
    <cellStyle name="Assumption Multiple. 2 2 2 5 6" xfId="6538"/>
    <cellStyle name="Assumption Multiple. 2 2 2 5 7" xfId="6539"/>
    <cellStyle name="Assumption Multiple. 2 2 2 5 8" xfId="6540"/>
    <cellStyle name="Assumption Multiple. 2 2 2 5 9" xfId="6541"/>
    <cellStyle name="Assumption Multiple. 2 2 2 6" xfId="6542"/>
    <cellStyle name="Assumption Multiple. 2 2 2 7" xfId="6543"/>
    <cellStyle name="Assumption Multiple. 2 2 2 8" xfId="6544"/>
    <cellStyle name="Assumption Multiple. 2 2 2 9" xfId="6545"/>
    <cellStyle name="Assumption Multiple. 2 2 3" xfId="6546"/>
    <cellStyle name="Assumption Multiple. 2 2 3 10" xfId="6547"/>
    <cellStyle name="Assumption Multiple. 2 2 3 11" xfId="6548"/>
    <cellStyle name="Assumption Multiple. 2 2 3 12" xfId="6549"/>
    <cellStyle name="Assumption Multiple. 2 2 3 13" xfId="6550"/>
    <cellStyle name="Assumption Multiple. 2 2 3 2" xfId="6551"/>
    <cellStyle name="Assumption Multiple. 2 2 3 2 10" xfId="6552"/>
    <cellStyle name="Assumption Multiple. 2 2 3 2 11" xfId="6553"/>
    <cellStyle name="Assumption Multiple. 2 2 3 2 12" xfId="6554"/>
    <cellStyle name="Assumption Multiple. 2 2 3 2 2" xfId="6555"/>
    <cellStyle name="Assumption Multiple. 2 2 3 2 2 10" xfId="6556"/>
    <cellStyle name="Assumption Multiple. 2 2 3 2 2 2" xfId="6557"/>
    <cellStyle name="Assumption Multiple. 2 2 3 2 2 2 10" xfId="6558"/>
    <cellStyle name="Assumption Multiple. 2 2 3 2 2 2 2" xfId="6559"/>
    <cellStyle name="Assumption Multiple. 2 2 3 2 2 2 3" xfId="6560"/>
    <cellStyle name="Assumption Multiple. 2 2 3 2 2 2 4" xfId="6561"/>
    <cellStyle name="Assumption Multiple. 2 2 3 2 2 2 5" xfId="6562"/>
    <cellStyle name="Assumption Multiple. 2 2 3 2 2 2 6" xfId="6563"/>
    <cellStyle name="Assumption Multiple. 2 2 3 2 2 2 7" xfId="6564"/>
    <cellStyle name="Assumption Multiple. 2 2 3 2 2 2 8" xfId="6565"/>
    <cellStyle name="Assumption Multiple. 2 2 3 2 2 2 9" xfId="6566"/>
    <cellStyle name="Assumption Multiple. 2 2 3 2 2 3" xfId="6567"/>
    <cellStyle name="Assumption Multiple. 2 2 3 2 2 4" xfId="6568"/>
    <cellStyle name="Assumption Multiple. 2 2 3 2 2 5" xfId="6569"/>
    <cellStyle name="Assumption Multiple. 2 2 3 2 2 6" xfId="6570"/>
    <cellStyle name="Assumption Multiple. 2 2 3 2 2 7" xfId="6571"/>
    <cellStyle name="Assumption Multiple. 2 2 3 2 2 8" xfId="6572"/>
    <cellStyle name="Assumption Multiple. 2 2 3 2 2 9" xfId="6573"/>
    <cellStyle name="Assumption Multiple. 2 2 3 2 3" xfId="6574"/>
    <cellStyle name="Assumption Multiple. 2 2 3 2 3 10" xfId="6575"/>
    <cellStyle name="Assumption Multiple. 2 2 3 2 3 2" xfId="6576"/>
    <cellStyle name="Assumption Multiple. 2 2 3 2 3 3" xfId="6577"/>
    <cellStyle name="Assumption Multiple. 2 2 3 2 3 4" xfId="6578"/>
    <cellStyle name="Assumption Multiple. 2 2 3 2 3 5" xfId="6579"/>
    <cellStyle name="Assumption Multiple. 2 2 3 2 3 6" xfId="6580"/>
    <cellStyle name="Assumption Multiple. 2 2 3 2 3 7" xfId="6581"/>
    <cellStyle name="Assumption Multiple. 2 2 3 2 3 8" xfId="6582"/>
    <cellStyle name="Assumption Multiple. 2 2 3 2 3 9" xfId="6583"/>
    <cellStyle name="Assumption Multiple. 2 2 3 2 4" xfId="6584"/>
    <cellStyle name="Assumption Multiple. 2 2 3 2 5" xfId="6585"/>
    <cellStyle name="Assumption Multiple. 2 2 3 2 6" xfId="6586"/>
    <cellStyle name="Assumption Multiple. 2 2 3 2 7" xfId="6587"/>
    <cellStyle name="Assumption Multiple. 2 2 3 2 8" xfId="6588"/>
    <cellStyle name="Assumption Multiple. 2 2 3 2 9" xfId="6589"/>
    <cellStyle name="Assumption Multiple. 2 2 3 3" xfId="6590"/>
    <cellStyle name="Assumption Multiple. 2 2 3 3 10" xfId="6591"/>
    <cellStyle name="Assumption Multiple. 2 2 3 3 2" xfId="6592"/>
    <cellStyle name="Assumption Multiple. 2 2 3 3 2 10" xfId="6593"/>
    <cellStyle name="Assumption Multiple. 2 2 3 3 2 2" xfId="6594"/>
    <cellStyle name="Assumption Multiple. 2 2 3 3 2 3" xfId="6595"/>
    <cellStyle name="Assumption Multiple. 2 2 3 3 2 4" xfId="6596"/>
    <cellStyle name="Assumption Multiple. 2 2 3 3 2 5" xfId="6597"/>
    <cellStyle name="Assumption Multiple. 2 2 3 3 2 6" xfId="6598"/>
    <cellStyle name="Assumption Multiple. 2 2 3 3 2 7" xfId="6599"/>
    <cellStyle name="Assumption Multiple. 2 2 3 3 2 8" xfId="6600"/>
    <cellStyle name="Assumption Multiple. 2 2 3 3 2 9" xfId="6601"/>
    <cellStyle name="Assumption Multiple. 2 2 3 3 3" xfId="6602"/>
    <cellStyle name="Assumption Multiple. 2 2 3 3 4" xfId="6603"/>
    <cellStyle name="Assumption Multiple. 2 2 3 3 5" xfId="6604"/>
    <cellStyle name="Assumption Multiple. 2 2 3 3 6" xfId="6605"/>
    <cellStyle name="Assumption Multiple. 2 2 3 3 7" xfId="6606"/>
    <cellStyle name="Assumption Multiple. 2 2 3 3 8" xfId="6607"/>
    <cellStyle name="Assumption Multiple. 2 2 3 3 9" xfId="6608"/>
    <cellStyle name="Assumption Multiple. 2 2 3 4" xfId="6609"/>
    <cellStyle name="Assumption Multiple. 2 2 3 4 10" xfId="6610"/>
    <cellStyle name="Assumption Multiple. 2 2 3 4 2" xfId="6611"/>
    <cellStyle name="Assumption Multiple. 2 2 3 4 3" xfId="6612"/>
    <cellStyle name="Assumption Multiple. 2 2 3 4 4" xfId="6613"/>
    <cellStyle name="Assumption Multiple. 2 2 3 4 5" xfId="6614"/>
    <cellStyle name="Assumption Multiple. 2 2 3 4 6" xfId="6615"/>
    <cellStyle name="Assumption Multiple. 2 2 3 4 7" xfId="6616"/>
    <cellStyle name="Assumption Multiple. 2 2 3 4 8" xfId="6617"/>
    <cellStyle name="Assumption Multiple. 2 2 3 4 9" xfId="6618"/>
    <cellStyle name="Assumption Multiple. 2 2 3 5" xfId="6619"/>
    <cellStyle name="Assumption Multiple. 2 2 3 6" xfId="6620"/>
    <cellStyle name="Assumption Multiple. 2 2 3 7" xfId="6621"/>
    <cellStyle name="Assumption Multiple. 2 2 3 8" xfId="6622"/>
    <cellStyle name="Assumption Multiple. 2 2 3 9" xfId="6623"/>
    <cellStyle name="Assumption Multiple. 2 2 4" xfId="6624"/>
    <cellStyle name="Assumption Multiple. 2 2 4 10" xfId="6625"/>
    <cellStyle name="Assumption Multiple. 2 2 4 11" xfId="6626"/>
    <cellStyle name="Assumption Multiple. 2 2 4 12" xfId="6627"/>
    <cellStyle name="Assumption Multiple. 2 2 4 13" xfId="6628"/>
    <cellStyle name="Assumption Multiple. 2 2 4 2" xfId="6629"/>
    <cellStyle name="Assumption Multiple. 2 2 4 2 10" xfId="6630"/>
    <cellStyle name="Assumption Multiple. 2 2 4 2 11" xfId="6631"/>
    <cellStyle name="Assumption Multiple. 2 2 4 2 12" xfId="6632"/>
    <cellStyle name="Assumption Multiple. 2 2 4 2 2" xfId="6633"/>
    <cellStyle name="Assumption Multiple. 2 2 4 2 2 10" xfId="6634"/>
    <cellStyle name="Assumption Multiple. 2 2 4 2 2 2" xfId="6635"/>
    <cellStyle name="Assumption Multiple. 2 2 4 2 2 2 10" xfId="6636"/>
    <cellStyle name="Assumption Multiple. 2 2 4 2 2 2 2" xfId="6637"/>
    <cellStyle name="Assumption Multiple. 2 2 4 2 2 2 3" xfId="6638"/>
    <cellStyle name="Assumption Multiple. 2 2 4 2 2 2 4" xfId="6639"/>
    <cellStyle name="Assumption Multiple. 2 2 4 2 2 2 5" xfId="6640"/>
    <cellStyle name="Assumption Multiple. 2 2 4 2 2 2 6" xfId="6641"/>
    <cellStyle name="Assumption Multiple. 2 2 4 2 2 2 7" xfId="6642"/>
    <cellStyle name="Assumption Multiple. 2 2 4 2 2 2 8" xfId="6643"/>
    <cellStyle name="Assumption Multiple. 2 2 4 2 2 2 9" xfId="6644"/>
    <cellStyle name="Assumption Multiple. 2 2 4 2 2 3" xfId="6645"/>
    <cellStyle name="Assumption Multiple. 2 2 4 2 2 4" xfId="6646"/>
    <cellStyle name="Assumption Multiple. 2 2 4 2 2 5" xfId="6647"/>
    <cellStyle name="Assumption Multiple. 2 2 4 2 2 6" xfId="6648"/>
    <cellStyle name="Assumption Multiple. 2 2 4 2 2 7" xfId="6649"/>
    <cellStyle name="Assumption Multiple. 2 2 4 2 2 8" xfId="6650"/>
    <cellStyle name="Assumption Multiple. 2 2 4 2 2 9" xfId="6651"/>
    <cellStyle name="Assumption Multiple. 2 2 4 2 3" xfId="6652"/>
    <cellStyle name="Assumption Multiple. 2 2 4 2 3 10" xfId="6653"/>
    <cellStyle name="Assumption Multiple. 2 2 4 2 3 2" xfId="6654"/>
    <cellStyle name="Assumption Multiple. 2 2 4 2 3 3" xfId="6655"/>
    <cellStyle name="Assumption Multiple. 2 2 4 2 3 4" xfId="6656"/>
    <cellStyle name="Assumption Multiple. 2 2 4 2 3 5" xfId="6657"/>
    <cellStyle name="Assumption Multiple. 2 2 4 2 3 6" xfId="6658"/>
    <cellStyle name="Assumption Multiple. 2 2 4 2 3 7" xfId="6659"/>
    <cellStyle name="Assumption Multiple. 2 2 4 2 3 8" xfId="6660"/>
    <cellStyle name="Assumption Multiple. 2 2 4 2 3 9" xfId="6661"/>
    <cellStyle name="Assumption Multiple. 2 2 4 2 4" xfId="6662"/>
    <cellStyle name="Assumption Multiple. 2 2 4 2 5" xfId="6663"/>
    <cellStyle name="Assumption Multiple. 2 2 4 2 6" xfId="6664"/>
    <cellStyle name="Assumption Multiple. 2 2 4 2 7" xfId="6665"/>
    <cellStyle name="Assumption Multiple. 2 2 4 2 8" xfId="6666"/>
    <cellStyle name="Assumption Multiple. 2 2 4 2 9" xfId="6667"/>
    <cellStyle name="Assumption Multiple. 2 2 4 3" xfId="6668"/>
    <cellStyle name="Assumption Multiple. 2 2 4 3 10" xfId="6669"/>
    <cellStyle name="Assumption Multiple. 2 2 4 3 2" xfId="6670"/>
    <cellStyle name="Assumption Multiple. 2 2 4 3 2 10" xfId="6671"/>
    <cellStyle name="Assumption Multiple. 2 2 4 3 2 2" xfId="6672"/>
    <cellStyle name="Assumption Multiple. 2 2 4 3 2 3" xfId="6673"/>
    <cellStyle name="Assumption Multiple. 2 2 4 3 2 4" xfId="6674"/>
    <cellStyle name="Assumption Multiple. 2 2 4 3 2 5" xfId="6675"/>
    <cellStyle name="Assumption Multiple. 2 2 4 3 2 6" xfId="6676"/>
    <cellStyle name="Assumption Multiple. 2 2 4 3 2 7" xfId="6677"/>
    <cellStyle name="Assumption Multiple. 2 2 4 3 2 8" xfId="6678"/>
    <cellStyle name="Assumption Multiple. 2 2 4 3 2 9" xfId="6679"/>
    <cellStyle name="Assumption Multiple. 2 2 4 3 3" xfId="6680"/>
    <cellStyle name="Assumption Multiple. 2 2 4 3 4" xfId="6681"/>
    <cellStyle name="Assumption Multiple. 2 2 4 3 5" xfId="6682"/>
    <cellStyle name="Assumption Multiple. 2 2 4 3 6" xfId="6683"/>
    <cellStyle name="Assumption Multiple. 2 2 4 3 7" xfId="6684"/>
    <cellStyle name="Assumption Multiple. 2 2 4 3 8" xfId="6685"/>
    <cellStyle name="Assumption Multiple. 2 2 4 3 9" xfId="6686"/>
    <cellStyle name="Assumption Multiple. 2 2 4 4" xfId="6687"/>
    <cellStyle name="Assumption Multiple. 2 2 4 4 10" xfId="6688"/>
    <cellStyle name="Assumption Multiple. 2 2 4 4 2" xfId="6689"/>
    <cellStyle name="Assumption Multiple. 2 2 4 4 3" xfId="6690"/>
    <cellStyle name="Assumption Multiple. 2 2 4 4 4" xfId="6691"/>
    <cellStyle name="Assumption Multiple. 2 2 4 4 5" xfId="6692"/>
    <cellStyle name="Assumption Multiple. 2 2 4 4 6" xfId="6693"/>
    <cellStyle name="Assumption Multiple. 2 2 4 4 7" xfId="6694"/>
    <cellStyle name="Assumption Multiple. 2 2 4 4 8" xfId="6695"/>
    <cellStyle name="Assumption Multiple. 2 2 4 4 9" xfId="6696"/>
    <cellStyle name="Assumption Multiple. 2 2 4 5" xfId="6697"/>
    <cellStyle name="Assumption Multiple. 2 2 4 6" xfId="6698"/>
    <cellStyle name="Assumption Multiple. 2 2 4 7" xfId="6699"/>
    <cellStyle name="Assumption Multiple. 2 2 4 8" xfId="6700"/>
    <cellStyle name="Assumption Multiple. 2 2 4 9" xfId="6701"/>
    <cellStyle name="Assumption Multiple. 2 2 5" xfId="6702"/>
    <cellStyle name="Assumption Multiple. 2 2 5 10" xfId="6703"/>
    <cellStyle name="Assumption Multiple. 2 2 5 11" xfId="6704"/>
    <cellStyle name="Assumption Multiple. 2 2 5 12" xfId="6705"/>
    <cellStyle name="Assumption Multiple. 2 2 5 2" xfId="6706"/>
    <cellStyle name="Assumption Multiple. 2 2 5 2 10" xfId="6707"/>
    <cellStyle name="Assumption Multiple. 2 2 5 2 2" xfId="6708"/>
    <cellStyle name="Assumption Multiple. 2 2 5 2 2 10" xfId="6709"/>
    <cellStyle name="Assumption Multiple. 2 2 5 2 2 2" xfId="6710"/>
    <cellStyle name="Assumption Multiple. 2 2 5 2 2 3" xfId="6711"/>
    <cellStyle name="Assumption Multiple. 2 2 5 2 2 4" xfId="6712"/>
    <cellStyle name="Assumption Multiple. 2 2 5 2 2 5" xfId="6713"/>
    <cellStyle name="Assumption Multiple. 2 2 5 2 2 6" xfId="6714"/>
    <cellStyle name="Assumption Multiple. 2 2 5 2 2 7" xfId="6715"/>
    <cellStyle name="Assumption Multiple. 2 2 5 2 2 8" xfId="6716"/>
    <cellStyle name="Assumption Multiple. 2 2 5 2 2 9" xfId="6717"/>
    <cellStyle name="Assumption Multiple. 2 2 5 2 3" xfId="6718"/>
    <cellStyle name="Assumption Multiple. 2 2 5 2 4" xfId="6719"/>
    <cellStyle name="Assumption Multiple. 2 2 5 2 5" xfId="6720"/>
    <cellStyle name="Assumption Multiple. 2 2 5 2 6" xfId="6721"/>
    <cellStyle name="Assumption Multiple. 2 2 5 2 7" xfId="6722"/>
    <cellStyle name="Assumption Multiple. 2 2 5 2 8" xfId="6723"/>
    <cellStyle name="Assumption Multiple. 2 2 5 2 9" xfId="6724"/>
    <cellStyle name="Assumption Multiple. 2 2 5 3" xfId="6725"/>
    <cellStyle name="Assumption Multiple. 2 2 5 3 10" xfId="6726"/>
    <cellStyle name="Assumption Multiple. 2 2 5 3 2" xfId="6727"/>
    <cellStyle name="Assumption Multiple. 2 2 5 3 3" xfId="6728"/>
    <cellStyle name="Assumption Multiple. 2 2 5 3 4" xfId="6729"/>
    <cellStyle name="Assumption Multiple. 2 2 5 3 5" xfId="6730"/>
    <cellStyle name="Assumption Multiple. 2 2 5 3 6" xfId="6731"/>
    <cellStyle name="Assumption Multiple. 2 2 5 3 7" xfId="6732"/>
    <cellStyle name="Assumption Multiple. 2 2 5 3 8" xfId="6733"/>
    <cellStyle name="Assumption Multiple. 2 2 5 3 9" xfId="6734"/>
    <cellStyle name="Assumption Multiple. 2 2 5 4" xfId="6735"/>
    <cellStyle name="Assumption Multiple. 2 2 5 5" xfId="6736"/>
    <cellStyle name="Assumption Multiple. 2 2 5 6" xfId="6737"/>
    <cellStyle name="Assumption Multiple. 2 2 5 7" xfId="6738"/>
    <cellStyle name="Assumption Multiple. 2 2 5 8" xfId="6739"/>
    <cellStyle name="Assumption Multiple. 2 2 5 9" xfId="6740"/>
    <cellStyle name="Assumption Multiple. 2 2 6" xfId="6741"/>
    <cellStyle name="Assumption Multiple. 2 2 6 10" xfId="6742"/>
    <cellStyle name="Assumption Multiple. 2 2 6 11" xfId="6743"/>
    <cellStyle name="Assumption Multiple. 2 2 6 12" xfId="6744"/>
    <cellStyle name="Assumption Multiple. 2 2 6 2" xfId="6745"/>
    <cellStyle name="Assumption Multiple. 2 2 6 2 10" xfId="6746"/>
    <cellStyle name="Assumption Multiple. 2 2 6 2 2" xfId="6747"/>
    <cellStyle name="Assumption Multiple. 2 2 6 2 2 10" xfId="6748"/>
    <cellStyle name="Assumption Multiple. 2 2 6 2 2 2" xfId="6749"/>
    <cellStyle name="Assumption Multiple. 2 2 6 2 2 3" xfId="6750"/>
    <cellStyle name="Assumption Multiple. 2 2 6 2 2 4" xfId="6751"/>
    <cellStyle name="Assumption Multiple. 2 2 6 2 2 5" xfId="6752"/>
    <cellStyle name="Assumption Multiple. 2 2 6 2 2 6" xfId="6753"/>
    <cellStyle name="Assumption Multiple. 2 2 6 2 2 7" xfId="6754"/>
    <cellStyle name="Assumption Multiple. 2 2 6 2 2 8" xfId="6755"/>
    <cellStyle name="Assumption Multiple. 2 2 6 2 2 9" xfId="6756"/>
    <cellStyle name="Assumption Multiple. 2 2 6 2 3" xfId="6757"/>
    <cellStyle name="Assumption Multiple. 2 2 6 2 4" xfId="6758"/>
    <cellStyle name="Assumption Multiple. 2 2 6 2 5" xfId="6759"/>
    <cellStyle name="Assumption Multiple. 2 2 6 2 6" xfId="6760"/>
    <cellStyle name="Assumption Multiple. 2 2 6 2 7" xfId="6761"/>
    <cellStyle name="Assumption Multiple. 2 2 6 2 8" xfId="6762"/>
    <cellStyle name="Assumption Multiple. 2 2 6 2 9" xfId="6763"/>
    <cellStyle name="Assumption Multiple. 2 2 6 3" xfId="6764"/>
    <cellStyle name="Assumption Multiple. 2 2 6 3 10" xfId="6765"/>
    <cellStyle name="Assumption Multiple. 2 2 6 3 2" xfId="6766"/>
    <cellStyle name="Assumption Multiple. 2 2 6 3 3" xfId="6767"/>
    <cellStyle name="Assumption Multiple. 2 2 6 3 4" xfId="6768"/>
    <cellStyle name="Assumption Multiple. 2 2 6 3 5" xfId="6769"/>
    <cellStyle name="Assumption Multiple. 2 2 6 3 6" xfId="6770"/>
    <cellStyle name="Assumption Multiple. 2 2 6 3 7" xfId="6771"/>
    <cellStyle name="Assumption Multiple. 2 2 6 3 8" xfId="6772"/>
    <cellStyle name="Assumption Multiple. 2 2 6 3 9" xfId="6773"/>
    <cellStyle name="Assumption Multiple. 2 2 6 4" xfId="6774"/>
    <cellStyle name="Assumption Multiple. 2 2 6 5" xfId="6775"/>
    <cellStyle name="Assumption Multiple. 2 2 6 6" xfId="6776"/>
    <cellStyle name="Assumption Multiple. 2 2 6 7" xfId="6777"/>
    <cellStyle name="Assumption Multiple. 2 2 6 8" xfId="6778"/>
    <cellStyle name="Assumption Multiple. 2 2 6 9" xfId="6779"/>
    <cellStyle name="Assumption Multiple. 2 2 7" xfId="6780"/>
    <cellStyle name="Assumption Multiple. 2 2 7 10" xfId="6781"/>
    <cellStyle name="Assumption Multiple. 2 2 7 11" xfId="6782"/>
    <cellStyle name="Assumption Multiple. 2 2 7 12" xfId="6783"/>
    <cellStyle name="Assumption Multiple. 2 2 7 2" xfId="6784"/>
    <cellStyle name="Assumption Multiple. 2 2 7 2 10" xfId="6785"/>
    <cellStyle name="Assumption Multiple. 2 2 7 2 2" xfId="6786"/>
    <cellStyle name="Assumption Multiple. 2 2 7 2 2 10" xfId="6787"/>
    <cellStyle name="Assumption Multiple. 2 2 7 2 2 2" xfId="6788"/>
    <cellStyle name="Assumption Multiple. 2 2 7 2 2 3" xfId="6789"/>
    <cellStyle name="Assumption Multiple. 2 2 7 2 2 4" xfId="6790"/>
    <cellStyle name="Assumption Multiple. 2 2 7 2 2 5" xfId="6791"/>
    <cellStyle name="Assumption Multiple. 2 2 7 2 2 6" xfId="6792"/>
    <cellStyle name="Assumption Multiple. 2 2 7 2 2 7" xfId="6793"/>
    <cellStyle name="Assumption Multiple. 2 2 7 2 2 8" xfId="6794"/>
    <cellStyle name="Assumption Multiple. 2 2 7 2 2 9" xfId="6795"/>
    <cellStyle name="Assumption Multiple. 2 2 7 2 3" xfId="6796"/>
    <cellStyle name="Assumption Multiple. 2 2 7 2 4" xfId="6797"/>
    <cellStyle name="Assumption Multiple. 2 2 7 2 5" xfId="6798"/>
    <cellStyle name="Assumption Multiple. 2 2 7 2 6" xfId="6799"/>
    <cellStyle name="Assumption Multiple. 2 2 7 2 7" xfId="6800"/>
    <cellStyle name="Assumption Multiple. 2 2 7 2 8" xfId="6801"/>
    <cellStyle name="Assumption Multiple. 2 2 7 2 9" xfId="6802"/>
    <cellStyle name="Assumption Multiple. 2 2 7 3" xfId="6803"/>
    <cellStyle name="Assumption Multiple. 2 2 7 3 10" xfId="6804"/>
    <cellStyle name="Assumption Multiple. 2 2 7 3 2" xfId="6805"/>
    <cellStyle name="Assumption Multiple. 2 2 7 3 3" xfId="6806"/>
    <cellStyle name="Assumption Multiple. 2 2 7 3 4" xfId="6807"/>
    <cellStyle name="Assumption Multiple. 2 2 7 3 5" xfId="6808"/>
    <cellStyle name="Assumption Multiple. 2 2 7 3 6" xfId="6809"/>
    <cellStyle name="Assumption Multiple. 2 2 7 3 7" xfId="6810"/>
    <cellStyle name="Assumption Multiple. 2 2 7 3 8" xfId="6811"/>
    <cellStyle name="Assumption Multiple. 2 2 7 3 9" xfId="6812"/>
    <cellStyle name="Assumption Multiple. 2 2 7 4" xfId="6813"/>
    <cellStyle name="Assumption Multiple. 2 2 7 5" xfId="6814"/>
    <cellStyle name="Assumption Multiple. 2 2 7 6" xfId="6815"/>
    <cellStyle name="Assumption Multiple. 2 2 7 7" xfId="6816"/>
    <cellStyle name="Assumption Multiple. 2 2 7 8" xfId="6817"/>
    <cellStyle name="Assumption Multiple. 2 2 7 9" xfId="6818"/>
    <cellStyle name="Assumption Multiple. 2 2 8" xfId="6819"/>
    <cellStyle name="Assumption Multiple. 2 2 8 10" xfId="6820"/>
    <cellStyle name="Assumption Multiple. 2 2 8 2" xfId="6821"/>
    <cellStyle name="Assumption Multiple. 2 2 8 2 10" xfId="6822"/>
    <cellStyle name="Assumption Multiple. 2 2 8 2 2" xfId="6823"/>
    <cellStyle name="Assumption Multiple. 2 2 8 2 3" xfId="6824"/>
    <cellStyle name="Assumption Multiple. 2 2 8 2 4" xfId="6825"/>
    <cellStyle name="Assumption Multiple. 2 2 8 2 5" xfId="6826"/>
    <cellStyle name="Assumption Multiple. 2 2 8 2 6" xfId="6827"/>
    <cellStyle name="Assumption Multiple. 2 2 8 2 7" xfId="6828"/>
    <cellStyle name="Assumption Multiple. 2 2 8 2 8" xfId="6829"/>
    <cellStyle name="Assumption Multiple. 2 2 8 2 9" xfId="6830"/>
    <cellStyle name="Assumption Multiple. 2 2 8 3" xfId="6831"/>
    <cellStyle name="Assumption Multiple. 2 2 8 4" xfId="6832"/>
    <cellStyle name="Assumption Multiple. 2 2 8 5" xfId="6833"/>
    <cellStyle name="Assumption Multiple. 2 2 8 6" xfId="6834"/>
    <cellStyle name="Assumption Multiple. 2 2 8 7" xfId="6835"/>
    <cellStyle name="Assumption Multiple. 2 2 8 8" xfId="6836"/>
    <cellStyle name="Assumption Multiple. 2 2 8 9" xfId="6837"/>
    <cellStyle name="Assumption Multiple. 2 2 9" xfId="6838"/>
    <cellStyle name="Assumption Multiple. 2 2 9 10" xfId="6839"/>
    <cellStyle name="Assumption Multiple. 2 2 9 2" xfId="6840"/>
    <cellStyle name="Assumption Multiple. 2 2 9 3" xfId="6841"/>
    <cellStyle name="Assumption Multiple. 2 2 9 4" xfId="6842"/>
    <cellStyle name="Assumption Multiple. 2 2 9 5" xfId="6843"/>
    <cellStyle name="Assumption Multiple. 2 2 9 6" xfId="6844"/>
    <cellStyle name="Assumption Multiple. 2 2 9 7" xfId="6845"/>
    <cellStyle name="Assumption Multiple. 2 2 9 8" xfId="6846"/>
    <cellStyle name="Assumption Multiple. 2 2 9 9" xfId="6847"/>
    <cellStyle name="Assumption Multiple. 2 3" xfId="6848"/>
    <cellStyle name="Assumption Multiple. 2 3 10" xfId="6849"/>
    <cellStyle name="Assumption Multiple. 2 3 11" xfId="6850"/>
    <cellStyle name="Assumption Multiple. 2 3 12" xfId="6851"/>
    <cellStyle name="Assumption Multiple. 2 3 13" xfId="6852"/>
    <cellStyle name="Assumption Multiple. 2 3 14" xfId="6853"/>
    <cellStyle name="Assumption Multiple. 2 3 2" xfId="6854"/>
    <cellStyle name="Assumption Multiple. 2 3 2 10" xfId="6855"/>
    <cellStyle name="Assumption Multiple. 2 3 2 11" xfId="6856"/>
    <cellStyle name="Assumption Multiple. 2 3 2 12" xfId="6857"/>
    <cellStyle name="Assumption Multiple. 2 3 2 13" xfId="6858"/>
    <cellStyle name="Assumption Multiple. 2 3 2 2" xfId="6859"/>
    <cellStyle name="Assumption Multiple. 2 3 2 2 10" xfId="6860"/>
    <cellStyle name="Assumption Multiple. 2 3 2 2 11" xfId="6861"/>
    <cellStyle name="Assumption Multiple. 2 3 2 2 12" xfId="6862"/>
    <cellStyle name="Assumption Multiple. 2 3 2 2 2" xfId="6863"/>
    <cellStyle name="Assumption Multiple. 2 3 2 2 2 10" xfId="6864"/>
    <cellStyle name="Assumption Multiple. 2 3 2 2 2 2" xfId="6865"/>
    <cellStyle name="Assumption Multiple. 2 3 2 2 2 2 10" xfId="6866"/>
    <cellStyle name="Assumption Multiple. 2 3 2 2 2 2 2" xfId="6867"/>
    <cellStyle name="Assumption Multiple. 2 3 2 2 2 2 3" xfId="6868"/>
    <cellStyle name="Assumption Multiple. 2 3 2 2 2 2 4" xfId="6869"/>
    <cellStyle name="Assumption Multiple. 2 3 2 2 2 2 5" xfId="6870"/>
    <cellStyle name="Assumption Multiple. 2 3 2 2 2 2 6" xfId="6871"/>
    <cellStyle name="Assumption Multiple. 2 3 2 2 2 2 7" xfId="6872"/>
    <cellStyle name="Assumption Multiple. 2 3 2 2 2 2 8" xfId="6873"/>
    <cellStyle name="Assumption Multiple. 2 3 2 2 2 2 9" xfId="6874"/>
    <cellStyle name="Assumption Multiple. 2 3 2 2 2 3" xfId="6875"/>
    <cellStyle name="Assumption Multiple. 2 3 2 2 2 4" xfId="6876"/>
    <cellStyle name="Assumption Multiple. 2 3 2 2 2 5" xfId="6877"/>
    <cellStyle name="Assumption Multiple. 2 3 2 2 2 6" xfId="6878"/>
    <cellStyle name="Assumption Multiple. 2 3 2 2 2 7" xfId="6879"/>
    <cellStyle name="Assumption Multiple. 2 3 2 2 2 8" xfId="6880"/>
    <cellStyle name="Assumption Multiple. 2 3 2 2 2 9" xfId="6881"/>
    <cellStyle name="Assumption Multiple. 2 3 2 2 3" xfId="6882"/>
    <cellStyle name="Assumption Multiple. 2 3 2 2 3 10" xfId="6883"/>
    <cellStyle name="Assumption Multiple. 2 3 2 2 3 2" xfId="6884"/>
    <cellStyle name="Assumption Multiple. 2 3 2 2 3 3" xfId="6885"/>
    <cellStyle name="Assumption Multiple. 2 3 2 2 3 4" xfId="6886"/>
    <cellStyle name="Assumption Multiple. 2 3 2 2 3 5" xfId="6887"/>
    <cellStyle name="Assumption Multiple. 2 3 2 2 3 6" xfId="6888"/>
    <cellStyle name="Assumption Multiple. 2 3 2 2 3 7" xfId="6889"/>
    <cellStyle name="Assumption Multiple. 2 3 2 2 3 8" xfId="6890"/>
    <cellStyle name="Assumption Multiple. 2 3 2 2 3 9" xfId="6891"/>
    <cellStyle name="Assumption Multiple. 2 3 2 2 4" xfId="6892"/>
    <cellStyle name="Assumption Multiple. 2 3 2 2 5" xfId="6893"/>
    <cellStyle name="Assumption Multiple. 2 3 2 2 6" xfId="6894"/>
    <cellStyle name="Assumption Multiple. 2 3 2 2 7" xfId="6895"/>
    <cellStyle name="Assumption Multiple. 2 3 2 2 8" xfId="6896"/>
    <cellStyle name="Assumption Multiple. 2 3 2 2 9" xfId="6897"/>
    <cellStyle name="Assumption Multiple. 2 3 2 3" xfId="6898"/>
    <cellStyle name="Assumption Multiple. 2 3 2 3 10" xfId="6899"/>
    <cellStyle name="Assumption Multiple. 2 3 2 3 2" xfId="6900"/>
    <cellStyle name="Assumption Multiple. 2 3 2 3 2 10" xfId="6901"/>
    <cellStyle name="Assumption Multiple. 2 3 2 3 2 2" xfId="6902"/>
    <cellStyle name="Assumption Multiple. 2 3 2 3 2 3" xfId="6903"/>
    <cellStyle name="Assumption Multiple. 2 3 2 3 2 4" xfId="6904"/>
    <cellStyle name="Assumption Multiple. 2 3 2 3 2 5" xfId="6905"/>
    <cellStyle name="Assumption Multiple. 2 3 2 3 2 6" xfId="6906"/>
    <cellStyle name="Assumption Multiple. 2 3 2 3 2 7" xfId="6907"/>
    <cellStyle name="Assumption Multiple. 2 3 2 3 2 8" xfId="6908"/>
    <cellStyle name="Assumption Multiple. 2 3 2 3 2 9" xfId="6909"/>
    <cellStyle name="Assumption Multiple. 2 3 2 3 3" xfId="6910"/>
    <cellStyle name="Assumption Multiple. 2 3 2 3 4" xfId="6911"/>
    <cellStyle name="Assumption Multiple. 2 3 2 3 5" xfId="6912"/>
    <cellStyle name="Assumption Multiple. 2 3 2 3 6" xfId="6913"/>
    <cellStyle name="Assumption Multiple. 2 3 2 3 7" xfId="6914"/>
    <cellStyle name="Assumption Multiple. 2 3 2 3 8" xfId="6915"/>
    <cellStyle name="Assumption Multiple. 2 3 2 3 9" xfId="6916"/>
    <cellStyle name="Assumption Multiple. 2 3 2 4" xfId="6917"/>
    <cellStyle name="Assumption Multiple. 2 3 2 4 10" xfId="6918"/>
    <cellStyle name="Assumption Multiple. 2 3 2 4 2" xfId="6919"/>
    <cellStyle name="Assumption Multiple. 2 3 2 4 3" xfId="6920"/>
    <cellStyle name="Assumption Multiple. 2 3 2 4 4" xfId="6921"/>
    <cellStyle name="Assumption Multiple. 2 3 2 4 5" xfId="6922"/>
    <cellStyle name="Assumption Multiple. 2 3 2 4 6" xfId="6923"/>
    <cellStyle name="Assumption Multiple. 2 3 2 4 7" xfId="6924"/>
    <cellStyle name="Assumption Multiple. 2 3 2 4 8" xfId="6925"/>
    <cellStyle name="Assumption Multiple. 2 3 2 4 9" xfId="6926"/>
    <cellStyle name="Assumption Multiple. 2 3 2 5" xfId="6927"/>
    <cellStyle name="Assumption Multiple. 2 3 2 6" xfId="6928"/>
    <cellStyle name="Assumption Multiple. 2 3 2 7" xfId="6929"/>
    <cellStyle name="Assumption Multiple. 2 3 2 8" xfId="6930"/>
    <cellStyle name="Assumption Multiple. 2 3 2 9" xfId="6931"/>
    <cellStyle name="Assumption Multiple. 2 3 3" xfId="6932"/>
    <cellStyle name="Assumption Multiple. 2 3 3 10" xfId="6933"/>
    <cellStyle name="Assumption Multiple. 2 3 3 11" xfId="6934"/>
    <cellStyle name="Assumption Multiple. 2 3 3 12" xfId="6935"/>
    <cellStyle name="Assumption Multiple. 2 3 3 2" xfId="6936"/>
    <cellStyle name="Assumption Multiple. 2 3 3 2 10" xfId="6937"/>
    <cellStyle name="Assumption Multiple. 2 3 3 2 2" xfId="6938"/>
    <cellStyle name="Assumption Multiple. 2 3 3 2 2 10" xfId="6939"/>
    <cellStyle name="Assumption Multiple. 2 3 3 2 2 2" xfId="6940"/>
    <cellStyle name="Assumption Multiple. 2 3 3 2 2 3" xfId="6941"/>
    <cellStyle name="Assumption Multiple. 2 3 3 2 2 4" xfId="6942"/>
    <cellStyle name="Assumption Multiple. 2 3 3 2 2 5" xfId="6943"/>
    <cellStyle name="Assumption Multiple. 2 3 3 2 2 6" xfId="6944"/>
    <cellStyle name="Assumption Multiple. 2 3 3 2 2 7" xfId="6945"/>
    <cellStyle name="Assumption Multiple. 2 3 3 2 2 8" xfId="6946"/>
    <cellStyle name="Assumption Multiple. 2 3 3 2 2 9" xfId="6947"/>
    <cellStyle name="Assumption Multiple. 2 3 3 2 3" xfId="6948"/>
    <cellStyle name="Assumption Multiple. 2 3 3 2 4" xfId="6949"/>
    <cellStyle name="Assumption Multiple. 2 3 3 2 5" xfId="6950"/>
    <cellStyle name="Assumption Multiple. 2 3 3 2 6" xfId="6951"/>
    <cellStyle name="Assumption Multiple. 2 3 3 2 7" xfId="6952"/>
    <cellStyle name="Assumption Multiple. 2 3 3 2 8" xfId="6953"/>
    <cellStyle name="Assumption Multiple. 2 3 3 2 9" xfId="6954"/>
    <cellStyle name="Assumption Multiple. 2 3 3 3" xfId="6955"/>
    <cellStyle name="Assumption Multiple. 2 3 3 3 10" xfId="6956"/>
    <cellStyle name="Assumption Multiple. 2 3 3 3 2" xfId="6957"/>
    <cellStyle name="Assumption Multiple. 2 3 3 3 3" xfId="6958"/>
    <cellStyle name="Assumption Multiple. 2 3 3 3 4" xfId="6959"/>
    <cellStyle name="Assumption Multiple. 2 3 3 3 5" xfId="6960"/>
    <cellStyle name="Assumption Multiple. 2 3 3 3 6" xfId="6961"/>
    <cellStyle name="Assumption Multiple. 2 3 3 3 7" xfId="6962"/>
    <cellStyle name="Assumption Multiple. 2 3 3 3 8" xfId="6963"/>
    <cellStyle name="Assumption Multiple. 2 3 3 3 9" xfId="6964"/>
    <cellStyle name="Assumption Multiple. 2 3 3 4" xfId="6965"/>
    <cellStyle name="Assumption Multiple. 2 3 3 5" xfId="6966"/>
    <cellStyle name="Assumption Multiple. 2 3 3 6" xfId="6967"/>
    <cellStyle name="Assumption Multiple. 2 3 3 7" xfId="6968"/>
    <cellStyle name="Assumption Multiple. 2 3 3 8" xfId="6969"/>
    <cellStyle name="Assumption Multiple. 2 3 3 9" xfId="6970"/>
    <cellStyle name="Assumption Multiple. 2 3 4" xfId="6971"/>
    <cellStyle name="Assumption Multiple. 2 3 4 10" xfId="6972"/>
    <cellStyle name="Assumption Multiple. 2 3 4 2" xfId="6973"/>
    <cellStyle name="Assumption Multiple. 2 3 4 2 10" xfId="6974"/>
    <cellStyle name="Assumption Multiple. 2 3 4 2 2" xfId="6975"/>
    <cellStyle name="Assumption Multiple. 2 3 4 2 3" xfId="6976"/>
    <cellStyle name="Assumption Multiple. 2 3 4 2 4" xfId="6977"/>
    <cellStyle name="Assumption Multiple. 2 3 4 2 5" xfId="6978"/>
    <cellStyle name="Assumption Multiple. 2 3 4 2 6" xfId="6979"/>
    <cellStyle name="Assumption Multiple. 2 3 4 2 7" xfId="6980"/>
    <cellStyle name="Assumption Multiple. 2 3 4 2 8" xfId="6981"/>
    <cellStyle name="Assumption Multiple. 2 3 4 2 9" xfId="6982"/>
    <cellStyle name="Assumption Multiple. 2 3 4 3" xfId="6983"/>
    <cellStyle name="Assumption Multiple. 2 3 4 4" xfId="6984"/>
    <cellStyle name="Assumption Multiple. 2 3 4 5" xfId="6985"/>
    <cellStyle name="Assumption Multiple. 2 3 4 6" xfId="6986"/>
    <cellStyle name="Assumption Multiple. 2 3 4 7" xfId="6987"/>
    <cellStyle name="Assumption Multiple. 2 3 4 8" xfId="6988"/>
    <cellStyle name="Assumption Multiple. 2 3 4 9" xfId="6989"/>
    <cellStyle name="Assumption Multiple. 2 3 5" xfId="6990"/>
    <cellStyle name="Assumption Multiple. 2 3 5 10" xfId="6991"/>
    <cellStyle name="Assumption Multiple. 2 3 5 2" xfId="6992"/>
    <cellStyle name="Assumption Multiple. 2 3 5 3" xfId="6993"/>
    <cellStyle name="Assumption Multiple. 2 3 5 4" xfId="6994"/>
    <cellStyle name="Assumption Multiple. 2 3 5 5" xfId="6995"/>
    <cellStyle name="Assumption Multiple. 2 3 5 6" xfId="6996"/>
    <cellStyle name="Assumption Multiple. 2 3 5 7" xfId="6997"/>
    <cellStyle name="Assumption Multiple. 2 3 5 8" xfId="6998"/>
    <cellStyle name="Assumption Multiple. 2 3 5 9" xfId="6999"/>
    <cellStyle name="Assumption Multiple. 2 3 6" xfId="7000"/>
    <cellStyle name="Assumption Multiple. 2 3 7" xfId="7001"/>
    <cellStyle name="Assumption Multiple. 2 3 8" xfId="7002"/>
    <cellStyle name="Assumption Multiple. 2 3 9" xfId="7003"/>
    <cellStyle name="Assumption Multiple. 2 4" xfId="7004"/>
    <cellStyle name="Assumption Multiple. 2 4 10" xfId="7005"/>
    <cellStyle name="Assumption Multiple. 2 4 11" xfId="7006"/>
    <cellStyle name="Assumption Multiple. 2 4 12" xfId="7007"/>
    <cellStyle name="Assumption Multiple. 2 4 13" xfId="7008"/>
    <cellStyle name="Assumption Multiple. 2 4 2" xfId="7009"/>
    <cellStyle name="Assumption Multiple. 2 4 2 10" xfId="7010"/>
    <cellStyle name="Assumption Multiple. 2 4 2 11" xfId="7011"/>
    <cellStyle name="Assumption Multiple. 2 4 2 12" xfId="7012"/>
    <cellStyle name="Assumption Multiple. 2 4 2 2" xfId="7013"/>
    <cellStyle name="Assumption Multiple. 2 4 2 2 10" xfId="7014"/>
    <cellStyle name="Assumption Multiple. 2 4 2 2 2" xfId="7015"/>
    <cellStyle name="Assumption Multiple. 2 4 2 2 2 10" xfId="7016"/>
    <cellStyle name="Assumption Multiple. 2 4 2 2 2 2" xfId="7017"/>
    <cellStyle name="Assumption Multiple. 2 4 2 2 2 3" xfId="7018"/>
    <cellStyle name="Assumption Multiple. 2 4 2 2 2 4" xfId="7019"/>
    <cellStyle name="Assumption Multiple. 2 4 2 2 2 5" xfId="7020"/>
    <cellStyle name="Assumption Multiple. 2 4 2 2 2 6" xfId="7021"/>
    <cellStyle name="Assumption Multiple. 2 4 2 2 2 7" xfId="7022"/>
    <cellStyle name="Assumption Multiple. 2 4 2 2 2 8" xfId="7023"/>
    <cellStyle name="Assumption Multiple. 2 4 2 2 2 9" xfId="7024"/>
    <cellStyle name="Assumption Multiple. 2 4 2 2 3" xfId="7025"/>
    <cellStyle name="Assumption Multiple. 2 4 2 2 4" xfId="7026"/>
    <cellStyle name="Assumption Multiple. 2 4 2 2 5" xfId="7027"/>
    <cellStyle name="Assumption Multiple. 2 4 2 2 6" xfId="7028"/>
    <cellStyle name="Assumption Multiple. 2 4 2 2 7" xfId="7029"/>
    <cellStyle name="Assumption Multiple. 2 4 2 2 8" xfId="7030"/>
    <cellStyle name="Assumption Multiple. 2 4 2 2 9" xfId="7031"/>
    <cellStyle name="Assumption Multiple. 2 4 2 3" xfId="7032"/>
    <cellStyle name="Assumption Multiple. 2 4 2 3 10" xfId="7033"/>
    <cellStyle name="Assumption Multiple. 2 4 2 3 2" xfId="7034"/>
    <cellStyle name="Assumption Multiple. 2 4 2 3 3" xfId="7035"/>
    <cellStyle name="Assumption Multiple. 2 4 2 3 4" xfId="7036"/>
    <cellStyle name="Assumption Multiple. 2 4 2 3 5" xfId="7037"/>
    <cellStyle name="Assumption Multiple. 2 4 2 3 6" xfId="7038"/>
    <cellStyle name="Assumption Multiple. 2 4 2 3 7" xfId="7039"/>
    <cellStyle name="Assumption Multiple. 2 4 2 3 8" xfId="7040"/>
    <cellStyle name="Assumption Multiple. 2 4 2 3 9" xfId="7041"/>
    <cellStyle name="Assumption Multiple. 2 4 2 4" xfId="7042"/>
    <cellStyle name="Assumption Multiple. 2 4 2 5" xfId="7043"/>
    <cellStyle name="Assumption Multiple. 2 4 2 6" xfId="7044"/>
    <cellStyle name="Assumption Multiple. 2 4 2 7" xfId="7045"/>
    <cellStyle name="Assumption Multiple. 2 4 2 8" xfId="7046"/>
    <cellStyle name="Assumption Multiple. 2 4 2 9" xfId="7047"/>
    <cellStyle name="Assumption Multiple. 2 4 3" xfId="7048"/>
    <cellStyle name="Assumption Multiple. 2 4 3 10" xfId="7049"/>
    <cellStyle name="Assumption Multiple. 2 4 3 2" xfId="7050"/>
    <cellStyle name="Assumption Multiple. 2 4 3 2 10" xfId="7051"/>
    <cellStyle name="Assumption Multiple. 2 4 3 2 2" xfId="7052"/>
    <cellStyle name="Assumption Multiple. 2 4 3 2 3" xfId="7053"/>
    <cellStyle name="Assumption Multiple. 2 4 3 2 4" xfId="7054"/>
    <cellStyle name="Assumption Multiple. 2 4 3 2 5" xfId="7055"/>
    <cellStyle name="Assumption Multiple. 2 4 3 2 6" xfId="7056"/>
    <cellStyle name="Assumption Multiple. 2 4 3 2 7" xfId="7057"/>
    <cellStyle name="Assumption Multiple. 2 4 3 2 8" xfId="7058"/>
    <cellStyle name="Assumption Multiple. 2 4 3 2 9" xfId="7059"/>
    <cellStyle name="Assumption Multiple. 2 4 3 3" xfId="7060"/>
    <cellStyle name="Assumption Multiple. 2 4 3 4" xfId="7061"/>
    <cellStyle name="Assumption Multiple. 2 4 3 5" xfId="7062"/>
    <cellStyle name="Assumption Multiple. 2 4 3 6" xfId="7063"/>
    <cellStyle name="Assumption Multiple. 2 4 3 7" xfId="7064"/>
    <cellStyle name="Assumption Multiple. 2 4 3 8" xfId="7065"/>
    <cellStyle name="Assumption Multiple. 2 4 3 9" xfId="7066"/>
    <cellStyle name="Assumption Multiple. 2 4 4" xfId="7067"/>
    <cellStyle name="Assumption Multiple. 2 4 4 10" xfId="7068"/>
    <cellStyle name="Assumption Multiple. 2 4 4 2" xfId="7069"/>
    <cellStyle name="Assumption Multiple. 2 4 4 3" xfId="7070"/>
    <cellStyle name="Assumption Multiple. 2 4 4 4" xfId="7071"/>
    <cellStyle name="Assumption Multiple. 2 4 4 5" xfId="7072"/>
    <cellStyle name="Assumption Multiple. 2 4 4 6" xfId="7073"/>
    <cellStyle name="Assumption Multiple. 2 4 4 7" xfId="7074"/>
    <cellStyle name="Assumption Multiple. 2 4 4 8" xfId="7075"/>
    <cellStyle name="Assumption Multiple. 2 4 4 9" xfId="7076"/>
    <cellStyle name="Assumption Multiple. 2 4 5" xfId="7077"/>
    <cellStyle name="Assumption Multiple. 2 4 6" xfId="7078"/>
    <cellStyle name="Assumption Multiple. 2 4 7" xfId="7079"/>
    <cellStyle name="Assumption Multiple. 2 4 8" xfId="7080"/>
    <cellStyle name="Assumption Multiple. 2 4 9" xfId="7081"/>
    <cellStyle name="Assumption Multiple. 2 5" xfId="7082"/>
    <cellStyle name="Assumption Multiple. 2 5 10" xfId="7083"/>
    <cellStyle name="Assumption Multiple. 2 5 11" xfId="7084"/>
    <cellStyle name="Assumption Multiple. 2 5 12" xfId="7085"/>
    <cellStyle name="Assumption Multiple. 2 5 13" xfId="7086"/>
    <cellStyle name="Assumption Multiple. 2 5 2" xfId="7087"/>
    <cellStyle name="Assumption Multiple. 2 5 2 10" xfId="7088"/>
    <cellStyle name="Assumption Multiple. 2 5 2 11" xfId="7089"/>
    <cellStyle name="Assumption Multiple. 2 5 2 12" xfId="7090"/>
    <cellStyle name="Assumption Multiple. 2 5 2 2" xfId="7091"/>
    <cellStyle name="Assumption Multiple. 2 5 2 2 10" xfId="7092"/>
    <cellStyle name="Assumption Multiple. 2 5 2 2 2" xfId="7093"/>
    <cellStyle name="Assumption Multiple. 2 5 2 2 2 10" xfId="7094"/>
    <cellStyle name="Assumption Multiple. 2 5 2 2 2 2" xfId="7095"/>
    <cellStyle name="Assumption Multiple. 2 5 2 2 2 3" xfId="7096"/>
    <cellStyle name="Assumption Multiple. 2 5 2 2 2 4" xfId="7097"/>
    <cellStyle name="Assumption Multiple. 2 5 2 2 2 5" xfId="7098"/>
    <cellStyle name="Assumption Multiple. 2 5 2 2 2 6" xfId="7099"/>
    <cellStyle name="Assumption Multiple. 2 5 2 2 2 7" xfId="7100"/>
    <cellStyle name="Assumption Multiple. 2 5 2 2 2 8" xfId="7101"/>
    <cellStyle name="Assumption Multiple. 2 5 2 2 2 9" xfId="7102"/>
    <cellStyle name="Assumption Multiple. 2 5 2 2 3" xfId="7103"/>
    <cellStyle name="Assumption Multiple. 2 5 2 2 4" xfId="7104"/>
    <cellStyle name="Assumption Multiple. 2 5 2 2 5" xfId="7105"/>
    <cellStyle name="Assumption Multiple. 2 5 2 2 6" xfId="7106"/>
    <cellStyle name="Assumption Multiple. 2 5 2 2 7" xfId="7107"/>
    <cellStyle name="Assumption Multiple. 2 5 2 2 8" xfId="7108"/>
    <cellStyle name="Assumption Multiple. 2 5 2 2 9" xfId="7109"/>
    <cellStyle name="Assumption Multiple. 2 5 2 3" xfId="7110"/>
    <cellStyle name="Assumption Multiple. 2 5 2 3 10" xfId="7111"/>
    <cellStyle name="Assumption Multiple. 2 5 2 3 2" xfId="7112"/>
    <cellStyle name="Assumption Multiple. 2 5 2 3 3" xfId="7113"/>
    <cellStyle name="Assumption Multiple. 2 5 2 3 4" xfId="7114"/>
    <cellStyle name="Assumption Multiple. 2 5 2 3 5" xfId="7115"/>
    <cellStyle name="Assumption Multiple. 2 5 2 3 6" xfId="7116"/>
    <cellStyle name="Assumption Multiple. 2 5 2 3 7" xfId="7117"/>
    <cellStyle name="Assumption Multiple. 2 5 2 3 8" xfId="7118"/>
    <cellStyle name="Assumption Multiple. 2 5 2 3 9" xfId="7119"/>
    <cellStyle name="Assumption Multiple. 2 5 2 4" xfId="7120"/>
    <cellStyle name="Assumption Multiple. 2 5 2 5" xfId="7121"/>
    <cellStyle name="Assumption Multiple. 2 5 2 6" xfId="7122"/>
    <cellStyle name="Assumption Multiple. 2 5 2 7" xfId="7123"/>
    <cellStyle name="Assumption Multiple. 2 5 2 8" xfId="7124"/>
    <cellStyle name="Assumption Multiple. 2 5 2 9" xfId="7125"/>
    <cellStyle name="Assumption Multiple. 2 5 3" xfId="7126"/>
    <cellStyle name="Assumption Multiple. 2 5 3 10" xfId="7127"/>
    <cellStyle name="Assumption Multiple. 2 5 3 2" xfId="7128"/>
    <cellStyle name="Assumption Multiple. 2 5 3 2 10" xfId="7129"/>
    <cellStyle name="Assumption Multiple. 2 5 3 2 2" xfId="7130"/>
    <cellStyle name="Assumption Multiple. 2 5 3 2 3" xfId="7131"/>
    <cellStyle name="Assumption Multiple. 2 5 3 2 4" xfId="7132"/>
    <cellStyle name="Assumption Multiple. 2 5 3 2 5" xfId="7133"/>
    <cellStyle name="Assumption Multiple. 2 5 3 2 6" xfId="7134"/>
    <cellStyle name="Assumption Multiple. 2 5 3 2 7" xfId="7135"/>
    <cellStyle name="Assumption Multiple. 2 5 3 2 8" xfId="7136"/>
    <cellStyle name="Assumption Multiple. 2 5 3 2 9" xfId="7137"/>
    <cellStyle name="Assumption Multiple. 2 5 3 3" xfId="7138"/>
    <cellStyle name="Assumption Multiple. 2 5 3 4" xfId="7139"/>
    <cellStyle name="Assumption Multiple. 2 5 3 5" xfId="7140"/>
    <cellStyle name="Assumption Multiple. 2 5 3 6" xfId="7141"/>
    <cellStyle name="Assumption Multiple. 2 5 3 7" xfId="7142"/>
    <cellStyle name="Assumption Multiple. 2 5 3 8" xfId="7143"/>
    <cellStyle name="Assumption Multiple. 2 5 3 9" xfId="7144"/>
    <cellStyle name="Assumption Multiple. 2 5 4" xfId="7145"/>
    <cellStyle name="Assumption Multiple. 2 5 4 10" xfId="7146"/>
    <cellStyle name="Assumption Multiple. 2 5 4 2" xfId="7147"/>
    <cellStyle name="Assumption Multiple. 2 5 4 3" xfId="7148"/>
    <cellStyle name="Assumption Multiple. 2 5 4 4" xfId="7149"/>
    <cellStyle name="Assumption Multiple. 2 5 4 5" xfId="7150"/>
    <cellStyle name="Assumption Multiple. 2 5 4 6" xfId="7151"/>
    <cellStyle name="Assumption Multiple. 2 5 4 7" xfId="7152"/>
    <cellStyle name="Assumption Multiple. 2 5 4 8" xfId="7153"/>
    <cellStyle name="Assumption Multiple. 2 5 4 9" xfId="7154"/>
    <cellStyle name="Assumption Multiple. 2 5 5" xfId="7155"/>
    <cellStyle name="Assumption Multiple. 2 5 6" xfId="7156"/>
    <cellStyle name="Assumption Multiple. 2 5 7" xfId="7157"/>
    <cellStyle name="Assumption Multiple. 2 5 8" xfId="7158"/>
    <cellStyle name="Assumption Multiple. 2 5 9" xfId="7159"/>
    <cellStyle name="Assumption Multiple. 2 6" xfId="7160"/>
    <cellStyle name="Assumption Multiple. 2 6 10" xfId="7161"/>
    <cellStyle name="Assumption Multiple. 2 6 11" xfId="7162"/>
    <cellStyle name="Assumption Multiple. 2 6 12" xfId="7163"/>
    <cellStyle name="Assumption Multiple. 2 6 2" xfId="7164"/>
    <cellStyle name="Assumption Multiple. 2 6 2 10" xfId="7165"/>
    <cellStyle name="Assumption Multiple. 2 6 2 2" xfId="7166"/>
    <cellStyle name="Assumption Multiple. 2 6 2 2 10" xfId="7167"/>
    <cellStyle name="Assumption Multiple. 2 6 2 2 2" xfId="7168"/>
    <cellStyle name="Assumption Multiple. 2 6 2 2 3" xfId="7169"/>
    <cellStyle name="Assumption Multiple. 2 6 2 2 4" xfId="7170"/>
    <cellStyle name="Assumption Multiple. 2 6 2 2 5" xfId="7171"/>
    <cellStyle name="Assumption Multiple. 2 6 2 2 6" xfId="7172"/>
    <cellStyle name="Assumption Multiple. 2 6 2 2 7" xfId="7173"/>
    <cellStyle name="Assumption Multiple. 2 6 2 2 8" xfId="7174"/>
    <cellStyle name="Assumption Multiple. 2 6 2 2 9" xfId="7175"/>
    <cellStyle name="Assumption Multiple. 2 6 2 3" xfId="7176"/>
    <cellStyle name="Assumption Multiple. 2 6 2 4" xfId="7177"/>
    <cellStyle name="Assumption Multiple. 2 6 2 5" xfId="7178"/>
    <cellStyle name="Assumption Multiple. 2 6 2 6" xfId="7179"/>
    <cellStyle name="Assumption Multiple. 2 6 2 7" xfId="7180"/>
    <cellStyle name="Assumption Multiple. 2 6 2 8" xfId="7181"/>
    <cellStyle name="Assumption Multiple. 2 6 2 9" xfId="7182"/>
    <cellStyle name="Assumption Multiple. 2 6 3" xfId="7183"/>
    <cellStyle name="Assumption Multiple. 2 6 3 10" xfId="7184"/>
    <cellStyle name="Assumption Multiple. 2 6 3 2" xfId="7185"/>
    <cellStyle name="Assumption Multiple. 2 6 3 3" xfId="7186"/>
    <cellStyle name="Assumption Multiple. 2 6 3 4" xfId="7187"/>
    <cellStyle name="Assumption Multiple. 2 6 3 5" xfId="7188"/>
    <cellStyle name="Assumption Multiple. 2 6 3 6" xfId="7189"/>
    <cellStyle name="Assumption Multiple. 2 6 3 7" xfId="7190"/>
    <cellStyle name="Assumption Multiple. 2 6 3 8" xfId="7191"/>
    <cellStyle name="Assumption Multiple. 2 6 3 9" xfId="7192"/>
    <cellStyle name="Assumption Multiple. 2 6 4" xfId="7193"/>
    <cellStyle name="Assumption Multiple. 2 6 5" xfId="7194"/>
    <cellStyle name="Assumption Multiple. 2 6 6" xfId="7195"/>
    <cellStyle name="Assumption Multiple. 2 6 7" xfId="7196"/>
    <cellStyle name="Assumption Multiple. 2 6 8" xfId="7197"/>
    <cellStyle name="Assumption Multiple. 2 6 9" xfId="7198"/>
    <cellStyle name="Assumption Multiple. 2 7" xfId="7199"/>
    <cellStyle name="Assumption Multiple. 2 7 10" xfId="7200"/>
    <cellStyle name="Assumption Multiple. 2 7 11" xfId="7201"/>
    <cellStyle name="Assumption Multiple. 2 7 12" xfId="7202"/>
    <cellStyle name="Assumption Multiple. 2 7 2" xfId="7203"/>
    <cellStyle name="Assumption Multiple. 2 7 2 10" xfId="7204"/>
    <cellStyle name="Assumption Multiple. 2 7 2 2" xfId="7205"/>
    <cellStyle name="Assumption Multiple. 2 7 2 2 10" xfId="7206"/>
    <cellStyle name="Assumption Multiple. 2 7 2 2 2" xfId="7207"/>
    <cellStyle name="Assumption Multiple. 2 7 2 2 3" xfId="7208"/>
    <cellStyle name="Assumption Multiple. 2 7 2 2 4" xfId="7209"/>
    <cellStyle name="Assumption Multiple. 2 7 2 2 5" xfId="7210"/>
    <cellStyle name="Assumption Multiple. 2 7 2 2 6" xfId="7211"/>
    <cellStyle name="Assumption Multiple. 2 7 2 2 7" xfId="7212"/>
    <cellStyle name="Assumption Multiple. 2 7 2 2 8" xfId="7213"/>
    <cellStyle name="Assumption Multiple. 2 7 2 2 9" xfId="7214"/>
    <cellStyle name="Assumption Multiple. 2 7 2 3" xfId="7215"/>
    <cellStyle name="Assumption Multiple. 2 7 2 4" xfId="7216"/>
    <cellStyle name="Assumption Multiple. 2 7 2 5" xfId="7217"/>
    <cellStyle name="Assumption Multiple. 2 7 2 6" xfId="7218"/>
    <cellStyle name="Assumption Multiple. 2 7 2 7" xfId="7219"/>
    <cellStyle name="Assumption Multiple. 2 7 2 8" xfId="7220"/>
    <cellStyle name="Assumption Multiple. 2 7 2 9" xfId="7221"/>
    <cellStyle name="Assumption Multiple. 2 7 3" xfId="7222"/>
    <cellStyle name="Assumption Multiple. 2 7 3 10" xfId="7223"/>
    <cellStyle name="Assumption Multiple. 2 7 3 2" xfId="7224"/>
    <cellStyle name="Assumption Multiple. 2 7 3 3" xfId="7225"/>
    <cellStyle name="Assumption Multiple. 2 7 3 4" xfId="7226"/>
    <cellStyle name="Assumption Multiple. 2 7 3 5" xfId="7227"/>
    <cellStyle name="Assumption Multiple. 2 7 3 6" xfId="7228"/>
    <cellStyle name="Assumption Multiple. 2 7 3 7" xfId="7229"/>
    <cellStyle name="Assumption Multiple. 2 7 3 8" xfId="7230"/>
    <cellStyle name="Assumption Multiple. 2 7 3 9" xfId="7231"/>
    <cellStyle name="Assumption Multiple. 2 7 4" xfId="7232"/>
    <cellStyle name="Assumption Multiple. 2 7 5" xfId="7233"/>
    <cellStyle name="Assumption Multiple. 2 7 6" xfId="7234"/>
    <cellStyle name="Assumption Multiple. 2 7 7" xfId="7235"/>
    <cellStyle name="Assumption Multiple. 2 7 8" xfId="7236"/>
    <cellStyle name="Assumption Multiple. 2 7 9" xfId="7237"/>
    <cellStyle name="Assumption Multiple. 2 8" xfId="7238"/>
    <cellStyle name="Assumption Multiple. 2 8 10" xfId="7239"/>
    <cellStyle name="Assumption Multiple. 2 8 11" xfId="7240"/>
    <cellStyle name="Assumption Multiple. 2 8 12" xfId="7241"/>
    <cellStyle name="Assumption Multiple. 2 8 2" xfId="7242"/>
    <cellStyle name="Assumption Multiple. 2 8 2 10" xfId="7243"/>
    <cellStyle name="Assumption Multiple. 2 8 2 2" xfId="7244"/>
    <cellStyle name="Assumption Multiple. 2 8 2 2 10" xfId="7245"/>
    <cellStyle name="Assumption Multiple. 2 8 2 2 2" xfId="7246"/>
    <cellStyle name="Assumption Multiple. 2 8 2 2 3" xfId="7247"/>
    <cellStyle name="Assumption Multiple. 2 8 2 2 4" xfId="7248"/>
    <cellStyle name="Assumption Multiple. 2 8 2 2 5" xfId="7249"/>
    <cellStyle name="Assumption Multiple. 2 8 2 2 6" xfId="7250"/>
    <cellStyle name="Assumption Multiple. 2 8 2 2 7" xfId="7251"/>
    <cellStyle name="Assumption Multiple. 2 8 2 2 8" xfId="7252"/>
    <cellStyle name="Assumption Multiple. 2 8 2 2 9" xfId="7253"/>
    <cellStyle name="Assumption Multiple. 2 8 2 3" xfId="7254"/>
    <cellStyle name="Assumption Multiple. 2 8 2 4" xfId="7255"/>
    <cellStyle name="Assumption Multiple. 2 8 2 5" xfId="7256"/>
    <cellStyle name="Assumption Multiple. 2 8 2 6" xfId="7257"/>
    <cellStyle name="Assumption Multiple. 2 8 2 7" xfId="7258"/>
    <cellStyle name="Assumption Multiple. 2 8 2 8" xfId="7259"/>
    <cellStyle name="Assumption Multiple. 2 8 2 9" xfId="7260"/>
    <cellStyle name="Assumption Multiple. 2 8 3" xfId="7261"/>
    <cellStyle name="Assumption Multiple. 2 8 3 10" xfId="7262"/>
    <cellStyle name="Assumption Multiple. 2 8 3 2" xfId="7263"/>
    <cellStyle name="Assumption Multiple. 2 8 3 3" xfId="7264"/>
    <cellStyle name="Assumption Multiple. 2 8 3 4" xfId="7265"/>
    <cellStyle name="Assumption Multiple. 2 8 3 5" xfId="7266"/>
    <cellStyle name="Assumption Multiple. 2 8 3 6" xfId="7267"/>
    <cellStyle name="Assumption Multiple. 2 8 3 7" xfId="7268"/>
    <cellStyle name="Assumption Multiple. 2 8 3 8" xfId="7269"/>
    <cellStyle name="Assumption Multiple. 2 8 3 9" xfId="7270"/>
    <cellStyle name="Assumption Multiple. 2 8 4" xfId="7271"/>
    <cellStyle name="Assumption Multiple. 2 8 5" xfId="7272"/>
    <cellStyle name="Assumption Multiple. 2 8 6" xfId="7273"/>
    <cellStyle name="Assumption Multiple. 2 8 7" xfId="7274"/>
    <cellStyle name="Assumption Multiple. 2 8 8" xfId="7275"/>
    <cellStyle name="Assumption Multiple. 2 8 9" xfId="7276"/>
    <cellStyle name="Assumption Multiple. 2 9" xfId="7277"/>
    <cellStyle name="Assumption Multiple. 2 9 10" xfId="7278"/>
    <cellStyle name="Assumption Multiple. 2 9 2" xfId="7279"/>
    <cellStyle name="Assumption Multiple. 2 9 2 10" xfId="7280"/>
    <cellStyle name="Assumption Multiple. 2 9 2 2" xfId="7281"/>
    <cellStyle name="Assumption Multiple. 2 9 2 3" xfId="7282"/>
    <cellStyle name="Assumption Multiple. 2 9 2 4" xfId="7283"/>
    <cellStyle name="Assumption Multiple. 2 9 2 5" xfId="7284"/>
    <cellStyle name="Assumption Multiple. 2 9 2 6" xfId="7285"/>
    <cellStyle name="Assumption Multiple. 2 9 2 7" xfId="7286"/>
    <cellStyle name="Assumption Multiple. 2 9 2 8" xfId="7287"/>
    <cellStyle name="Assumption Multiple. 2 9 2 9" xfId="7288"/>
    <cellStyle name="Assumption Multiple. 2 9 3" xfId="7289"/>
    <cellStyle name="Assumption Multiple. 2 9 4" xfId="7290"/>
    <cellStyle name="Assumption Multiple. 2 9 5" xfId="7291"/>
    <cellStyle name="Assumption Multiple. 2 9 6" xfId="7292"/>
    <cellStyle name="Assumption Multiple. 2 9 7" xfId="7293"/>
    <cellStyle name="Assumption Multiple. 2 9 8" xfId="7294"/>
    <cellStyle name="Assumption Multiple. 2 9 9" xfId="7295"/>
    <cellStyle name="Assumption Multiple. 3" xfId="7296"/>
    <cellStyle name="Assumption Multiple. 3 10" xfId="7297"/>
    <cellStyle name="Assumption Multiple. 3 11" xfId="7298"/>
    <cellStyle name="Assumption Multiple. 3 12" xfId="7299"/>
    <cellStyle name="Assumption Multiple. 3 13" xfId="7300"/>
    <cellStyle name="Assumption Multiple. 3 14" xfId="7301"/>
    <cellStyle name="Assumption Multiple. 3 15" xfId="7302"/>
    <cellStyle name="Assumption Multiple. 3 16" xfId="7303"/>
    <cellStyle name="Assumption Multiple. 3 2" xfId="7304"/>
    <cellStyle name="Assumption Multiple. 3 2 10" xfId="7305"/>
    <cellStyle name="Assumption Multiple. 3 2 11" xfId="7306"/>
    <cellStyle name="Assumption Multiple. 3 2 12" xfId="7307"/>
    <cellStyle name="Assumption Multiple. 3 2 13" xfId="7308"/>
    <cellStyle name="Assumption Multiple. 3 2 14" xfId="7309"/>
    <cellStyle name="Assumption Multiple. 3 2 2" xfId="7310"/>
    <cellStyle name="Assumption Multiple. 3 2 2 10" xfId="7311"/>
    <cellStyle name="Assumption Multiple. 3 2 2 11" xfId="7312"/>
    <cellStyle name="Assumption Multiple. 3 2 2 12" xfId="7313"/>
    <cellStyle name="Assumption Multiple. 3 2 2 13" xfId="7314"/>
    <cellStyle name="Assumption Multiple. 3 2 2 2" xfId="7315"/>
    <cellStyle name="Assumption Multiple. 3 2 2 2 10" xfId="7316"/>
    <cellStyle name="Assumption Multiple. 3 2 2 2 11" xfId="7317"/>
    <cellStyle name="Assumption Multiple. 3 2 2 2 12" xfId="7318"/>
    <cellStyle name="Assumption Multiple. 3 2 2 2 2" xfId="7319"/>
    <cellStyle name="Assumption Multiple. 3 2 2 2 2 10" xfId="7320"/>
    <cellStyle name="Assumption Multiple. 3 2 2 2 2 2" xfId="7321"/>
    <cellStyle name="Assumption Multiple. 3 2 2 2 2 2 10" xfId="7322"/>
    <cellStyle name="Assumption Multiple. 3 2 2 2 2 2 2" xfId="7323"/>
    <cellStyle name="Assumption Multiple. 3 2 2 2 2 2 3" xfId="7324"/>
    <cellStyle name="Assumption Multiple. 3 2 2 2 2 2 4" xfId="7325"/>
    <cellStyle name="Assumption Multiple. 3 2 2 2 2 2 5" xfId="7326"/>
    <cellStyle name="Assumption Multiple. 3 2 2 2 2 2 6" xfId="7327"/>
    <cellStyle name="Assumption Multiple. 3 2 2 2 2 2 7" xfId="7328"/>
    <cellStyle name="Assumption Multiple. 3 2 2 2 2 2 8" xfId="7329"/>
    <cellStyle name="Assumption Multiple. 3 2 2 2 2 2 9" xfId="7330"/>
    <cellStyle name="Assumption Multiple. 3 2 2 2 2 3" xfId="7331"/>
    <cellStyle name="Assumption Multiple. 3 2 2 2 2 4" xfId="7332"/>
    <cellStyle name="Assumption Multiple. 3 2 2 2 2 5" xfId="7333"/>
    <cellStyle name="Assumption Multiple. 3 2 2 2 2 6" xfId="7334"/>
    <cellStyle name="Assumption Multiple. 3 2 2 2 2 7" xfId="7335"/>
    <cellStyle name="Assumption Multiple. 3 2 2 2 2 8" xfId="7336"/>
    <cellStyle name="Assumption Multiple. 3 2 2 2 2 9" xfId="7337"/>
    <cellStyle name="Assumption Multiple. 3 2 2 2 3" xfId="7338"/>
    <cellStyle name="Assumption Multiple. 3 2 2 2 3 10" xfId="7339"/>
    <cellStyle name="Assumption Multiple. 3 2 2 2 3 2" xfId="7340"/>
    <cellStyle name="Assumption Multiple. 3 2 2 2 3 3" xfId="7341"/>
    <cellStyle name="Assumption Multiple. 3 2 2 2 3 4" xfId="7342"/>
    <cellStyle name="Assumption Multiple. 3 2 2 2 3 5" xfId="7343"/>
    <cellStyle name="Assumption Multiple. 3 2 2 2 3 6" xfId="7344"/>
    <cellStyle name="Assumption Multiple. 3 2 2 2 3 7" xfId="7345"/>
    <cellStyle name="Assumption Multiple. 3 2 2 2 3 8" xfId="7346"/>
    <cellStyle name="Assumption Multiple. 3 2 2 2 3 9" xfId="7347"/>
    <cellStyle name="Assumption Multiple. 3 2 2 2 4" xfId="7348"/>
    <cellStyle name="Assumption Multiple. 3 2 2 2 5" xfId="7349"/>
    <cellStyle name="Assumption Multiple. 3 2 2 2 6" xfId="7350"/>
    <cellStyle name="Assumption Multiple. 3 2 2 2 7" xfId="7351"/>
    <cellStyle name="Assumption Multiple. 3 2 2 2 8" xfId="7352"/>
    <cellStyle name="Assumption Multiple. 3 2 2 2 9" xfId="7353"/>
    <cellStyle name="Assumption Multiple. 3 2 2 3" xfId="7354"/>
    <cellStyle name="Assumption Multiple. 3 2 2 3 10" xfId="7355"/>
    <cellStyle name="Assumption Multiple. 3 2 2 3 2" xfId="7356"/>
    <cellStyle name="Assumption Multiple. 3 2 2 3 2 10" xfId="7357"/>
    <cellStyle name="Assumption Multiple. 3 2 2 3 2 2" xfId="7358"/>
    <cellStyle name="Assumption Multiple. 3 2 2 3 2 3" xfId="7359"/>
    <cellStyle name="Assumption Multiple. 3 2 2 3 2 4" xfId="7360"/>
    <cellStyle name="Assumption Multiple. 3 2 2 3 2 5" xfId="7361"/>
    <cellStyle name="Assumption Multiple. 3 2 2 3 2 6" xfId="7362"/>
    <cellStyle name="Assumption Multiple. 3 2 2 3 2 7" xfId="7363"/>
    <cellStyle name="Assumption Multiple. 3 2 2 3 2 8" xfId="7364"/>
    <cellStyle name="Assumption Multiple. 3 2 2 3 2 9" xfId="7365"/>
    <cellStyle name="Assumption Multiple. 3 2 2 3 3" xfId="7366"/>
    <cellStyle name="Assumption Multiple. 3 2 2 3 4" xfId="7367"/>
    <cellStyle name="Assumption Multiple. 3 2 2 3 5" xfId="7368"/>
    <cellStyle name="Assumption Multiple. 3 2 2 3 6" xfId="7369"/>
    <cellStyle name="Assumption Multiple. 3 2 2 3 7" xfId="7370"/>
    <cellStyle name="Assumption Multiple. 3 2 2 3 8" xfId="7371"/>
    <cellStyle name="Assumption Multiple. 3 2 2 3 9" xfId="7372"/>
    <cellStyle name="Assumption Multiple. 3 2 2 4" xfId="7373"/>
    <cellStyle name="Assumption Multiple. 3 2 2 4 10" xfId="7374"/>
    <cellStyle name="Assumption Multiple. 3 2 2 4 2" xfId="7375"/>
    <cellStyle name="Assumption Multiple. 3 2 2 4 3" xfId="7376"/>
    <cellStyle name="Assumption Multiple. 3 2 2 4 4" xfId="7377"/>
    <cellStyle name="Assumption Multiple. 3 2 2 4 5" xfId="7378"/>
    <cellStyle name="Assumption Multiple. 3 2 2 4 6" xfId="7379"/>
    <cellStyle name="Assumption Multiple. 3 2 2 4 7" xfId="7380"/>
    <cellStyle name="Assumption Multiple. 3 2 2 4 8" xfId="7381"/>
    <cellStyle name="Assumption Multiple. 3 2 2 4 9" xfId="7382"/>
    <cellStyle name="Assumption Multiple. 3 2 2 5" xfId="7383"/>
    <cellStyle name="Assumption Multiple. 3 2 2 6" xfId="7384"/>
    <cellStyle name="Assumption Multiple. 3 2 2 7" xfId="7385"/>
    <cellStyle name="Assumption Multiple. 3 2 2 8" xfId="7386"/>
    <cellStyle name="Assumption Multiple. 3 2 2 9" xfId="7387"/>
    <cellStyle name="Assumption Multiple. 3 2 3" xfId="7388"/>
    <cellStyle name="Assumption Multiple. 3 2 3 10" xfId="7389"/>
    <cellStyle name="Assumption Multiple. 3 2 3 11" xfId="7390"/>
    <cellStyle name="Assumption Multiple. 3 2 3 12" xfId="7391"/>
    <cellStyle name="Assumption Multiple. 3 2 3 2" xfId="7392"/>
    <cellStyle name="Assumption Multiple. 3 2 3 2 10" xfId="7393"/>
    <cellStyle name="Assumption Multiple. 3 2 3 2 2" xfId="7394"/>
    <cellStyle name="Assumption Multiple. 3 2 3 2 2 10" xfId="7395"/>
    <cellStyle name="Assumption Multiple. 3 2 3 2 2 2" xfId="7396"/>
    <cellStyle name="Assumption Multiple. 3 2 3 2 2 3" xfId="7397"/>
    <cellStyle name="Assumption Multiple. 3 2 3 2 2 4" xfId="7398"/>
    <cellStyle name="Assumption Multiple. 3 2 3 2 2 5" xfId="7399"/>
    <cellStyle name="Assumption Multiple. 3 2 3 2 2 6" xfId="7400"/>
    <cellStyle name="Assumption Multiple. 3 2 3 2 2 7" xfId="7401"/>
    <cellStyle name="Assumption Multiple. 3 2 3 2 2 8" xfId="7402"/>
    <cellStyle name="Assumption Multiple. 3 2 3 2 2 9" xfId="7403"/>
    <cellStyle name="Assumption Multiple. 3 2 3 2 3" xfId="7404"/>
    <cellStyle name="Assumption Multiple. 3 2 3 2 4" xfId="7405"/>
    <cellStyle name="Assumption Multiple. 3 2 3 2 5" xfId="7406"/>
    <cellStyle name="Assumption Multiple. 3 2 3 2 6" xfId="7407"/>
    <cellStyle name="Assumption Multiple. 3 2 3 2 7" xfId="7408"/>
    <cellStyle name="Assumption Multiple. 3 2 3 2 8" xfId="7409"/>
    <cellStyle name="Assumption Multiple. 3 2 3 2 9" xfId="7410"/>
    <cellStyle name="Assumption Multiple. 3 2 3 3" xfId="7411"/>
    <cellStyle name="Assumption Multiple. 3 2 3 3 10" xfId="7412"/>
    <cellStyle name="Assumption Multiple. 3 2 3 3 2" xfId="7413"/>
    <cellStyle name="Assumption Multiple. 3 2 3 3 3" xfId="7414"/>
    <cellStyle name="Assumption Multiple. 3 2 3 3 4" xfId="7415"/>
    <cellStyle name="Assumption Multiple. 3 2 3 3 5" xfId="7416"/>
    <cellStyle name="Assumption Multiple. 3 2 3 3 6" xfId="7417"/>
    <cellStyle name="Assumption Multiple. 3 2 3 3 7" xfId="7418"/>
    <cellStyle name="Assumption Multiple. 3 2 3 3 8" xfId="7419"/>
    <cellStyle name="Assumption Multiple. 3 2 3 3 9" xfId="7420"/>
    <cellStyle name="Assumption Multiple. 3 2 3 4" xfId="7421"/>
    <cellStyle name="Assumption Multiple. 3 2 3 5" xfId="7422"/>
    <cellStyle name="Assumption Multiple. 3 2 3 6" xfId="7423"/>
    <cellStyle name="Assumption Multiple. 3 2 3 7" xfId="7424"/>
    <cellStyle name="Assumption Multiple. 3 2 3 8" xfId="7425"/>
    <cellStyle name="Assumption Multiple. 3 2 3 9" xfId="7426"/>
    <cellStyle name="Assumption Multiple. 3 2 4" xfId="7427"/>
    <cellStyle name="Assumption Multiple. 3 2 4 10" xfId="7428"/>
    <cellStyle name="Assumption Multiple. 3 2 4 2" xfId="7429"/>
    <cellStyle name="Assumption Multiple. 3 2 4 2 10" xfId="7430"/>
    <cellStyle name="Assumption Multiple. 3 2 4 2 2" xfId="7431"/>
    <cellStyle name="Assumption Multiple. 3 2 4 2 3" xfId="7432"/>
    <cellStyle name="Assumption Multiple. 3 2 4 2 4" xfId="7433"/>
    <cellStyle name="Assumption Multiple. 3 2 4 2 5" xfId="7434"/>
    <cellStyle name="Assumption Multiple. 3 2 4 2 6" xfId="7435"/>
    <cellStyle name="Assumption Multiple. 3 2 4 2 7" xfId="7436"/>
    <cellStyle name="Assumption Multiple. 3 2 4 2 8" xfId="7437"/>
    <cellStyle name="Assumption Multiple. 3 2 4 2 9" xfId="7438"/>
    <cellStyle name="Assumption Multiple. 3 2 4 3" xfId="7439"/>
    <cellStyle name="Assumption Multiple. 3 2 4 4" xfId="7440"/>
    <cellStyle name="Assumption Multiple. 3 2 4 5" xfId="7441"/>
    <cellStyle name="Assumption Multiple. 3 2 4 6" xfId="7442"/>
    <cellStyle name="Assumption Multiple. 3 2 4 7" xfId="7443"/>
    <cellStyle name="Assumption Multiple. 3 2 4 8" xfId="7444"/>
    <cellStyle name="Assumption Multiple. 3 2 4 9" xfId="7445"/>
    <cellStyle name="Assumption Multiple. 3 2 5" xfId="7446"/>
    <cellStyle name="Assumption Multiple. 3 2 5 10" xfId="7447"/>
    <cellStyle name="Assumption Multiple. 3 2 5 2" xfId="7448"/>
    <cellStyle name="Assumption Multiple. 3 2 5 3" xfId="7449"/>
    <cellStyle name="Assumption Multiple. 3 2 5 4" xfId="7450"/>
    <cellStyle name="Assumption Multiple. 3 2 5 5" xfId="7451"/>
    <cellStyle name="Assumption Multiple. 3 2 5 6" xfId="7452"/>
    <cellStyle name="Assumption Multiple. 3 2 5 7" xfId="7453"/>
    <cellStyle name="Assumption Multiple. 3 2 5 8" xfId="7454"/>
    <cellStyle name="Assumption Multiple. 3 2 5 9" xfId="7455"/>
    <cellStyle name="Assumption Multiple. 3 2 6" xfId="7456"/>
    <cellStyle name="Assumption Multiple. 3 2 7" xfId="7457"/>
    <cellStyle name="Assumption Multiple. 3 2 8" xfId="7458"/>
    <cellStyle name="Assumption Multiple. 3 2 9" xfId="7459"/>
    <cellStyle name="Assumption Multiple. 3 3" xfId="7460"/>
    <cellStyle name="Assumption Multiple. 3 3 10" xfId="7461"/>
    <cellStyle name="Assumption Multiple. 3 3 11" xfId="7462"/>
    <cellStyle name="Assumption Multiple. 3 3 12" xfId="7463"/>
    <cellStyle name="Assumption Multiple. 3 3 13" xfId="7464"/>
    <cellStyle name="Assumption Multiple. 3 3 2" xfId="7465"/>
    <cellStyle name="Assumption Multiple. 3 3 2 10" xfId="7466"/>
    <cellStyle name="Assumption Multiple. 3 3 2 11" xfId="7467"/>
    <cellStyle name="Assumption Multiple. 3 3 2 12" xfId="7468"/>
    <cellStyle name="Assumption Multiple. 3 3 2 2" xfId="7469"/>
    <cellStyle name="Assumption Multiple. 3 3 2 2 10" xfId="7470"/>
    <cellStyle name="Assumption Multiple. 3 3 2 2 2" xfId="7471"/>
    <cellStyle name="Assumption Multiple. 3 3 2 2 2 10" xfId="7472"/>
    <cellStyle name="Assumption Multiple. 3 3 2 2 2 2" xfId="7473"/>
    <cellStyle name="Assumption Multiple. 3 3 2 2 2 3" xfId="7474"/>
    <cellStyle name="Assumption Multiple. 3 3 2 2 2 4" xfId="7475"/>
    <cellStyle name="Assumption Multiple. 3 3 2 2 2 5" xfId="7476"/>
    <cellStyle name="Assumption Multiple. 3 3 2 2 2 6" xfId="7477"/>
    <cellStyle name="Assumption Multiple. 3 3 2 2 2 7" xfId="7478"/>
    <cellStyle name="Assumption Multiple. 3 3 2 2 2 8" xfId="7479"/>
    <cellStyle name="Assumption Multiple. 3 3 2 2 2 9" xfId="7480"/>
    <cellStyle name="Assumption Multiple. 3 3 2 2 3" xfId="7481"/>
    <cellStyle name="Assumption Multiple. 3 3 2 2 4" xfId="7482"/>
    <cellStyle name="Assumption Multiple. 3 3 2 2 5" xfId="7483"/>
    <cellStyle name="Assumption Multiple. 3 3 2 2 6" xfId="7484"/>
    <cellStyle name="Assumption Multiple. 3 3 2 2 7" xfId="7485"/>
    <cellStyle name="Assumption Multiple. 3 3 2 2 8" xfId="7486"/>
    <cellStyle name="Assumption Multiple. 3 3 2 2 9" xfId="7487"/>
    <cellStyle name="Assumption Multiple. 3 3 2 3" xfId="7488"/>
    <cellStyle name="Assumption Multiple. 3 3 2 3 10" xfId="7489"/>
    <cellStyle name="Assumption Multiple. 3 3 2 3 2" xfId="7490"/>
    <cellStyle name="Assumption Multiple. 3 3 2 3 3" xfId="7491"/>
    <cellStyle name="Assumption Multiple. 3 3 2 3 4" xfId="7492"/>
    <cellStyle name="Assumption Multiple. 3 3 2 3 5" xfId="7493"/>
    <cellStyle name="Assumption Multiple. 3 3 2 3 6" xfId="7494"/>
    <cellStyle name="Assumption Multiple. 3 3 2 3 7" xfId="7495"/>
    <cellStyle name="Assumption Multiple. 3 3 2 3 8" xfId="7496"/>
    <cellStyle name="Assumption Multiple. 3 3 2 3 9" xfId="7497"/>
    <cellStyle name="Assumption Multiple. 3 3 2 4" xfId="7498"/>
    <cellStyle name="Assumption Multiple. 3 3 2 5" xfId="7499"/>
    <cellStyle name="Assumption Multiple. 3 3 2 6" xfId="7500"/>
    <cellStyle name="Assumption Multiple. 3 3 2 7" xfId="7501"/>
    <cellStyle name="Assumption Multiple. 3 3 2 8" xfId="7502"/>
    <cellStyle name="Assumption Multiple. 3 3 2 9" xfId="7503"/>
    <cellStyle name="Assumption Multiple. 3 3 3" xfId="7504"/>
    <cellStyle name="Assumption Multiple. 3 3 3 10" xfId="7505"/>
    <cellStyle name="Assumption Multiple. 3 3 3 2" xfId="7506"/>
    <cellStyle name="Assumption Multiple. 3 3 3 2 10" xfId="7507"/>
    <cellStyle name="Assumption Multiple. 3 3 3 2 2" xfId="7508"/>
    <cellStyle name="Assumption Multiple. 3 3 3 2 3" xfId="7509"/>
    <cellStyle name="Assumption Multiple. 3 3 3 2 4" xfId="7510"/>
    <cellStyle name="Assumption Multiple. 3 3 3 2 5" xfId="7511"/>
    <cellStyle name="Assumption Multiple. 3 3 3 2 6" xfId="7512"/>
    <cellStyle name="Assumption Multiple. 3 3 3 2 7" xfId="7513"/>
    <cellStyle name="Assumption Multiple. 3 3 3 2 8" xfId="7514"/>
    <cellStyle name="Assumption Multiple. 3 3 3 2 9" xfId="7515"/>
    <cellStyle name="Assumption Multiple. 3 3 3 3" xfId="7516"/>
    <cellStyle name="Assumption Multiple. 3 3 3 4" xfId="7517"/>
    <cellStyle name="Assumption Multiple. 3 3 3 5" xfId="7518"/>
    <cellStyle name="Assumption Multiple. 3 3 3 6" xfId="7519"/>
    <cellStyle name="Assumption Multiple. 3 3 3 7" xfId="7520"/>
    <cellStyle name="Assumption Multiple. 3 3 3 8" xfId="7521"/>
    <cellStyle name="Assumption Multiple. 3 3 3 9" xfId="7522"/>
    <cellStyle name="Assumption Multiple. 3 3 4" xfId="7523"/>
    <cellStyle name="Assumption Multiple. 3 3 4 10" xfId="7524"/>
    <cellStyle name="Assumption Multiple. 3 3 4 2" xfId="7525"/>
    <cellStyle name="Assumption Multiple. 3 3 4 3" xfId="7526"/>
    <cellStyle name="Assumption Multiple. 3 3 4 4" xfId="7527"/>
    <cellStyle name="Assumption Multiple. 3 3 4 5" xfId="7528"/>
    <cellStyle name="Assumption Multiple. 3 3 4 6" xfId="7529"/>
    <cellStyle name="Assumption Multiple. 3 3 4 7" xfId="7530"/>
    <cellStyle name="Assumption Multiple. 3 3 4 8" xfId="7531"/>
    <cellStyle name="Assumption Multiple. 3 3 4 9" xfId="7532"/>
    <cellStyle name="Assumption Multiple. 3 3 5" xfId="7533"/>
    <cellStyle name="Assumption Multiple. 3 3 6" xfId="7534"/>
    <cellStyle name="Assumption Multiple. 3 3 7" xfId="7535"/>
    <cellStyle name="Assumption Multiple. 3 3 8" xfId="7536"/>
    <cellStyle name="Assumption Multiple. 3 3 9" xfId="7537"/>
    <cellStyle name="Assumption Multiple. 3 4" xfId="7538"/>
    <cellStyle name="Assumption Multiple. 3 4 10" xfId="7539"/>
    <cellStyle name="Assumption Multiple. 3 4 11" xfId="7540"/>
    <cellStyle name="Assumption Multiple. 3 4 12" xfId="7541"/>
    <cellStyle name="Assumption Multiple. 3 4 2" xfId="7542"/>
    <cellStyle name="Assumption Multiple. 3 4 2 10" xfId="7543"/>
    <cellStyle name="Assumption Multiple. 3 4 2 2" xfId="7544"/>
    <cellStyle name="Assumption Multiple. 3 4 2 2 10" xfId="7545"/>
    <cellStyle name="Assumption Multiple. 3 4 2 2 2" xfId="7546"/>
    <cellStyle name="Assumption Multiple. 3 4 2 2 3" xfId="7547"/>
    <cellStyle name="Assumption Multiple. 3 4 2 2 4" xfId="7548"/>
    <cellStyle name="Assumption Multiple. 3 4 2 2 5" xfId="7549"/>
    <cellStyle name="Assumption Multiple. 3 4 2 2 6" xfId="7550"/>
    <cellStyle name="Assumption Multiple. 3 4 2 2 7" xfId="7551"/>
    <cellStyle name="Assumption Multiple. 3 4 2 2 8" xfId="7552"/>
    <cellStyle name="Assumption Multiple. 3 4 2 2 9" xfId="7553"/>
    <cellStyle name="Assumption Multiple. 3 4 2 3" xfId="7554"/>
    <cellStyle name="Assumption Multiple. 3 4 2 4" xfId="7555"/>
    <cellStyle name="Assumption Multiple. 3 4 2 5" xfId="7556"/>
    <cellStyle name="Assumption Multiple. 3 4 2 6" xfId="7557"/>
    <cellStyle name="Assumption Multiple. 3 4 2 7" xfId="7558"/>
    <cellStyle name="Assumption Multiple. 3 4 2 8" xfId="7559"/>
    <cellStyle name="Assumption Multiple. 3 4 2 9" xfId="7560"/>
    <cellStyle name="Assumption Multiple. 3 4 3" xfId="7561"/>
    <cellStyle name="Assumption Multiple. 3 4 3 10" xfId="7562"/>
    <cellStyle name="Assumption Multiple. 3 4 3 2" xfId="7563"/>
    <cellStyle name="Assumption Multiple. 3 4 3 3" xfId="7564"/>
    <cellStyle name="Assumption Multiple. 3 4 3 4" xfId="7565"/>
    <cellStyle name="Assumption Multiple. 3 4 3 5" xfId="7566"/>
    <cellStyle name="Assumption Multiple. 3 4 3 6" xfId="7567"/>
    <cellStyle name="Assumption Multiple. 3 4 3 7" xfId="7568"/>
    <cellStyle name="Assumption Multiple. 3 4 3 8" xfId="7569"/>
    <cellStyle name="Assumption Multiple. 3 4 3 9" xfId="7570"/>
    <cellStyle name="Assumption Multiple. 3 4 4" xfId="7571"/>
    <cellStyle name="Assumption Multiple. 3 4 5" xfId="7572"/>
    <cellStyle name="Assumption Multiple. 3 4 6" xfId="7573"/>
    <cellStyle name="Assumption Multiple. 3 4 7" xfId="7574"/>
    <cellStyle name="Assumption Multiple. 3 4 8" xfId="7575"/>
    <cellStyle name="Assumption Multiple. 3 4 9" xfId="7576"/>
    <cellStyle name="Assumption Multiple. 3 5" xfId="7577"/>
    <cellStyle name="Assumption Multiple. 3 5 10" xfId="7578"/>
    <cellStyle name="Assumption Multiple. 3 5 11" xfId="7579"/>
    <cellStyle name="Assumption Multiple. 3 5 12" xfId="7580"/>
    <cellStyle name="Assumption Multiple. 3 5 2" xfId="7581"/>
    <cellStyle name="Assumption Multiple. 3 5 2 10" xfId="7582"/>
    <cellStyle name="Assumption Multiple. 3 5 2 2" xfId="7583"/>
    <cellStyle name="Assumption Multiple. 3 5 2 2 10" xfId="7584"/>
    <cellStyle name="Assumption Multiple. 3 5 2 2 2" xfId="7585"/>
    <cellStyle name="Assumption Multiple. 3 5 2 2 3" xfId="7586"/>
    <cellStyle name="Assumption Multiple. 3 5 2 2 4" xfId="7587"/>
    <cellStyle name="Assumption Multiple. 3 5 2 2 5" xfId="7588"/>
    <cellStyle name="Assumption Multiple. 3 5 2 2 6" xfId="7589"/>
    <cellStyle name="Assumption Multiple. 3 5 2 2 7" xfId="7590"/>
    <cellStyle name="Assumption Multiple. 3 5 2 2 8" xfId="7591"/>
    <cellStyle name="Assumption Multiple. 3 5 2 2 9" xfId="7592"/>
    <cellStyle name="Assumption Multiple. 3 5 2 3" xfId="7593"/>
    <cellStyle name="Assumption Multiple. 3 5 2 4" xfId="7594"/>
    <cellStyle name="Assumption Multiple. 3 5 2 5" xfId="7595"/>
    <cellStyle name="Assumption Multiple. 3 5 2 6" xfId="7596"/>
    <cellStyle name="Assumption Multiple. 3 5 2 7" xfId="7597"/>
    <cellStyle name="Assumption Multiple. 3 5 2 8" xfId="7598"/>
    <cellStyle name="Assumption Multiple. 3 5 2 9" xfId="7599"/>
    <cellStyle name="Assumption Multiple. 3 5 3" xfId="7600"/>
    <cellStyle name="Assumption Multiple. 3 5 3 10" xfId="7601"/>
    <cellStyle name="Assumption Multiple. 3 5 3 2" xfId="7602"/>
    <cellStyle name="Assumption Multiple. 3 5 3 3" xfId="7603"/>
    <cellStyle name="Assumption Multiple. 3 5 3 4" xfId="7604"/>
    <cellStyle name="Assumption Multiple. 3 5 3 5" xfId="7605"/>
    <cellStyle name="Assumption Multiple. 3 5 3 6" xfId="7606"/>
    <cellStyle name="Assumption Multiple. 3 5 3 7" xfId="7607"/>
    <cellStyle name="Assumption Multiple. 3 5 3 8" xfId="7608"/>
    <cellStyle name="Assumption Multiple. 3 5 3 9" xfId="7609"/>
    <cellStyle name="Assumption Multiple. 3 5 4" xfId="7610"/>
    <cellStyle name="Assumption Multiple. 3 5 5" xfId="7611"/>
    <cellStyle name="Assumption Multiple. 3 5 6" xfId="7612"/>
    <cellStyle name="Assumption Multiple. 3 5 7" xfId="7613"/>
    <cellStyle name="Assumption Multiple. 3 5 8" xfId="7614"/>
    <cellStyle name="Assumption Multiple. 3 5 9" xfId="7615"/>
    <cellStyle name="Assumption Multiple. 3 6" xfId="7616"/>
    <cellStyle name="Assumption Multiple. 3 6 10" xfId="7617"/>
    <cellStyle name="Assumption Multiple. 3 6 2" xfId="7618"/>
    <cellStyle name="Assumption Multiple. 3 6 2 10" xfId="7619"/>
    <cellStyle name="Assumption Multiple. 3 6 2 2" xfId="7620"/>
    <cellStyle name="Assumption Multiple. 3 6 2 3" xfId="7621"/>
    <cellStyle name="Assumption Multiple. 3 6 2 4" xfId="7622"/>
    <cellStyle name="Assumption Multiple. 3 6 2 5" xfId="7623"/>
    <cellStyle name="Assumption Multiple. 3 6 2 6" xfId="7624"/>
    <cellStyle name="Assumption Multiple. 3 6 2 7" xfId="7625"/>
    <cellStyle name="Assumption Multiple. 3 6 2 8" xfId="7626"/>
    <cellStyle name="Assumption Multiple. 3 6 2 9" xfId="7627"/>
    <cellStyle name="Assumption Multiple. 3 6 3" xfId="7628"/>
    <cellStyle name="Assumption Multiple. 3 6 4" xfId="7629"/>
    <cellStyle name="Assumption Multiple. 3 6 5" xfId="7630"/>
    <cellStyle name="Assumption Multiple. 3 6 6" xfId="7631"/>
    <cellStyle name="Assumption Multiple. 3 6 7" xfId="7632"/>
    <cellStyle name="Assumption Multiple. 3 6 8" xfId="7633"/>
    <cellStyle name="Assumption Multiple. 3 6 9" xfId="7634"/>
    <cellStyle name="Assumption Multiple. 3 7" xfId="7635"/>
    <cellStyle name="Assumption Multiple. 3 7 10" xfId="7636"/>
    <cellStyle name="Assumption Multiple. 3 7 2" xfId="7637"/>
    <cellStyle name="Assumption Multiple. 3 7 3" xfId="7638"/>
    <cellStyle name="Assumption Multiple. 3 7 4" xfId="7639"/>
    <cellStyle name="Assumption Multiple. 3 7 5" xfId="7640"/>
    <cellStyle name="Assumption Multiple. 3 7 6" xfId="7641"/>
    <cellStyle name="Assumption Multiple. 3 7 7" xfId="7642"/>
    <cellStyle name="Assumption Multiple. 3 7 8" xfId="7643"/>
    <cellStyle name="Assumption Multiple. 3 7 9" xfId="7644"/>
    <cellStyle name="Assumption Multiple. 3 8" xfId="7645"/>
    <cellStyle name="Assumption Multiple. 3 9" xfId="7646"/>
    <cellStyle name="Assumption Multiple. 4" xfId="7647"/>
    <cellStyle name="Assumption Multiple. 4 10" xfId="7648"/>
    <cellStyle name="Assumption Multiple. 4 11" xfId="7649"/>
    <cellStyle name="Assumption Multiple. 4 12" xfId="7650"/>
    <cellStyle name="Assumption Multiple. 4 13" xfId="7651"/>
    <cellStyle name="Assumption Multiple. 4 2" xfId="7652"/>
    <cellStyle name="Assumption Multiple. 4 2 10" xfId="7653"/>
    <cellStyle name="Assumption Multiple. 4 2 11" xfId="7654"/>
    <cellStyle name="Assumption Multiple. 4 2 12" xfId="7655"/>
    <cellStyle name="Assumption Multiple. 4 2 2" xfId="7656"/>
    <cellStyle name="Assumption Multiple. 4 2 2 10" xfId="7657"/>
    <cellStyle name="Assumption Multiple. 4 2 2 2" xfId="7658"/>
    <cellStyle name="Assumption Multiple. 4 2 2 2 10" xfId="7659"/>
    <cellStyle name="Assumption Multiple. 4 2 2 2 2" xfId="7660"/>
    <cellStyle name="Assumption Multiple. 4 2 2 2 3" xfId="7661"/>
    <cellStyle name="Assumption Multiple. 4 2 2 2 4" xfId="7662"/>
    <cellStyle name="Assumption Multiple. 4 2 2 2 5" xfId="7663"/>
    <cellStyle name="Assumption Multiple. 4 2 2 2 6" xfId="7664"/>
    <cellStyle name="Assumption Multiple. 4 2 2 2 7" xfId="7665"/>
    <cellStyle name="Assumption Multiple. 4 2 2 2 8" xfId="7666"/>
    <cellStyle name="Assumption Multiple. 4 2 2 2 9" xfId="7667"/>
    <cellStyle name="Assumption Multiple. 4 2 2 3" xfId="7668"/>
    <cellStyle name="Assumption Multiple. 4 2 2 4" xfId="7669"/>
    <cellStyle name="Assumption Multiple. 4 2 2 5" xfId="7670"/>
    <cellStyle name="Assumption Multiple. 4 2 2 6" xfId="7671"/>
    <cellStyle name="Assumption Multiple. 4 2 2 7" xfId="7672"/>
    <cellStyle name="Assumption Multiple. 4 2 2 8" xfId="7673"/>
    <cellStyle name="Assumption Multiple. 4 2 2 9" xfId="7674"/>
    <cellStyle name="Assumption Multiple. 4 2 3" xfId="7675"/>
    <cellStyle name="Assumption Multiple. 4 2 3 10" xfId="7676"/>
    <cellStyle name="Assumption Multiple. 4 2 3 2" xfId="7677"/>
    <cellStyle name="Assumption Multiple. 4 2 3 3" xfId="7678"/>
    <cellStyle name="Assumption Multiple. 4 2 3 4" xfId="7679"/>
    <cellStyle name="Assumption Multiple. 4 2 3 5" xfId="7680"/>
    <cellStyle name="Assumption Multiple. 4 2 3 6" xfId="7681"/>
    <cellStyle name="Assumption Multiple. 4 2 3 7" xfId="7682"/>
    <cellStyle name="Assumption Multiple. 4 2 3 8" xfId="7683"/>
    <cellStyle name="Assumption Multiple. 4 2 3 9" xfId="7684"/>
    <cellStyle name="Assumption Multiple. 4 2 4" xfId="7685"/>
    <cellStyle name="Assumption Multiple. 4 2 5" xfId="7686"/>
    <cellStyle name="Assumption Multiple. 4 2 6" xfId="7687"/>
    <cellStyle name="Assumption Multiple. 4 2 7" xfId="7688"/>
    <cellStyle name="Assumption Multiple. 4 2 8" xfId="7689"/>
    <cellStyle name="Assumption Multiple. 4 2 9" xfId="7690"/>
    <cellStyle name="Assumption Multiple. 4 3" xfId="7691"/>
    <cellStyle name="Assumption Multiple. 4 3 10" xfId="7692"/>
    <cellStyle name="Assumption Multiple. 4 3 2" xfId="7693"/>
    <cellStyle name="Assumption Multiple. 4 3 2 10" xfId="7694"/>
    <cellStyle name="Assumption Multiple. 4 3 2 2" xfId="7695"/>
    <cellStyle name="Assumption Multiple. 4 3 2 3" xfId="7696"/>
    <cellStyle name="Assumption Multiple. 4 3 2 4" xfId="7697"/>
    <cellStyle name="Assumption Multiple. 4 3 2 5" xfId="7698"/>
    <cellStyle name="Assumption Multiple. 4 3 2 6" xfId="7699"/>
    <cellStyle name="Assumption Multiple. 4 3 2 7" xfId="7700"/>
    <cellStyle name="Assumption Multiple. 4 3 2 8" xfId="7701"/>
    <cellStyle name="Assumption Multiple. 4 3 2 9" xfId="7702"/>
    <cellStyle name="Assumption Multiple. 4 3 3" xfId="7703"/>
    <cellStyle name="Assumption Multiple. 4 3 4" xfId="7704"/>
    <cellStyle name="Assumption Multiple. 4 3 5" xfId="7705"/>
    <cellStyle name="Assumption Multiple. 4 3 6" xfId="7706"/>
    <cellStyle name="Assumption Multiple. 4 3 7" xfId="7707"/>
    <cellStyle name="Assumption Multiple. 4 3 8" xfId="7708"/>
    <cellStyle name="Assumption Multiple. 4 3 9" xfId="7709"/>
    <cellStyle name="Assumption Multiple. 4 4" xfId="7710"/>
    <cellStyle name="Assumption Multiple. 4 4 10" xfId="7711"/>
    <cellStyle name="Assumption Multiple. 4 4 2" xfId="7712"/>
    <cellStyle name="Assumption Multiple. 4 4 3" xfId="7713"/>
    <cellStyle name="Assumption Multiple. 4 4 4" xfId="7714"/>
    <cellStyle name="Assumption Multiple. 4 4 5" xfId="7715"/>
    <cellStyle name="Assumption Multiple. 4 4 6" xfId="7716"/>
    <cellStyle name="Assumption Multiple. 4 4 7" xfId="7717"/>
    <cellStyle name="Assumption Multiple. 4 4 8" xfId="7718"/>
    <cellStyle name="Assumption Multiple. 4 4 9" xfId="7719"/>
    <cellStyle name="Assumption Multiple. 4 5" xfId="7720"/>
    <cellStyle name="Assumption Multiple. 4 6" xfId="7721"/>
    <cellStyle name="Assumption Multiple. 4 7" xfId="7722"/>
    <cellStyle name="Assumption Multiple. 4 8" xfId="7723"/>
    <cellStyle name="Assumption Multiple. 4 9" xfId="7724"/>
    <cellStyle name="Assumption Multiple. 5" xfId="7725"/>
    <cellStyle name="Assumption Multiple. 5 10" xfId="7726"/>
    <cellStyle name="Assumption Multiple. 5 11" xfId="7727"/>
    <cellStyle name="Assumption Multiple. 5 12" xfId="7728"/>
    <cellStyle name="Assumption Multiple. 5 13" xfId="7729"/>
    <cellStyle name="Assumption Multiple. 5 2" xfId="7730"/>
    <cellStyle name="Assumption Multiple. 5 2 10" xfId="7731"/>
    <cellStyle name="Assumption Multiple. 5 2 11" xfId="7732"/>
    <cellStyle name="Assumption Multiple. 5 2 12" xfId="7733"/>
    <cellStyle name="Assumption Multiple. 5 2 2" xfId="7734"/>
    <cellStyle name="Assumption Multiple. 5 2 2 10" xfId="7735"/>
    <cellStyle name="Assumption Multiple. 5 2 2 2" xfId="7736"/>
    <cellStyle name="Assumption Multiple. 5 2 2 2 10" xfId="7737"/>
    <cellStyle name="Assumption Multiple. 5 2 2 2 2" xfId="7738"/>
    <cellStyle name="Assumption Multiple. 5 2 2 2 3" xfId="7739"/>
    <cellStyle name="Assumption Multiple. 5 2 2 2 4" xfId="7740"/>
    <cellStyle name="Assumption Multiple. 5 2 2 2 5" xfId="7741"/>
    <cellStyle name="Assumption Multiple. 5 2 2 2 6" xfId="7742"/>
    <cellStyle name="Assumption Multiple. 5 2 2 2 7" xfId="7743"/>
    <cellStyle name="Assumption Multiple. 5 2 2 2 8" xfId="7744"/>
    <cellStyle name="Assumption Multiple. 5 2 2 2 9" xfId="7745"/>
    <cellStyle name="Assumption Multiple. 5 2 2 3" xfId="7746"/>
    <cellStyle name="Assumption Multiple. 5 2 2 4" xfId="7747"/>
    <cellStyle name="Assumption Multiple. 5 2 2 5" xfId="7748"/>
    <cellStyle name="Assumption Multiple. 5 2 2 6" xfId="7749"/>
    <cellStyle name="Assumption Multiple. 5 2 2 7" xfId="7750"/>
    <cellStyle name="Assumption Multiple. 5 2 2 8" xfId="7751"/>
    <cellStyle name="Assumption Multiple. 5 2 2 9" xfId="7752"/>
    <cellStyle name="Assumption Multiple. 5 2 3" xfId="7753"/>
    <cellStyle name="Assumption Multiple. 5 2 3 10" xfId="7754"/>
    <cellStyle name="Assumption Multiple. 5 2 3 2" xfId="7755"/>
    <cellStyle name="Assumption Multiple. 5 2 3 3" xfId="7756"/>
    <cellStyle name="Assumption Multiple. 5 2 3 4" xfId="7757"/>
    <cellStyle name="Assumption Multiple. 5 2 3 5" xfId="7758"/>
    <cellStyle name="Assumption Multiple. 5 2 3 6" xfId="7759"/>
    <cellStyle name="Assumption Multiple. 5 2 3 7" xfId="7760"/>
    <cellStyle name="Assumption Multiple. 5 2 3 8" xfId="7761"/>
    <cellStyle name="Assumption Multiple. 5 2 3 9" xfId="7762"/>
    <cellStyle name="Assumption Multiple. 5 2 4" xfId="7763"/>
    <cellStyle name="Assumption Multiple. 5 2 5" xfId="7764"/>
    <cellStyle name="Assumption Multiple. 5 2 6" xfId="7765"/>
    <cellStyle name="Assumption Multiple. 5 2 7" xfId="7766"/>
    <cellStyle name="Assumption Multiple. 5 2 8" xfId="7767"/>
    <cellStyle name="Assumption Multiple. 5 2 9" xfId="7768"/>
    <cellStyle name="Assumption Multiple. 5 3" xfId="7769"/>
    <cellStyle name="Assumption Multiple. 5 3 10" xfId="7770"/>
    <cellStyle name="Assumption Multiple. 5 3 2" xfId="7771"/>
    <cellStyle name="Assumption Multiple. 5 3 2 10" xfId="7772"/>
    <cellStyle name="Assumption Multiple. 5 3 2 2" xfId="7773"/>
    <cellStyle name="Assumption Multiple. 5 3 2 3" xfId="7774"/>
    <cellStyle name="Assumption Multiple. 5 3 2 4" xfId="7775"/>
    <cellStyle name="Assumption Multiple. 5 3 2 5" xfId="7776"/>
    <cellStyle name="Assumption Multiple. 5 3 2 6" xfId="7777"/>
    <cellStyle name="Assumption Multiple. 5 3 2 7" xfId="7778"/>
    <cellStyle name="Assumption Multiple. 5 3 2 8" xfId="7779"/>
    <cellStyle name="Assumption Multiple. 5 3 2 9" xfId="7780"/>
    <cellStyle name="Assumption Multiple. 5 3 3" xfId="7781"/>
    <cellStyle name="Assumption Multiple. 5 3 4" xfId="7782"/>
    <cellStyle name="Assumption Multiple. 5 3 5" xfId="7783"/>
    <cellStyle name="Assumption Multiple. 5 3 6" xfId="7784"/>
    <cellStyle name="Assumption Multiple. 5 3 7" xfId="7785"/>
    <cellStyle name="Assumption Multiple. 5 3 8" xfId="7786"/>
    <cellStyle name="Assumption Multiple. 5 3 9" xfId="7787"/>
    <cellStyle name="Assumption Multiple. 5 4" xfId="7788"/>
    <cellStyle name="Assumption Multiple. 5 4 10" xfId="7789"/>
    <cellStyle name="Assumption Multiple. 5 4 2" xfId="7790"/>
    <cellStyle name="Assumption Multiple. 5 4 3" xfId="7791"/>
    <cellStyle name="Assumption Multiple. 5 4 4" xfId="7792"/>
    <cellStyle name="Assumption Multiple. 5 4 5" xfId="7793"/>
    <cellStyle name="Assumption Multiple. 5 4 6" xfId="7794"/>
    <cellStyle name="Assumption Multiple. 5 4 7" xfId="7795"/>
    <cellStyle name="Assumption Multiple. 5 4 8" xfId="7796"/>
    <cellStyle name="Assumption Multiple. 5 4 9" xfId="7797"/>
    <cellStyle name="Assumption Multiple. 5 5" xfId="7798"/>
    <cellStyle name="Assumption Multiple. 5 6" xfId="7799"/>
    <cellStyle name="Assumption Multiple. 5 7" xfId="7800"/>
    <cellStyle name="Assumption Multiple. 5 8" xfId="7801"/>
    <cellStyle name="Assumption Multiple. 5 9" xfId="7802"/>
    <cellStyle name="Assumption Multiple. 6" xfId="7803"/>
    <cellStyle name="Assumption Multiple. 6 10" xfId="7804"/>
    <cellStyle name="Assumption Multiple. 6 11" xfId="7805"/>
    <cellStyle name="Assumption Multiple. 6 12" xfId="7806"/>
    <cellStyle name="Assumption Multiple. 6 13" xfId="7807"/>
    <cellStyle name="Assumption Multiple. 6 2" xfId="7808"/>
    <cellStyle name="Assumption Multiple. 6 2 10" xfId="7809"/>
    <cellStyle name="Assumption Multiple. 6 2 11" xfId="7810"/>
    <cellStyle name="Assumption Multiple. 6 2 12" xfId="7811"/>
    <cellStyle name="Assumption Multiple. 6 2 2" xfId="7812"/>
    <cellStyle name="Assumption Multiple. 6 2 2 10" xfId="7813"/>
    <cellStyle name="Assumption Multiple. 6 2 2 2" xfId="7814"/>
    <cellStyle name="Assumption Multiple. 6 2 2 2 10" xfId="7815"/>
    <cellStyle name="Assumption Multiple. 6 2 2 2 2" xfId="7816"/>
    <cellStyle name="Assumption Multiple. 6 2 2 2 3" xfId="7817"/>
    <cellStyle name="Assumption Multiple. 6 2 2 2 4" xfId="7818"/>
    <cellStyle name="Assumption Multiple. 6 2 2 2 5" xfId="7819"/>
    <cellStyle name="Assumption Multiple. 6 2 2 2 6" xfId="7820"/>
    <cellStyle name="Assumption Multiple. 6 2 2 2 7" xfId="7821"/>
    <cellStyle name="Assumption Multiple. 6 2 2 2 8" xfId="7822"/>
    <cellStyle name="Assumption Multiple. 6 2 2 2 9" xfId="7823"/>
    <cellStyle name="Assumption Multiple. 6 2 2 3" xfId="7824"/>
    <cellStyle name="Assumption Multiple. 6 2 2 4" xfId="7825"/>
    <cellStyle name="Assumption Multiple. 6 2 2 5" xfId="7826"/>
    <cellStyle name="Assumption Multiple. 6 2 2 6" xfId="7827"/>
    <cellStyle name="Assumption Multiple. 6 2 2 7" xfId="7828"/>
    <cellStyle name="Assumption Multiple. 6 2 2 8" xfId="7829"/>
    <cellStyle name="Assumption Multiple. 6 2 2 9" xfId="7830"/>
    <cellStyle name="Assumption Multiple. 6 2 3" xfId="7831"/>
    <cellStyle name="Assumption Multiple. 6 2 3 10" xfId="7832"/>
    <cellStyle name="Assumption Multiple. 6 2 3 2" xfId="7833"/>
    <cellStyle name="Assumption Multiple. 6 2 3 3" xfId="7834"/>
    <cellStyle name="Assumption Multiple. 6 2 3 4" xfId="7835"/>
    <cellStyle name="Assumption Multiple. 6 2 3 5" xfId="7836"/>
    <cellStyle name="Assumption Multiple. 6 2 3 6" xfId="7837"/>
    <cellStyle name="Assumption Multiple. 6 2 3 7" xfId="7838"/>
    <cellStyle name="Assumption Multiple. 6 2 3 8" xfId="7839"/>
    <cellStyle name="Assumption Multiple. 6 2 3 9" xfId="7840"/>
    <cellStyle name="Assumption Multiple. 6 2 4" xfId="7841"/>
    <cellStyle name="Assumption Multiple. 6 2 5" xfId="7842"/>
    <cellStyle name="Assumption Multiple. 6 2 6" xfId="7843"/>
    <cellStyle name="Assumption Multiple. 6 2 7" xfId="7844"/>
    <cellStyle name="Assumption Multiple. 6 2 8" xfId="7845"/>
    <cellStyle name="Assumption Multiple. 6 2 9" xfId="7846"/>
    <cellStyle name="Assumption Multiple. 6 3" xfId="7847"/>
    <cellStyle name="Assumption Multiple. 6 3 10" xfId="7848"/>
    <cellStyle name="Assumption Multiple. 6 3 2" xfId="7849"/>
    <cellStyle name="Assumption Multiple. 6 3 2 10" xfId="7850"/>
    <cellStyle name="Assumption Multiple. 6 3 2 2" xfId="7851"/>
    <cellStyle name="Assumption Multiple. 6 3 2 3" xfId="7852"/>
    <cellStyle name="Assumption Multiple. 6 3 2 4" xfId="7853"/>
    <cellStyle name="Assumption Multiple. 6 3 2 5" xfId="7854"/>
    <cellStyle name="Assumption Multiple. 6 3 2 6" xfId="7855"/>
    <cellStyle name="Assumption Multiple. 6 3 2 7" xfId="7856"/>
    <cellStyle name="Assumption Multiple. 6 3 2 8" xfId="7857"/>
    <cellStyle name="Assumption Multiple. 6 3 2 9" xfId="7858"/>
    <cellStyle name="Assumption Multiple. 6 3 3" xfId="7859"/>
    <cellStyle name="Assumption Multiple. 6 3 4" xfId="7860"/>
    <cellStyle name="Assumption Multiple. 6 3 5" xfId="7861"/>
    <cellStyle name="Assumption Multiple. 6 3 6" xfId="7862"/>
    <cellStyle name="Assumption Multiple. 6 3 7" xfId="7863"/>
    <cellStyle name="Assumption Multiple. 6 3 8" xfId="7864"/>
    <cellStyle name="Assumption Multiple. 6 3 9" xfId="7865"/>
    <cellStyle name="Assumption Multiple. 6 4" xfId="7866"/>
    <cellStyle name="Assumption Multiple. 6 4 10" xfId="7867"/>
    <cellStyle name="Assumption Multiple. 6 4 2" xfId="7868"/>
    <cellStyle name="Assumption Multiple. 6 4 3" xfId="7869"/>
    <cellStyle name="Assumption Multiple. 6 4 4" xfId="7870"/>
    <cellStyle name="Assumption Multiple. 6 4 5" xfId="7871"/>
    <cellStyle name="Assumption Multiple. 6 4 6" xfId="7872"/>
    <cellStyle name="Assumption Multiple. 6 4 7" xfId="7873"/>
    <cellStyle name="Assumption Multiple. 6 4 8" xfId="7874"/>
    <cellStyle name="Assumption Multiple. 6 4 9" xfId="7875"/>
    <cellStyle name="Assumption Multiple. 6 5" xfId="7876"/>
    <cellStyle name="Assumption Multiple. 6 6" xfId="7877"/>
    <cellStyle name="Assumption Multiple. 6 7" xfId="7878"/>
    <cellStyle name="Assumption Multiple. 6 8" xfId="7879"/>
    <cellStyle name="Assumption Multiple. 6 9" xfId="7880"/>
    <cellStyle name="Assumption Multiple. 7" xfId="7881"/>
    <cellStyle name="Assumption Multiple. 7 10" xfId="7882"/>
    <cellStyle name="Assumption Multiple. 7 11" xfId="7883"/>
    <cellStyle name="Assumption Multiple. 7 12" xfId="7884"/>
    <cellStyle name="Assumption Multiple. 7 13" xfId="7885"/>
    <cellStyle name="Assumption Multiple. 7 2" xfId="7886"/>
    <cellStyle name="Assumption Multiple. 7 2 10" xfId="7887"/>
    <cellStyle name="Assumption Multiple. 7 2 11" xfId="7888"/>
    <cellStyle name="Assumption Multiple. 7 2 12" xfId="7889"/>
    <cellStyle name="Assumption Multiple. 7 2 2" xfId="7890"/>
    <cellStyle name="Assumption Multiple. 7 2 2 10" xfId="7891"/>
    <cellStyle name="Assumption Multiple. 7 2 2 2" xfId="7892"/>
    <cellStyle name="Assumption Multiple. 7 2 2 2 10" xfId="7893"/>
    <cellStyle name="Assumption Multiple. 7 2 2 2 2" xfId="7894"/>
    <cellStyle name="Assumption Multiple. 7 2 2 2 3" xfId="7895"/>
    <cellStyle name="Assumption Multiple. 7 2 2 2 4" xfId="7896"/>
    <cellStyle name="Assumption Multiple. 7 2 2 2 5" xfId="7897"/>
    <cellStyle name="Assumption Multiple. 7 2 2 2 6" xfId="7898"/>
    <cellStyle name="Assumption Multiple. 7 2 2 2 7" xfId="7899"/>
    <cellStyle name="Assumption Multiple. 7 2 2 2 8" xfId="7900"/>
    <cellStyle name="Assumption Multiple. 7 2 2 2 9" xfId="7901"/>
    <cellStyle name="Assumption Multiple. 7 2 2 3" xfId="7902"/>
    <cellStyle name="Assumption Multiple. 7 2 2 4" xfId="7903"/>
    <cellStyle name="Assumption Multiple. 7 2 2 5" xfId="7904"/>
    <cellStyle name="Assumption Multiple. 7 2 2 6" xfId="7905"/>
    <cellStyle name="Assumption Multiple. 7 2 2 7" xfId="7906"/>
    <cellStyle name="Assumption Multiple. 7 2 2 8" xfId="7907"/>
    <cellStyle name="Assumption Multiple. 7 2 2 9" xfId="7908"/>
    <cellStyle name="Assumption Multiple. 7 2 3" xfId="7909"/>
    <cellStyle name="Assumption Multiple. 7 2 3 10" xfId="7910"/>
    <cellStyle name="Assumption Multiple. 7 2 3 2" xfId="7911"/>
    <cellStyle name="Assumption Multiple. 7 2 3 3" xfId="7912"/>
    <cellStyle name="Assumption Multiple. 7 2 3 4" xfId="7913"/>
    <cellStyle name="Assumption Multiple. 7 2 3 5" xfId="7914"/>
    <cellStyle name="Assumption Multiple. 7 2 3 6" xfId="7915"/>
    <cellStyle name="Assumption Multiple. 7 2 3 7" xfId="7916"/>
    <cellStyle name="Assumption Multiple. 7 2 3 8" xfId="7917"/>
    <cellStyle name="Assumption Multiple. 7 2 3 9" xfId="7918"/>
    <cellStyle name="Assumption Multiple. 7 2 4" xfId="7919"/>
    <cellStyle name="Assumption Multiple. 7 2 5" xfId="7920"/>
    <cellStyle name="Assumption Multiple. 7 2 6" xfId="7921"/>
    <cellStyle name="Assumption Multiple. 7 2 7" xfId="7922"/>
    <cellStyle name="Assumption Multiple. 7 2 8" xfId="7923"/>
    <cellStyle name="Assumption Multiple. 7 2 9" xfId="7924"/>
    <cellStyle name="Assumption Multiple. 7 3" xfId="7925"/>
    <cellStyle name="Assumption Multiple. 7 3 10" xfId="7926"/>
    <cellStyle name="Assumption Multiple. 7 3 2" xfId="7927"/>
    <cellStyle name="Assumption Multiple. 7 3 2 10" xfId="7928"/>
    <cellStyle name="Assumption Multiple. 7 3 2 2" xfId="7929"/>
    <cellStyle name="Assumption Multiple. 7 3 2 3" xfId="7930"/>
    <cellStyle name="Assumption Multiple. 7 3 2 4" xfId="7931"/>
    <cellStyle name="Assumption Multiple. 7 3 2 5" xfId="7932"/>
    <cellStyle name="Assumption Multiple. 7 3 2 6" xfId="7933"/>
    <cellStyle name="Assumption Multiple. 7 3 2 7" xfId="7934"/>
    <cellStyle name="Assumption Multiple. 7 3 2 8" xfId="7935"/>
    <cellStyle name="Assumption Multiple. 7 3 2 9" xfId="7936"/>
    <cellStyle name="Assumption Multiple. 7 3 3" xfId="7937"/>
    <cellStyle name="Assumption Multiple. 7 3 4" xfId="7938"/>
    <cellStyle name="Assumption Multiple. 7 3 5" xfId="7939"/>
    <cellStyle name="Assumption Multiple. 7 3 6" xfId="7940"/>
    <cellStyle name="Assumption Multiple. 7 3 7" xfId="7941"/>
    <cellStyle name="Assumption Multiple. 7 3 8" xfId="7942"/>
    <cellStyle name="Assumption Multiple. 7 3 9" xfId="7943"/>
    <cellStyle name="Assumption Multiple. 7 4" xfId="7944"/>
    <cellStyle name="Assumption Multiple. 7 4 10" xfId="7945"/>
    <cellStyle name="Assumption Multiple. 7 4 2" xfId="7946"/>
    <cellStyle name="Assumption Multiple. 7 4 3" xfId="7947"/>
    <cellStyle name="Assumption Multiple. 7 4 4" xfId="7948"/>
    <cellStyle name="Assumption Multiple. 7 4 5" xfId="7949"/>
    <cellStyle name="Assumption Multiple. 7 4 6" xfId="7950"/>
    <cellStyle name="Assumption Multiple. 7 4 7" xfId="7951"/>
    <cellStyle name="Assumption Multiple. 7 4 8" xfId="7952"/>
    <cellStyle name="Assumption Multiple. 7 4 9" xfId="7953"/>
    <cellStyle name="Assumption Multiple. 7 5" xfId="7954"/>
    <cellStyle name="Assumption Multiple. 7 6" xfId="7955"/>
    <cellStyle name="Assumption Multiple. 7 7" xfId="7956"/>
    <cellStyle name="Assumption Multiple. 7 8" xfId="7957"/>
    <cellStyle name="Assumption Multiple. 7 9" xfId="7958"/>
    <cellStyle name="Assumption Multiple. 8" xfId="7959"/>
    <cellStyle name="Assumption Multiple. 8 10" xfId="7960"/>
    <cellStyle name="Assumption Multiple. 8 11" xfId="7961"/>
    <cellStyle name="Assumption Multiple. 8 12" xfId="7962"/>
    <cellStyle name="Assumption Multiple. 8 13" xfId="7963"/>
    <cellStyle name="Assumption Multiple. 8 2" xfId="7964"/>
    <cellStyle name="Assumption Multiple. 8 2 10" xfId="7965"/>
    <cellStyle name="Assumption Multiple. 8 2 11" xfId="7966"/>
    <cellStyle name="Assumption Multiple. 8 2 12" xfId="7967"/>
    <cellStyle name="Assumption Multiple. 8 2 2" xfId="7968"/>
    <cellStyle name="Assumption Multiple. 8 2 2 10" xfId="7969"/>
    <cellStyle name="Assumption Multiple. 8 2 2 2" xfId="7970"/>
    <cellStyle name="Assumption Multiple. 8 2 2 2 10" xfId="7971"/>
    <cellStyle name="Assumption Multiple. 8 2 2 2 2" xfId="7972"/>
    <cellStyle name="Assumption Multiple. 8 2 2 2 3" xfId="7973"/>
    <cellStyle name="Assumption Multiple. 8 2 2 2 4" xfId="7974"/>
    <cellStyle name="Assumption Multiple. 8 2 2 2 5" xfId="7975"/>
    <cellStyle name="Assumption Multiple. 8 2 2 2 6" xfId="7976"/>
    <cellStyle name="Assumption Multiple. 8 2 2 2 7" xfId="7977"/>
    <cellStyle name="Assumption Multiple. 8 2 2 2 8" xfId="7978"/>
    <cellStyle name="Assumption Multiple. 8 2 2 2 9" xfId="7979"/>
    <cellStyle name="Assumption Multiple. 8 2 2 3" xfId="7980"/>
    <cellStyle name="Assumption Multiple. 8 2 2 4" xfId="7981"/>
    <cellStyle name="Assumption Multiple. 8 2 2 5" xfId="7982"/>
    <cellStyle name="Assumption Multiple. 8 2 2 6" xfId="7983"/>
    <cellStyle name="Assumption Multiple. 8 2 2 7" xfId="7984"/>
    <cellStyle name="Assumption Multiple. 8 2 2 8" xfId="7985"/>
    <cellStyle name="Assumption Multiple. 8 2 2 9" xfId="7986"/>
    <cellStyle name="Assumption Multiple. 8 2 3" xfId="7987"/>
    <cellStyle name="Assumption Multiple. 8 2 3 10" xfId="7988"/>
    <cellStyle name="Assumption Multiple. 8 2 3 2" xfId="7989"/>
    <cellStyle name="Assumption Multiple. 8 2 3 3" xfId="7990"/>
    <cellStyle name="Assumption Multiple. 8 2 3 4" xfId="7991"/>
    <cellStyle name="Assumption Multiple. 8 2 3 5" xfId="7992"/>
    <cellStyle name="Assumption Multiple. 8 2 3 6" xfId="7993"/>
    <cellStyle name="Assumption Multiple. 8 2 3 7" xfId="7994"/>
    <cellStyle name="Assumption Multiple. 8 2 3 8" xfId="7995"/>
    <cellStyle name="Assumption Multiple. 8 2 3 9" xfId="7996"/>
    <cellStyle name="Assumption Multiple. 8 2 4" xfId="7997"/>
    <cellStyle name="Assumption Multiple. 8 2 5" xfId="7998"/>
    <cellStyle name="Assumption Multiple. 8 2 6" xfId="7999"/>
    <cellStyle name="Assumption Multiple. 8 2 7" xfId="8000"/>
    <cellStyle name="Assumption Multiple. 8 2 8" xfId="8001"/>
    <cellStyle name="Assumption Multiple. 8 2 9" xfId="8002"/>
    <cellStyle name="Assumption Multiple. 8 3" xfId="8003"/>
    <cellStyle name="Assumption Multiple. 8 3 10" xfId="8004"/>
    <cellStyle name="Assumption Multiple. 8 3 2" xfId="8005"/>
    <cellStyle name="Assumption Multiple. 8 3 2 10" xfId="8006"/>
    <cellStyle name="Assumption Multiple. 8 3 2 2" xfId="8007"/>
    <cellStyle name="Assumption Multiple. 8 3 2 3" xfId="8008"/>
    <cellStyle name="Assumption Multiple. 8 3 2 4" xfId="8009"/>
    <cellStyle name="Assumption Multiple. 8 3 2 5" xfId="8010"/>
    <cellStyle name="Assumption Multiple. 8 3 2 6" xfId="8011"/>
    <cellStyle name="Assumption Multiple. 8 3 2 7" xfId="8012"/>
    <cellStyle name="Assumption Multiple. 8 3 2 8" xfId="8013"/>
    <cellStyle name="Assumption Multiple. 8 3 2 9" xfId="8014"/>
    <cellStyle name="Assumption Multiple. 8 3 3" xfId="8015"/>
    <cellStyle name="Assumption Multiple. 8 3 4" xfId="8016"/>
    <cellStyle name="Assumption Multiple. 8 3 5" xfId="8017"/>
    <cellStyle name="Assumption Multiple. 8 3 6" xfId="8018"/>
    <cellStyle name="Assumption Multiple. 8 3 7" xfId="8019"/>
    <cellStyle name="Assumption Multiple. 8 3 8" xfId="8020"/>
    <cellStyle name="Assumption Multiple. 8 3 9" xfId="8021"/>
    <cellStyle name="Assumption Multiple. 8 4" xfId="8022"/>
    <cellStyle name="Assumption Multiple. 8 4 10" xfId="8023"/>
    <cellStyle name="Assumption Multiple. 8 4 2" xfId="8024"/>
    <cellStyle name="Assumption Multiple. 8 4 3" xfId="8025"/>
    <cellStyle name="Assumption Multiple. 8 4 4" xfId="8026"/>
    <cellStyle name="Assumption Multiple. 8 4 5" xfId="8027"/>
    <cellStyle name="Assumption Multiple. 8 4 6" xfId="8028"/>
    <cellStyle name="Assumption Multiple. 8 4 7" xfId="8029"/>
    <cellStyle name="Assumption Multiple. 8 4 8" xfId="8030"/>
    <cellStyle name="Assumption Multiple. 8 4 9" xfId="8031"/>
    <cellStyle name="Assumption Multiple. 8 5" xfId="8032"/>
    <cellStyle name="Assumption Multiple. 8 6" xfId="8033"/>
    <cellStyle name="Assumption Multiple. 8 7" xfId="8034"/>
    <cellStyle name="Assumption Multiple. 8 8" xfId="8035"/>
    <cellStyle name="Assumption Multiple. 8 9" xfId="8036"/>
    <cellStyle name="Assumption Multiple. 9" xfId="8037"/>
    <cellStyle name="Assumption Multiple. 9 10" xfId="8038"/>
    <cellStyle name="Assumption Multiple. 9 11" xfId="8039"/>
    <cellStyle name="Assumption Multiple. 9 12" xfId="8040"/>
    <cellStyle name="Assumption Multiple. 9 13" xfId="8041"/>
    <cellStyle name="Assumption Multiple. 9 2" xfId="8042"/>
    <cellStyle name="Assumption Multiple. 9 2 10" xfId="8043"/>
    <cellStyle name="Assumption Multiple. 9 2 11" xfId="8044"/>
    <cellStyle name="Assumption Multiple. 9 2 12" xfId="8045"/>
    <cellStyle name="Assumption Multiple. 9 2 2" xfId="8046"/>
    <cellStyle name="Assumption Multiple. 9 2 2 10" xfId="8047"/>
    <cellStyle name="Assumption Multiple. 9 2 2 2" xfId="8048"/>
    <cellStyle name="Assumption Multiple. 9 2 2 2 10" xfId="8049"/>
    <cellStyle name="Assumption Multiple. 9 2 2 2 2" xfId="8050"/>
    <cellStyle name="Assumption Multiple. 9 2 2 2 3" xfId="8051"/>
    <cellStyle name="Assumption Multiple. 9 2 2 2 4" xfId="8052"/>
    <cellStyle name="Assumption Multiple. 9 2 2 2 5" xfId="8053"/>
    <cellStyle name="Assumption Multiple. 9 2 2 2 6" xfId="8054"/>
    <cellStyle name="Assumption Multiple. 9 2 2 2 7" xfId="8055"/>
    <cellStyle name="Assumption Multiple. 9 2 2 2 8" xfId="8056"/>
    <cellStyle name="Assumption Multiple. 9 2 2 2 9" xfId="8057"/>
    <cellStyle name="Assumption Multiple. 9 2 2 3" xfId="8058"/>
    <cellStyle name="Assumption Multiple. 9 2 2 4" xfId="8059"/>
    <cellStyle name="Assumption Multiple. 9 2 2 5" xfId="8060"/>
    <cellStyle name="Assumption Multiple. 9 2 2 6" xfId="8061"/>
    <cellStyle name="Assumption Multiple. 9 2 2 7" xfId="8062"/>
    <cellStyle name="Assumption Multiple. 9 2 2 8" xfId="8063"/>
    <cellStyle name="Assumption Multiple. 9 2 2 9" xfId="8064"/>
    <cellStyle name="Assumption Multiple. 9 2 3" xfId="8065"/>
    <cellStyle name="Assumption Multiple. 9 2 3 10" xfId="8066"/>
    <cellStyle name="Assumption Multiple. 9 2 3 2" xfId="8067"/>
    <cellStyle name="Assumption Multiple. 9 2 3 3" xfId="8068"/>
    <cellStyle name="Assumption Multiple. 9 2 3 4" xfId="8069"/>
    <cellStyle name="Assumption Multiple. 9 2 3 5" xfId="8070"/>
    <cellStyle name="Assumption Multiple. 9 2 3 6" xfId="8071"/>
    <cellStyle name="Assumption Multiple. 9 2 3 7" xfId="8072"/>
    <cellStyle name="Assumption Multiple. 9 2 3 8" xfId="8073"/>
    <cellStyle name="Assumption Multiple. 9 2 3 9" xfId="8074"/>
    <cellStyle name="Assumption Multiple. 9 2 4" xfId="8075"/>
    <cellStyle name="Assumption Multiple. 9 2 5" xfId="8076"/>
    <cellStyle name="Assumption Multiple. 9 2 6" xfId="8077"/>
    <cellStyle name="Assumption Multiple. 9 2 7" xfId="8078"/>
    <cellStyle name="Assumption Multiple. 9 2 8" xfId="8079"/>
    <cellStyle name="Assumption Multiple. 9 2 9" xfId="8080"/>
    <cellStyle name="Assumption Multiple. 9 3" xfId="8081"/>
    <cellStyle name="Assumption Multiple. 9 3 10" xfId="8082"/>
    <cellStyle name="Assumption Multiple. 9 3 2" xfId="8083"/>
    <cellStyle name="Assumption Multiple. 9 3 2 10" xfId="8084"/>
    <cellStyle name="Assumption Multiple. 9 3 2 2" xfId="8085"/>
    <cellStyle name="Assumption Multiple. 9 3 2 3" xfId="8086"/>
    <cellStyle name="Assumption Multiple. 9 3 2 4" xfId="8087"/>
    <cellStyle name="Assumption Multiple. 9 3 2 5" xfId="8088"/>
    <cellStyle name="Assumption Multiple. 9 3 2 6" xfId="8089"/>
    <cellStyle name="Assumption Multiple. 9 3 2 7" xfId="8090"/>
    <cellStyle name="Assumption Multiple. 9 3 2 8" xfId="8091"/>
    <cellStyle name="Assumption Multiple. 9 3 2 9" xfId="8092"/>
    <cellStyle name="Assumption Multiple. 9 3 3" xfId="8093"/>
    <cellStyle name="Assumption Multiple. 9 3 4" xfId="8094"/>
    <cellStyle name="Assumption Multiple. 9 3 5" xfId="8095"/>
    <cellStyle name="Assumption Multiple. 9 3 6" xfId="8096"/>
    <cellStyle name="Assumption Multiple. 9 3 7" xfId="8097"/>
    <cellStyle name="Assumption Multiple. 9 3 8" xfId="8098"/>
    <cellStyle name="Assumption Multiple. 9 3 9" xfId="8099"/>
    <cellStyle name="Assumption Multiple. 9 4" xfId="8100"/>
    <cellStyle name="Assumption Multiple. 9 4 10" xfId="8101"/>
    <cellStyle name="Assumption Multiple. 9 4 2" xfId="8102"/>
    <cellStyle name="Assumption Multiple. 9 4 3" xfId="8103"/>
    <cellStyle name="Assumption Multiple. 9 4 4" xfId="8104"/>
    <cellStyle name="Assumption Multiple. 9 4 5" xfId="8105"/>
    <cellStyle name="Assumption Multiple. 9 4 6" xfId="8106"/>
    <cellStyle name="Assumption Multiple. 9 4 7" xfId="8107"/>
    <cellStyle name="Assumption Multiple. 9 4 8" xfId="8108"/>
    <cellStyle name="Assumption Multiple. 9 4 9" xfId="8109"/>
    <cellStyle name="Assumption Multiple. 9 5" xfId="8110"/>
    <cellStyle name="Assumption Multiple. 9 6" xfId="8111"/>
    <cellStyle name="Assumption Multiple. 9 7" xfId="8112"/>
    <cellStyle name="Assumption Multiple. 9 8" xfId="8113"/>
    <cellStyle name="Assumption Multiple. 9 9" xfId="8114"/>
    <cellStyle name="Assumption Number." xfId="8115"/>
    <cellStyle name="Assumption Number. 10" xfId="8116"/>
    <cellStyle name="Assumption Number. 10 10" xfId="8117"/>
    <cellStyle name="Assumption Number. 10 11" xfId="8118"/>
    <cellStyle name="Assumption Number. 10 12" xfId="8119"/>
    <cellStyle name="Assumption Number. 10 13" xfId="8120"/>
    <cellStyle name="Assumption Number. 10 2" xfId="8121"/>
    <cellStyle name="Assumption Number. 10 2 10" xfId="8122"/>
    <cellStyle name="Assumption Number. 10 2 11" xfId="8123"/>
    <cellStyle name="Assumption Number. 10 2 12" xfId="8124"/>
    <cellStyle name="Assumption Number. 10 2 2" xfId="8125"/>
    <cellStyle name="Assumption Number. 10 2 2 10" xfId="8126"/>
    <cellStyle name="Assumption Number. 10 2 2 2" xfId="8127"/>
    <cellStyle name="Assumption Number. 10 2 2 2 10" xfId="8128"/>
    <cellStyle name="Assumption Number. 10 2 2 2 2" xfId="8129"/>
    <cellStyle name="Assumption Number. 10 2 2 2 3" xfId="8130"/>
    <cellStyle name="Assumption Number. 10 2 2 2 4" xfId="8131"/>
    <cellStyle name="Assumption Number. 10 2 2 2 5" xfId="8132"/>
    <cellStyle name="Assumption Number. 10 2 2 2 6" xfId="8133"/>
    <cellStyle name="Assumption Number. 10 2 2 2 7" xfId="8134"/>
    <cellStyle name="Assumption Number. 10 2 2 2 8" xfId="8135"/>
    <cellStyle name="Assumption Number. 10 2 2 2 9" xfId="8136"/>
    <cellStyle name="Assumption Number. 10 2 2 3" xfId="8137"/>
    <cellStyle name="Assumption Number. 10 2 2 4" xfId="8138"/>
    <cellStyle name="Assumption Number. 10 2 2 5" xfId="8139"/>
    <cellStyle name="Assumption Number. 10 2 2 6" xfId="8140"/>
    <cellStyle name="Assumption Number. 10 2 2 7" xfId="8141"/>
    <cellStyle name="Assumption Number. 10 2 2 8" xfId="8142"/>
    <cellStyle name="Assumption Number. 10 2 2 9" xfId="8143"/>
    <cellStyle name="Assumption Number. 10 2 3" xfId="8144"/>
    <cellStyle name="Assumption Number. 10 2 3 10" xfId="8145"/>
    <cellStyle name="Assumption Number. 10 2 3 2" xfId="8146"/>
    <cellStyle name="Assumption Number. 10 2 3 3" xfId="8147"/>
    <cellStyle name="Assumption Number. 10 2 3 4" xfId="8148"/>
    <cellStyle name="Assumption Number. 10 2 3 5" xfId="8149"/>
    <cellStyle name="Assumption Number. 10 2 3 6" xfId="8150"/>
    <cellStyle name="Assumption Number. 10 2 3 7" xfId="8151"/>
    <cellStyle name="Assumption Number. 10 2 3 8" xfId="8152"/>
    <cellStyle name="Assumption Number. 10 2 3 9" xfId="8153"/>
    <cellStyle name="Assumption Number. 10 2 4" xfId="8154"/>
    <cellStyle name="Assumption Number. 10 2 5" xfId="8155"/>
    <cellStyle name="Assumption Number. 10 2 6" xfId="8156"/>
    <cellStyle name="Assumption Number. 10 2 7" xfId="8157"/>
    <cellStyle name="Assumption Number. 10 2 8" xfId="8158"/>
    <cellStyle name="Assumption Number. 10 2 9" xfId="8159"/>
    <cellStyle name="Assumption Number. 10 3" xfId="8160"/>
    <cellStyle name="Assumption Number. 10 3 10" xfId="8161"/>
    <cellStyle name="Assumption Number. 10 3 2" xfId="8162"/>
    <cellStyle name="Assumption Number. 10 3 2 10" xfId="8163"/>
    <cellStyle name="Assumption Number. 10 3 2 2" xfId="8164"/>
    <cellStyle name="Assumption Number. 10 3 2 3" xfId="8165"/>
    <cellStyle name="Assumption Number. 10 3 2 4" xfId="8166"/>
    <cellStyle name="Assumption Number. 10 3 2 5" xfId="8167"/>
    <cellStyle name="Assumption Number. 10 3 2 6" xfId="8168"/>
    <cellStyle name="Assumption Number. 10 3 2 7" xfId="8169"/>
    <cellStyle name="Assumption Number. 10 3 2 8" xfId="8170"/>
    <cellStyle name="Assumption Number. 10 3 2 9" xfId="8171"/>
    <cellStyle name="Assumption Number. 10 3 3" xfId="8172"/>
    <cellStyle name="Assumption Number. 10 3 4" xfId="8173"/>
    <cellStyle name="Assumption Number. 10 3 5" xfId="8174"/>
    <cellStyle name="Assumption Number. 10 3 6" xfId="8175"/>
    <cellStyle name="Assumption Number. 10 3 7" xfId="8176"/>
    <cellStyle name="Assumption Number. 10 3 8" xfId="8177"/>
    <cellStyle name="Assumption Number. 10 3 9" xfId="8178"/>
    <cellStyle name="Assumption Number. 10 4" xfId="8179"/>
    <cellStyle name="Assumption Number. 10 4 10" xfId="8180"/>
    <cellStyle name="Assumption Number. 10 4 2" xfId="8181"/>
    <cellStyle name="Assumption Number. 10 4 3" xfId="8182"/>
    <cellStyle name="Assumption Number. 10 4 4" xfId="8183"/>
    <cellStyle name="Assumption Number. 10 4 5" xfId="8184"/>
    <cellStyle name="Assumption Number. 10 4 6" xfId="8185"/>
    <cellStyle name="Assumption Number. 10 4 7" xfId="8186"/>
    <cellStyle name="Assumption Number. 10 4 8" xfId="8187"/>
    <cellStyle name="Assumption Number. 10 4 9" xfId="8188"/>
    <cellStyle name="Assumption Number. 10 5" xfId="8189"/>
    <cellStyle name="Assumption Number. 10 6" xfId="8190"/>
    <cellStyle name="Assumption Number. 10 7" xfId="8191"/>
    <cellStyle name="Assumption Number. 10 8" xfId="8192"/>
    <cellStyle name="Assumption Number. 10 9" xfId="8193"/>
    <cellStyle name="Assumption Number. 11" xfId="8194"/>
    <cellStyle name="Assumption Number. 11 10" xfId="8195"/>
    <cellStyle name="Assumption Number. 11 11" xfId="8196"/>
    <cellStyle name="Assumption Number. 11 12" xfId="8197"/>
    <cellStyle name="Assumption Number. 11 2" xfId="8198"/>
    <cellStyle name="Assumption Number. 11 2 10" xfId="8199"/>
    <cellStyle name="Assumption Number. 11 2 2" xfId="8200"/>
    <cellStyle name="Assumption Number. 11 2 2 10" xfId="8201"/>
    <cellStyle name="Assumption Number. 11 2 2 2" xfId="8202"/>
    <cellStyle name="Assumption Number. 11 2 2 3" xfId="8203"/>
    <cellStyle name="Assumption Number. 11 2 2 4" xfId="8204"/>
    <cellStyle name="Assumption Number. 11 2 2 5" xfId="8205"/>
    <cellStyle name="Assumption Number. 11 2 2 6" xfId="8206"/>
    <cellStyle name="Assumption Number. 11 2 2 7" xfId="8207"/>
    <cellStyle name="Assumption Number. 11 2 2 8" xfId="8208"/>
    <cellStyle name="Assumption Number. 11 2 2 9" xfId="8209"/>
    <cellStyle name="Assumption Number. 11 2 3" xfId="8210"/>
    <cellStyle name="Assumption Number. 11 2 4" xfId="8211"/>
    <cellStyle name="Assumption Number. 11 2 5" xfId="8212"/>
    <cellStyle name="Assumption Number. 11 2 6" xfId="8213"/>
    <cellStyle name="Assumption Number. 11 2 7" xfId="8214"/>
    <cellStyle name="Assumption Number. 11 2 8" xfId="8215"/>
    <cellStyle name="Assumption Number. 11 2 9" xfId="8216"/>
    <cellStyle name="Assumption Number. 11 3" xfId="8217"/>
    <cellStyle name="Assumption Number. 11 3 10" xfId="8218"/>
    <cellStyle name="Assumption Number. 11 3 2" xfId="8219"/>
    <cellStyle name="Assumption Number. 11 3 3" xfId="8220"/>
    <cellStyle name="Assumption Number. 11 3 4" xfId="8221"/>
    <cellStyle name="Assumption Number. 11 3 5" xfId="8222"/>
    <cellStyle name="Assumption Number. 11 3 6" xfId="8223"/>
    <cellStyle name="Assumption Number. 11 3 7" xfId="8224"/>
    <cellStyle name="Assumption Number. 11 3 8" xfId="8225"/>
    <cellStyle name="Assumption Number. 11 3 9" xfId="8226"/>
    <cellStyle name="Assumption Number. 11 4" xfId="8227"/>
    <cellStyle name="Assumption Number. 11 5" xfId="8228"/>
    <cellStyle name="Assumption Number. 11 6" xfId="8229"/>
    <cellStyle name="Assumption Number. 11 7" xfId="8230"/>
    <cellStyle name="Assumption Number. 11 8" xfId="8231"/>
    <cellStyle name="Assumption Number. 11 9" xfId="8232"/>
    <cellStyle name="Assumption Number. 12" xfId="8233"/>
    <cellStyle name="Assumption Number. 12 10" xfId="8234"/>
    <cellStyle name="Assumption Number. 12 11" xfId="8235"/>
    <cellStyle name="Assumption Number. 12 12" xfId="8236"/>
    <cellStyle name="Assumption Number. 12 2" xfId="8237"/>
    <cellStyle name="Assumption Number. 12 2 10" xfId="8238"/>
    <cellStyle name="Assumption Number. 12 2 2" xfId="8239"/>
    <cellStyle name="Assumption Number. 12 2 2 10" xfId="8240"/>
    <cellStyle name="Assumption Number. 12 2 2 2" xfId="8241"/>
    <cellStyle name="Assumption Number. 12 2 2 3" xfId="8242"/>
    <cellStyle name="Assumption Number. 12 2 2 4" xfId="8243"/>
    <cellStyle name="Assumption Number. 12 2 2 5" xfId="8244"/>
    <cellStyle name="Assumption Number. 12 2 2 6" xfId="8245"/>
    <cellStyle name="Assumption Number. 12 2 2 7" xfId="8246"/>
    <cellStyle name="Assumption Number. 12 2 2 8" xfId="8247"/>
    <cellStyle name="Assumption Number. 12 2 2 9" xfId="8248"/>
    <cellStyle name="Assumption Number. 12 2 3" xfId="8249"/>
    <cellStyle name="Assumption Number. 12 2 4" xfId="8250"/>
    <cellStyle name="Assumption Number. 12 2 5" xfId="8251"/>
    <cellStyle name="Assumption Number. 12 2 6" xfId="8252"/>
    <cellStyle name="Assumption Number. 12 2 7" xfId="8253"/>
    <cellStyle name="Assumption Number. 12 2 8" xfId="8254"/>
    <cellStyle name="Assumption Number. 12 2 9" xfId="8255"/>
    <cellStyle name="Assumption Number. 12 3" xfId="8256"/>
    <cellStyle name="Assumption Number. 12 3 10" xfId="8257"/>
    <cellStyle name="Assumption Number. 12 3 2" xfId="8258"/>
    <cellStyle name="Assumption Number. 12 3 3" xfId="8259"/>
    <cellStyle name="Assumption Number. 12 3 4" xfId="8260"/>
    <cellStyle name="Assumption Number. 12 3 5" xfId="8261"/>
    <cellStyle name="Assumption Number. 12 3 6" xfId="8262"/>
    <cellStyle name="Assumption Number. 12 3 7" xfId="8263"/>
    <cellStyle name="Assumption Number. 12 3 8" xfId="8264"/>
    <cellStyle name="Assumption Number. 12 3 9" xfId="8265"/>
    <cellStyle name="Assumption Number. 12 4" xfId="8266"/>
    <cellStyle name="Assumption Number. 12 5" xfId="8267"/>
    <cellStyle name="Assumption Number. 12 6" xfId="8268"/>
    <cellStyle name="Assumption Number. 12 7" xfId="8269"/>
    <cellStyle name="Assumption Number. 12 8" xfId="8270"/>
    <cellStyle name="Assumption Number. 12 9" xfId="8271"/>
    <cellStyle name="Assumption Number. 13" xfId="8272"/>
    <cellStyle name="Assumption Number. 13 10" xfId="8273"/>
    <cellStyle name="Assumption Number. 13 2" xfId="8274"/>
    <cellStyle name="Assumption Number. 13 2 10" xfId="8275"/>
    <cellStyle name="Assumption Number. 13 2 2" xfId="8276"/>
    <cellStyle name="Assumption Number. 13 2 3" xfId="8277"/>
    <cellStyle name="Assumption Number. 13 2 4" xfId="8278"/>
    <cellStyle name="Assumption Number. 13 2 5" xfId="8279"/>
    <cellStyle name="Assumption Number. 13 2 6" xfId="8280"/>
    <cellStyle name="Assumption Number. 13 2 7" xfId="8281"/>
    <cellStyle name="Assumption Number. 13 2 8" xfId="8282"/>
    <cellStyle name="Assumption Number. 13 2 9" xfId="8283"/>
    <cellStyle name="Assumption Number. 13 3" xfId="8284"/>
    <cellStyle name="Assumption Number. 13 4" xfId="8285"/>
    <cellStyle name="Assumption Number. 13 5" xfId="8286"/>
    <cellStyle name="Assumption Number. 13 6" xfId="8287"/>
    <cellStyle name="Assumption Number. 13 7" xfId="8288"/>
    <cellStyle name="Assumption Number. 13 8" xfId="8289"/>
    <cellStyle name="Assumption Number. 13 9" xfId="8290"/>
    <cellStyle name="Assumption Number. 14" xfId="8291"/>
    <cellStyle name="Assumption Number. 14 10" xfId="8292"/>
    <cellStyle name="Assumption Number. 14 2" xfId="8293"/>
    <cellStyle name="Assumption Number. 14 3" xfId="8294"/>
    <cellStyle name="Assumption Number. 14 4" xfId="8295"/>
    <cellStyle name="Assumption Number. 14 5" xfId="8296"/>
    <cellStyle name="Assumption Number. 14 6" xfId="8297"/>
    <cellStyle name="Assumption Number. 14 7" xfId="8298"/>
    <cellStyle name="Assumption Number. 14 8" xfId="8299"/>
    <cellStyle name="Assumption Number. 14 9" xfId="8300"/>
    <cellStyle name="Assumption Number. 15" xfId="8301"/>
    <cellStyle name="Assumption Number. 16" xfId="8302"/>
    <cellStyle name="Assumption Number. 17" xfId="8303"/>
    <cellStyle name="Assumption Number. 18" xfId="8304"/>
    <cellStyle name="Assumption Number. 2" xfId="8305"/>
    <cellStyle name="Assumption Number. 2 10" xfId="8306"/>
    <cellStyle name="Assumption Number. 2 10 10" xfId="8307"/>
    <cellStyle name="Assumption Number. 2 10 2" xfId="8308"/>
    <cellStyle name="Assumption Number. 2 10 3" xfId="8309"/>
    <cellStyle name="Assumption Number. 2 10 4" xfId="8310"/>
    <cellStyle name="Assumption Number. 2 10 5" xfId="8311"/>
    <cellStyle name="Assumption Number. 2 10 6" xfId="8312"/>
    <cellStyle name="Assumption Number. 2 10 7" xfId="8313"/>
    <cellStyle name="Assumption Number. 2 10 8" xfId="8314"/>
    <cellStyle name="Assumption Number. 2 10 9" xfId="8315"/>
    <cellStyle name="Assumption Number. 2 11" xfId="8316"/>
    <cellStyle name="Assumption Number. 2 12" xfId="8317"/>
    <cellStyle name="Assumption Number. 2 13" xfId="8318"/>
    <cellStyle name="Assumption Number. 2 14" xfId="8319"/>
    <cellStyle name="Assumption Number. 2 15" xfId="8320"/>
    <cellStyle name="Assumption Number. 2 16" xfId="8321"/>
    <cellStyle name="Assumption Number. 2 17" xfId="8322"/>
    <cellStyle name="Assumption Number. 2 18" xfId="8323"/>
    <cellStyle name="Assumption Number. 2 19" xfId="8324"/>
    <cellStyle name="Assumption Number. 2 2" xfId="8325"/>
    <cellStyle name="Assumption Number. 2 2 10" xfId="8326"/>
    <cellStyle name="Assumption Number. 2 2 11" xfId="8327"/>
    <cellStyle name="Assumption Number. 2 2 12" xfId="8328"/>
    <cellStyle name="Assumption Number. 2 2 13" xfId="8329"/>
    <cellStyle name="Assumption Number. 2 2 14" xfId="8330"/>
    <cellStyle name="Assumption Number. 2 2 15" xfId="8331"/>
    <cellStyle name="Assumption Number. 2 2 16" xfId="8332"/>
    <cellStyle name="Assumption Number. 2 2 17" xfId="8333"/>
    <cellStyle name="Assumption Number. 2 2 18" xfId="8334"/>
    <cellStyle name="Assumption Number. 2 2 2" xfId="8335"/>
    <cellStyle name="Assumption Number. 2 2 2 10" xfId="8336"/>
    <cellStyle name="Assumption Number. 2 2 2 11" xfId="8337"/>
    <cellStyle name="Assumption Number. 2 2 2 12" xfId="8338"/>
    <cellStyle name="Assumption Number. 2 2 2 13" xfId="8339"/>
    <cellStyle name="Assumption Number. 2 2 2 14" xfId="8340"/>
    <cellStyle name="Assumption Number. 2 2 2 2" xfId="8341"/>
    <cellStyle name="Assumption Number. 2 2 2 2 10" xfId="8342"/>
    <cellStyle name="Assumption Number. 2 2 2 2 11" xfId="8343"/>
    <cellStyle name="Assumption Number. 2 2 2 2 12" xfId="8344"/>
    <cellStyle name="Assumption Number. 2 2 2 2 13" xfId="8345"/>
    <cellStyle name="Assumption Number. 2 2 2 2 2" xfId="8346"/>
    <cellStyle name="Assumption Number. 2 2 2 2 2 10" xfId="8347"/>
    <cellStyle name="Assumption Number. 2 2 2 2 2 11" xfId="8348"/>
    <cellStyle name="Assumption Number. 2 2 2 2 2 12" xfId="8349"/>
    <cellStyle name="Assumption Number. 2 2 2 2 2 2" xfId="8350"/>
    <cellStyle name="Assumption Number. 2 2 2 2 2 2 10" xfId="8351"/>
    <cellStyle name="Assumption Number. 2 2 2 2 2 2 2" xfId="8352"/>
    <cellStyle name="Assumption Number. 2 2 2 2 2 2 2 10" xfId="8353"/>
    <cellStyle name="Assumption Number. 2 2 2 2 2 2 2 2" xfId="8354"/>
    <cellStyle name="Assumption Number. 2 2 2 2 2 2 2 3" xfId="8355"/>
    <cellStyle name="Assumption Number. 2 2 2 2 2 2 2 4" xfId="8356"/>
    <cellStyle name="Assumption Number. 2 2 2 2 2 2 2 5" xfId="8357"/>
    <cellStyle name="Assumption Number. 2 2 2 2 2 2 2 6" xfId="8358"/>
    <cellStyle name="Assumption Number. 2 2 2 2 2 2 2 7" xfId="8359"/>
    <cellStyle name="Assumption Number. 2 2 2 2 2 2 2 8" xfId="8360"/>
    <cellStyle name="Assumption Number. 2 2 2 2 2 2 2 9" xfId="8361"/>
    <cellStyle name="Assumption Number. 2 2 2 2 2 2 3" xfId="8362"/>
    <cellStyle name="Assumption Number. 2 2 2 2 2 2 4" xfId="8363"/>
    <cellStyle name="Assumption Number. 2 2 2 2 2 2 5" xfId="8364"/>
    <cellStyle name="Assumption Number. 2 2 2 2 2 2 6" xfId="8365"/>
    <cellStyle name="Assumption Number. 2 2 2 2 2 2 7" xfId="8366"/>
    <cellStyle name="Assumption Number. 2 2 2 2 2 2 8" xfId="8367"/>
    <cellStyle name="Assumption Number. 2 2 2 2 2 2 9" xfId="8368"/>
    <cellStyle name="Assumption Number. 2 2 2 2 2 3" xfId="8369"/>
    <cellStyle name="Assumption Number. 2 2 2 2 2 3 10" xfId="8370"/>
    <cellStyle name="Assumption Number. 2 2 2 2 2 3 2" xfId="8371"/>
    <cellStyle name="Assumption Number. 2 2 2 2 2 3 3" xfId="8372"/>
    <cellStyle name="Assumption Number. 2 2 2 2 2 3 4" xfId="8373"/>
    <cellStyle name="Assumption Number. 2 2 2 2 2 3 5" xfId="8374"/>
    <cellStyle name="Assumption Number. 2 2 2 2 2 3 6" xfId="8375"/>
    <cellStyle name="Assumption Number. 2 2 2 2 2 3 7" xfId="8376"/>
    <cellStyle name="Assumption Number. 2 2 2 2 2 3 8" xfId="8377"/>
    <cellStyle name="Assumption Number. 2 2 2 2 2 3 9" xfId="8378"/>
    <cellStyle name="Assumption Number. 2 2 2 2 2 4" xfId="8379"/>
    <cellStyle name="Assumption Number. 2 2 2 2 2 5" xfId="8380"/>
    <cellStyle name="Assumption Number. 2 2 2 2 2 6" xfId="8381"/>
    <cellStyle name="Assumption Number. 2 2 2 2 2 7" xfId="8382"/>
    <cellStyle name="Assumption Number. 2 2 2 2 2 8" xfId="8383"/>
    <cellStyle name="Assumption Number. 2 2 2 2 2 9" xfId="8384"/>
    <cellStyle name="Assumption Number. 2 2 2 2 3" xfId="8385"/>
    <cellStyle name="Assumption Number. 2 2 2 2 3 10" xfId="8386"/>
    <cellStyle name="Assumption Number. 2 2 2 2 3 2" xfId="8387"/>
    <cellStyle name="Assumption Number. 2 2 2 2 3 2 10" xfId="8388"/>
    <cellStyle name="Assumption Number. 2 2 2 2 3 2 2" xfId="8389"/>
    <cellStyle name="Assumption Number. 2 2 2 2 3 2 3" xfId="8390"/>
    <cellStyle name="Assumption Number. 2 2 2 2 3 2 4" xfId="8391"/>
    <cellStyle name="Assumption Number. 2 2 2 2 3 2 5" xfId="8392"/>
    <cellStyle name="Assumption Number. 2 2 2 2 3 2 6" xfId="8393"/>
    <cellStyle name="Assumption Number. 2 2 2 2 3 2 7" xfId="8394"/>
    <cellStyle name="Assumption Number. 2 2 2 2 3 2 8" xfId="8395"/>
    <cellStyle name="Assumption Number. 2 2 2 2 3 2 9" xfId="8396"/>
    <cellStyle name="Assumption Number. 2 2 2 2 3 3" xfId="8397"/>
    <cellStyle name="Assumption Number. 2 2 2 2 3 4" xfId="8398"/>
    <cellStyle name="Assumption Number. 2 2 2 2 3 5" xfId="8399"/>
    <cellStyle name="Assumption Number. 2 2 2 2 3 6" xfId="8400"/>
    <cellStyle name="Assumption Number. 2 2 2 2 3 7" xfId="8401"/>
    <cellStyle name="Assumption Number. 2 2 2 2 3 8" xfId="8402"/>
    <cellStyle name="Assumption Number. 2 2 2 2 3 9" xfId="8403"/>
    <cellStyle name="Assumption Number. 2 2 2 2 4" xfId="8404"/>
    <cellStyle name="Assumption Number. 2 2 2 2 4 10" xfId="8405"/>
    <cellStyle name="Assumption Number. 2 2 2 2 4 2" xfId="8406"/>
    <cellStyle name="Assumption Number. 2 2 2 2 4 3" xfId="8407"/>
    <cellStyle name="Assumption Number. 2 2 2 2 4 4" xfId="8408"/>
    <cellStyle name="Assumption Number. 2 2 2 2 4 5" xfId="8409"/>
    <cellStyle name="Assumption Number. 2 2 2 2 4 6" xfId="8410"/>
    <cellStyle name="Assumption Number. 2 2 2 2 4 7" xfId="8411"/>
    <cellStyle name="Assumption Number. 2 2 2 2 4 8" xfId="8412"/>
    <cellStyle name="Assumption Number. 2 2 2 2 4 9" xfId="8413"/>
    <cellStyle name="Assumption Number. 2 2 2 2 5" xfId="8414"/>
    <cellStyle name="Assumption Number. 2 2 2 2 6" xfId="8415"/>
    <cellStyle name="Assumption Number. 2 2 2 2 7" xfId="8416"/>
    <cellStyle name="Assumption Number. 2 2 2 2 8" xfId="8417"/>
    <cellStyle name="Assumption Number. 2 2 2 2 9" xfId="8418"/>
    <cellStyle name="Assumption Number. 2 2 2 3" xfId="8419"/>
    <cellStyle name="Assumption Number. 2 2 2 3 10" xfId="8420"/>
    <cellStyle name="Assumption Number. 2 2 2 3 11" xfId="8421"/>
    <cellStyle name="Assumption Number. 2 2 2 3 12" xfId="8422"/>
    <cellStyle name="Assumption Number. 2 2 2 3 2" xfId="8423"/>
    <cellStyle name="Assumption Number. 2 2 2 3 2 10" xfId="8424"/>
    <cellStyle name="Assumption Number. 2 2 2 3 2 2" xfId="8425"/>
    <cellStyle name="Assumption Number. 2 2 2 3 2 2 10" xfId="8426"/>
    <cellStyle name="Assumption Number. 2 2 2 3 2 2 2" xfId="8427"/>
    <cellStyle name="Assumption Number. 2 2 2 3 2 2 3" xfId="8428"/>
    <cellStyle name="Assumption Number. 2 2 2 3 2 2 4" xfId="8429"/>
    <cellStyle name="Assumption Number. 2 2 2 3 2 2 5" xfId="8430"/>
    <cellStyle name="Assumption Number. 2 2 2 3 2 2 6" xfId="8431"/>
    <cellStyle name="Assumption Number. 2 2 2 3 2 2 7" xfId="8432"/>
    <cellStyle name="Assumption Number. 2 2 2 3 2 2 8" xfId="8433"/>
    <cellStyle name="Assumption Number. 2 2 2 3 2 2 9" xfId="8434"/>
    <cellStyle name="Assumption Number. 2 2 2 3 2 3" xfId="8435"/>
    <cellStyle name="Assumption Number. 2 2 2 3 2 4" xfId="8436"/>
    <cellStyle name="Assumption Number. 2 2 2 3 2 5" xfId="8437"/>
    <cellStyle name="Assumption Number. 2 2 2 3 2 6" xfId="8438"/>
    <cellStyle name="Assumption Number. 2 2 2 3 2 7" xfId="8439"/>
    <cellStyle name="Assumption Number. 2 2 2 3 2 8" xfId="8440"/>
    <cellStyle name="Assumption Number. 2 2 2 3 2 9" xfId="8441"/>
    <cellStyle name="Assumption Number. 2 2 2 3 3" xfId="8442"/>
    <cellStyle name="Assumption Number. 2 2 2 3 3 10" xfId="8443"/>
    <cellStyle name="Assumption Number. 2 2 2 3 3 2" xfId="8444"/>
    <cellStyle name="Assumption Number. 2 2 2 3 3 3" xfId="8445"/>
    <cellStyle name="Assumption Number. 2 2 2 3 3 4" xfId="8446"/>
    <cellStyle name="Assumption Number. 2 2 2 3 3 5" xfId="8447"/>
    <cellStyle name="Assumption Number. 2 2 2 3 3 6" xfId="8448"/>
    <cellStyle name="Assumption Number. 2 2 2 3 3 7" xfId="8449"/>
    <cellStyle name="Assumption Number. 2 2 2 3 3 8" xfId="8450"/>
    <cellStyle name="Assumption Number. 2 2 2 3 3 9" xfId="8451"/>
    <cellStyle name="Assumption Number. 2 2 2 3 4" xfId="8452"/>
    <cellStyle name="Assumption Number. 2 2 2 3 5" xfId="8453"/>
    <cellStyle name="Assumption Number. 2 2 2 3 6" xfId="8454"/>
    <cellStyle name="Assumption Number. 2 2 2 3 7" xfId="8455"/>
    <cellStyle name="Assumption Number. 2 2 2 3 8" xfId="8456"/>
    <cellStyle name="Assumption Number. 2 2 2 3 9" xfId="8457"/>
    <cellStyle name="Assumption Number. 2 2 2 4" xfId="8458"/>
    <cellStyle name="Assumption Number. 2 2 2 4 10" xfId="8459"/>
    <cellStyle name="Assumption Number. 2 2 2 4 2" xfId="8460"/>
    <cellStyle name="Assumption Number. 2 2 2 4 2 10" xfId="8461"/>
    <cellStyle name="Assumption Number. 2 2 2 4 2 2" xfId="8462"/>
    <cellStyle name="Assumption Number. 2 2 2 4 2 3" xfId="8463"/>
    <cellStyle name="Assumption Number. 2 2 2 4 2 4" xfId="8464"/>
    <cellStyle name="Assumption Number. 2 2 2 4 2 5" xfId="8465"/>
    <cellStyle name="Assumption Number. 2 2 2 4 2 6" xfId="8466"/>
    <cellStyle name="Assumption Number. 2 2 2 4 2 7" xfId="8467"/>
    <cellStyle name="Assumption Number. 2 2 2 4 2 8" xfId="8468"/>
    <cellStyle name="Assumption Number. 2 2 2 4 2 9" xfId="8469"/>
    <cellStyle name="Assumption Number. 2 2 2 4 3" xfId="8470"/>
    <cellStyle name="Assumption Number. 2 2 2 4 4" xfId="8471"/>
    <cellStyle name="Assumption Number. 2 2 2 4 5" xfId="8472"/>
    <cellStyle name="Assumption Number. 2 2 2 4 6" xfId="8473"/>
    <cellStyle name="Assumption Number. 2 2 2 4 7" xfId="8474"/>
    <cellStyle name="Assumption Number. 2 2 2 4 8" xfId="8475"/>
    <cellStyle name="Assumption Number. 2 2 2 4 9" xfId="8476"/>
    <cellStyle name="Assumption Number. 2 2 2 5" xfId="8477"/>
    <cellStyle name="Assumption Number. 2 2 2 5 10" xfId="8478"/>
    <cellStyle name="Assumption Number. 2 2 2 5 2" xfId="8479"/>
    <cellStyle name="Assumption Number. 2 2 2 5 3" xfId="8480"/>
    <cellStyle name="Assumption Number. 2 2 2 5 4" xfId="8481"/>
    <cellStyle name="Assumption Number. 2 2 2 5 5" xfId="8482"/>
    <cellStyle name="Assumption Number. 2 2 2 5 6" xfId="8483"/>
    <cellStyle name="Assumption Number. 2 2 2 5 7" xfId="8484"/>
    <cellStyle name="Assumption Number. 2 2 2 5 8" xfId="8485"/>
    <cellStyle name="Assumption Number. 2 2 2 5 9" xfId="8486"/>
    <cellStyle name="Assumption Number. 2 2 2 6" xfId="8487"/>
    <cellStyle name="Assumption Number. 2 2 2 7" xfId="8488"/>
    <cellStyle name="Assumption Number. 2 2 2 8" xfId="8489"/>
    <cellStyle name="Assumption Number. 2 2 2 9" xfId="8490"/>
    <cellStyle name="Assumption Number. 2 2 3" xfId="8491"/>
    <cellStyle name="Assumption Number. 2 2 3 10" xfId="8492"/>
    <cellStyle name="Assumption Number. 2 2 3 11" xfId="8493"/>
    <cellStyle name="Assumption Number. 2 2 3 12" xfId="8494"/>
    <cellStyle name="Assumption Number. 2 2 3 13" xfId="8495"/>
    <cellStyle name="Assumption Number. 2 2 3 2" xfId="8496"/>
    <cellStyle name="Assumption Number. 2 2 3 2 10" xfId="8497"/>
    <cellStyle name="Assumption Number. 2 2 3 2 11" xfId="8498"/>
    <cellStyle name="Assumption Number. 2 2 3 2 12" xfId="8499"/>
    <cellStyle name="Assumption Number. 2 2 3 2 2" xfId="8500"/>
    <cellStyle name="Assumption Number. 2 2 3 2 2 10" xfId="8501"/>
    <cellStyle name="Assumption Number. 2 2 3 2 2 2" xfId="8502"/>
    <cellStyle name="Assumption Number. 2 2 3 2 2 2 10" xfId="8503"/>
    <cellStyle name="Assumption Number. 2 2 3 2 2 2 2" xfId="8504"/>
    <cellStyle name="Assumption Number. 2 2 3 2 2 2 3" xfId="8505"/>
    <cellStyle name="Assumption Number. 2 2 3 2 2 2 4" xfId="8506"/>
    <cellStyle name="Assumption Number. 2 2 3 2 2 2 5" xfId="8507"/>
    <cellStyle name="Assumption Number. 2 2 3 2 2 2 6" xfId="8508"/>
    <cellStyle name="Assumption Number. 2 2 3 2 2 2 7" xfId="8509"/>
    <cellStyle name="Assumption Number. 2 2 3 2 2 2 8" xfId="8510"/>
    <cellStyle name="Assumption Number. 2 2 3 2 2 2 9" xfId="8511"/>
    <cellStyle name="Assumption Number. 2 2 3 2 2 3" xfId="8512"/>
    <cellStyle name="Assumption Number. 2 2 3 2 2 4" xfId="8513"/>
    <cellStyle name="Assumption Number. 2 2 3 2 2 5" xfId="8514"/>
    <cellStyle name="Assumption Number. 2 2 3 2 2 6" xfId="8515"/>
    <cellStyle name="Assumption Number. 2 2 3 2 2 7" xfId="8516"/>
    <cellStyle name="Assumption Number. 2 2 3 2 2 8" xfId="8517"/>
    <cellStyle name="Assumption Number. 2 2 3 2 2 9" xfId="8518"/>
    <cellStyle name="Assumption Number. 2 2 3 2 3" xfId="8519"/>
    <cellStyle name="Assumption Number. 2 2 3 2 3 10" xfId="8520"/>
    <cellStyle name="Assumption Number. 2 2 3 2 3 2" xfId="8521"/>
    <cellStyle name="Assumption Number. 2 2 3 2 3 3" xfId="8522"/>
    <cellStyle name="Assumption Number. 2 2 3 2 3 4" xfId="8523"/>
    <cellStyle name="Assumption Number. 2 2 3 2 3 5" xfId="8524"/>
    <cellStyle name="Assumption Number. 2 2 3 2 3 6" xfId="8525"/>
    <cellStyle name="Assumption Number. 2 2 3 2 3 7" xfId="8526"/>
    <cellStyle name="Assumption Number. 2 2 3 2 3 8" xfId="8527"/>
    <cellStyle name="Assumption Number. 2 2 3 2 3 9" xfId="8528"/>
    <cellStyle name="Assumption Number. 2 2 3 2 4" xfId="8529"/>
    <cellStyle name="Assumption Number. 2 2 3 2 5" xfId="8530"/>
    <cellStyle name="Assumption Number. 2 2 3 2 6" xfId="8531"/>
    <cellStyle name="Assumption Number. 2 2 3 2 7" xfId="8532"/>
    <cellStyle name="Assumption Number. 2 2 3 2 8" xfId="8533"/>
    <cellStyle name="Assumption Number. 2 2 3 2 9" xfId="8534"/>
    <cellStyle name="Assumption Number. 2 2 3 3" xfId="8535"/>
    <cellStyle name="Assumption Number. 2 2 3 3 10" xfId="8536"/>
    <cellStyle name="Assumption Number. 2 2 3 3 2" xfId="8537"/>
    <cellStyle name="Assumption Number. 2 2 3 3 2 10" xfId="8538"/>
    <cellStyle name="Assumption Number. 2 2 3 3 2 2" xfId="8539"/>
    <cellStyle name="Assumption Number. 2 2 3 3 2 3" xfId="8540"/>
    <cellStyle name="Assumption Number. 2 2 3 3 2 4" xfId="8541"/>
    <cellStyle name="Assumption Number. 2 2 3 3 2 5" xfId="8542"/>
    <cellStyle name="Assumption Number. 2 2 3 3 2 6" xfId="8543"/>
    <cellStyle name="Assumption Number. 2 2 3 3 2 7" xfId="8544"/>
    <cellStyle name="Assumption Number. 2 2 3 3 2 8" xfId="8545"/>
    <cellStyle name="Assumption Number. 2 2 3 3 2 9" xfId="8546"/>
    <cellStyle name="Assumption Number. 2 2 3 3 3" xfId="8547"/>
    <cellStyle name="Assumption Number. 2 2 3 3 4" xfId="8548"/>
    <cellStyle name="Assumption Number. 2 2 3 3 5" xfId="8549"/>
    <cellStyle name="Assumption Number. 2 2 3 3 6" xfId="8550"/>
    <cellStyle name="Assumption Number. 2 2 3 3 7" xfId="8551"/>
    <cellStyle name="Assumption Number. 2 2 3 3 8" xfId="8552"/>
    <cellStyle name="Assumption Number. 2 2 3 3 9" xfId="8553"/>
    <cellStyle name="Assumption Number. 2 2 3 4" xfId="8554"/>
    <cellStyle name="Assumption Number. 2 2 3 4 10" xfId="8555"/>
    <cellStyle name="Assumption Number. 2 2 3 4 2" xfId="8556"/>
    <cellStyle name="Assumption Number. 2 2 3 4 3" xfId="8557"/>
    <cellStyle name="Assumption Number. 2 2 3 4 4" xfId="8558"/>
    <cellStyle name="Assumption Number. 2 2 3 4 5" xfId="8559"/>
    <cellStyle name="Assumption Number. 2 2 3 4 6" xfId="8560"/>
    <cellStyle name="Assumption Number. 2 2 3 4 7" xfId="8561"/>
    <cellStyle name="Assumption Number. 2 2 3 4 8" xfId="8562"/>
    <cellStyle name="Assumption Number. 2 2 3 4 9" xfId="8563"/>
    <cellStyle name="Assumption Number. 2 2 3 5" xfId="8564"/>
    <cellStyle name="Assumption Number. 2 2 3 6" xfId="8565"/>
    <cellStyle name="Assumption Number. 2 2 3 7" xfId="8566"/>
    <cellStyle name="Assumption Number. 2 2 3 8" xfId="8567"/>
    <cellStyle name="Assumption Number. 2 2 3 9" xfId="8568"/>
    <cellStyle name="Assumption Number. 2 2 4" xfId="8569"/>
    <cellStyle name="Assumption Number. 2 2 4 10" xfId="8570"/>
    <cellStyle name="Assumption Number. 2 2 4 11" xfId="8571"/>
    <cellStyle name="Assumption Number. 2 2 4 12" xfId="8572"/>
    <cellStyle name="Assumption Number. 2 2 4 13" xfId="8573"/>
    <cellStyle name="Assumption Number. 2 2 4 2" xfId="8574"/>
    <cellStyle name="Assumption Number. 2 2 4 2 10" xfId="8575"/>
    <cellStyle name="Assumption Number. 2 2 4 2 11" xfId="8576"/>
    <cellStyle name="Assumption Number. 2 2 4 2 12" xfId="8577"/>
    <cellStyle name="Assumption Number. 2 2 4 2 2" xfId="8578"/>
    <cellStyle name="Assumption Number. 2 2 4 2 2 10" xfId="8579"/>
    <cellStyle name="Assumption Number. 2 2 4 2 2 2" xfId="8580"/>
    <cellStyle name="Assumption Number. 2 2 4 2 2 2 10" xfId="8581"/>
    <cellStyle name="Assumption Number. 2 2 4 2 2 2 2" xfId="8582"/>
    <cellStyle name="Assumption Number. 2 2 4 2 2 2 3" xfId="8583"/>
    <cellStyle name="Assumption Number. 2 2 4 2 2 2 4" xfId="8584"/>
    <cellStyle name="Assumption Number. 2 2 4 2 2 2 5" xfId="8585"/>
    <cellStyle name="Assumption Number. 2 2 4 2 2 2 6" xfId="8586"/>
    <cellStyle name="Assumption Number. 2 2 4 2 2 2 7" xfId="8587"/>
    <cellStyle name="Assumption Number. 2 2 4 2 2 2 8" xfId="8588"/>
    <cellStyle name="Assumption Number. 2 2 4 2 2 2 9" xfId="8589"/>
    <cellStyle name="Assumption Number. 2 2 4 2 2 3" xfId="8590"/>
    <cellStyle name="Assumption Number. 2 2 4 2 2 4" xfId="8591"/>
    <cellStyle name="Assumption Number. 2 2 4 2 2 5" xfId="8592"/>
    <cellStyle name="Assumption Number. 2 2 4 2 2 6" xfId="8593"/>
    <cellStyle name="Assumption Number. 2 2 4 2 2 7" xfId="8594"/>
    <cellStyle name="Assumption Number. 2 2 4 2 2 8" xfId="8595"/>
    <cellStyle name="Assumption Number. 2 2 4 2 2 9" xfId="8596"/>
    <cellStyle name="Assumption Number. 2 2 4 2 3" xfId="8597"/>
    <cellStyle name="Assumption Number. 2 2 4 2 3 10" xfId="8598"/>
    <cellStyle name="Assumption Number. 2 2 4 2 3 2" xfId="8599"/>
    <cellStyle name="Assumption Number. 2 2 4 2 3 3" xfId="8600"/>
    <cellStyle name="Assumption Number. 2 2 4 2 3 4" xfId="8601"/>
    <cellStyle name="Assumption Number. 2 2 4 2 3 5" xfId="8602"/>
    <cellStyle name="Assumption Number. 2 2 4 2 3 6" xfId="8603"/>
    <cellStyle name="Assumption Number. 2 2 4 2 3 7" xfId="8604"/>
    <cellStyle name="Assumption Number. 2 2 4 2 3 8" xfId="8605"/>
    <cellStyle name="Assumption Number. 2 2 4 2 3 9" xfId="8606"/>
    <cellStyle name="Assumption Number. 2 2 4 2 4" xfId="8607"/>
    <cellStyle name="Assumption Number. 2 2 4 2 5" xfId="8608"/>
    <cellStyle name="Assumption Number. 2 2 4 2 6" xfId="8609"/>
    <cellStyle name="Assumption Number. 2 2 4 2 7" xfId="8610"/>
    <cellStyle name="Assumption Number. 2 2 4 2 8" xfId="8611"/>
    <cellStyle name="Assumption Number. 2 2 4 2 9" xfId="8612"/>
    <cellStyle name="Assumption Number. 2 2 4 3" xfId="8613"/>
    <cellStyle name="Assumption Number. 2 2 4 3 10" xfId="8614"/>
    <cellStyle name="Assumption Number. 2 2 4 3 2" xfId="8615"/>
    <cellStyle name="Assumption Number. 2 2 4 3 2 10" xfId="8616"/>
    <cellStyle name="Assumption Number. 2 2 4 3 2 2" xfId="8617"/>
    <cellStyle name="Assumption Number. 2 2 4 3 2 3" xfId="8618"/>
    <cellStyle name="Assumption Number. 2 2 4 3 2 4" xfId="8619"/>
    <cellStyle name="Assumption Number. 2 2 4 3 2 5" xfId="8620"/>
    <cellStyle name="Assumption Number. 2 2 4 3 2 6" xfId="8621"/>
    <cellStyle name="Assumption Number. 2 2 4 3 2 7" xfId="8622"/>
    <cellStyle name="Assumption Number. 2 2 4 3 2 8" xfId="8623"/>
    <cellStyle name="Assumption Number. 2 2 4 3 2 9" xfId="8624"/>
    <cellStyle name="Assumption Number. 2 2 4 3 3" xfId="8625"/>
    <cellStyle name="Assumption Number. 2 2 4 3 4" xfId="8626"/>
    <cellStyle name="Assumption Number. 2 2 4 3 5" xfId="8627"/>
    <cellStyle name="Assumption Number. 2 2 4 3 6" xfId="8628"/>
    <cellStyle name="Assumption Number. 2 2 4 3 7" xfId="8629"/>
    <cellStyle name="Assumption Number. 2 2 4 3 8" xfId="8630"/>
    <cellStyle name="Assumption Number. 2 2 4 3 9" xfId="8631"/>
    <cellStyle name="Assumption Number. 2 2 4 4" xfId="8632"/>
    <cellStyle name="Assumption Number. 2 2 4 4 10" xfId="8633"/>
    <cellStyle name="Assumption Number. 2 2 4 4 2" xfId="8634"/>
    <cellStyle name="Assumption Number. 2 2 4 4 3" xfId="8635"/>
    <cellStyle name="Assumption Number. 2 2 4 4 4" xfId="8636"/>
    <cellStyle name="Assumption Number. 2 2 4 4 5" xfId="8637"/>
    <cellStyle name="Assumption Number. 2 2 4 4 6" xfId="8638"/>
    <cellStyle name="Assumption Number. 2 2 4 4 7" xfId="8639"/>
    <cellStyle name="Assumption Number. 2 2 4 4 8" xfId="8640"/>
    <cellStyle name="Assumption Number. 2 2 4 4 9" xfId="8641"/>
    <cellStyle name="Assumption Number. 2 2 4 5" xfId="8642"/>
    <cellStyle name="Assumption Number. 2 2 4 6" xfId="8643"/>
    <cellStyle name="Assumption Number. 2 2 4 7" xfId="8644"/>
    <cellStyle name="Assumption Number. 2 2 4 8" xfId="8645"/>
    <cellStyle name="Assumption Number. 2 2 4 9" xfId="8646"/>
    <cellStyle name="Assumption Number. 2 2 5" xfId="8647"/>
    <cellStyle name="Assumption Number. 2 2 5 10" xfId="8648"/>
    <cellStyle name="Assumption Number. 2 2 5 11" xfId="8649"/>
    <cellStyle name="Assumption Number. 2 2 5 12" xfId="8650"/>
    <cellStyle name="Assumption Number. 2 2 5 2" xfId="8651"/>
    <cellStyle name="Assumption Number. 2 2 5 2 10" xfId="8652"/>
    <cellStyle name="Assumption Number. 2 2 5 2 2" xfId="8653"/>
    <cellStyle name="Assumption Number. 2 2 5 2 2 10" xfId="8654"/>
    <cellStyle name="Assumption Number. 2 2 5 2 2 2" xfId="8655"/>
    <cellStyle name="Assumption Number. 2 2 5 2 2 3" xfId="8656"/>
    <cellStyle name="Assumption Number. 2 2 5 2 2 4" xfId="8657"/>
    <cellStyle name="Assumption Number. 2 2 5 2 2 5" xfId="8658"/>
    <cellStyle name="Assumption Number. 2 2 5 2 2 6" xfId="8659"/>
    <cellStyle name="Assumption Number. 2 2 5 2 2 7" xfId="8660"/>
    <cellStyle name="Assumption Number. 2 2 5 2 2 8" xfId="8661"/>
    <cellStyle name="Assumption Number. 2 2 5 2 2 9" xfId="8662"/>
    <cellStyle name="Assumption Number. 2 2 5 2 3" xfId="8663"/>
    <cellStyle name="Assumption Number. 2 2 5 2 4" xfId="8664"/>
    <cellStyle name="Assumption Number. 2 2 5 2 5" xfId="8665"/>
    <cellStyle name="Assumption Number. 2 2 5 2 6" xfId="8666"/>
    <cellStyle name="Assumption Number. 2 2 5 2 7" xfId="8667"/>
    <cellStyle name="Assumption Number. 2 2 5 2 8" xfId="8668"/>
    <cellStyle name="Assumption Number. 2 2 5 2 9" xfId="8669"/>
    <cellStyle name="Assumption Number. 2 2 5 3" xfId="8670"/>
    <cellStyle name="Assumption Number. 2 2 5 3 10" xfId="8671"/>
    <cellStyle name="Assumption Number. 2 2 5 3 2" xfId="8672"/>
    <cellStyle name="Assumption Number. 2 2 5 3 3" xfId="8673"/>
    <cellStyle name="Assumption Number. 2 2 5 3 4" xfId="8674"/>
    <cellStyle name="Assumption Number. 2 2 5 3 5" xfId="8675"/>
    <cellStyle name="Assumption Number. 2 2 5 3 6" xfId="8676"/>
    <cellStyle name="Assumption Number. 2 2 5 3 7" xfId="8677"/>
    <cellStyle name="Assumption Number. 2 2 5 3 8" xfId="8678"/>
    <cellStyle name="Assumption Number. 2 2 5 3 9" xfId="8679"/>
    <cellStyle name="Assumption Number. 2 2 5 4" xfId="8680"/>
    <cellStyle name="Assumption Number. 2 2 5 5" xfId="8681"/>
    <cellStyle name="Assumption Number. 2 2 5 6" xfId="8682"/>
    <cellStyle name="Assumption Number. 2 2 5 7" xfId="8683"/>
    <cellStyle name="Assumption Number. 2 2 5 8" xfId="8684"/>
    <cellStyle name="Assumption Number. 2 2 5 9" xfId="8685"/>
    <cellStyle name="Assumption Number. 2 2 6" xfId="8686"/>
    <cellStyle name="Assumption Number. 2 2 6 10" xfId="8687"/>
    <cellStyle name="Assumption Number. 2 2 6 11" xfId="8688"/>
    <cellStyle name="Assumption Number. 2 2 6 12" xfId="8689"/>
    <cellStyle name="Assumption Number. 2 2 6 2" xfId="8690"/>
    <cellStyle name="Assumption Number. 2 2 6 2 10" xfId="8691"/>
    <cellStyle name="Assumption Number. 2 2 6 2 2" xfId="8692"/>
    <cellStyle name="Assumption Number. 2 2 6 2 2 10" xfId="8693"/>
    <cellStyle name="Assumption Number. 2 2 6 2 2 2" xfId="8694"/>
    <cellStyle name="Assumption Number. 2 2 6 2 2 3" xfId="8695"/>
    <cellStyle name="Assumption Number. 2 2 6 2 2 4" xfId="8696"/>
    <cellStyle name="Assumption Number. 2 2 6 2 2 5" xfId="8697"/>
    <cellStyle name="Assumption Number. 2 2 6 2 2 6" xfId="8698"/>
    <cellStyle name="Assumption Number. 2 2 6 2 2 7" xfId="8699"/>
    <cellStyle name="Assumption Number. 2 2 6 2 2 8" xfId="8700"/>
    <cellStyle name="Assumption Number. 2 2 6 2 2 9" xfId="8701"/>
    <cellStyle name="Assumption Number. 2 2 6 2 3" xfId="8702"/>
    <cellStyle name="Assumption Number. 2 2 6 2 4" xfId="8703"/>
    <cellStyle name="Assumption Number. 2 2 6 2 5" xfId="8704"/>
    <cellStyle name="Assumption Number. 2 2 6 2 6" xfId="8705"/>
    <cellStyle name="Assumption Number. 2 2 6 2 7" xfId="8706"/>
    <cellStyle name="Assumption Number. 2 2 6 2 8" xfId="8707"/>
    <cellStyle name="Assumption Number. 2 2 6 2 9" xfId="8708"/>
    <cellStyle name="Assumption Number. 2 2 6 3" xfId="8709"/>
    <cellStyle name="Assumption Number. 2 2 6 3 10" xfId="8710"/>
    <cellStyle name="Assumption Number. 2 2 6 3 2" xfId="8711"/>
    <cellStyle name="Assumption Number. 2 2 6 3 3" xfId="8712"/>
    <cellStyle name="Assumption Number. 2 2 6 3 4" xfId="8713"/>
    <cellStyle name="Assumption Number. 2 2 6 3 5" xfId="8714"/>
    <cellStyle name="Assumption Number. 2 2 6 3 6" xfId="8715"/>
    <cellStyle name="Assumption Number. 2 2 6 3 7" xfId="8716"/>
    <cellStyle name="Assumption Number. 2 2 6 3 8" xfId="8717"/>
    <cellStyle name="Assumption Number. 2 2 6 3 9" xfId="8718"/>
    <cellStyle name="Assumption Number. 2 2 6 4" xfId="8719"/>
    <cellStyle name="Assumption Number. 2 2 6 5" xfId="8720"/>
    <cellStyle name="Assumption Number. 2 2 6 6" xfId="8721"/>
    <cellStyle name="Assumption Number. 2 2 6 7" xfId="8722"/>
    <cellStyle name="Assumption Number. 2 2 6 8" xfId="8723"/>
    <cellStyle name="Assumption Number. 2 2 6 9" xfId="8724"/>
    <cellStyle name="Assumption Number. 2 2 7" xfId="8725"/>
    <cellStyle name="Assumption Number. 2 2 7 10" xfId="8726"/>
    <cellStyle name="Assumption Number. 2 2 7 11" xfId="8727"/>
    <cellStyle name="Assumption Number. 2 2 7 12" xfId="8728"/>
    <cellStyle name="Assumption Number. 2 2 7 2" xfId="8729"/>
    <cellStyle name="Assumption Number. 2 2 7 2 10" xfId="8730"/>
    <cellStyle name="Assumption Number. 2 2 7 2 2" xfId="8731"/>
    <cellStyle name="Assumption Number. 2 2 7 2 2 10" xfId="8732"/>
    <cellStyle name="Assumption Number. 2 2 7 2 2 2" xfId="8733"/>
    <cellStyle name="Assumption Number. 2 2 7 2 2 3" xfId="8734"/>
    <cellStyle name="Assumption Number. 2 2 7 2 2 4" xfId="8735"/>
    <cellStyle name="Assumption Number. 2 2 7 2 2 5" xfId="8736"/>
    <cellStyle name="Assumption Number. 2 2 7 2 2 6" xfId="8737"/>
    <cellStyle name="Assumption Number. 2 2 7 2 2 7" xfId="8738"/>
    <cellStyle name="Assumption Number. 2 2 7 2 2 8" xfId="8739"/>
    <cellStyle name="Assumption Number. 2 2 7 2 2 9" xfId="8740"/>
    <cellStyle name="Assumption Number. 2 2 7 2 3" xfId="8741"/>
    <cellStyle name="Assumption Number. 2 2 7 2 4" xfId="8742"/>
    <cellStyle name="Assumption Number. 2 2 7 2 5" xfId="8743"/>
    <cellStyle name="Assumption Number. 2 2 7 2 6" xfId="8744"/>
    <cellStyle name="Assumption Number. 2 2 7 2 7" xfId="8745"/>
    <cellStyle name="Assumption Number. 2 2 7 2 8" xfId="8746"/>
    <cellStyle name="Assumption Number. 2 2 7 2 9" xfId="8747"/>
    <cellStyle name="Assumption Number. 2 2 7 3" xfId="8748"/>
    <cellStyle name="Assumption Number. 2 2 7 3 10" xfId="8749"/>
    <cellStyle name="Assumption Number. 2 2 7 3 2" xfId="8750"/>
    <cellStyle name="Assumption Number. 2 2 7 3 3" xfId="8751"/>
    <cellStyle name="Assumption Number. 2 2 7 3 4" xfId="8752"/>
    <cellStyle name="Assumption Number. 2 2 7 3 5" xfId="8753"/>
    <cellStyle name="Assumption Number. 2 2 7 3 6" xfId="8754"/>
    <cellStyle name="Assumption Number. 2 2 7 3 7" xfId="8755"/>
    <cellStyle name="Assumption Number. 2 2 7 3 8" xfId="8756"/>
    <cellStyle name="Assumption Number. 2 2 7 3 9" xfId="8757"/>
    <cellStyle name="Assumption Number. 2 2 7 4" xfId="8758"/>
    <cellStyle name="Assumption Number. 2 2 7 5" xfId="8759"/>
    <cellStyle name="Assumption Number. 2 2 7 6" xfId="8760"/>
    <cellStyle name="Assumption Number. 2 2 7 7" xfId="8761"/>
    <cellStyle name="Assumption Number. 2 2 7 8" xfId="8762"/>
    <cellStyle name="Assumption Number. 2 2 7 9" xfId="8763"/>
    <cellStyle name="Assumption Number. 2 2 8" xfId="8764"/>
    <cellStyle name="Assumption Number. 2 2 8 10" xfId="8765"/>
    <cellStyle name="Assumption Number. 2 2 8 2" xfId="8766"/>
    <cellStyle name="Assumption Number. 2 2 8 2 10" xfId="8767"/>
    <cellStyle name="Assumption Number. 2 2 8 2 2" xfId="8768"/>
    <cellStyle name="Assumption Number. 2 2 8 2 3" xfId="8769"/>
    <cellStyle name="Assumption Number. 2 2 8 2 4" xfId="8770"/>
    <cellStyle name="Assumption Number. 2 2 8 2 5" xfId="8771"/>
    <cellStyle name="Assumption Number. 2 2 8 2 6" xfId="8772"/>
    <cellStyle name="Assumption Number. 2 2 8 2 7" xfId="8773"/>
    <cellStyle name="Assumption Number. 2 2 8 2 8" xfId="8774"/>
    <cellStyle name="Assumption Number. 2 2 8 2 9" xfId="8775"/>
    <cellStyle name="Assumption Number. 2 2 8 3" xfId="8776"/>
    <cellStyle name="Assumption Number. 2 2 8 4" xfId="8777"/>
    <cellStyle name="Assumption Number. 2 2 8 5" xfId="8778"/>
    <cellStyle name="Assumption Number. 2 2 8 6" xfId="8779"/>
    <cellStyle name="Assumption Number. 2 2 8 7" xfId="8780"/>
    <cellStyle name="Assumption Number. 2 2 8 8" xfId="8781"/>
    <cellStyle name="Assumption Number. 2 2 8 9" xfId="8782"/>
    <cellStyle name="Assumption Number. 2 2 9" xfId="8783"/>
    <cellStyle name="Assumption Number. 2 2 9 10" xfId="8784"/>
    <cellStyle name="Assumption Number. 2 2 9 2" xfId="8785"/>
    <cellStyle name="Assumption Number. 2 2 9 3" xfId="8786"/>
    <cellStyle name="Assumption Number. 2 2 9 4" xfId="8787"/>
    <cellStyle name="Assumption Number. 2 2 9 5" xfId="8788"/>
    <cellStyle name="Assumption Number. 2 2 9 6" xfId="8789"/>
    <cellStyle name="Assumption Number. 2 2 9 7" xfId="8790"/>
    <cellStyle name="Assumption Number. 2 2 9 8" xfId="8791"/>
    <cellStyle name="Assumption Number. 2 2 9 9" xfId="8792"/>
    <cellStyle name="Assumption Number. 2 3" xfId="8793"/>
    <cellStyle name="Assumption Number. 2 3 10" xfId="8794"/>
    <cellStyle name="Assumption Number. 2 3 11" xfId="8795"/>
    <cellStyle name="Assumption Number. 2 3 12" xfId="8796"/>
    <cellStyle name="Assumption Number. 2 3 13" xfId="8797"/>
    <cellStyle name="Assumption Number. 2 3 14" xfId="8798"/>
    <cellStyle name="Assumption Number. 2 3 2" xfId="8799"/>
    <cellStyle name="Assumption Number. 2 3 2 10" xfId="8800"/>
    <cellStyle name="Assumption Number. 2 3 2 11" xfId="8801"/>
    <cellStyle name="Assumption Number. 2 3 2 12" xfId="8802"/>
    <cellStyle name="Assumption Number. 2 3 2 13" xfId="8803"/>
    <cellStyle name="Assumption Number. 2 3 2 2" xfId="8804"/>
    <cellStyle name="Assumption Number. 2 3 2 2 10" xfId="8805"/>
    <cellStyle name="Assumption Number. 2 3 2 2 11" xfId="8806"/>
    <cellStyle name="Assumption Number. 2 3 2 2 12" xfId="8807"/>
    <cellStyle name="Assumption Number. 2 3 2 2 2" xfId="8808"/>
    <cellStyle name="Assumption Number. 2 3 2 2 2 10" xfId="8809"/>
    <cellStyle name="Assumption Number. 2 3 2 2 2 2" xfId="8810"/>
    <cellStyle name="Assumption Number. 2 3 2 2 2 2 10" xfId="8811"/>
    <cellStyle name="Assumption Number. 2 3 2 2 2 2 2" xfId="8812"/>
    <cellStyle name="Assumption Number. 2 3 2 2 2 2 3" xfId="8813"/>
    <cellStyle name="Assumption Number. 2 3 2 2 2 2 4" xfId="8814"/>
    <cellStyle name="Assumption Number. 2 3 2 2 2 2 5" xfId="8815"/>
    <cellStyle name="Assumption Number. 2 3 2 2 2 2 6" xfId="8816"/>
    <cellStyle name="Assumption Number. 2 3 2 2 2 2 7" xfId="8817"/>
    <cellStyle name="Assumption Number. 2 3 2 2 2 2 8" xfId="8818"/>
    <cellStyle name="Assumption Number. 2 3 2 2 2 2 9" xfId="8819"/>
    <cellStyle name="Assumption Number. 2 3 2 2 2 3" xfId="8820"/>
    <cellStyle name="Assumption Number. 2 3 2 2 2 4" xfId="8821"/>
    <cellStyle name="Assumption Number. 2 3 2 2 2 5" xfId="8822"/>
    <cellStyle name="Assumption Number. 2 3 2 2 2 6" xfId="8823"/>
    <cellStyle name="Assumption Number. 2 3 2 2 2 7" xfId="8824"/>
    <cellStyle name="Assumption Number. 2 3 2 2 2 8" xfId="8825"/>
    <cellStyle name="Assumption Number. 2 3 2 2 2 9" xfId="8826"/>
    <cellStyle name="Assumption Number. 2 3 2 2 3" xfId="8827"/>
    <cellStyle name="Assumption Number. 2 3 2 2 3 10" xfId="8828"/>
    <cellStyle name="Assumption Number. 2 3 2 2 3 2" xfId="8829"/>
    <cellStyle name="Assumption Number. 2 3 2 2 3 3" xfId="8830"/>
    <cellStyle name="Assumption Number. 2 3 2 2 3 4" xfId="8831"/>
    <cellStyle name="Assumption Number. 2 3 2 2 3 5" xfId="8832"/>
    <cellStyle name="Assumption Number. 2 3 2 2 3 6" xfId="8833"/>
    <cellStyle name="Assumption Number. 2 3 2 2 3 7" xfId="8834"/>
    <cellStyle name="Assumption Number. 2 3 2 2 3 8" xfId="8835"/>
    <cellStyle name="Assumption Number. 2 3 2 2 3 9" xfId="8836"/>
    <cellStyle name="Assumption Number. 2 3 2 2 4" xfId="8837"/>
    <cellStyle name="Assumption Number. 2 3 2 2 5" xfId="8838"/>
    <cellStyle name="Assumption Number. 2 3 2 2 6" xfId="8839"/>
    <cellStyle name="Assumption Number. 2 3 2 2 7" xfId="8840"/>
    <cellStyle name="Assumption Number. 2 3 2 2 8" xfId="8841"/>
    <cellStyle name="Assumption Number. 2 3 2 2 9" xfId="8842"/>
    <cellStyle name="Assumption Number. 2 3 2 3" xfId="8843"/>
    <cellStyle name="Assumption Number. 2 3 2 3 10" xfId="8844"/>
    <cellStyle name="Assumption Number. 2 3 2 3 2" xfId="8845"/>
    <cellStyle name="Assumption Number. 2 3 2 3 2 10" xfId="8846"/>
    <cellStyle name="Assumption Number. 2 3 2 3 2 2" xfId="8847"/>
    <cellStyle name="Assumption Number. 2 3 2 3 2 3" xfId="8848"/>
    <cellStyle name="Assumption Number. 2 3 2 3 2 4" xfId="8849"/>
    <cellStyle name="Assumption Number. 2 3 2 3 2 5" xfId="8850"/>
    <cellStyle name="Assumption Number. 2 3 2 3 2 6" xfId="8851"/>
    <cellStyle name="Assumption Number. 2 3 2 3 2 7" xfId="8852"/>
    <cellStyle name="Assumption Number. 2 3 2 3 2 8" xfId="8853"/>
    <cellStyle name="Assumption Number. 2 3 2 3 2 9" xfId="8854"/>
    <cellStyle name="Assumption Number. 2 3 2 3 3" xfId="8855"/>
    <cellStyle name="Assumption Number. 2 3 2 3 4" xfId="8856"/>
    <cellStyle name="Assumption Number. 2 3 2 3 5" xfId="8857"/>
    <cellStyle name="Assumption Number. 2 3 2 3 6" xfId="8858"/>
    <cellStyle name="Assumption Number. 2 3 2 3 7" xfId="8859"/>
    <cellStyle name="Assumption Number. 2 3 2 3 8" xfId="8860"/>
    <cellStyle name="Assumption Number. 2 3 2 3 9" xfId="8861"/>
    <cellStyle name="Assumption Number. 2 3 2 4" xfId="8862"/>
    <cellStyle name="Assumption Number. 2 3 2 4 10" xfId="8863"/>
    <cellStyle name="Assumption Number. 2 3 2 4 2" xfId="8864"/>
    <cellStyle name="Assumption Number. 2 3 2 4 3" xfId="8865"/>
    <cellStyle name="Assumption Number. 2 3 2 4 4" xfId="8866"/>
    <cellStyle name="Assumption Number. 2 3 2 4 5" xfId="8867"/>
    <cellStyle name="Assumption Number. 2 3 2 4 6" xfId="8868"/>
    <cellStyle name="Assumption Number. 2 3 2 4 7" xfId="8869"/>
    <cellStyle name="Assumption Number. 2 3 2 4 8" xfId="8870"/>
    <cellStyle name="Assumption Number. 2 3 2 4 9" xfId="8871"/>
    <cellStyle name="Assumption Number. 2 3 2 5" xfId="8872"/>
    <cellStyle name="Assumption Number. 2 3 2 6" xfId="8873"/>
    <cellStyle name="Assumption Number. 2 3 2 7" xfId="8874"/>
    <cellStyle name="Assumption Number. 2 3 2 8" xfId="8875"/>
    <cellStyle name="Assumption Number. 2 3 2 9" xfId="8876"/>
    <cellStyle name="Assumption Number. 2 3 3" xfId="8877"/>
    <cellStyle name="Assumption Number. 2 3 3 10" xfId="8878"/>
    <cellStyle name="Assumption Number. 2 3 3 11" xfId="8879"/>
    <cellStyle name="Assumption Number. 2 3 3 12" xfId="8880"/>
    <cellStyle name="Assumption Number. 2 3 3 2" xfId="8881"/>
    <cellStyle name="Assumption Number. 2 3 3 2 10" xfId="8882"/>
    <cellStyle name="Assumption Number. 2 3 3 2 2" xfId="8883"/>
    <cellStyle name="Assumption Number. 2 3 3 2 2 10" xfId="8884"/>
    <cellStyle name="Assumption Number. 2 3 3 2 2 2" xfId="8885"/>
    <cellStyle name="Assumption Number. 2 3 3 2 2 3" xfId="8886"/>
    <cellStyle name="Assumption Number. 2 3 3 2 2 4" xfId="8887"/>
    <cellStyle name="Assumption Number. 2 3 3 2 2 5" xfId="8888"/>
    <cellStyle name="Assumption Number. 2 3 3 2 2 6" xfId="8889"/>
    <cellStyle name="Assumption Number. 2 3 3 2 2 7" xfId="8890"/>
    <cellStyle name="Assumption Number. 2 3 3 2 2 8" xfId="8891"/>
    <cellStyle name="Assumption Number. 2 3 3 2 2 9" xfId="8892"/>
    <cellStyle name="Assumption Number. 2 3 3 2 3" xfId="8893"/>
    <cellStyle name="Assumption Number. 2 3 3 2 4" xfId="8894"/>
    <cellStyle name="Assumption Number. 2 3 3 2 5" xfId="8895"/>
    <cellStyle name="Assumption Number. 2 3 3 2 6" xfId="8896"/>
    <cellStyle name="Assumption Number. 2 3 3 2 7" xfId="8897"/>
    <cellStyle name="Assumption Number. 2 3 3 2 8" xfId="8898"/>
    <cellStyle name="Assumption Number. 2 3 3 2 9" xfId="8899"/>
    <cellStyle name="Assumption Number. 2 3 3 3" xfId="8900"/>
    <cellStyle name="Assumption Number. 2 3 3 3 10" xfId="8901"/>
    <cellStyle name="Assumption Number. 2 3 3 3 2" xfId="8902"/>
    <cellStyle name="Assumption Number. 2 3 3 3 3" xfId="8903"/>
    <cellStyle name="Assumption Number. 2 3 3 3 4" xfId="8904"/>
    <cellStyle name="Assumption Number. 2 3 3 3 5" xfId="8905"/>
    <cellStyle name="Assumption Number. 2 3 3 3 6" xfId="8906"/>
    <cellStyle name="Assumption Number. 2 3 3 3 7" xfId="8907"/>
    <cellStyle name="Assumption Number. 2 3 3 3 8" xfId="8908"/>
    <cellStyle name="Assumption Number. 2 3 3 3 9" xfId="8909"/>
    <cellStyle name="Assumption Number. 2 3 3 4" xfId="8910"/>
    <cellStyle name="Assumption Number. 2 3 3 5" xfId="8911"/>
    <cellStyle name="Assumption Number. 2 3 3 6" xfId="8912"/>
    <cellStyle name="Assumption Number. 2 3 3 7" xfId="8913"/>
    <cellStyle name="Assumption Number. 2 3 3 8" xfId="8914"/>
    <cellStyle name="Assumption Number. 2 3 3 9" xfId="8915"/>
    <cellStyle name="Assumption Number. 2 3 4" xfId="8916"/>
    <cellStyle name="Assumption Number. 2 3 4 10" xfId="8917"/>
    <cellStyle name="Assumption Number. 2 3 4 2" xfId="8918"/>
    <cellStyle name="Assumption Number. 2 3 4 2 10" xfId="8919"/>
    <cellStyle name="Assumption Number. 2 3 4 2 2" xfId="8920"/>
    <cellStyle name="Assumption Number. 2 3 4 2 3" xfId="8921"/>
    <cellStyle name="Assumption Number. 2 3 4 2 4" xfId="8922"/>
    <cellStyle name="Assumption Number. 2 3 4 2 5" xfId="8923"/>
    <cellStyle name="Assumption Number. 2 3 4 2 6" xfId="8924"/>
    <cellStyle name="Assumption Number. 2 3 4 2 7" xfId="8925"/>
    <cellStyle name="Assumption Number. 2 3 4 2 8" xfId="8926"/>
    <cellStyle name="Assumption Number. 2 3 4 2 9" xfId="8927"/>
    <cellStyle name="Assumption Number. 2 3 4 3" xfId="8928"/>
    <cellStyle name="Assumption Number. 2 3 4 4" xfId="8929"/>
    <cellStyle name="Assumption Number. 2 3 4 5" xfId="8930"/>
    <cellStyle name="Assumption Number. 2 3 4 6" xfId="8931"/>
    <cellStyle name="Assumption Number. 2 3 4 7" xfId="8932"/>
    <cellStyle name="Assumption Number. 2 3 4 8" xfId="8933"/>
    <cellStyle name="Assumption Number. 2 3 4 9" xfId="8934"/>
    <cellStyle name="Assumption Number. 2 3 5" xfId="8935"/>
    <cellStyle name="Assumption Number. 2 3 5 10" xfId="8936"/>
    <cellStyle name="Assumption Number. 2 3 5 2" xfId="8937"/>
    <cellStyle name="Assumption Number. 2 3 5 3" xfId="8938"/>
    <cellStyle name="Assumption Number. 2 3 5 4" xfId="8939"/>
    <cellStyle name="Assumption Number. 2 3 5 5" xfId="8940"/>
    <cellStyle name="Assumption Number. 2 3 5 6" xfId="8941"/>
    <cellStyle name="Assumption Number. 2 3 5 7" xfId="8942"/>
    <cellStyle name="Assumption Number. 2 3 5 8" xfId="8943"/>
    <cellStyle name="Assumption Number. 2 3 5 9" xfId="8944"/>
    <cellStyle name="Assumption Number. 2 3 6" xfId="8945"/>
    <cellStyle name="Assumption Number. 2 3 7" xfId="8946"/>
    <cellStyle name="Assumption Number. 2 3 8" xfId="8947"/>
    <cellStyle name="Assumption Number. 2 3 9" xfId="8948"/>
    <cellStyle name="Assumption Number. 2 4" xfId="8949"/>
    <cellStyle name="Assumption Number. 2 4 10" xfId="8950"/>
    <cellStyle name="Assumption Number. 2 4 11" xfId="8951"/>
    <cellStyle name="Assumption Number. 2 4 12" xfId="8952"/>
    <cellStyle name="Assumption Number. 2 4 13" xfId="8953"/>
    <cellStyle name="Assumption Number. 2 4 2" xfId="8954"/>
    <cellStyle name="Assumption Number. 2 4 2 10" xfId="8955"/>
    <cellStyle name="Assumption Number. 2 4 2 11" xfId="8956"/>
    <cellStyle name="Assumption Number. 2 4 2 12" xfId="8957"/>
    <cellStyle name="Assumption Number. 2 4 2 2" xfId="8958"/>
    <cellStyle name="Assumption Number. 2 4 2 2 10" xfId="8959"/>
    <cellStyle name="Assumption Number. 2 4 2 2 2" xfId="8960"/>
    <cellStyle name="Assumption Number. 2 4 2 2 2 10" xfId="8961"/>
    <cellStyle name="Assumption Number. 2 4 2 2 2 2" xfId="8962"/>
    <cellStyle name="Assumption Number. 2 4 2 2 2 3" xfId="8963"/>
    <cellStyle name="Assumption Number. 2 4 2 2 2 4" xfId="8964"/>
    <cellStyle name="Assumption Number. 2 4 2 2 2 5" xfId="8965"/>
    <cellStyle name="Assumption Number. 2 4 2 2 2 6" xfId="8966"/>
    <cellStyle name="Assumption Number. 2 4 2 2 2 7" xfId="8967"/>
    <cellStyle name="Assumption Number. 2 4 2 2 2 8" xfId="8968"/>
    <cellStyle name="Assumption Number. 2 4 2 2 2 9" xfId="8969"/>
    <cellStyle name="Assumption Number. 2 4 2 2 3" xfId="8970"/>
    <cellStyle name="Assumption Number. 2 4 2 2 4" xfId="8971"/>
    <cellStyle name="Assumption Number. 2 4 2 2 5" xfId="8972"/>
    <cellStyle name="Assumption Number. 2 4 2 2 6" xfId="8973"/>
    <cellStyle name="Assumption Number. 2 4 2 2 7" xfId="8974"/>
    <cellStyle name="Assumption Number. 2 4 2 2 8" xfId="8975"/>
    <cellStyle name="Assumption Number. 2 4 2 2 9" xfId="8976"/>
    <cellStyle name="Assumption Number. 2 4 2 3" xfId="8977"/>
    <cellStyle name="Assumption Number. 2 4 2 3 10" xfId="8978"/>
    <cellStyle name="Assumption Number. 2 4 2 3 2" xfId="8979"/>
    <cellStyle name="Assumption Number. 2 4 2 3 3" xfId="8980"/>
    <cellStyle name="Assumption Number. 2 4 2 3 4" xfId="8981"/>
    <cellStyle name="Assumption Number. 2 4 2 3 5" xfId="8982"/>
    <cellStyle name="Assumption Number. 2 4 2 3 6" xfId="8983"/>
    <cellStyle name="Assumption Number. 2 4 2 3 7" xfId="8984"/>
    <cellStyle name="Assumption Number. 2 4 2 3 8" xfId="8985"/>
    <cellStyle name="Assumption Number. 2 4 2 3 9" xfId="8986"/>
    <cellStyle name="Assumption Number. 2 4 2 4" xfId="8987"/>
    <cellStyle name="Assumption Number. 2 4 2 5" xfId="8988"/>
    <cellStyle name="Assumption Number. 2 4 2 6" xfId="8989"/>
    <cellStyle name="Assumption Number. 2 4 2 7" xfId="8990"/>
    <cellStyle name="Assumption Number. 2 4 2 8" xfId="8991"/>
    <cellStyle name="Assumption Number. 2 4 2 9" xfId="8992"/>
    <cellStyle name="Assumption Number. 2 4 3" xfId="8993"/>
    <cellStyle name="Assumption Number. 2 4 3 10" xfId="8994"/>
    <cellStyle name="Assumption Number. 2 4 3 2" xfId="8995"/>
    <cellStyle name="Assumption Number. 2 4 3 2 10" xfId="8996"/>
    <cellStyle name="Assumption Number. 2 4 3 2 2" xfId="8997"/>
    <cellStyle name="Assumption Number. 2 4 3 2 3" xfId="8998"/>
    <cellStyle name="Assumption Number. 2 4 3 2 4" xfId="8999"/>
    <cellStyle name="Assumption Number. 2 4 3 2 5" xfId="9000"/>
    <cellStyle name="Assumption Number. 2 4 3 2 6" xfId="9001"/>
    <cellStyle name="Assumption Number. 2 4 3 2 7" xfId="9002"/>
    <cellStyle name="Assumption Number. 2 4 3 2 8" xfId="9003"/>
    <cellStyle name="Assumption Number. 2 4 3 2 9" xfId="9004"/>
    <cellStyle name="Assumption Number. 2 4 3 3" xfId="9005"/>
    <cellStyle name="Assumption Number. 2 4 3 4" xfId="9006"/>
    <cellStyle name="Assumption Number. 2 4 3 5" xfId="9007"/>
    <cellStyle name="Assumption Number. 2 4 3 6" xfId="9008"/>
    <cellStyle name="Assumption Number. 2 4 3 7" xfId="9009"/>
    <cellStyle name="Assumption Number. 2 4 3 8" xfId="9010"/>
    <cellStyle name="Assumption Number. 2 4 3 9" xfId="9011"/>
    <cellStyle name="Assumption Number. 2 4 4" xfId="9012"/>
    <cellStyle name="Assumption Number. 2 4 4 10" xfId="9013"/>
    <cellStyle name="Assumption Number. 2 4 4 2" xfId="9014"/>
    <cellStyle name="Assumption Number. 2 4 4 3" xfId="9015"/>
    <cellStyle name="Assumption Number. 2 4 4 4" xfId="9016"/>
    <cellStyle name="Assumption Number. 2 4 4 5" xfId="9017"/>
    <cellStyle name="Assumption Number. 2 4 4 6" xfId="9018"/>
    <cellStyle name="Assumption Number. 2 4 4 7" xfId="9019"/>
    <cellStyle name="Assumption Number. 2 4 4 8" xfId="9020"/>
    <cellStyle name="Assumption Number. 2 4 4 9" xfId="9021"/>
    <cellStyle name="Assumption Number. 2 4 5" xfId="9022"/>
    <cellStyle name="Assumption Number. 2 4 6" xfId="9023"/>
    <cellStyle name="Assumption Number. 2 4 7" xfId="9024"/>
    <cellStyle name="Assumption Number. 2 4 8" xfId="9025"/>
    <cellStyle name="Assumption Number. 2 4 9" xfId="9026"/>
    <cellStyle name="Assumption Number. 2 5" xfId="9027"/>
    <cellStyle name="Assumption Number. 2 5 10" xfId="9028"/>
    <cellStyle name="Assumption Number. 2 5 11" xfId="9029"/>
    <cellStyle name="Assumption Number. 2 5 12" xfId="9030"/>
    <cellStyle name="Assumption Number. 2 5 13" xfId="9031"/>
    <cellStyle name="Assumption Number. 2 5 2" xfId="9032"/>
    <cellStyle name="Assumption Number. 2 5 2 10" xfId="9033"/>
    <cellStyle name="Assumption Number. 2 5 2 11" xfId="9034"/>
    <cellStyle name="Assumption Number. 2 5 2 12" xfId="9035"/>
    <cellStyle name="Assumption Number. 2 5 2 2" xfId="9036"/>
    <cellStyle name="Assumption Number. 2 5 2 2 10" xfId="9037"/>
    <cellStyle name="Assumption Number. 2 5 2 2 2" xfId="9038"/>
    <cellStyle name="Assumption Number. 2 5 2 2 2 10" xfId="9039"/>
    <cellStyle name="Assumption Number. 2 5 2 2 2 2" xfId="9040"/>
    <cellStyle name="Assumption Number. 2 5 2 2 2 3" xfId="9041"/>
    <cellStyle name="Assumption Number. 2 5 2 2 2 4" xfId="9042"/>
    <cellStyle name="Assumption Number. 2 5 2 2 2 5" xfId="9043"/>
    <cellStyle name="Assumption Number. 2 5 2 2 2 6" xfId="9044"/>
    <cellStyle name="Assumption Number. 2 5 2 2 2 7" xfId="9045"/>
    <cellStyle name="Assumption Number. 2 5 2 2 2 8" xfId="9046"/>
    <cellStyle name="Assumption Number. 2 5 2 2 2 9" xfId="9047"/>
    <cellStyle name="Assumption Number. 2 5 2 2 3" xfId="9048"/>
    <cellStyle name="Assumption Number. 2 5 2 2 4" xfId="9049"/>
    <cellStyle name="Assumption Number. 2 5 2 2 5" xfId="9050"/>
    <cellStyle name="Assumption Number. 2 5 2 2 6" xfId="9051"/>
    <cellStyle name="Assumption Number. 2 5 2 2 7" xfId="9052"/>
    <cellStyle name="Assumption Number. 2 5 2 2 8" xfId="9053"/>
    <cellStyle name="Assumption Number. 2 5 2 2 9" xfId="9054"/>
    <cellStyle name="Assumption Number. 2 5 2 3" xfId="9055"/>
    <cellStyle name="Assumption Number. 2 5 2 3 10" xfId="9056"/>
    <cellStyle name="Assumption Number. 2 5 2 3 2" xfId="9057"/>
    <cellStyle name="Assumption Number. 2 5 2 3 3" xfId="9058"/>
    <cellStyle name="Assumption Number. 2 5 2 3 4" xfId="9059"/>
    <cellStyle name="Assumption Number. 2 5 2 3 5" xfId="9060"/>
    <cellStyle name="Assumption Number. 2 5 2 3 6" xfId="9061"/>
    <cellStyle name="Assumption Number. 2 5 2 3 7" xfId="9062"/>
    <cellStyle name="Assumption Number. 2 5 2 3 8" xfId="9063"/>
    <cellStyle name="Assumption Number. 2 5 2 3 9" xfId="9064"/>
    <cellStyle name="Assumption Number. 2 5 2 4" xfId="9065"/>
    <cellStyle name="Assumption Number. 2 5 2 5" xfId="9066"/>
    <cellStyle name="Assumption Number. 2 5 2 6" xfId="9067"/>
    <cellStyle name="Assumption Number. 2 5 2 7" xfId="9068"/>
    <cellStyle name="Assumption Number. 2 5 2 8" xfId="9069"/>
    <cellStyle name="Assumption Number. 2 5 2 9" xfId="9070"/>
    <cellStyle name="Assumption Number. 2 5 3" xfId="9071"/>
    <cellStyle name="Assumption Number. 2 5 3 10" xfId="9072"/>
    <cellStyle name="Assumption Number. 2 5 3 2" xfId="9073"/>
    <cellStyle name="Assumption Number. 2 5 3 2 10" xfId="9074"/>
    <cellStyle name="Assumption Number. 2 5 3 2 2" xfId="9075"/>
    <cellStyle name="Assumption Number. 2 5 3 2 3" xfId="9076"/>
    <cellStyle name="Assumption Number. 2 5 3 2 4" xfId="9077"/>
    <cellStyle name="Assumption Number. 2 5 3 2 5" xfId="9078"/>
    <cellStyle name="Assumption Number. 2 5 3 2 6" xfId="9079"/>
    <cellStyle name="Assumption Number. 2 5 3 2 7" xfId="9080"/>
    <cellStyle name="Assumption Number. 2 5 3 2 8" xfId="9081"/>
    <cellStyle name="Assumption Number. 2 5 3 2 9" xfId="9082"/>
    <cellStyle name="Assumption Number. 2 5 3 3" xfId="9083"/>
    <cellStyle name="Assumption Number. 2 5 3 4" xfId="9084"/>
    <cellStyle name="Assumption Number. 2 5 3 5" xfId="9085"/>
    <cellStyle name="Assumption Number. 2 5 3 6" xfId="9086"/>
    <cellStyle name="Assumption Number. 2 5 3 7" xfId="9087"/>
    <cellStyle name="Assumption Number. 2 5 3 8" xfId="9088"/>
    <cellStyle name="Assumption Number. 2 5 3 9" xfId="9089"/>
    <cellStyle name="Assumption Number. 2 5 4" xfId="9090"/>
    <cellStyle name="Assumption Number. 2 5 4 10" xfId="9091"/>
    <cellStyle name="Assumption Number. 2 5 4 2" xfId="9092"/>
    <cellStyle name="Assumption Number. 2 5 4 3" xfId="9093"/>
    <cellStyle name="Assumption Number. 2 5 4 4" xfId="9094"/>
    <cellStyle name="Assumption Number. 2 5 4 5" xfId="9095"/>
    <cellStyle name="Assumption Number. 2 5 4 6" xfId="9096"/>
    <cellStyle name="Assumption Number. 2 5 4 7" xfId="9097"/>
    <cellStyle name="Assumption Number. 2 5 4 8" xfId="9098"/>
    <cellStyle name="Assumption Number. 2 5 4 9" xfId="9099"/>
    <cellStyle name="Assumption Number. 2 5 5" xfId="9100"/>
    <cellStyle name="Assumption Number. 2 5 6" xfId="9101"/>
    <cellStyle name="Assumption Number. 2 5 7" xfId="9102"/>
    <cellStyle name="Assumption Number. 2 5 8" xfId="9103"/>
    <cellStyle name="Assumption Number. 2 5 9" xfId="9104"/>
    <cellStyle name="Assumption Number. 2 6" xfId="9105"/>
    <cellStyle name="Assumption Number. 2 6 10" xfId="9106"/>
    <cellStyle name="Assumption Number. 2 6 11" xfId="9107"/>
    <cellStyle name="Assumption Number. 2 6 12" xfId="9108"/>
    <cellStyle name="Assumption Number. 2 6 2" xfId="9109"/>
    <cellStyle name="Assumption Number. 2 6 2 10" xfId="9110"/>
    <cellStyle name="Assumption Number. 2 6 2 2" xfId="9111"/>
    <cellStyle name="Assumption Number. 2 6 2 2 10" xfId="9112"/>
    <cellStyle name="Assumption Number. 2 6 2 2 2" xfId="9113"/>
    <cellStyle name="Assumption Number. 2 6 2 2 3" xfId="9114"/>
    <cellStyle name="Assumption Number. 2 6 2 2 4" xfId="9115"/>
    <cellStyle name="Assumption Number. 2 6 2 2 5" xfId="9116"/>
    <cellStyle name="Assumption Number. 2 6 2 2 6" xfId="9117"/>
    <cellStyle name="Assumption Number. 2 6 2 2 7" xfId="9118"/>
    <cellStyle name="Assumption Number. 2 6 2 2 8" xfId="9119"/>
    <cellStyle name="Assumption Number. 2 6 2 2 9" xfId="9120"/>
    <cellStyle name="Assumption Number. 2 6 2 3" xfId="9121"/>
    <cellStyle name="Assumption Number. 2 6 2 4" xfId="9122"/>
    <cellStyle name="Assumption Number. 2 6 2 5" xfId="9123"/>
    <cellStyle name="Assumption Number. 2 6 2 6" xfId="9124"/>
    <cellStyle name="Assumption Number. 2 6 2 7" xfId="9125"/>
    <cellStyle name="Assumption Number. 2 6 2 8" xfId="9126"/>
    <cellStyle name="Assumption Number. 2 6 2 9" xfId="9127"/>
    <cellStyle name="Assumption Number. 2 6 3" xfId="9128"/>
    <cellStyle name="Assumption Number. 2 6 3 10" xfId="9129"/>
    <cellStyle name="Assumption Number. 2 6 3 2" xfId="9130"/>
    <cellStyle name="Assumption Number. 2 6 3 3" xfId="9131"/>
    <cellStyle name="Assumption Number. 2 6 3 4" xfId="9132"/>
    <cellStyle name="Assumption Number. 2 6 3 5" xfId="9133"/>
    <cellStyle name="Assumption Number. 2 6 3 6" xfId="9134"/>
    <cellStyle name="Assumption Number. 2 6 3 7" xfId="9135"/>
    <cellStyle name="Assumption Number. 2 6 3 8" xfId="9136"/>
    <cellStyle name="Assumption Number. 2 6 3 9" xfId="9137"/>
    <cellStyle name="Assumption Number. 2 6 4" xfId="9138"/>
    <cellStyle name="Assumption Number. 2 6 5" xfId="9139"/>
    <cellStyle name="Assumption Number. 2 6 6" xfId="9140"/>
    <cellStyle name="Assumption Number. 2 6 7" xfId="9141"/>
    <cellStyle name="Assumption Number. 2 6 8" xfId="9142"/>
    <cellStyle name="Assumption Number. 2 6 9" xfId="9143"/>
    <cellStyle name="Assumption Number. 2 7" xfId="9144"/>
    <cellStyle name="Assumption Number. 2 7 10" xfId="9145"/>
    <cellStyle name="Assumption Number. 2 7 11" xfId="9146"/>
    <cellStyle name="Assumption Number. 2 7 12" xfId="9147"/>
    <cellStyle name="Assumption Number. 2 7 2" xfId="9148"/>
    <cellStyle name="Assumption Number. 2 7 2 10" xfId="9149"/>
    <cellStyle name="Assumption Number. 2 7 2 2" xfId="9150"/>
    <cellStyle name="Assumption Number. 2 7 2 2 10" xfId="9151"/>
    <cellStyle name="Assumption Number. 2 7 2 2 2" xfId="9152"/>
    <cellStyle name="Assumption Number. 2 7 2 2 3" xfId="9153"/>
    <cellStyle name="Assumption Number. 2 7 2 2 4" xfId="9154"/>
    <cellStyle name="Assumption Number. 2 7 2 2 5" xfId="9155"/>
    <cellStyle name="Assumption Number. 2 7 2 2 6" xfId="9156"/>
    <cellStyle name="Assumption Number. 2 7 2 2 7" xfId="9157"/>
    <cellStyle name="Assumption Number. 2 7 2 2 8" xfId="9158"/>
    <cellStyle name="Assumption Number. 2 7 2 2 9" xfId="9159"/>
    <cellStyle name="Assumption Number. 2 7 2 3" xfId="9160"/>
    <cellStyle name="Assumption Number. 2 7 2 4" xfId="9161"/>
    <cellStyle name="Assumption Number. 2 7 2 5" xfId="9162"/>
    <cellStyle name="Assumption Number. 2 7 2 6" xfId="9163"/>
    <cellStyle name="Assumption Number. 2 7 2 7" xfId="9164"/>
    <cellStyle name="Assumption Number. 2 7 2 8" xfId="9165"/>
    <cellStyle name="Assumption Number. 2 7 2 9" xfId="9166"/>
    <cellStyle name="Assumption Number. 2 7 3" xfId="9167"/>
    <cellStyle name="Assumption Number. 2 7 3 10" xfId="9168"/>
    <cellStyle name="Assumption Number. 2 7 3 2" xfId="9169"/>
    <cellStyle name="Assumption Number. 2 7 3 3" xfId="9170"/>
    <cellStyle name="Assumption Number. 2 7 3 4" xfId="9171"/>
    <cellStyle name="Assumption Number. 2 7 3 5" xfId="9172"/>
    <cellStyle name="Assumption Number. 2 7 3 6" xfId="9173"/>
    <cellStyle name="Assumption Number. 2 7 3 7" xfId="9174"/>
    <cellStyle name="Assumption Number. 2 7 3 8" xfId="9175"/>
    <cellStyle name="Assumption Number. 2 7 3 9" xfId="9176"/>
    <cellStyle name="Assumption Number. 2 7 4" xfId="9177"/>
    <cellStyle name="Assumption Number. 2 7 5" xfId="9178"/>
    <cellStyle name="Assumption Number. 2 7 6" xfId="9179"/>
    <cellStyle name="Assumption Number. 2 7 7" xfId="9180"/>
    <cellStyle name="Assumption Number. 2 7 8" xfId="9181"/>
    <cellStyle name="Assumption Number. 2 7 9" xfId="9182"/>
    <cellStyle name="Assumption Number. 2 8" xfId="9183"/>
    <cellStyle name="Assumption Number. 2 8 10" xfId="9184"/>
    <cellStyle name="Assumption Number. 2 8 11" xfId="9185"/>
    <cellStyle name="Assumption Number. 2 8 12" xfId="9186"/>
    <cellStyle name="Assumption Number. 2 8 2" xfId="9187"/>
    <cellStyle name="Assumption Number. 2 8 2 10" xfId="9188"/>
    <cellStyle name="Assumption Number. 2 8 2 2" xfId="9189"/>
    <cellStyle name="Assumption Number. 2 8 2 2 10" xfId="9190"/>
    <cellStyle name="Assumption Number. 2 8 2 2 2" xfId="9191"/>
    <cellStyle name="Assumption Number. 2 8 2 2 3" xfId="9192"/>
    <cellStyle name="Assumption Number. 2 8 2 2 4" xfId="9193"/>
    <cellStyle name="Assumption Number. 2 8 2 2 5" xfId="9194"/>
    <cellStyle name="Assumption Number. 2 8 2 2 6" xfId="9195"/>
    <cellStyle name="Assumption Number. 2 8 2 2 7" xfId="9196"/>
    <cellStyle name="Assumption Number. 2 8 2 2 8" xfId="9197"/>
    <cellStyle name="Assumption Number. 2 8 2 2 9" xfId="9198"/>
    <cellStyle name="Assumption Number. 2 8 2 3" xfId="9199"/>
    <cellStyle name="Assumption Number. 2 8 2 4" xfId="9200"/>
    <cellStyle name="Assumption Number. 2 8 2 5" xfId="9201"/>
    <cellStyle name="Assumption Number. 2 8 2 6" xfId="9202"/>
    <cellStyle name="Assumption Number. 2 8 2 7" xfId="9203"/>
    <cellStyle name="Assumption Number. 2 8 2 8" xfId="9204"/>
    <cellStyle name="Assumption Number. 2 8 2 9" xfId="9205"/>
    <cellStyle name="Assumption Number. 2 8 3" xfId="9206"/>
    <cellStyle name="Assumption Number. 2 8 3 10" xfId="9207"/>
    <cellStyle name="Assumption Number. 2 8 3 2" xfId="9208"/>
    <cellStyle name="Assumption Number. 2 8 3 3" xfId="9209"/>
    <cellStyle name="Assumption Number. 2 8 3 4" xfId="9210"/>
    <cellStyle name="Assumption Number. 2 8 3 5" xfId="9211"/>
    <cellStyle name="Assumption Number. 2 8 3 6" xfId="9212"/>
    <cellStyle name="Assumption Number. 2 8 3 7" xfId="9213"/>
    <cellStyle name="Assumption Number. 2 8 3 8" xfId="9214"/>
    <cellStyle name="Assumption Number. 2 8 3 9" xfId="9215"/>
    <cellStyle name="Assumption Number. 2 8 4" xfId="9216"/>
    <cellStyle name="Assumption Number. 2 8 5" xfId="9217"/>
    <cellStyle name="Assumption Number. 2 8 6" xfId="9218"/>
    <cellStyle name="Assumption Number. 2 8 7" xfId="9219"/>
    <cellStyle name="Assumption Number. 2 8 8" xfId="9220"/>
    <cellStyle name="Assumption Number. 2 8 9" xfId="9221"/>
    <cellStyle name="Assumption Number. 2 9" xfId="9222"/>
    <cellStyle name="Assumption Number. 2 9 10" xfId="9223"/>
    <cellStyle name="Assumption Number. 2 9 2" xfId="9224"/>
    <cellStyle name="Assumption Number. 2 9 2 10" xfId="9225"/>
    <cellStyle name="Assumption Number. 2 9 2 2" xfId="9226"/>
    <cellStyle name="Assumption Number. 2 9 2 3" xfId="9227"/>
    <cellStyle name="Assumption Number. 2 9 2 4" xfId="9228"/>
    <cellStyle name="Assumption Number. 2 9 2 5" xfId="9229"/>
    <cellStyle name="Assumption Number. 2 9 2 6" xfId="9230"/>
    <cellStyle name="Assumption Number. 2 9 2 7" xfId="9231"/>
    <cellStyle name="Assumption Number. 2 9 2 8" xfId="9232"/>
    <cellStyle name="Assumption Number. 2 9 2 9" xfId="9233"/>
    <cellStyle name="Assumption Number. 2 9 3" xfId="9234"/>
    <cellStyle name="Assumption Number. 2 9 4" xfId="9235"/>
    <cellStyle name="Assumption Number. 2 9 5" xfId="9236"/>
    <cellStyle name="Assumption Number. 2 9 6" xfId="9237"/>
    <cellStyle name="Assumption Number. 2 9 7" xfId="9238"/>
    <cellStyle name="Assumption Number. 2 9 8" xfId="9239"/>
    <cellStyle name="Assumption Number. 2 9 9" xfId="9240"/>
    <cellStyle name="Assumption Number. 3" xfId="9241"/>
    <cellStyle name="Assumption Number. 3 10" xfId="9242"/>
    <cellStyle name="Assumption Number. 3 11" xfId="9243"/>
    <cellStyle name="Assumption Number. 3 12" xfId="9244"/>
    <cellStyle name="Assumption Number. 3 13" xfId="9245"/>
    <cellStyle name="Assumption Number. 3 14" xfId="9246"/>
    <cellStyle name="Assumption Number. 3 15" xfId="9247"/>
    <cellStyle name="Assumption Number. 3 16" xfId="9248"/>
    <cellStyle name="Assumption Number. 3 2" xfId="9249"/>
    <cellStyle name="Assumption Number. 3 2 10" xfId="9250"/>
    <cellStyle name="Assumption Number. 3 2 11" xfId="9251"/>
    <cellStyle name="Assumption Number. 3 2 12" xfId="9252"/>
    <cellStyle name="Assumption Number. 3 2 13" xfId="9253"/>
    <cellStyle name="Assumption Number. 3 2 14" xfId="9254"/>
    <cellStyle name="Assumption Number. 3 2 2" xfId="9255"/>
    <cellStyle name="Assumption Number. 3 2 2 10" xfId="9256"/>
    <cellStyle name="Assumption Number. 3 2 2 11" xfId="9257"/>
    <cellStyle name="Assumption Number. 3 2 2 12" xfId="9258"/>
    <cellStyle name="Assumption Number. 3 2 2 13" xfId="9259"/>
    <cellStyle name="Assumption Number. 3 2 2 2" xfId="9260"/>
    <cellStyle name="Assumption Number. 3 2 2 2 10" xfId="9261"/>
    <cellStyle name="Assumption Number. 3 2 2 2 11" xfId="9262"/>
    <cellStyle name="Assumption Number. 3 2 2 2 12" xfId="9263"/>
    <cellStyle name="Assumption Number. 3 2 2 2 2" xfId="9264"/>
    <cellStyle name="Assumption Number. 3 2 2 2 2 10" xfId="9265"/>
    <cellStyle name="Assumption Number. 3 2 2 2 2 2" xfId="9266"/>
    <cellStyle name="Assumption Number. 3 2 2 2 2 2 10" xfId="9267"/>
    <cellStyle name="Assumption Number. 3 2 2 2 2 2 2" xfId="9268"/>
    <cellStyle name="Assumption Number. 3 2 2 2 2 2 3" xfId="9269"/>
    <cellStyle name="Assumption Number. 3 2 2 2 2 2 4" xfId="9270"/>
    <cellStyle name="Assumption Number. 3 2 2 2 2 2 5" xfId="9271"/>
    <cellStyle name="Assumption Number. 3 2 2 2 2 2 6" xfId="9272"/>
    <cellStyle name="Assumption Number. 3 2 2 2 2 2 7" xfId="9273"/>
    <cellStyle name="Assumption Number. 3 2 2 2 2 2 8" xfId="9274"/>
    <cellStyle name="Assumption Number. 3 2 2 2 2 2 9" xfId="9275"/>
    <cellStyle name="Assumption Number. 3 2 2 2 2 3" xfId="9276"/>
    <cellStyle name="Assumption Number. 3 2 2 2 2 4" xfId="9277"/>
    <cellStyle name="Assumption Number. 3 2 2 2 2 5" xfId="9278"/>
    <cellStyle name="Assumption Number. 3 2 2 2 2 6" xfId="9279"/>
    <cellStyle name="Assumption Number. 3 2 2 2 2 7" xfId="9280"/>
    <cellStyle name="Assumption Number. 3 2 2 2 2 8" xfId="9281"/>
    <cellStyle name="Assumption Number. 3 2 2 2 2 9" xfId="9282"/>
    <cellStyle name="Assumption Number. 3 2 2 2 3" xfId="9283"/>
    <cellStyle name="Assumption Number. 3 2 2 2 3 10" xfId="9284"/>
    <cellStyle name="Assumption Number. 3 2 2 2 3 2" xfId="9285"/>
    <cellStyle name="Assumption Number. 3 2 2 2 3 3" xfId="9286"/>
    <cellStyle name="Assumption Number. 3 2 2 2 3 4" xfId="9287"/>
    <cellStyle name="Assumption Number. 3 2 2 2 3 5" xfId="9288"/>
    <cellStyle name="Assumption Number. 3 2 2 2 3 6" xfId="9289"/>
    <cellStyle name="Assumption Number. 3 2 2 2 3 7" xfId="9290"/>
    <cellStyle name="Assumption Number. 3 2 2 2 3 8" xfId="9291"/>
    <cellStyle name="Assumption Number. 3 2 2 2 3 9" xfId="9292"/>
    <cellStyle name="Assumption Number. 3 2 2 2 4" xfId="9293"/>
    <cellStyle name="Assumption Number. 3 2 2 2 5" xfId="9294"/>
    <cellStyle name="Assumption Number. 3 2 2 2 6" xfId="9295"/>
    <cellStyle name="Assumption Number. 3 2 2 2 7" xfId="9296"/>
    <cellStyle name="Assumption Number. 3 2 2 2 8" xfId="9297"/>
    <cellStyle name="Assumption Number. 3 2 2 2 9" xfId="9298"/>
    <cellStyle name="Assumption Number. 3 2 2 3" xfId="9299"/>
    <cellStyle name="Assumption Number. 3 2 2 3 10" xfId="9300"/>
    <cellStyle name="Assumption Number. 3 2 2 3 2" xfId="9301"/>
    <cellStyle name="Assumption Number. 3 2 2 3 2 10" xfId="9302"/>
    <cellStyle name="Assumption Number. 3 2 2 3 2 2" xfId="9303"/>
    <cellStyle name="Assumption Number. 3 2 2 3 2 3" xfId="9304"/>
    <cellStyle name="Assumption Number. 3 2 2 3 2 4" xfId="9305"/>
    <cellStyle name="Assumption Number. 3 2 2 3 2 5" xfId="9306"/>
    <cellStyle name="Assumption Number. 3 2 2 3 2 6" xfId="9307"/>
    <cellStyle name="Assumption Number. 3 2 2 3 2 7" xfId="9308"/>
    <cellStyle name="Assumption Number. 3 2 2 3 2 8" xfId="9309"/>
    <cellStyle name="Assumption Number. 3 2 2 3 2 9" xfId="9310"/>
    <cellStyle name="Assumption Number. 3 2 2 3 3" xfId="9311"/>
    <cellStyle name="Assumption Number. 3 2 2 3 4" xfId="9312"/>
    <cellStyle name="Assumption Number. 3 2 2 3 5" xfId="9313"/>
    <cellStyle name="Assumption Number. 3 2 2 3 6" xfId="9314"/>
    <cellStyle name="Assumption Number. 3 2 2 3 7" xfId="9315"/>
    <cellStyle name="Assumption Number. 3 2 2 3 8" xfId="9316"/>
    <cellStyle name="Assumption Number. 3 2 2 3 9" xfId="9317"/>
    <cellStyle name="Assumption Number. 3 2 2 4" xfId="9318"/>
    <cellStyle name="Assumption Number. 3 2 2 4 10" xfId="9319"/>
    <cellStyle name="Assumption Number. 3 2 2 4 2" xfId="9320"/>
    <cellStyle name="Assumption Number. 3 2 2 4 3" xfId="9321"/>
    <cellStyle name="Assumption Number. 3 2 2 4 4" xfId="9322"/>
    <cellStyle name="Assumption Number. 3 2 2 4 5" xfId="9323"/>
    <cellStyle name="Assumption Number. 3 2 2 4 6" xfId="9324"/>
    <cellStyle name="Assumption Number. 3 2 2 4 7" xfId="9325"/>
    <cellStyle name="Assumption Number. 3 2 2 4 8" xfId="9326"/>
    <cellStyle name="Assumption Number. 3 2 2 4 9" xfId="9327"/>
    <cellStyle name="Assumption Number. 3 2 2 5" xfId="9328"/>
    <cellStyle name="Assumption Number. 3 2 2 6" xfId="9329"/>
    <cellStyle name="Assumption Number. 3 2 2 7" xfId="9330"/>
    <cellStyle name="Assumption Number. 3 2 2 8" xfId="9331"/>
    <cellStyle name="Assumption Number. 3 2 2 9" xfId="9332"/>
    <cellStyle name="Assumption Number. 3 2 3" xfId="9333"/>
    <cellStyle name="Assumption Number. 3 2 3 10" xfId="9334"/>
    <cellStyle name="Assumption Number. 3 2 3 11" xfId="9335"/>
    <cellStyle name="Assumption Number. 3 2 3 12" xfId="9336"/>
    <cellStyle name="Assumption Number. 3 2 3 2" xfId="9337"/>
    <cellStyle name="Assumption Number. 3 2 3 2 10" xfId="9338"/>
    <cellStyle name="Assumption Number. 3 2 3 2 2" xfId="9339"/>
    <cellStyle name="Assumption Number. 3 2 3 2 2 10" xfId="9340"/>
    <cellStyle name="Assumption Number. 3 2 3 2 2 2" xfId="9341"/>
    <cellStyle name="Assumption Number. 3 2 3 2 2 3" xfId="9342"/>
    <cellStyle name="Assumption Number. 3 2 3 2 2 4" xfId="9343"/>
    <cellStyle name="Assumption Number. 3 2 3 2 2 5" xfId="9344"/>
    <cellStyle name="Assumption Number. 3 2 3 2 2 6" xfId="9345"/>
    <cellStyle name="Assumption Number. 3 2 3 2 2 7" xfId="9346"/>
    <cellStyle name="Assumption Number. 3 2 3 2 2 8" xfId="9347"/>
    <cellStyle name="Assumption Number. 3 2 3 2 2 9" xfId="9348"/>
    <cellStyle name="Assumption Number. 3 2 3 2 3" xfId="9349"/>
    <cellStyle name="Assumption Number. 3 2 3 2 4" xfId="9350"/>
    <cellStyle name="Assumption Number. 3 2 3 2 5" xfId="9351"/>
    <cellStyle name="Assumption Number. 3 2 3 2 6" xfId="9352"/>
    <cellStyle name="Assumption Number. 3 2 3 2 7" xfId="9353"/>
    <cellStyle name="Assumption Number. 3 2 3 2 8" xfId="9354"/>
    <cellStyle name="Assumption Number. 3 2 3 2 9" xfId="9355"/>
    <cellStyle name="Assumption Number. 3 2 3 3" xfId="9356"/>
    <cellStyle name="Assumption Number. 3 2 3 3 10" xfId="9357"/>
    <cellStyle name="Assumption Number. 3 2 3 3 2" xfId="9358"/>
    <cellStyle name="Assumption Number. 3 2 3 3 3" xfId="9359"/>
    <cellStyle name="Assumption Number. 3 2 3 3 4" xfId="9360"/>
    <cellStyle name="Assumption Number. 3 2 3 3 5" xfId="9361"/>
    <cellStyle name="Assumption Number. 3 2 3 3 6" xfId="9362"/>
    <cellStyle name="Assumption Number. 3 2 3 3 7" xfId="9363"/>
    <cellStyle name="Assumption Number. 3 2 3 3 8" xfId="9364"/>
    <cellStyle name="Assumption Number. 3 2 3 3 9" xfId="9365"/>
    <cellStyle name="Assumption Number. 3 2 3 4" xfId="9366"/>
    <cellStyle name="Assumption Number. 3 2 3 5" xfId="9367"/>
    <cellStyle name="Assumption Number. 3 2 3 6" xfId="9368"/>
    <cellStyle name="Assumption Number. 3 2 3 7" xfId="9369"/>
    <cellStyle name="Assumption Number. 3 2 3 8" xfId="9370"/>
    <cellStyle name="Assumption Number. 3 2 3 9" xfId="9371"/>
    <cellStyle name="Assumption Number. 3 2 4" xfId="9372"/>
    <cellStyle name="Assumption Number. 3 2 4 10" xfId="9373"/>
    <cellStyle name="Assumption Number. 3 2 4 2" xfId="9374"/>
    <cellStyle name="Assumption Number. 3 2 4 2 10" xfId="9375"/>
    <cellStyle name="Assumption Number. 3 2 4 2 2" xfId="9376"/>
    <cellStyle name="Assumption Number. 3 2 4 2 3" xfId="9377"/>
    <cellStyle name="Assumption Number. 3 2 4 2 4" xfId="9378"/>
    <cellStyle name="Assumption Number. 3 2 4 2 5" xfId="9379"/>
    <cellStyle name="Assumption Number. 3 2 4 2 6" xfId="9380"/>
    <cellStyle name="Assumption Number. 3 2 4 2 7" xfId="9381"/>
    <cellStyle name="Assumption Number. 3 2 4 2 8" xfId="9382"/>
    <cellStyle name="Assumption Number. 3 2 4 2 9" xfId="9383"/>
    <cellStyle name="Assumption Number. 3 2 4 3" xfId="9384"/>
    <cellStyle name="Assumption Number. 3 2 4 4" xfId="9385"/>
    <cellStyle name="Assumption Number. 3 2 4 5" xfId="9386"/>
    <cellStyle name="Assumption Number. 3 2 4 6" xfId="9387"/>
    <cellStyle name="Assumption Number. 3 2 4 7" xfId="9388"/>
    <cellStyle name="Assumption Number. 3 2 4 8" xfId="9389"/>
    <cellStyle name="Assumption Number. 3 2 4 9" xfId="9390"/>
    <cellStyle name="Assumption Number. 3 2 5" xfId="9391"/>
    <cellStyle name="Assumption Number. 3 2 5 10" xfId="9392"/>
    <cellStyle name="Assumption Number. 3 2 5 2" xfId="9393"/>
    <cellStyle name="Assumption Number. 3 2 5 3" xfId="9394"/>
    <cellStyle name="Assumption Number. 3 2 5 4" xfId="9395"/>
    <cellStyle name="Assumption Number. 3 2 5 5" xfId="9396"/>
    <cellStyle name="Assumption Number. 3 2 5 6" xfId="9397"/>
    <cellStyle name="Assumption Number. 3 2 5 7" xfId="9398"/>
    <cellStyle name="Assumption Number. 3 2 5 8" xfId="9399"/>
    <cellStyle name="Assumption Number. 3 2 5 9" xfId="9400"/>
    <cellStyle name="Assumption Number. 3 2 6" xfId="9401"/>
    <cellStyle name="Assumption Number. 3 2 7" xfId="9402"/>
    <cellStyle name="Assumption Number. 3 2 8" xfId="9403"/>
    <cellStyle name="Assumption Number. 3 2 9" xfId="9404"/>
    <cellStyle name="Assumption Number. 3 3" xfId="9405"/>
    <cellStyle name="Assumption Number. 3 3 10" xfId="9406"/>
    <cellStyle name="Assumption Number. 3 3 11" xfId="9407"/>
    <cellStyle name="Assumption Number. 3 3 12" xfId="9408"/>
    <cellStyle name="Assumption Number. 3 3 13" xfId="9409"/>
    <cellStyle name="Assumption Number. 3 3 2" xfId="9410"/>
    <cellStyle name="Assumption Number. 3 3 2 10" xfId="9411"/>
    <cellStyle name="Assumption Number. 3 3 2 11" xfId="9412"/>
    <cellStyle name="Assumption Number. 3 3 2 12" xfId="9413"/>
    <cellStyle name="Assumption Number. 3 3 2 2" xfId="9414"/>
    <cellStyle name="Assumption Number. 3 3 2 2 10" xfId="9415"/>
    <cellStyle name="Assumption Number. 3 3 2 2 2" xfId="9416"/>
    <cellStyle name="Assumption Number. 3 3 2 2 2 10" xfId="9417"/>
    <cellStyle name="Assumption Number. 3 3 2 2 2 2" xfId="9418"/>
    <cellStyle name="Assumption Number. 3 3 2 2 2 3" xfId="9419"/>
    <cellStyle name="Assumption Number. 3 3 2 2 2 4" xfId="9420"/>
    <cellStyle name="Assumption Number. 3 3 2 2 2 5" xfId="9421"/>
    <cellStyle name="Assumption Number. 3 3 2 2 2 6" xfId="9422"/>
    <cellStyle name="Assumption Number. 3 3 2 2 2 7" xfId="9423"/>
    <cellStyle name="Assumption Number. 3 3 2 2 2 8" xfId="9424"/>
    <cellStyle name="Assumption Number. 3 3 2 2 2 9" xfId="9425"/>
    <cellStyle name="Assumption Number. 3 3 2 2 3" xfId="9426"/>
    <cellStyle name="Assumption Number. 3 3 2 2 4" xfId="9427"/>
    <cellStyle name="Assumption Number. 3 3 2 2 5" xfId="9428"/>
    <cellStyle name="Assumption Number. 3 3 2 2 6" xfId="9429"/>
    <cellStyle name="Assumption Number. 3 3 2 2 7" xfId="9430"/>
    <cellStyle name="Assumption Number. 3 3 2 2 8" xfId="9431"/>
    <cellStyle name="Assumption Number. 3 3 2 2 9" xfId="9432"/>
    <cellStyle name="Assumption Number. 3 3 2 3" xfId="9433"/>
    <cellStyle name="Assumption Number. 3 3 2 3 10" xfId="9434"/>
    <cellStyle name="Assumption Number. 3 3 2 3 2" xfId="9435"/>
    <cellStyle name="Assumption Number. 3 3 2 3 3" xfId="9436"/>
    <cellStyle name="Assumption Number. 3 3 2 3 4" xfId="9437"/>
    <cellStyle name="Assumption Number. 3 3 2 3 5" xfId="9438"/>
    <cellStyle name="Assumption Number. 3 3 2 3 6" xfId="9439"/>
    <cellStyle name="Assumption Number. 3 3 2 3 7" xfId="9440"/>
    <cellStyle name="Assumption Number. 3 3 2 3 8" xfId="9441"/>
    <cellStyle name="Assumption Number. 3 3 2 3 9" xfId="9442"/>
    <cellStyle name="Assumption Number. 3 3 2 4" xfId="9443"/>
    <cellStyle name="Assumption Number. 3 3 2 5" xfId="9444"/>
    <cellStyle name="Assumption Number. 3 3 2 6" xfId="9445"/>
    <cellStyle name="Assumption Number. 3 3 2 7" xfId="9446"/>
    <cellStyle name="Assumption Number. 3 3 2 8" xfId="9447"/>
    <cellStyle name="Assumption Number. 3 3 2 9" xfId="9448"/>
    <cellStyle name="Assumption Number. 3 3 3" xfId="9449"/>
    <cellStyle name="Assumption Number. 3 3 3 10" xfId="9450"/>
    <cellStyle name="Assumption Number. 3 3 3 2" xfId="9451"/>
    <cellStyle name="Assumption Number. 3 3 3 2 10" xfId="9452"/>
    <cellStyle name="Assumption Number. 3 3 3 2 2" xfId="9453"/>
    <cellStyle name="Assumption Number. 3 3 3 2 3" xfId="9454"/>
    <cellStyle name="Assumption Number. 3 3 3 2 4" xfId="9455"/>
    <cellStyle name="Assumption Number. 3 3 3 2 5" xfId="9456"/>
    <cellStyle name="Assumption Number. 3 3 3 2 6" xfId="9457"/>
    <cellStyle name="Assumption Number. 3 3 3 2 7" xfId="9458"/>
    <cellStyle name="Assumption Number. 3 3 3 2 8" xfId="9459"/>
    <cellStyle name="Assumption Number. 3 3 3 2 9" xfId="9460"/>
    <cellStyle name="Assumption Number. 3 3 3 3" xfId="9461"/>
    <cellStyle name="Assumption Number. 3 3 3 4" xfId="9462"/>
    <cellStyle name="Assumption Number. 3 3 3 5" xfId="9463"/>
    <cellStyle name="Assumption Number. 3 3 3 6" xfId="9464"/>
    <cellStyle name="Assumption Number. 3 3 3 7" xfId="9465"/>
    <cellStyle name="Assumption Number. 3 3 3 8" xfId="9466"/>
    <cellStyle name="Assumption Number. 3 3 3 9" xfId="9467"/>
    <cellStyle name="Assumption Number. 3 3 4" xfId="9468"/>
    <cellStyle name="Assumption Number. 3 3 4 10" xfId="9469"/>
    <cellStyle name="Assumption Number. 3 3 4 2" xfId="9470"/>
    <cellStyle name="Assumption Number. 3 3 4 3" xfId="9471"/>
    <cellStyle name="Assumption Number. 3 3 4 4" xfId="9472"/>
    <cellStyle name="Assumption Number. 3 3 4 5" xfId="9473"/>
    <cellStyle name="Assumption Number. 3 3 4 6" xfId="9474"/>
    <cellStyle name="Assumption Number. 3 3 4 7" xfId="9475"/>
    <cellStyle name="Assumption Number. 3 3 4 8" xfId="9476"/>
    <cellStyle name="Assumption Number. 3 3 4 9" xfId="9477"/>
    <cellStyle name="Assumption Number. 3 3 5" xfId="9478"/>
    <cellStyle name="Assumption Number. 3 3 6" xfId="9479"/>
    <cellStyle name="Assumption Number. 3 3 7" xfId="9480"/>
    <cellStyle name="Assumption Number. 3 3 8" xfId="9481"/>
    <cellStyle name="Assumption Number. 3 3 9" xfId="9482"/>
    <cellStyle name="Assumption Number. 3 4" xfId="9483"/>
    <cellStyle name="Assumption Number. 3 4 10" xfId="9484"/>
    <cellStyle name="Assumption Number. 3 4 11" xfId="9485"/>
    <cellStyle name="Assumption Number. 3 4 12" xfId="9486"/>
    <cellStyle name="Assumption Number. 3 4 2" xfId="9487"/>
    <cellStyle name="Assumption Number. 3 4 2 10" xfId="9488"/>
    <cellStyle name="Assumption Number. 3 4 2 2" xfId="9489"/>
    <cellStyle name="Assumption Number. 3 4 2 2 10" xfId="9490"/>
    <cellStyle name="Assumption Number. 3 4 2 2 2" xfId="9491"/>
    <cellStyle name="Assumption Number. 3 4 2 2 3" xfId="9492"/>
    <cellStyle name="Assumption Number. 3 4 2 2 4" xfId="9493"/>
    <cellStyle name="Assumption Number. 3 4 2 2 5" xfId="9494"/>
    <cellStyle name="Assumption Number. 3 4 2 2 6" xfId="9495"/>
    <cellStyle name="Assumption Number. 3 4 2 2 7" xfId="9496"/>
    <cellStyle name="Assumption Number. 3 4 2 2 8" xfId="9497"/>
    <cellStyle name="Assumption Number. 3 4 2 2 9" xfId="9498"/>
    <cellStyle name="Assumption Number. 3 4 2 3" xfId="9499"/>
    <cellStyle name="Assumption Number. 3 4 2 4" xfId="9500"/>
    <cellStyle name="Assumption Number. 3 4 2 5" xfId="9501"/>
    <cellStyle name="Assumption Number. 3 4 2 6" xfId="9502"/>
    <cellStyle name="Assumption Number. 3 4 2 7" xfId="9503"/>
    <cellStyle name="Assumption Number. 3 4 2 8" xfId="9504"/>
    <cellStyle name="Assumption Number. 3 4 2 9" xfId="9505"/>
    <cellStyle name="Assumption Number. 3 4 3" xfId="9506"/>
    <cellStyle name="Assumption Number. 3 4 3 10" xfId="9507"/>
    <cellStyle name="Assumption Number. 3 4 3 2" xfId="9508"/>
    <cellStyle name="Assumption Number. 3 4 3 3" xfId="9509"/>
    <cellStyle name="Assumption Number. 3 4 3 4" xfId="9510"/>
    <cellStyle name="Assumption Number. 3 4 3 5" xfId="9511"/>
    <cellStyle name="Assumption Number. 3 4 3 6" xfId="9512"/>
    <cellStyle name="Assumption Number. 3 4 3 7" xfId="9513"/>
    <cellStyle name="Assumption Number. 3 4 3 8" xfId="9514"/>
    <cellStyle name="Assumption Number. 3 4 3 9" xfId="9515"/>
    <cellStyle name="Assumption Number. 3 4 4" xfId="9516"/>
    <cellStyle name="Assumption Number. 3 4 5" xfId="9517"/>
    <cellStyle name="Assumption Number. 3 4 6" xfId="9518"/>
    <cellStyle name="Assumption Number. 3 4 7" xfId="9519"/>
    <cellStyle name="Assumption Number. 3 4 8" xfId="9520"/>
    <cellStyle name="Assumption Number. 3 4 9" xfId="9521"/>
    <cellStyle name="Assumption Number. 3 5" xfId="9522"/>
    <cellStyle name="Assumption Number. 3 5 10" xfId="9523"/>
    <cellStyle name="Assumption Number. 3 5 11" xfId="9524"/>
    <cellStyle name="Assumption Number. 3 5 12" xfId="9525"/>
    <cellStyle name="Assumption Number. 3 5 2" xfId="9526"/>
    <cellStyle name="Assumption Number. 3 5 2 10" xfId="9527"/>
    <cellStyle name="Assumption Number. 3 5 2 2" xfId="9528"/>
    <cellStyle name="Assumption Number. 3 5 2 2 10" xfId="9529"/>
    <cellStyle name="Assumption Number. 3 5 2 2 2" xfId="9530"/>
    <cellStyle name="Assumption Number. 3 5 2 2 3" xfId="9531"/>
    <cellStyle name="Assumption Number. 3 5 2 2 4" xfId="9532"/>
    <cellStyle name="Assumption Number. 3 5 2 2 5" xfId="9533"/>
    <cellStyle name="Assumption Number. 3 5 2 2 6" xfId="9534"/>
    <cellStyle name="Assumption Number. 3 5 2 2 7" xfId="9535"/>
    <cellStyle name="Assumption Number. 3 5 2 2 8" xfId="9536"/>
    <cellStyle name="Assumption Number. 3 5 2 2 9" xfId="9537"/>
    <cellStyle name="Assumption Number. 3 5 2 3" xfId="9538"/>
    <cellStyle name="Assumption Number. 3 5 2 4" xfId="9539"/>
    <cellStyle name="Assumption Number. 3 5 2 5" xfId="9540"/>
    <cellStyle name="Assumption Number. 3 5 2 6" xfId="9541"/>
    <cellStyle name="Assumption Number. 3 5 2 7" xfId="9542"/>
    <cellStyle name="Assumption Number. 3 5 2 8" xfId="9543"/>
    <cellStyle name="Assumption Number. 3 5 2 9" xfId="9544"/>
    <cellStyle name="Assumption Number. 3 5 3" xfId="9545"/>
    <cellStyle name="Assumption Number. 3 5 3 10" xfId="9546"/>
    <cellStyle name="Assumption Number. 3 5 3 2" xfId="9547"/>
    <cellStyle name="Assumption Number. 3 5 3 3" xfId="9548"/>
    <cellStyle name="Assumption Number. 3 5 3 4" xfId="9549"/>
    <cellStyle name="Assumption Number. 3 5 3 5" xfId="9550"/>
    <cellStyle name="Assumption Number. 3 5 3 6" xfId="9551"/>
    <cellStyle name="Assumption Number. 3 5 3 7" xfId="9552"/>
    <cellStyle name="Assumption Number. 3 5 3 8" xfId="9553"/>
    <cellStyle name="Assumption Number. 3 5 3 9" xfId="9554"/>
    <cellStyle name="Assumption Number. 3 5 4" xfId="9555"/>
    <cellStyle name="Assumption Number. 3 5 5" xfId="9556"/>
    <cellStyle name="Assumption Number. 3 5 6" xfId="9557"/>
    <cellStyle name="Assumption Number. 3 5 7" xfId="9558"/>
    <cellStyle name="Assumption Number. 3 5 8" xfId="9559"/>
    <cellStyle name="Assumption Number. 3 5 9" xfId="9560"/>
    <cellStyle name="Assumption Number. 3 6" xfId="9561"/>
    <cellStyle name="Assumption Number. 3 6 10" xfId="9562"/>
    <cellStyle name="Assumption Number. 3 6 2" xfId="9563"/>
    <cellStyle name="Assumption Number. 3 6 2 10" xfId="9564"/>
    <cellStyle name="Assumption Number. 3 6 2 2" xfId="9565"/>
    <cellStyle name="Assumption Number. 3 6 2 3" xfId="9566"/>
    <cellStyle name="Assumption Number. 3 6 2 4" xfId="9567"/>
    <cellStyle name="Assumption Number. 3 6 2 5" xfId="9568"/>
    <cellStyle name="Assumption Number. 3 6 2 6" xfId="9569"/>
    <cellStyle name="Assumption Number. 3 6 2 7" xfId="9570"/>
    <cellStyle name="Assumption Number. 3 6 2 8" xfId="9571"/>
    <cellStyle name="Assumption Number. 3 6 2 9" xfId="9572"/>
    <cellStyle name="Assumption Number. 3 6 3" xfId="9573"/>
    <cellStyle name="Assumption Number. 3 6 4" xfId="9574"/>
    <cellStyle name="Assumption Number. 3 6 5" xfId="9575"/>
    <cellStyle name="Assumption Number. 3 6 6" xfId="9576"/>
    <cellStyle name="Assumption Number. 3 6 7" xfId="9577"/>
    <cellStyle name="Assumption Number. 3 6 8" xfId="9578"/>
    <cellStyle name="Assumption Number. 3 6 9" xfId="9579"/>
    <cellStyle name="Assumption Number. 3 7" xfId="9580"/>
    <cellStyle name="Assumption Number. 3 7 10" xfId="9581"/>
    <cellStyle name="Assumption Number. 3 7 2" xfId="9582"/>
    <cellStyle name="Assumption Number. 3 7 3" xfId="9583"/>
    <cellStyle name="Assumption Number. 3 7 4" xfId="9584"/>
    <cellStyle name="Assumption Number. 3 7 5" xfId="9585"/>
    <cellStyle name="Assumption Number. 3 7 6" xfId="9586"/>
    <cellStyle name="Assumption Number. 3 7 7" xfId="9587"/>
    <cellStyle name="Assumption Number. 3 7 8" xfId="9588"/>
    <cellStyle name="Assumption Number. 3 7 9" xfId="9589"/>
    <cellStyle name="Assumption Number. 3 8" xfId="9590"/>
    <cellStyle name="Assumption Number. 3 9" xfId="9591"/>
    <cellStyle name="Assumption Number. 4" xfId="9592"/>
    <cellStyle name="Assumption Number. 4 10" xfId="9593"/>
    <cellStyle name="Assumption Number. 4 11" xfId="9594"/>
    <cellStyle name="Assumption Number. 4 12" xfId="9595"/>
    <cellStyle name="Assumption Number. 4 13" xfId="9596"/>
    <cellStyle name="Assumption Number. 4 2" xfId="9597"/>
    <cellStyle name="Assumption Number. 4 2 10" xfId="9598"/>
    <cellStyle name="Assumption Number. 4 2 11" xfId="9599"/>
    <cellStyle name="Assumption Number. 4 2 12" xfId="9600"/>
    <cellStyle name="Assumption Number. 4 2 2" xfId="9601"/>
    <cellStyle name="Assumption Number. 4 2 2 10" xfId="9602"/>
    <cellStyle name="Assumption Number. 4 2 2 2" xfId="9603"/>
    <cellStyle name="Assumption Number. 4 2 2 2 10" xfId="9604"/>
    <cellStyle name="Assumption Number. 4 2 2 2 2" xfId="9605"/>
    <cellStyle name="Assumption Number. 4 2 2 2 3" xfId="9606"/>
    <cellStyle name="Assumption Number. 4 2 2 2 4" xfId="9607"/>
    <cellStyle name="Assumption Number. 4 2 2 2 5" xfId="9608"/>
    <cellStyle name="Assumption Number. 4 2 2 2 6" xfId="9609"/>
    <cellStyle name="Assumption Number. 4 2 2 2 7" xfId="9610"/>
    <cellStyle name="Assumption Number. 4 2 2 2 8" xfId="9611"/>
    <cellStyle name="Assumption Number. 4 2 2 2 9" xfId="9612"/>
    <cellStyle name="Assumption Number. 4 2 2 3" xfId="9613"/>
    <cellStyle name="Assumption Number. 4 2 2 4" xfId="9614"/>
    <cellStyle name="Assumption Number. 4 2 2 5" xfId="9615"/>
    <cellStyle name="Assumption Number. 4 2 2 6" xfId="9616"/>
    <cellStyle name="Assumption Number. 4 2 2 7" xfId="9617"/>
    <cellStyle name="Assumption Number. 4 2 2 8" xfId="9618"/>
    <cellStyle name="Assumption Number. 4 2 2 9" xfId="9619"/>
    <cellStyle name="Assumption Number. 4 2 3" xfId="9620"/>
    <cellStyle name="Assumption Number. 4 2 3 10" xfId="9621"/>
    <cellStyle name="Assumption Number. 4 2 3 2" xfId="9622"/>
    <cellStyle name="Assumption Number. 4 2 3 3" xfId="9623"/>
    <cellStyle name="Assumption Number. 4 2 3 4" xfId="9624"/>
    <cellStyle name="Assumption Number. 4 2 3 5" xfId="9625"/>
    <cellStyle name="Assumption Number. 4 2 3 6" xfId="9626"/>
    <cellStyle name="Assumption Number. 4 2 3 7" xfId="9627"/>
    <cellStyle name="Assumption Number. 4 2 3 8" xfId="9628"/>
    <cellStyle name="Assumption Number. 4 2 3 9" xfId="9629"/>
    <cellStyle name="Assumption Number. 4 2 4" xfId="9630"/>
    <cellStyle name="Assumption Number. 4 2 5" xfId="9631"/>
    <cellStyle name="Assumption Number. 4 2 6" xfId="9632"/>
    <cellStyle name="Assumption Number. 4 2 7" xfId="9633"/>
    <cellStyle name="Assumption Number. 4 2 8" xfId="9634"/>
    <cellStyle name="Assumption Number. 4 2 9" xfId="9635"/>
    <cellStyle name="Assumption Number. 4 3" xfId="9636"/>
    <cellStyle name="Assumption Number. 4 3 10" xfId="9637"/>
    <cellStyle name="Assumption Number. 4 3 2" xfId="9638"/>
    <cellStyle name="Assumption Number. 4 3 2 10" xfId="9639"/>
    <cellStyle name="Assumption Number. 4 3 2 2" xfId="9640"/>
    <cellStyle name="Assumption Number. 4 3 2 3" xfId="9641"/>
    <cellStyle name="Assumption Number. 4 3 2 4" xfId="9642"/>
    <cellStyle name="Assumption Number. 4 3 2 5" xfId="9643"/>
    <cellStyle name="Assumption Number. 4 3 2 6" xfId="9644"/>
    <cellStyle name="Assumption Number. 4 3 2 7" xfId="9645"/>
    <cellStyle name="Assumption Number. 4 3 2 8" xfId="9646"/>
    <cellStyle name="Assumption Number. 4 3 2 9" xfId="9647"/>
    <cellStyle name="Assumption Number. 4 3 3" xfId="9648"/>
    <cellStyle name="Assumption Number. 4 3 4" xfId="9649"/>
    <cellStyle name="Assumption Number. 4 3 5" xfId="9650"/>
    <cellStyle name="Assumption Number. 4 3 6" xfId="9651"/>
    <cellStyle name="Assumption Number. 4 3 7" xfId="9652"/>
    <cellStyle name="Assumption Number. 4 3 8" xfId="9653"/>
    <cellStyle name="Assumption Number. 4 3 9" xfId="9654"/>
    <cellStyle name="Assumption Number. 4 4" xfId="9655"/>
    <cellStyle name="Assumption Number. 4 4 10" xfId="9656"/>
    <cellStyle name="Assumption Number. 4 4 2" xfId="9657"/>
    <cellStyle name="Assumption Number. 4 4 3" xfId="9658"/>
    <cellStyle name="Assumption Number. 4 4 4" xfId="9659"/>
    <cellStyle name="Assumption Number. 4 4 5" xfId="9660"/>
    <cellStyle name="Assumption Number. 4 4 6" xfId="9661"/>
    <cellStyle name="Assumption Number. 4 4 7" xfId="9662"/>
    <cellStyle name="Assumption Number. 4 4 8" xfId="9663"/>
    <cellStyle name="Assumption Number. 4 4 9" xfId="9664"/>
    <cellStyle name="Assumption Number. 4 5" xfId="9665"/>
    <cellStyle name="Assumption Number. 4 6" xfId="9666"/>
    <cellStyle name="Assumption Number. 4 7" xfId="9667"/>
    <cellStyle name="Assumption Number. 4 8" xfId="9668"/>
    <cellStyle name="Assumption Number. 4 9" xfId="9669"/>
    <cellStyle name="Assumption Number. 5" xfId="9670"/>
    <cellStyle name="Assumption Number. 5 10" xfId="9671"/>
    <cellStyle name="Assumption Number. 5 11" xfId="9672"/>
    <cellStyle name="Assumption Number. 5 12" xfId="9673"/>
    <cellStyle name="Assumption Number. 5 13" xfId="9674"/>
    <cellStyle name="Assumption Number. 5 2" xfId="9675"/>
    <cellStyle name="Assumption Number. 5 2 10" xfId="9676"/>
    <cellStyle name="Assumption Number. 5 2 11" xfId="9677"/>
    <cellStyle name="Assumption Number. 5 2 12" xfId="9678"/>
    <cellStyle name="Assumption Number. 5 2 2" xfId="9679"/>
    <cellStyle name="Assumption Number. 5 2 2 10" xfId="9680"/>
    <cellStyle name="Assumption Number. 5 2 2 2" xfId="9681"/>
    <cellStyle name="Assumption Number. 5 2 2 2 10" xfId="9682"/>
    <cellStyle name="Assumption Number. 5 2 2 2 2" xfId="9683"/>
    <cellStyle name="Assumption Number. 5 2 2 2 3" xfId="9684"/>
    <cellStyle name="Assumption Number. 5 2 2 2 4" xfId="9685"/>
    <cellStyle name="Assumption Number. 5 2 2 2 5" xfId="9686"/>
    <cellStyle name="Assumption Number. 5 2 2 2 6" xfId="9687"/>
    <cellStyle name="Assumption Number. 5 2 2 2 7" xfId="9688"/>
    <cellStyle name="Assumption Number. 5 2 2 2 8" xfId="9689"/>
    <cellStyle name="Assumption Number. 5 2 2 2 9" xfId="9690"/>
    <cellStyle name="Assumption Number. 5 2 2 3" xfId="9691"/>
    <cellStyle name="Assumption Number. 5 2 2 4" xfId="9692"/>
    <cellStyle name="Assumption Number. 5 2 2 5" xfId="9693"/>
    <cellStyle name="Assumption Number. 5 2 2 6" xfId="9694"/>
    <cellStyle name="Assumption Number. 5 2 2 7" xfId="9695"/>
    <cellStyle name="Assumption Number. 5 2 2 8" xfId="9696"/>
    <cellStyle name="Assumption Number. 5 2 2 9" xfId="9697"/>
    <cellStyle name="Assumption Number. 5 2 3" xfId="9698"/>
    <cellStyle name="Assumption Number. 5 2 3 10" xfId="9699"/>
    <cellStyle name="Assumption Number. 5 2 3 2" xfId="9700"/>
    <cellStyle name="Assumption Number. 5 2 3 3" xfId="9701"/>
    <cellStyle name="Assumption Number. 5 2 3 4" xfId="9702"/>
    <cellStyle name="Assumption Number. 5 2 3 5" xfId="9703"/>
    <cellStyle name="Assumption Number. 5 2 3 6" xfId="9704"/>
    <cellStyle name="Assumption Number. 5 2 3 7" xfId="9705"/>
    <cellStyle name="Assumption Number. 5 2 3 8" xfId="9706"/>
    <cellStyle name="Assumption Number. 5 2 3 9" xfId="9707"/>
    <cellStyle name="Assumption Number. 5 2 4" xfId="9708"/>
    <cellStyle name="Assumption Number. 5 2 5" xfId="9709"/>
    <cellStyle name="Assumption Number. 5 2 6" xfId="9710"/>
    <cellStyle name="Assumption Number. 5 2 7" xfId="9711"/>
    <cellStyle name="Assumption Number. 5 2 8" xfId="9712"/>
    <cellStyle name="Assumption Number. 5 2 9" xfId="9713"/>
    <cellStyle name="Assumption Number. 5 3" xfId="9714"/>
    <cellStyle name="Assumption Number. 5 3 10" xfId="9715"/>
    <cellStyle name="Assumption Number. 5 3 2" xfId="9716"/>
    <cellStyle name="Assumption Number. 5 3 2 10" xfId="9717"/>
    <cellStyle name="Assumption Number. 5 3 2 2" xfId="9718"/>
    <cellStyle name="Assumption Number. 5 3 2 3" xfId="9719"/>
    <cellStyle name="Assumption Number. 5 3 2 4" xfId="9720"/>
    <cellStyle name="Assumption Number. 5 3 2 5" xfId="9721"/>
    <cellStyle name="Assumption Number. 5 3 2 6" xfId="9722"/>
    <cellStyle name="Assumption Number. 5 3 2 7" xfId="9723"/>
    <cellStyle name="Assumption Number. 5 3 2 8" xfId="9724"/>
    <cellStyle name="Assumption Number. 5 3 2 9" xfId="9725"/>
    <cellStyle name="Assumption Number. 5 3 3" xfId="9726"/>
    <cellStyle name="Assumption Number. 5 3 4" xfId="9727"/>
    <cellStyle name="Assumption Number. 5 3 5" xfId="9728"/>
    <cellStyle name="Assumption Number. 5 3 6" xfId="9729"/>
    <cellStyle name="Assumption Number. 5 3 7" xfId="9730"/>
    <cellStyle name="Assumption Number. 5 3 8" xfId="9731"/>
    <cellStyle name="Assumption Number. 5 3 9" xfId="9732"/>
    <cellStyle name="Assumption Number. 5 4" xfId="9733"/>
    <cellStyle name="Assumption Number. 5 4 10" xfId="9734"/>
    <cellStyle name="Assumption Number. 5 4 2" xfId="9735"/>
    <cellStyle name="Assumption Number. 5 4 3" xfId="9736"/>
    <cellStyle name="Assumption Number. 5 4 4" xfId="9737"/>
    <cellStyle name="Assumption Number. 5 4 5" xfId="9738"/>
    <cellStyle name="Assumption Number. 5 4 6" xfId="9739"/>
    <cellStyle name="Assumption Number. 5 4 7" xfId="9740"/>
    <cellStyle name="Assumption Number. 5 4 8" xfId="9741"/>
    <cellStyle name="Assumption Number. 5 4 9" xfId="9742"/>
    <cellStyle name="Assumption Number. 5 5" xfId="9743"/>
    <cellStyle name="Assumption Number. 5 6" xfId="9744"/>
    <cellStyle name="Assumption Number. 5 7" xfId="9745"/>
    <cellStyle name="Assumption Number. 5 8" xfId="9746"/>
    <cellStyle name="Assumption Number. 5 9" xfId="9747"/>
    <cellStyle name="Assumption Number. 6" xfId="9748"/>
    <cellStyle name="Assumption Number. 6 10" xfId="9749"/>
    <cellStyle name="Assumption Number. 6 11" xfId="9750"/>
    <cellStyle name="Assumption Number. 6 12" xfId="9751"/>
    <cellStyle name="Assumption Number. 6 13" xfId="9752"/>
    <cellStyle name="Assumption Number. 6 2" xfId="9753"/>
    <cellStyle name="Assumption Number. 6 2 10" xfId="9754"/>
    <cellStyle name="Assumption Number. 6 2 11" xfId="9755"/>
    <cellStyle name="Assumption Number. 6 2 12" xfId="9756"/>
    <cellStyle name="Assumption Number. 6 2 2" xfId="9757"/>
    <cellStyle name="Assumption Number. 6 2 2 10" xfId="9758"/>
    <cellStyle name="Assumption Number. 6 2 2 2" xfId="9759"/>
    <cellStyle name="Assumption Number. 6 2 2 2 10" xfId="9760"/>
    <cellStyle name="Assumption Number. 6 2 2 2 2" xfId="9761"/>
    <cellStyle name="Assumption Number. 6 2 2 2 3" xfId="9762"/>
    <cellStyle name="Assumption Number. 6 2 2 2 4" xfId="9763"/>
    <cellStyle name="Assumption Number. 6 2 2 2 5" xfId="9764"/>
    <cellStyle name="Assumption Number. 6 2 2 2 6" xfId="9765"/>
    <cellStyle name="Assumption Number. 6 2 2 2 7" xfId="9766"/>
    <cellStyle name="Assumption Number. 6 2 2 2 8" xfId="9767"/>
    <cellStyle name="Assumption Number. 6 2 2 2 9" xfId="9768"/>
    <cellStyle name="Assumption Number. 6 2 2 3" xfId="9769"/>
    <cellStyle name="Assumption Number. 6 2 2 4" xfId="9770"/>
    <cellStyle name="Assumption Number. 6 2 2 5" xfId="9771"/>
    <cellStyle name="Assumption Number. 6 2 2 6" xfId="9772"/>
    <cellStyle name="Assumption Number. 6 2 2 7" xfId="9773"/>
    <cellStyle name="Assumption Number. 6 2 2 8" xfId="9774"/>
    <cellStyle name="Assumption Number. 6 2 2 9" xfId="9775"/>
    <cellStyle name="Assumption Number. 6 2 3" xfId="9776"/>
    <cellStyle name="Assumption Number. 6 2 3 10" xfId="9777"/>
    <cellStyle name="Assumption Number. 6 2 3 2" xfId="9778"/>
    <cellStyle name="Assumption Number. 6 2 3 3" xfId="9779"/>
    <cellStyle name="Assumption Number. 6 2 3 4" xfId="9780"/>
    <cellStyle name="Assumption Number. 6 2 3 5" xfId="9781"/>
    <cellStyle name="Assumption Number. 6 2 3 6" xfId="9782"/>
    <cellStyle name="Assumption Number. 6 2 3 7" xfId="9783"/>
    <cellStyle name="Assumption Number. 6 2 3 8" xfId="9784"/>
    <cellStyle name="Assumption Number. 6 2 3 9" xfId="9785"/>
    <cellStyle name="Assumption Number. 6 2 4" xfId="9786"/>
    <cellStyle name="Assumption Number. 6 2 5" xfId="9787"/>
    <cellStyle name="Assumption Number. 6 2 6" xfId="9788"/>
    <cellStyle name="Assumption Number. 6 2 7" xfId="9789"/>
    <cellStyle name="Assumption Number. 6 2 8" xfId="9790"/>
    <cellStyle name="Assumption Number. 6 2 9" xfId="9791"/>
    <cellStyle name="Assumption Number. 6 3" xfId="9792"/>
    <cellStyle name="Assumption Number. 6 3 10" xfId="9793"/>
    <cellStyle name="Assumption Number. 6 3 2" xfId="9794"/>
    <cellStyle name="Assumption Number. 6 3 2 10" xfId="9795"/>
    <cellStyle name="Assumption Number. 6 3 2 2" xfId="9796"/>
    <cellStyle name="Assumption Number. 6 3 2 3" xfId="9797"/>
    <cellStyle name="Assumption Number. 6 3 2 4" xfId="9798"/>
    <cellStyle name="Assumption Number. 6 3 2 5" xfId="9799"/>
    <cellStyle name="Assumption Number. 6 3 2 6" xfId="9800"/>
    <cellStyle name="Assumption Number. 6 3 2 7" xfId="9801"/>
    <cellStyle name="Assumption Number. 6 3 2 8" xfId="9802"/>
    <cellStyle name="Assumption Number. 6 3 2 9" xfId="9803"/>
    <cellStyle name="Assumption Number. 6 3 3" xfId="9804"/>
    <cellStyle name="Assumption Number. 6 3 4" xfId="9805"/>
    <cellStyle name="Assumption Number. 6 3 5" xfId="9806"/>
    <cellStyle name="Assumption Number. 6 3 6" xfId="9807"/>
    <cellStyle name="Assumption Number. 6 3 7" xfId="9808"/>
    <cellStyle name="Assumption Number. 6 3 8" xfId="9809"/>
    <cellStyle name="Assumption Number. 6 3 9" xfId="9810"/>
    <cellStyle name="Assumption Number. 6 4" xfId="9811"/>
    <cellStyle name="Assumption Number. 6 4 10" xfId="9812"/>
    <cellStyle name="Assumption Number. 6 4 2" xfId="9813"/>
    <cellStyle name="Assumption Number. 6 4 3" xfId="9814"/>
    <cellStyle name="Assumption Number. 6 4 4" xfId="9815"/>
    <cellStyle name="Assumption Number. 6 4 5" xfId="9816"/>
    <cellStyle name="Assumption Number. 6 4 6" xfId="9817"/>
    <cellStyle name="Assumption Number. 6 4 7" xfId="9818"/>
    <cellStyle name="Assumption Number. 6 4 8" xfId="9819"/>
    <cellStyle name="Assumption Number. 6 4 9" xfId="9820"/>
    <cellStyle name="Assumption Number. 6 5" xfId="9821"/>
    <cellStyle name="Assumption Number. 6 6" xfId="9822"/>
    <cellStyle name="Assumption Number. 6 7" xfId="9823"/>
    <cellStyle name="Assumption Number. 6 8" xfId="9824"/>
    <cellStyle name="Assumption Number. 6 9" xfId="9825"/>
    <cellStyle name="Assumption Number. 7" xfId="9826"/>
    <cellStyle name="Assumption Number. 7 10" xfId="9827"/>
    <cellStyle name="Assumption Number. 7 11" xfId="9828"/>
    <cellStyle name="Assumption Number. 7 12" xfId="9829"/>
    <cellStyle name="Assumption Number. 7 13" xfId="9830"/>
    <cellStyle name="Assumption Number. 7 2" xfId="9831"/>
    <cellStyle name="Assumption Number. 7 2 10" xfId="9832"/>
    <cellStyle name="Assumption Number. 7 2 11" xfId="9833"/>
    <cellStyle name="Assumption Number. 7 2 12" xfId="9834"/>
    <cellStyle name="Assumption Number. 7 2 2" xfId="9835"/>
    <cellStyle name="Assumption Number. 7 2 2 10" xfId="9836"/>
    <cellStyle name="Assumption Number. 7 2 2 2" xfId="9837"/>
    <cellStyle name="Assumption Number. 7 2 2 2 10" xfId="9838"/>
    <cellStyle name="Assumption Number. 7 2 2 2 2" xfId="9839"/>
    <cellStyle name="Assumption Number. 7 2 2 2 3" xfId="9840"/>
    <cellStyle name="Assumption Number. 7 2 2 2 4" xfId="9841"/>
    <cellStyle name="Assumption Number. 7 2 2 2 5" xfId="9842"/>
    <cellStyle name="Assumption Number. 7 2 2 2 6" xfId="9843"/>
    <cellStyle name="Assumption Number. 7 2 2 2 7" xfId="9844"/>
    <cellStyle name="Assumption Number. 7 2 2 2 8" xfId="9845"/>
    <cellStyle name="Assumption Number. 7 2 2 2 9" xfId="9846"/>
    <cellStyle name="Assumption Number. 7 2 2 3" xfId="9847"/>
    <cellStyle name="Assumption Number. 7 2 2 4" xfId="9848"/>
    <cellStyle name="Assumption Number. 7 2 2 5" xfId="9849"/>
    <cellStyle name="Assumption Number. 7 2 2 6" xfId="9850"/>
    <cellStyle name="Assumption Number. 7 2 2 7" xfId="9851"/>
    <cellStyle name="Assumption Number. 7 2 2 8" xfId="9852"/>
    <cellStyle name="Assumption Number. 7 2 2 9" xfId="9853"/>
    <cellStyle name="Assumption Number. 7 2 3" xfId="9854"/>
    <cellStyle name="Assumption Number. 7 2 3 10" xfId="9855"/>
    <cellStyle name="Assumption Number. 7 2 3 2" xfId="9856"/>
    <cellStyle name="Assumption Number. 7 2 3 3" xfId="9857"/>
    <cellStyle name="Assumption Number. 7 2 3 4" xfId="9858"/>
    <cellStyle name="Assumption Number. 7 2 3 5" xfId="9859"/>
    <cellStyle name="Assumption Number. 7 2 3 6" xfId="9860"/>
    <cellStyle name="Assumption Number. 7 2 3 7" xfId="9861"/>
    <cellStyle name="Assumption Number. 7 2 3 8" xfId="9862"/>
    <cellStyle name="Assumption Number. 7 2 3 9" xfId="9863"/>
    <cellStyle name="Assumption Number. 7 2 4" xfId="9864"/>
    <cellStyle name="Assumption Number. 7 2 5" xfId="9865"/>
    <cellStyle name="Assumption Number. 7 2 6" xfId="9866"/>
    <cellStyle name="Assumption Number. 7 2 7" xfId="9867"/>
    <cellStyle name="Assumption Number. 7 2 8" xfId="9868"/>
    <cellStyle name="Assumption Number. 7 2 9" xfId="9869"/>
    <cellStyle name="Assumption Number. 7 3" xfId="9870"/>
    <cellStyle name="Assumption Number. 7 3 10" xfId="9871"/>
    <cellStyle name="Assumption Number. 7 3 2" xfId="9872"/>
    <cellStyle name="Assumption Number. 7 3 2 10" xfId="9873"/>
    <cellStyle name="Assumption Number. 7 3 2 2" xfId="9874"/>
    <cellStyle name="Assumption Number. 7 3 2 3" xfId="9875"/>
    <cellStyle name="Assumption Number. 7 3 2 4" xfId="9876"/>
    <cellStyle name="Assumption Number. 7 3 2 5" xfId="9877"/>
    <cellStyle name="Assumption Number. 7 3 2 6" xfId="9878"/>
    <cellStyle name="Assumption Number. 7 3 2 7" xfId="9879"/>
    <cellStyle name="Assumption Number. 7 3 2 8" xfId="9880"/>
    <cellStyle name="Assumption Number. 7 3 2 9" xfId="9881"/>
    <cellStyle name="Assumption Number. 7 3 3" xfId="9882"/>
    <cellStyle name="Assumption Number. 7 3 4" xfId="9883"/>
    <cellStyle name="Assumption Number. 7 3 5" xfId="9884"/>
    <cellStyle name="Assumption Number. 7 3 6" xfId="9885"/>
    <cellStyle name="Assumption Number. 7 3 7" xfId="9886"/>
    <cellStyle name="Assumption Number. 7 3 8" xfId="9887"/>
    <cellStyle name="Assumption Number. 7 3 9" xfId="9888"/>
    <cellStyle name="Assumption Number. 7 4" xfId="9889"/>
    <cellStyle name="Assumption Number. 7 4 10" xfId="9890"/>
    <cellStyle name="Assumption Number. 7 4 2" xfId="9891"/>
    <cellStyle name="Assumption Number. 7 4 3" xfId="9892"/>
    <cellStyle name="Assumption Number. 7 4 4" xfId="9893"/>
    <cellStyle name="Assumption Number. 7 4 5" xfId="9894"/>
    <cellStyle name="Assumption Number. 7 4 6" xfId="9895"/>
    <cellStyle name="Assumption Number. 7 4 7" xfId="9896"/>
    <cellStyle name="Assumption Number. 7 4 8" xfId="9897"/>
    <cellStyle name="Assumption Number. 7 4 9" xfId="9898"/>
    <cellStyle name="Assumption Number. 7 5" xfId="9899"/>
    <cellStyle name="Assumption Number. 7 6" xfId="9900"/>
    <cellStyle name="Assumption Number. 7 7" xfId="9901"/>
    <cellStyle name="Assumption Number. 7 8" xfId="9902"/>
    <cellStyle name="Assumption Number. 7 9" xfId="9903"/>
    <cellStyle name="Assumption Number. 8" xfId="9904"/>
    <cellStyle name="Assumption Number. 8 10" xfId="9905"/>
    <cellStyle name="Assumption Number. 8 11" xfId="9906"/>
    <cellStyle name="Assumption Number. 8 12" xfId="9907"/>
    <cellStyle name="Assumption Number. 8 13" xfId="9908"/>
    <cellStyle name="Assumption Number. 8 2" xfId="9909"/>
    <cellStyle name="Assumption Number. 8 2 10" xfId="9910"/>
    <cellStyle name="Assumption Number. 8 2 11" xfId="9911"/>
    <cellStyle name="Assumption Number. 8 2 12" xfId="9912"/>
    <cellStyle name="Assumption Number. 8 2 2" xfId="9913"/>
    <cellStyle name="Assumption Number. 8 2 2 10" xfId="9914"/>
    <cellStyle name="Assumption Number. 8 2 2 2" xfId="9915"/>
    <cellStyle name="Assumption Number. 8 2 2 2 10" xfId="9916"/>
    <cellStyle name="Assumption Number. 8 2 2 2 2" xfId="9917"/>
    <cellStyle name="Assumption Number. 8 2 2 2 3" xfId="9918"/>
    <cellStyle name="Assumption Number. 8 2 2 2 4" xfId="9919"/>
    <cellStyle name="Assumption Number. 8 2 2 2 5" xfId="9920"/>
    <cellStyle name="Assumption Number. 8 2 2 2 6" xfId="9921"/>
    <cellStyle name="Assumption Number. 8 2 2 2 7" xfId="9922"/>
    <cellStyle name="Assumption Number. 8 2 2 2 8" xfId="9923"/>
    <cellStyle name="Assumption Number. 8 2 2 2 9" xfId="9924"/>
    <cellStyle name="Assumption Number. 8 2 2 3" xfId="9925"/>
    <cellStyle name="Assumption Number. 8 2 2 4" xfId="9926"/>
    <cellStyle name="Assumption Number. 8 2 2 5" xfId="9927"/>
    <cellStyle name="Assumption Number. 8 2 2 6" xfId="9928"/>
    <cellStyle name="Assumption Number. 8 2 2 7" xfId="9929"/>
    <cellStyle name="Assumption Number. 8 2 2 8" xfId="9930"/>
    <cellStyle name="Assumption Number. 8 2 2 9" xfId="9931"/>
    <cellStyle name="Assumption Number. 8 2 3" xfId="9932"/>
    <cellStyle name="Assumption Number. 8 2 3 10" xfId="9933"/>
    <cellStyle name="Assumption Number. 8 2 3 2" xfId="9934"/>
    <cellStyle name="Assumption Number. 8 2 3 3" xfId="9935"/>
    <cellStyle name="Assumption Number. 8 2 3 4" xfId="9936"/>
    <cellStyle name="Assumption Number. 8 2 3 5" xfId="9937"/>
    <cellStyle name="Assumption Number. 8 2 3 6" xfId="9938"/>
    <cellStyle name="Assumption Number. 8 2 3 7" xfId="9939"/>
    <cellStyle name="Assumption Number. 8 2 3 8" xfId="9940"/>
    <cellStyle name="Assumption Number. 8 2 3 9" xfId="9941"/>
    <cellStyle name="Assumption Number. 8 2 4" xfId="9942"/>
    <cellStyle name="Assumption Number. 8 2 5" xfId="9943"/>
    <cellStyle name="Assumption Number. 8 2 6" xfId="9944"/>
    <cellStyle name="Assumption Number. 8 2 7" xfId="9945"/>
    <cellStyle name="Assumption Number. 8 2 8" xfId="9946"/>
    <cellStyle name="Assumption Number. 8 2 9" xfId="9947"/>
    <cellStyle name="Assumption Number. 8 3" xfId="9948"/>
    <cellStyle name="Assumption Number. 8 3 10" xfId="9949"/>
    <cellStyle name="Assumption Number. 8 3 2" xfId="9950"/>
    <cellStyle name="Assumption Number. 8 3 2 10" xfId="9951"/>
    <cellStyle name="Assumption Number. 8 3 2 2" xfId="9952"/>
    <cellStyle name="Assumption Number. 8 3 2 3" xfId="9953"/>
    <cellStyle name="Assumption Number. 8 3 2 4" xfId="9954"/>
    <cellStyle name="Assumption Number. 8 3 2 5" xfId="9955"/>
    <cellStyle name="Assumption Number. 8 3 2 6" xfId="9956"/>
    <cellStyle name="Assumption Number. 8 3 2 7" xfId="9957"/>
    <cellStyle name="Assumption Number. 8 3 2 8" xfId="9958"/>
    <cellStyle name="Assumption Number. 8 3 2 9" xfId="9959"/>
    <cellStyle name="Assumption Number. 8 3 3" xfId="9960"/>
    <cellStyle name="Assumption Number. 8 3 4" xfId="9961"/>
    <cellStyle name="Assumption Number. 8 3 5" xfId="9962"/>
    <cellStyle name="Assumption Number. 8 3 6" xfId="9963"/>
    <cellStyle name="Assumption Number. 8 3 7" xfId="9964"/>
    <cellStyle name="Assumption Number. 8 3 8" xfId="9965"/>
    <cellStyle name="Assumption Number. 8 3 9" xfId="9966"/>
    <cellStyle name="Assumption Number. 8 4" xfId="9967"/>
    <cellStyle name="Assumption Number. 8 4 10" xfId="9968"/>
    <cellStyle name="Assumption Number. 8 4 2" xfId="9969"/>
    <cellStyle name="Assumption Number. 8 4 3" xfId="9970"/>
    <cellStyle name="Assumption Number. 8 4 4" xfId="9971"/>
    <cellStyle name="Assumption Number. 8 4 5" xfId="9972"/>
    <cellStyle name="Assumption Number. 8 4 6" xfId="9973"/>
    <cellStyle name="Assumption Number. 8 4 7" xfId="9974"/>
    <cellStyle name="Assumption Number. 8 4 8" xfId="9975"/>
    <cellStyle name="Assumption Number. 8 4 9" xfId="9976"/>
    <cellStyle name="Assumption Number. 8 5" xfId="9977"/>
    <cellStyle name="Assumption Number. 8 6" xfId="9978"/>
    <cellStyle name="Assumption Number. 8 7" xfId="9979"/>
    <cellStyle name="Assumption Number. 8 8" xfId="9980"/>
    <cellStyle name="Assumption Number. 8 9" xfId="9981"/>
    <cellStyle name="Assumption Number. 9" xfId="9982"/>
    <cellStyle name="Assumption Number. 9 10" xfId="9983"/>
    <cellStyle name="Assumption Number. 9 11" xfId="9984"/>
    <cellStyle name="Assumption Number. 9 12" xfId="9985"/>
    <cellStyle name="Assumption Number. 9 13" xfId="9986"/>
    <cellStyle name="Assumption Number. 9 2" xfId="9987"/>
    <cellStyle name="Assumption Number. 9 2 10" xfId="9988"/>
    <cellStyle name="Assumption Number. 9 2 11" xfId="9989"/>
    <cellStyle name="Assumption Number. 9 2 12" xfId="9990"/>
    <cellStyle name="Assumption Number. 9 2 2" xfId="9991"/>
    <cellStyle name="Assumption Number. 9 2 2 10" xfId="9992"/>
    <cellStyle name="Assumption Number. 9 2 2 2" xfId="9993"/>
    <cellStyle name="Assumption Number. 9 2 2 2 10" xfId="9994"/>
    <cellStyle name="Assumption Number. 9 2 2 2 2" xfId="9995"/>
    <cellStyle name="Assumption Number. 9 2 2 2 3" xfId="9996"/>
    <cellStyle name="Assumption Number. 9 2 2 2 4" xfId="9997"/>
    <cellStyle name="Assumption Number. 9 2 2 2 5" xfId="9998"/>
    <cellStyle name="Assumption Number. 9 2 2 2 6" xfId="9999"/>
    <cellStyle name="Assumption Number. 9 2 2 2 7" xfId="10000"/>
    <cellStyle name="Assumption Number. 9 2 2 2 8" xfId="10001"/>
    <cellStyle name="Assumption Number. 9 2 2 2 9" xfId="10002"/>
    <cellStyle name="Assumption Number. 9 2 2 3" xfId="10003"/>
    <cellStyle name="Assumption Number. 9 2 2 4" xfId="10004"/>
    <cellStyle name="Assumption Number. 9 2 2 5" xfId="10005"/>
    <cellStyle name="Assumption Number. 9 2 2 6" xfId="10006"/>
    <cellStyle name="Assumption Number. 9 2 2 7" xfId="10007"/>
    <cellStyle name="Assumption Number. 9 2 2 8" xfId="10008"/>
    <cellStyle name="Assumption Number. 9 2 2 9" xfId="10009"/>
    <cellStyle name="Assumption Number. 9 2 3" xfId="10010"/>
    <cellStyle name="Assumption Number. 9 2 3 10" xfId="10011"/>
    <cellStyle name="Assumption Number. 9 2 3 2" xfId="10012"/>
    <cellStyle name="Assumption Number. 9 2 3 3" xfId="10013"/>
    <cellStyle name="Assumption Number. 9 2 3 4" xfId="10014"/>
    <cellStyle name="Assumption Number. 9 2 3 5" xfId="10015"/>
    <cellStyle name="Assumption Number. 9 2 3 6" xfId="10016"/>
    <cellStyle name="Assumption Number. 9 2 3 7" xfId="10017"/>
    <cellStyle name="Assumption Number. 9 2 3 8" xfId="10018"/>
    <cellStyle name="Assumption Number. 9 2 3 9" xfId="10019"/>
    <cellStyle name="Assumption Number. 9 2 4" xfId="10020"/>
    <cellStyle name="Assumption Number. 9 2 5" xfId="10021"/>
    <cellStyle name="Assumption Number. 9 2 6" xfId="10022"/>
    <cellStyle name="Assumption Number. 9 2 7" xfId="10023"/>
    <cellStyle name="Assumption Number. 9 2 8" xfId="10024"/>
    <cellStyle name="Assumption Number. 9 2 9" xfId="10025"/>
    <cellStyle name="Assumption Number. 9 3" xfId="10026"/>
    <cellStyle name="Assumption Number. 9 3 10" xfId="10027"/>
    <cellStyle name="Assumption Number. 9 3 2" xfId="10028"/>
    <cellStyle name="Assumption Number. 9 3 2 10" xfId="10029"/>
    <cellStyle name="Assumption Number. 9 3 2 2" xfId="10030"/>
    <cellStyle name="Assumption Number. 9 3 2 3" xfId="10031"/>
    <cellStyle name="Assumption Number. 9 3 2 4" xfId="10032"/>
    <cellStyle name="Assumption Number. 9 3 2 5" xfId="10033"/>
    <cellStyle name="Assumption Number. 9 3 2 6" xfId="10034"/>
    <cellStyle name="Assumption Number. 9 3 2 7" xfId="10035"/>
    <cellStyle name="Assumption Number. 9 3 2 8" xfId="10036"/>
    <cellStyle name="Assumption Number. 9 3 2 9" xfId="10037"/>
    <cellStyle name="Assumption Number. 9 3 3" xfId="10038"/>
    <cellStyle name="Assumption Number. 9 3 4" xfId="10039"/>
    <cellStyle name="Assumption Number. 9 3 5" xfId="10040"/>
    <cellStyle name="Assumption Number. 9 3 6" xfId="10041"/>
    <cellStyle name="Assumption Number. 9 3 7" xfId="10042"/>
    <cellStyle name="Assumption Number. 9 3 8" xfId="10043"/>
    <cellStyle name="Assumption Number. 9 3 9" xfId="10044"/>
    <cellStyle name="Assumption Number. 9 4" xfId="10045"/>
    <cellStyle name="Assumption Number. 9 4 10" xfId="10046"/>
    <cellStyle name="Assumption Number. 9 4 2" xfId="10047"/>
    <cellStyle name="Assumption Number. 9 4 3" xfId="10048"/>
    <cellStyle name="Assumption Number. 9 4 4" xfId="10049"/>
    <cellStyle name="Assumption Number. 9 4 5" xfId="10050"/>
    <cellStyle name="Assumption Number. 9 4 6" xfId="10051"/>
    <cellStyle name="Assumption Number. 9 4 7" xfId="10052"/>
    <cellStyle name="Assumption Number. 9 4 8" xfId="10053"/>
    <cellStyle name="Assumption Number. 9 4 9" xfId="10054"/>
    <cellStyle name="Assumption Number. 9 5" xfId="10055"/>
    <cellStyle name="Assumption Number. 9 6" xfId="10056"/>
    <cellStyle name="Assumption Number. 9 7" xfId="10057"/>
    <cellStyle name="Assumption Number. 9 8" xfId="10058"/>
    <cellStyle name="Assumption Number. 9 9" xfId="10059"/>
    <cellStyle name="Assumption Percentage." xfId="10060"/>
    <cellStyle name="Assumption Percentage. 10" xfId="10061"/>
    <cellStyle name="Assumption Percentage. 10 10" xfId="10062"/>
    <cellStyle name="Assumption Percentage. 10 11" xfId="10063"/>
    <cellStyle name="Assumption Percentage. 10 12" xfId="10064"/>
    <cellStyle name="Assumption Percentage. 10 13" xfId="10065"/>
    <cellStyle name="Assumption Percentage. 10 2" xfId="10066"/>
    <cellStyle name="Assumption Percentage. 10 2 10" xfId="10067"/>
    <cellStyle name="Assumption Percentage. 10 2 11" xfId="10068"/>
    <cellStyle name="Assumption Percentage. 10 2 12" xfId="10069"/>
    <cellStyle name="Assumption Percentage. 10 2 2" xfId="10070"/>
    <cellStyle name="Assumption Percentage. 10 2 2 10" xfId="10071"/>
    <cellStyle name="Assumption Percentage. 10 2 2 2" xfId="10072"/>
    <cellStyle name="Assumption Percentage. 10 2 2 2 10" xfId="10073"/>
    <cellStyle name="Assumption Percentage. 10 2 2 2 2" xfId="10074"/>
    <cellStyle name="Assumption Percentage. 10 2 2 2 3" xfId="10075"/>
    <cellStyle name="Assumption Percentage. 10 2 2 2 4" xfId="10076"/>
    <cellStyle name="Assumption Percentage. 10 2 2 2 5" xfId="10077"/>
    <cellStyle name="Assumption Percentage. 10 2 2 2 6" xfId="10078"/>
    <cellStyle name="Assumption Percentage. 10 2 2 2 7" xfId="10079"/>
    <cellStyle name="Assumption Percentage. 10 2 2 2 8" xfId="10080"/>
    <cellStyle name="Assumption Percentage. 10 2 2 2 9" xfId="10081"/>
    <cellStyle name="Assumption Percentage. 10 2 2 3" xfId="10082"/>
    <cellStyle name="Assumption Percentage. 10 2 2 4" xfId="10083"/>
    <cellStyle name="Assumption Percentage. 10 2 2 5" xfId="10084"/>
    <cellStyle name="Assumption Percentage. 10 2 2 6" xfId="10085"/>
    <cellStyle name="Assumption Percentage. 10 2 2 7" xfId="10086"/>
    <cellStyle name="Assumption Percentage. 10 2 2 8" xfId="10087"/>
    <cellStyle name="Assumption Percentage. 10 2 2 9" xfId="10088"/>
    <cellStyle name="Assumption Percentage. 10 2 3" xfId="10089"/>
    <cellStyle name="Assumption Percentage. 10 2 3 10" xfId="10090"/>
    <cellStyle name="Assumption Percentage. 10 2 3 2" xfId="10091"/>
    <cellStyle name="Assumption Percentage. 10 2 3 3" xfId="10092"/>
    <cellStyle name="Assumption Percentage. 10 2 3 4" xfId="10093"/>
    <cellStyle name="Assumption Percentage. 10 2 3 5" xfId="10094"/>
    <cellStyle name="Assumption Percentage. 10 2 3 6" xfId="10095"/>
    <cellStyle name="Assumption Percentage. 10 2 3 7" xfId="10096"/>
    <cellStyle name="Assumption Percentage. 10 2 3 8" xfId="10097"/>
    <cellStyle name="Assumption Percentage. 10 2 3 9" xfId="10098"/>
    <cellStyle name="Assumption Percentage. 10 2 4" xfId="10099"/>
    <cellStyle name="Assumption Percentage. 10 2 5" xfId="10100"/>
    <cellStyle name="Assumption Percentage. 10 2 6" xfId="10101"/>
    <cellStyle name="Assumption Percentage. 10 2 7" xfId="10102"/>
    <cellStyle name="Assumption Percentage. 10 2 8" xfId="10103"/>
    <cellStyle name="Assumption Percentage. 10 2 9" xfId="10104"/>
    <cellStyle name="Assumption Percentage. 10 3" xfId="10105"/>
    <cellStyle name="Assumption Percentage. 10 3 10" xfId="10106"/>
    <cellStyle name="Assumption Percentage. 10 3 2" xfId="10107"/>
    <cellStyle name="Assumption Percentage. 10 3 2 10" xfId="10108"/>
    <cellStyle name="Assumption Percentage. 10 3 2 2" xfId="10109"/>
    <cellStyle name="Assumption Percentage. 10 3 2 3" xfId="10110"/>
    <cellStyle name="Assumption Percentage. 10 3 2 4" xfId="10111"/>
    <cellStyle name="Assumption Percentage. 10 3 2 5" xfId="10112"/>
    <cellStyle name="Assumption Percentage. 10 3 2 6" xfId="10113"/>
    <cellStyle name="Assumption Percentage. 10 3 2 7" xfId="10114"/>
    <cellStyle name="Assumption Percentage. 10 3 2 8" xfId="10115"/>
    <cellStyle name="Assumption Percentage. 10 3 2 9" xfId="10116"/>
    <cellStyle name="Assumption Percentage. 10 3 3" xfId="10117"/>
    <cellStyle name="Assumption Percentage. 10 3 4" xfId="10118"/>
    <cellStyle name="Assumption Percentage. 10 3 5" xfId="10119"/>
    <cellStyle name="Assumption Percentage. 10 3 6" xfId="10120"/>
    <cellStyle name="Assumption Percentage. 10 3 7" xfId="10121"/>
    <cellStyle name="Assumption Percentage. 10 3 8" xfId="10122"/>
    <cellStyle name="Assumption Percentage. 10 3 9" xfId="10123"/>
    <cellStyle name="Assumption Percentage. 10 4" xfId="10124"/>
    <cellStyle name="Assumption Percentage. 10 4 10" xfId="10125"/>
    <cellStyle name="Assumption Percentage. 10 4 2" xfId="10126"/>
    <cellStyle name="Assumption Percentage. 10 4 3" xfId="10127"/>
    <cellStyle name="Assumption Percentage. 10 4 4" xfId="10128"/>
    <cellStyle name="Assumption Percentage. 10 4 5" xfId="10129"/>
    <cellStyle name="Assumption Percentage. 10 4 6" xfId="10130"/>
    <cellStyle name="Assumption Percentage. 10 4 7" xfId="10131"/>
    <cellStyle name="Assumption Percentage. 10 4 8" xfId="10132"/>
    <cellStyle name="Assumption Percentage. 10 4 9" xfId="10133"/>
    <cellStyle name="Assumption Percentage. 10 5" xfId="10134"/>
    <cellStyle name="Assumption Percentage. 10 6" xfId="10135"/>
    <cellStyle name="Assumption Percentage. 10 7" xfId="10136"/>
    <cellStyle name="Assumption Percentage. 10 8" xfId="10137"/>
    <cellStyle name="Assumption Percentage. 10 9" xfId="10138"/>
    <cellStyle name="Assumption Percentage. 11" xfId="10139"/>
    <cellStyle name="Assumption Percentage. 11 10" xfId="10140"/>
    <cellStyle name="Assumption Percentage. 11 11" xfId="10141"/>
    <cellStyle name="Assumption Percentage. 11 12" xfId="10142"/>
    <cellStyle name="Assumption Percentage. 11 2" xfId="10143"/>
    <cellStyle name="Assumption Percentage. 11 2 10" xfId="10144"/>
    <cellStyle name="Assumption Percentage. 11 2 2" xfId="10145"/>
    <cellStyle name="Assumption Percentage. 11 2 2 10" xfId="10146"/>
    <cellStyle name="Assumption Percentage. 11 2 2 2" xfId="10147"/>
    <cellStyle name="Assumption Percentage. 11 2 2 3" xfId="10148"/>
    <cellStyle name="Assumption Percentage. 11 2 2 4" xfId="10149"/>
    <cellStyle name="Assumption Percentage. 11 2 2 5" xfId="10150"/>
    <cellStyle name="Assumption Percentage. 11 2 2 6" xfId="10151"/>
    <cellStyle name="Assumption Percentage. 11 2 2 7" xfId="10152"/>
    <cellStyle name="Assumption Percentage. 11 2 2 8" xfId="10153"/>
    <cellStyle name="Assumption Percentage. 11 2 2 9" xfId="10154"/>
    <cellStyle name="Assumption Percentage. 11 2 3" xfId="10155"/>
    <cellStyle name="Assumption Percentage. 11 2 4" xfId="10156"/>
    <cellStyle name="Assumption Percentage. 11 2 5" xfId="10157"/>
    <cellStyle name="Assumption Percentage. 11 2 6" xfId="10158"/>
    <cellStyle name="Assumption Percentage. 11 2 7" xfId="10159"/>
    <cellStyle name="Assumption Percentage. 11 2 8" xfId="10160"/>
    <cellStyle name="Assumption Percentage. 11 2 9" xfId="10161"/>
    <cellStyle name="Assumption Percentage. 11 3" xfId="10162"/>
    <cellStyle name="Assumption Percentage. 11 3 10" xfId="10163"/>
    <cellStyle name="Assumption Percentage. 11 3 2" xfId="10164"/>
    <cellStyle name="Assumption Percentage. 11 3 3" xfId="10165"/>
    <cellStyle name="Assumption Percentage. 11 3 4" xfId="10166"/>
    <cellStyle name="Assumption Percentage. 11 3 5" xfId="10167"/>
    <cellStyle name="Assumption Percentage. 11 3 6" xfId="10168"/>
    <cellStyle name="Assumption Percentage. 11 3 7" xfId="10169"/>
    <cellStyle name="Assumption Percentage. 11 3 8" xfId="10170"/>
    <cellStyle name="Assumption Percentage. 11 3 9" xfId="10171"/>
    <cellStyle name="Assumption Percentage. 11 4" xfId="10172"/>
    <cellStyle name="Assumption Percentage. 11 5" xfId="10173"/>
    <cellStyle name="Assumption Percentage. 11 6" xfId="10174"/>
    <cellStyle name="Assumption Percentage. 11 7" xfId="10175"/>
    <cellStyle name="Assumption Percentage. 11 8" xfId="10176"/>
    <cellStyle name="Assumption Percentage. 11 9" xfId="10177"/>
    <cellStyle name="Assumption Percentage. 12" xfId="10178"/>
    <cellStyle name="Assumption Percentage. 12 10" xfId="10179"/>
    <cellStyle name="Assumption Percentage. 12 11" xfId="10180"/>
    <cellStyle name="Assumption Percentage. 12 12" xfId="10181"/>
    <cellStyle name="Assumption Percentage. 12 2" xfId="10182"/>
    <cellStyle name="Assumption Percentage. 12 2 10" xfId="10183"/>
    <cellStyle name="Assumption Percentage. 12 2 2" xfId="10184"/>
    <cellStyle name="Assumption Percentage. 12 2 2 10" xfId="10185"/>
    <cellStyle name="Assumption Percentage. 12 2 2 2" xfId="10186"/>
    <cellStyle name="Assumption Percentage. 12 2 2 3" xfId="10187"/>
    <cellStyle name="Assumption Percentage. 12 2 2 4" xfId="10188"/>
    <cellStyle name="Assumption Percentage. 12 2 2 5" xfId="10189"/>
    <cellStyle name="Assumption Percentage. 12 2 2 6" xfId="10190"/>
    <cellStyle name="Assumption Percentage. 12 2 2 7" xfId="10191"/>
    <cellStyle name="Assumption Percentage. 12 2 2 8" xfId="10192"/>
    <cellStyle name="Assumption Percentage. 12 2 2 9" xfId="10193"/>
    <cellStyle name="Assumption Percentage. 12 2 3" xfId="10194"/>
    <cellStyle name="Assumption Percentage. 12 2 4" xfId="10195"/>
    <cellStyle name="Assumption Percentage. 12 2 5" xfId="10196"/>
    <cellStyle name="Assumption Percentage. 12 2 6" xfId="10197"/>
    <cellStyle name="Assumption Percentage. 12 2 7" xfId="10198"/>
    <cellStyle name="Assumption Percentage. 12 2 8" xfId="10199"/>
    <cellStyle name="Assumption Percentage. 12 2 9" xfId="10200"/>
    <cellStyle name="Assumption Percentage. 12 3" xfId="10201"/>
    <cellStyle name="Assumption Percentage. 12 3 10" xfId="10202"/>
    <cellStyle name="Assumption Percentage. 12 3 2" xfId="10203"/>
    <cellStyle name="Assumption Percentage. 12 3 3" xfId="10204"/>
    <cellStyle name="Assumption Percentage. 12 3 4" xfId="10205"/>
    <cellStyle name="Assumption Percentage. 12 3 5" xfId="10206"/>
    <cellStyle name="Assumption Percentage. 12 3 6" xfId="10207"/>
    <cellStyle name="Assumption Percentage. 12 3 7" xfId="10208"/>
    <cellStyle name="Assumption Percentage. 12 3 8" xfId="10209"/>
    <cellStyle name="Assumption Percentage. 12 3 9" xfId="10210"/>
    <cellStyle name="Assumption Percentage. 12 4" xfId="10211"/>
    <cellStyle name="Assumption Percentage. 12 5" xfId="10212"/>
    <cellStyle name="Assumption Percentage. 12 6" xfId="10213"/>
    <cellStyle name="Assumption Percentage. 12 7" xfId="10214"/>
    <cellStyle name="Assumption Percentage. 12 8" xfId="10215"/>
    <cellStyle name="Assumption Percentage. 12 9" xfId="10216"/>
    <cellStyle name="Assumption Percentage. 13" xfId="10217"/>
    <cellStyle name="Assumption Percentage. 13 10" xfId="10218"/>
    <cellStyle name="Assumption Percentage. 13 2" xfId="10219"/>
    <cellStyle name="Assumption Percentage. 13 2 10" xfId="10220"/>
    <cellStyle name="Assumption Percentage. 13 2 2" xfId="10221"/>
    <cellStyle name="Assumption Percentage. 13 2 3" xfId="10222"/>
    <cellStyle name="Assumption Percentage. 13 2 4" xfId="10223"/>
    <cellStyle name="Assumption Percentage. 13 2 5" xfId="10224"/>
    <cellStyle name="Assumption Percentage. 13 2 6" xfId="10225"/>
    <cellStyle name="Assumption Percentage. 13 2 7" xfId="10226"/>
    <cellStyle name="Assumption Percentage. 13 2 8" xfId="10227"/>
    <cellStyle name="Assumption Percentage. 13 2 9" xfId="10228"/>
    <cellStyle name="Assumption Percentage. 13 3" xfId="10229"/>
    <cellStyle name="Assumption Percentage. 13 4" xfId="10230"/>
    <cellStyle name="Assumption Percentage. 13 5" xfId="10231"/>
    <cellStyle name="Assumption Percentage. 13 6" xfId="10232"/>
    <cellStyle name="Assumption Percentage. 13 7" xfId="10233"/>
    <cellStyle name="Assumption Percentage. 13 8" xfId="10234"/>
    <cellStyle name="Assumption Percentage. 13 9" xfId="10235"/>
    <cellStyle name="Assumption Percentage. 14" xfId="10236"/>
    <cellStyle name="Assumption Percentage. 14 10" xfId="10237"/>
    <cellStyle name="Assumption Percentage. 14 2" xfId="10238"/>
    <cellStyle name="Assumption Percentage. 14 3" xfId="10239"/>
    <cellStyle name="Assumption Percentage. 14 4" xfId="10240"/>
    <cellStyle name="Assumption Percentage. 14 5" xfId="10241"/>
    <cellStyle name="Assumption Percentage. 14 6" xfId="10242"/>
    <cellStyle name="Assumption Percentage. 14 7" xfId="10243"/>
    <cellStyle name="Assumption Percentage. 14 8" xfId="10244"/>
    <cellStyle name="Assumption Percentage. 14 9" xfId="10245"/>
    <cellStyle name="Assumption Percentage. 15" xfId="10246"/>
    <cellStyle name="Assumption Percentage. 16" xfId="10247"/>
    <cellStyle name="Assumption Percentage. 17" xfId="10248"/>
    <cellStyle name="Assumption Percentage. 18" xfId="10249"/>
    <cellStyle name="Assumption Percentage. 2" xfId="10250"/>
    <cellStyle name="Assumption Percentage. 2 10" xfId="10251"/>
    <cellStyle name="Assumption Percentage. 2 10 10" xfId="10252"/>
    <cellStyle name="Assumption Percentage. 2 10 2" xfId="10253"/>
    <cellStyle name="Assumption Percentage. 2 10 3" xfId="10254"/>
    <cellStyle name="Assumption Percentage. 2 10 4" xfId="10255"/>
    <cellStyle name="Assumption Percentage. 2 10 5" xfId="10256"/>
    <cellStyle name="Assumption Percentage. 2 10 6" xfId="10257"/>
    <cellStyle name="Assumption Percentage. 2 10 7" xfId="10258"/>
    <cellStyle name="Assumption Percentage. 2 10 8" xfId="10259"/>
    <cellStyle name="Assumption Percentage. 2 10 9" xfId="10260"/>
    <cellStyle name="Assumption Percentage. 2 11" xfId="10261"/>
    <cellStyle name="Assumption Percentage. 2 12" xfId="10262"/>
    <cellStyle name="Assumption Percentage. 2 13" xfId="10263"/>
    <cellStyle name="Assumption Percentage. 2 14" xfId="10264"/>
    <cellStyle name="Assumption Percentage. 2 15" xfId="10265"/>
    <cellStyle name="Assumption Percentage. 2 16" xfId="10266"/>
    <cellStyle name="Assumption Percentage. 2 17" xfId="10267"/>
    <cellStyle name="Assumption Percentage. 2 18" xfId="10268"/>
    <cellStyle name="Assumption Percentage. 2 19" xfId="10269"/>
    <cellStyle name="Assumption Percentage. 2 2" xfId="10270"/>
    <cellStyle name="Assumption Percentage. 2 2 10" xfId="10271"/>
    <cellStyle name="Assumption Percentage. 2 2 11" xfId="10272"/>
    <cellStyle name="Assumption Percentage. 2 2 12" xfId="10273"/>
    <cellStyle name="Assumption Percentage. 2 2 13" xfId="10274"/>
    <cellStyle name="Assumption Percentage. 2 2 14" xfId="10275"/>
    <cellStyle name="Assumption Percentage. 2 2 15" xfId="10276"/>
    <cellStyle name="Assumption Percentage. 2 2 16" xfId="10277"/>
    <cellStyle name="Assumption Percentage. 2 2 17" xfId="10278"/>
    <cellStyle name="Assumption Percentage. 2 2 18" xfId="10279"/>
    <cellStyle name="Assumption Percentage. 2 2 2" xfId="10280"/>
    <cellStyle name="Assumption Percentage. 2 2 2 10" xfId="10281"/>
    <cellStyle name="Assumption Percentage. 2 2 2 11" xfId="10282"/>
    <cellStyle name="Assumption Percentage. 2 2 2 12" xfId="10283"/>
    <cellStyle name="Assumption Percentage. 2 2 2 13" xfId="10284"/>
    <cellStyle name="Assumption Percentage. 2 2 2 14" xfId="10285"/>
    <cellStyle name="Assumption Percentage. 2 2 2 2" xfId="10286"/>
    <cellStyle name="Assumption Percentage. 2 2 2 2 10" xfId="10287"/>
    <cellStyle name="Assumption Percentage. 2 2 2 2 11" xfId="10288"/>
    <cellStyle name="Assumption Percentage. 2 2 2 2 12" xfId="10289"/>
    <cellStyle name="Assumption Percentage. 2 2 2 2 13" xfId="10290"/>
    <cellStyle name="Assumption Percentage. 2 2 2 2 2" xfId="10291"/>
    <cellStyle name="Assumption Percentage. 2 2 2 2 2 10" xfId="10292"/>
    <cellStyle name="Assumption Percentage. 2 2 2 2 2 11" xfId="10293"/>
    <cellStyle name="Assumption Percentage. 2 2 2 2 2 12" xfId="10294"/>
    <cellStyle name="Assumption Percentage. 2 2 2 2 2 2" xfId="10295"/>
    <cellStyle name="Assumption Percentage. 2 2 2 2 2 2 10" xfId="10296"/>
    <cellStyle name="Assumption Percentage. 2 2 2 2 2 2 2" xfId="10297"/>
    <cellStyle name="Assumption Percentage. 2 2 2 2 2 2 2 10" xfId="10298"/>
    <cellStyle name="Assumption Percentage. 2 2 2 2 2 2 2 2" xfId="10299"/>
    <cellStyle name="Assumption Percentage. 2 2 2 2 2 2 2 3" xfId="10300"/>
    <cellStyle name="Assumption Percentage. 2 2 2 2 2 2 2 4" xfId="10301"/>
    <cellStyle name="Assumption Percentage. 2 2 2 2 2 2 2 5" xfId="10302"/>
    <cellStyle name="Assumption Percentage. 2 2 2 2 2 2 2 6" xfId="10303"/>
    <cellStyle name="Assumption Percentage. 2 2 2 2 2 2 2 7" xfId="10304"/>
    <cellStyle name="Assumption Percentage. 2 2 2 2 2 2 2 8" xfId="10305"/>
    <cellStyle name="Assumption Percentage. 2 2 2 2 2 2 2 9" xfId="10306"/>
    <cellStyle name="Assumption Percentage. 2 2 2 2 2 2 3" xfId="10307"/>
    <cellStyle name="Assumption Percentage. 2 2 2 2 2 2 4" xfId="10308"/>
    <cellStyle name="Assumption Percentage. 2 2 2 2 2 2 5" xfId="10309"/>
    <cellStyle name="Assumption Percentage. 2 2 2 2 2 2 6" xfId="10310"/>
    <cellStyle name="Assumption Percentage. 2 2 2 2 2 2 7" xfId="10311"/>
    <cellStyle name="Assumption Percentage. 2 2 2 2 2 2 8" xfId="10312"/>
    <cellStyle name="Assumption Percentage. 2 2 2 2 2 2 9" xfId="10313"/>
    <cellStyle name="Assumption Percentage. 2 2 2 2 2 3" xfId="10314"/>
    <cellStyle name="Assumption Percentage. 2 2 2 2 2 3 10" xfId="10315"/>
    <cellStyle name="Assumption Percentage. 2 2 2 2 2 3 2" xfId="10316"/>
    <cellStyle name="Assumption Percentage. 2 2 2 2 2 3 3" xfId="10317"/>
    <cellStyle name="Assumption Percentage. 2 2 2 2 2 3 4" xfId="10318"/>
    <cellStyle name="Assumption Percentage. 2 2 2 2 2 3 5" xfId="10319"/>
    <cellStyle name="Assumption Percentage. 2 2 2 2 2 3 6" xfId="10320"/>
    <cellStyle name="Assumption Percentage. 2 2 2 2 2 3 7" xfId="10321"/>
    <cellStyle name="Assumption Percentage. 2 2 2 2 2 3 8" xfId="10322"/>
    <cellStyle name="Assumption Percentage. 2 2 2 2 2 3 9" xfId="10323"/>
    <cellStyle name="Assumption Percentage. 2 2 2 2 2 4" xfId="10324"/>
    <cellStyle name="Assumption Percentage. 2 2 2 2 2 5" xfId="10325"/>
    <cellStyle name="Assumption Percentage. 2 2 2 2 2 6" xfId="10326"/>
    <cellStyle name="Assumption Percentage. 2 2 2 2 2 7" xfId="10327"/>
    <cellStyle name="Assumption Percentage. 2 2 2 2 2 8" xfId="10328"/>
    <cellStyle name="Assumption Percentage. 2 2 2 2 2 9" xfId="10329"/>
    <cellStyle name="Assumption Percentage. 2 2 2 2 3" xfId="10330"/>
    <cellStyle name="Assumption Percentage. 2 2 2 2 3 10" xfId="10331"/>
    <cellStyle name="Assumption Percentage. 2 2 2 2 3 2" xfId="10332"/>
    <cellStyle name="Assumption Percentage. 2 2 2 2 3 2 10" xfId="10333"/>
    <cellStyle name="Assumption Percentage. 2 2 2 2 3 2 2" xfId="10334"/>
    <cellStyle name="Assumption Percentage. 2 2 2 2 3 2 3" xfId="10335"/>
    <cellStyle name="Assumption Percentage. 2 2 2 2 3 2 4" xfId="10336"/>
    <cellStyle name="Assumption Percentage. 2 2 2 2 3 2 5" xfId="10337"/>
    <cellStyle name="Assumption Percentage. 2 2 2 2 3 2 6" xfId="10338"/>
    <cellStyle name="Assumption Percentage. 2 2 2 2 3 2 7" xfId="10339"/>
    <cellStyle name="Assumption Percentage. 2 2 2 2 3 2 8" xfId="10340"/>
    <cellStyle name="Assumption Percentage. 2 2 2 2 3 2 9" xfId="10341"/>
    <cellStyle name="Assumption Percentage. 2 2 2 2 3 3" xfId="10342"/>
    <cellStyle name="Assumption Percentage. 2 2 2 2 3 4" xfId="10343"/>
    <cellStyle name="Assumption Percentage. 2 2 2 2 3 5" xfId="10344"/>
    <cellStyle name="Assumption Percentage. 2 2 2 2 3 6" xfId="10345"/>
    <cellStyle name="Assumption Percentage. 2 2 2 2 3 7" xfId="10346"/>
    <cellStyle name="Assumption Percentage. 2 2 2 2 3 8" xfId="10347"/>
    <cellStyle name="Assumption Percentage. 2 2 2 2 3 9" xfId="10348"/>
    <cellStyle name="Assumption Percentage. 2 2 2 2 4" xfId="10349"/>
    <cellStyle name="Assumption Percentage. 2 2 2 2 4 10" xfId="10350"/>
    <cellStyle name="Assumption Percentage. 2 2 2 2 4 2" xfId="10351"/>
    <cellStyle name="Assumption Percentage. 2 2 2 2 4 3" xfId="10352"/>
    <cellStyle name="Assumption Percentage. 2 2 2 2 4 4" xfId="10353"/>
    <cellStyle name="Assumption Percentage. 2 2 2 2 4 5" xfId="10354"/>
    <cellStyle name="Assumption Percentage. 2 2 2 2 4 6" xfId="10355"/>
    <cellStyle name="Assumption Percentage. 2 2 2 2 4 7" xfId="10356"/>
    <cellStyle name="Assumption Percentage. 2 2 2 2 4 8" xfId="10357"/>
    <cellStyle name="Assumption Percentage. 2 2 2 2 4 9" xfId="10358"/>
    <cellStyle name="Assumption Percentage. 2 2 2 2 5" xfId="10359"/>
    <cellStyle name="Assumption Percentage. 2 2 2 2 6" xfId="10360"/>
    <cellStyle name="Assumption Percentage. 2 2 2 2 7" xfId="10361"/>
    <cellStyle name="Assumption Percentage. 2 2 2 2 8" xfId="10362"/>
    <cellStyle name="Assumption Percentage. 2 2 2 2 9" xfId="10363"/>
    <cellStyle name="Assumption Percentage. 2 2 2 3" xfId="10364"/>
    <cellStyle name="Assumption Percentage. 2 2 2 3 10" xfId="10365"/>
    <cellStyle name="Assumption Percentage. 2 2 2 3 11" xfId="10366"/>
    <cellStyle name="Assumption Percentage. 2 2 2 3 12" xfId="10367"/>
    <cellStyle name="Assumption Percentage. 2 2 2 3 2" xfId="10368"/>
    <cellStyle name="Assumption Percentage. 2 2 2 3 2 10" xfId="10369"/>
    <cellStyle name="Assumption Percentage. 2 2 2 3 2 2" xfId="10370"/>
    <cellStyle name="Assumption Percentage. 2 2 2 3 2 2 10" xfId="10371"/>
    <cellStyle name="Assumption Percentage. 2 2 2 3 2 2 2" xfId="10372"/>
    <cellStyle name="Assumption Percentage. 2 2 2 3 2 2 3" xfId="10373"/>
    <cellStyle name="Assumption Percentage. 2 2 2 3 2 2 4" xfId="10374"/>
    <cellStyle name="Assumption Percentage. 2 2 2 3 2 2 5" xfId="10375"/>
    <cellStyle name="Assumption Percentage. 2 2 2 3 2 2 6" xfId="10376"/>
    <cellStyle name="Assumption Percentage. 2 2 2 3 2 2 7" xfId="10377"/>
    <cellStyle name="Assumption Percentage. 2 2 2 3 2 2 8" xfId="10378"/>
    <cellStyle name="Assumption Percentage. 2 2 2 3 2 2 9" xfId="10379"/>
    <cellStyle name="Assumption Percentage. 2 2 2 3 2 3" xfId="10380"/>
    <cellStyle name="Assumption Percentage. 2 2 2 3 2 4" xfId="10381"/>
    <cellStyle name="Assumption Percentage. 2 2 2 3 2 5" xfId="10382"/>
    <cellStyle name="Assumption Percentage. 2 2 2 3 2 6" xfId="10383"/>
    <cellStyle name="Assumption Percentage. 2 2 2 3 2 7" xfId="10384"/>
    <cellStyle name="Assumption Percentage. 2 2 2 3 2 8" xfId="10385"/>
    <cellStyle name="Assumption Percentage. 2 2 2 3 2 9" xfId="10386"/>
    <cellStyle name="Assumption Percentage. 2 2 2 3 3" xfId="10387"/>
    <cellStyle name="Assumption Percentage. 2 2 2 3 3 10" xfId="10388"/>
    <cellStyle name="Assumption Percentage. 2 2 2 3 3 2" xfId="10389"/>
    <cellStyle name="Assumption Percentage. 2 2 2 3 3 3" xfId="10390"/>
    <cellStyle name="Assumption Percentage. 2 2 2 3 3 4" xfId="10391"/>
    <cellStyle name="Assumption Percentage. 2 2 2 3 3 5" xfId="10392"/>
    <cellStyle name="Assumption Percentage. 2 2 2 3 3 6" xfId="10393"/>
    <cellStyle name="Assumption Percentage. 2 2 2 3 3 7" xfId="10394"/>
    <cellStyle name="Assumption Percentage. 2 2 2 3 3 8" xfId="10395"/>
    <cellStyle name="Assumption Percentage. 2 2 2 3 3 9" xfId="10396"/>
    <cellStyle name="Assumption Percentage. 2 2 2 3 4" xfId="10397"/>
    <cellStyle name="Assumption Percentage. 2 2 2 3 5" xfId="10398"/>
    <cellStyle name="Assumption Percentage. 2 2 2 3 6" xfId="10399"/>
    <cellStyle name="Assumption Percentage. 2 2 2 3 7" xfId="10400"/>
    <cellStyle name="Assumption Percentage. 2 2 2 3 8" xfId="10401"/>
    <cellStyle name="Assumption Percentage. 2 2 2 3 9" xfId="10402"/>
    <cellStyle name="Assumption Percentage. 2 2 2 4" xfId="10403"/>
    <cellStyle name="Assumption Percentage. 2 2 2 4 10" xfId="10404"/>
    <cellStyle name="Assumption Percentage. 2 2 2 4 2" xfId="10405"/>
    <cellStyle name="Assumption Percentage. 2 2 2 4 2 10" xfId="10406"/>
    <cellStyle name="Assumption Percentage. 2 2 2 4 2 2" xfId="10407"/>
    <cellStyle name="Assumption Percentage. 2 2 2 4 2 3" xfId="10408"/>
    <cellStyle name="Assumption Percentage. 2 2 2 4 2 4" xfId="10409"/>
    <cellStyle name="Assumption Percentage. 2 2 2 4 2 5" xfId="10410"/>
    <cellStyle name="Assumption Percentage. 2 2 2 4 2 6" xfId="10411"/>
    <cellStyle name="Assumption Percentage. 2 2 2 4 2 7" xfId="10412"/>
    <cellStyle name="Assumption Percentage. 2 2 2 4 2 8" xfId="10413"/>
    <cellStyle name="Assumption Percentage. 2 2 2 4 2 9" xfId="10414"/>
    <cellStyle name="Assumption Percentage. 2 2 2 4 3" xfId="10415"/>
    <cellStyle name="Assumption Percentage. 2 2 2 4 4" xfId="10416"/>
    <cellStyle name="Assumption Percentage. 2 2 2 4 5" xfId="10417"/>
    <cellStyle name="Assumption Percentage. 2 2 2 4 6" xfId="10418"/>
    <cellStyle name="Assumption Percentage. 2 2 2 4 7" xfId="10419"/>
    <cellStyle name="Assumption Percentage. 2 2 2 4 8" xfId="10420"/>
    <cellStyle name="Assumption Percentage. 2 2 2 4 9" xfId="10421"/>
    <cellStyle name="Assumption Percentage. 2 2 2 5" xfId="10422"/>
    <cellStyle name="Assumption Percentage. 2 2 2 5 10" xfId="10423"/>
    <cellStyle name="Assumption Percentage. 2 2 2 5 2" xfId="10424"/>
    <cellStyle name="Assumption Percentage. 2 2 2 5 3" xfId="10425"/>
    <cellStyle name="Assumption Percentage. 2 2 2 5 4" xfId="10426"/>
    <cellStyle name="Assumption Percentage. 2 2 2 5 5" xfId="10427"/>
    <cellStyle name="Assumption Percentage. 2 2 2 5 6" xfId="10428"/>
    <cellStyle name="Assumption Percentage. 2 2 2 5 7" xfId="10429"/>
    <cellStyle name="Assumption Percentage. 2 2 2 5 8" xfId="10430"/>
    <cellStyle name="Assumption Percentage. 2 2 2 5 9" xfId="10431"/>
    <cellStyle name="Assumption Percentage. 2 2 2 6" xfId="10432"/>
    <cellStyle name="Assumption Percentage. 2 2 2 7" xfId="10433"/>
    <cellStyle name="Assumption Percentage. 2 2 2 8" xfId="10434"/>
    <cellStyle name="Assumption Percentage. 2 2 2 9" xfId="10435"/>
    <cellStyle name="Assumption Percentage. 2 2 3" xfId="10436"/>
    <cellStyle name="Assumption Percentage. 2 2 3 10" xfId="10437"/>
    <cellStyle name="Assumption Percentage. 2 2 3 11" xfId="10438"/>
    <cellStyle name="Assumption Percentage. 2 2 3 12" xfId="10439"/>
    <cellStyle name="Assumption Percentage. 2 2 3 13" xfId="10440"/>
    <cellStyle name="Assumption Percentage. 2 2 3 2" xfId="10441"/>
    <cellStyle name="Assumption Percentage. 2 2 3 2 10" xfId="10442"/>
    <cellStyle name="Assumption Percentage. 2 2 3 2 11" xfId="10443"/>
    <cellStyle name="Assumption Percentage. 2 2 3 2 12" xfId="10444"/>
    <cellStyle name="Assumption Percentage. 2 2 3 2 2" xfId="10445"/>
    <cellStyle name="Assumption Percentage. 2 2 3 2 2 10" xfId="10446"/>
    <cellStyle name="Assumption Percentage. 2 2 3 2 2 2" xfId="10447"/>
    <cellStyle name="Assumption Percentage. 2 2 3 2 2 2 10" xfId="10448"/>
    <cellStyle name="Assumption Percentage. 2 2 3 2 2 2 2" xfId="10449"/>
    <cellStyle name="Assumption Percentage. 2 2 3 2 2 2 3" xfId="10450"/>
    <cellStyle name="Assumption Percentage. 2 2 3 2 2 2 4" xfId="10451"/>
    <cellStyle name="Assumption Percentage. 2 2 3 2 2 2 5" xfId="10452"/>
    <cellStyle name="Assumption Percentage. 2 2 3 2 2 2 6" xfId="10453"/>
    <cellStyle name="Assumption Percentage. 2 2 3 2 2 2 7" xfId="10454"/>
    <cellStyle name="Assumption Percentage. 2 2 3 2 2 2 8" xfId="10455"/>
    <cellStyle name="Assumption Percentage. 2 2 3 2 2 2 9" xfId="10456"/>
    <cellStyle name="Assumption Percentage. 2 2 3 2 2 3" xfId="10457"/>
    <cellStyle name="Assumption Percentage. 2 2 3 2 2 4" xfId="10458"/>
    <cellStyle name="Assumption Percentage. 2 2 3 2 2 5" xfId="10459"/>
    <cellStyle name="Assumption Percentage. 2 2 3 2 2 6" xfId="10460"/>
    <cellStyle name="Assumption Percentage. 2 2 3 2 2 7" xfId="10461"/>
    <cellStyle name="Assumption Percentage. 2 2 3 2 2 8" xfId="10462"/>
    <cellStyle name="Assumption Percentage. 2 2 3 2 2 9" xfId="10463"/>
    <cellStyle name="Assumption Percentage. 2 2 3 2 3" xfId="10464"/>
    <cellStyle name="Assumption Percentage. 2 2 3 2 3 10" xfId="10465"/>
    <cellStyle name="Assumption Percentage. 2 2 3 2 3 2" xfId="10466"/>
    <cellStyle name="Assumption Percentage. 2 2 3 2 3 3" xfId="10467"/>
    <cellStyle name="Assumption Percentage. 2 2 3 2 3 4" xfId="10468"/>
    <cellStyle name="Assumption Percentage. 2 2 3 2 3 5" xfId="10469"/>
    <cellStyle name="Assumption Percentage. 2 2 3 2 3 6" xfId="10470"/>
    <cellStyle name="Assumption Percentage. 2 2 3 2 3 7" xfId="10471"/>
    <cellStyle name="Assumption Percentage. 2 2 3 2 3 8" xfId="10472"/>
    <cellStyle name="Assumption Percentage. 2 2 3 2 3 9" xfId="10473"/>
    <cellStyle name="Assumption Percentage. 2 2 3 2 4" xfId="10474"/>
    <cellStyle name="Assumption Percentage. 2 2 3 2 5" xfId="10475"/>
    <cellStyle name="Assumption Percentage. 2 2 3 2 6" xfId="10476"/>
    <cellStyle name="Assumption Percentage. 2 2 3 2 7" xfId="10477"/>
    <cellStyle name="Assumption Percentage. 2 2 3 2 8" xfId="10478"/>
    <cellStyle name="Assumption Percentage. 2 2 3 2 9" xfId="10479"/>
    <cellStyle name="Assumption Percentage. 2 2 3 3" xfId="10480"/>
    <cellStyle name="Assumption Percentage. 2 2 3 3 10" xfId="10481"/>
    <cellStyle name="Assumption Percentage. 2 2 3 3 2" xfId="10482"/>
    <cellStyle name="Assumption Percentage. 2 2 3 3 2 10" xfId="10483"/>
    <cellStyle name="Assumption Percentage. 2 2 3 3 2 2" xfId="10484"/>
    <cellStyle name="Assumption Percentage. 2 2 3 3 2 3" xfId="10485"/>
    <cellStyle name="Assumption Percentage. 2 2 3 3 2 4" xfId="10486"/>
    <cellStyle name="Assumption Percentage. 2 2 3 3 2 5" xfId="10487"/>
    <cellStyle name="Assumption Percentage. 2 2 3 3 2 6" xfId="10488"/>
    <cellStyle name="Assumption Percentage. 2 2 3 3 2 7" xfId="10489"/>
    <cellStyle name="Assumption Percentage. 2 2 3 3 2 8" xfId="10490"/>
    <cellStyle name="Assumption Percentage. 2 2 3 3 2 9" xfId="10491"/>
    <cellStyle name="Assumption Percentage. 2 2 3 3 3" xfId="10492"/>
    <cellStyle name="Assumption Percentage. 2 2 3 3 4" xfId="10493"/>
    <cellStyle name="Assumption Percentage. 2 2 3 3 5" xfId="10494"/>
    <cellStyle name="Assumption Percentage. 2 2 3 3 6" xfId="10495"/>
    <cellStyle name="Assumption Percentage. 2 2 3 3 7" xfId="10496"/>
    <cellStyle name="Assumption Percentage. 2 2 3 3 8" xfId="10497"/>
    <cellStyle name="Assumption Percentage. 2 2 3 3 9" xfId="10498"/>
    <cellStyle name="Assumption Percentage. 2 2 3 4" xfId="10499"/>
    <cellStyle name="Assumption Percentage. 2 2 3 4 10" xfId="10500"/>
    <cellStyle name="Assumption Percentage. 2 2 3 4 2" xfId="10501"/>
    <cellStyle name="Assumption Percentage. 2 2 3 4 3" xfId="10502"/>
    <cellStyle name="Assumption Percentage. 2 2 3 4 4" xfId="10503"/>
    <cellStyle name="Assumption Percentage. 2 2 3 4 5" xfId="10504"/>
    <cellStyle name="Assumption Percentage. 2 2 3 4 6" xfId="10505"/>
    <cellStyle name="Assumption Percentage. 2 2 3 4 7" xfId="10506"/>
    <cellStyle name="Assumption Percentage. 2 2 3 4 8" xfId="10507"/>
    <cellStyle name="Assumption Percentage. 2 2 3 4 9" xfId="10508"/>
    <cellStyle name="Assumption Percentage. 2 2 3 5" xfId="10509"/>
    <cellStyle name="Assumption Percentage. 2 2 3 6" xfId="10510"/>
    <cellStyle name="Assumption Percentage. 2 2 3 7" xfId="10511"/>
    <cellStyle name="Assumption Percentage. 2 2 3 8" xfId="10512"/>
    <cellStyle name="Assumption Percentage. 2 2 3 9" xfId="10513"/>
    <cellStyle name="Assumption Percentage. 2 2 4" xfId="10514"/>
    <cellStyle name="Assumption Percentage. 2 2 4 10" xfId="10515"/>
    <cellStyle name="Assumption Percentage. 2 2 4 11" xfId="10516"/>
    <cellStyle name="Assumption Percentage. 2 2 4 12" xfId="10517"/>
    <cellStyle name="Assumption Percentage. 2 2 4 13" xfId="10518"/>
    <cellStyle name="Assumption Percentage. 2 2 4 2" xfId="10519"/>
    <cellStyle name="Assumption Percentage. 2 2 4 2 10" xfId="10520"/>
    <cellStyle name="Assumption Percentage. 2 2 4 2 11" xfId="10521"/>
    <cellStyle name="Assumption Percentage. 2 2 4 2 12" xfId="10522"/>
    <cellStyle name="Assumption Percentage. 2 2 4 2 2" xfId="10523"/>
    <cellStyle name="Assumption Percentage. 2 2 4 2 2 10" xfId="10524"/>
    <cellStyle name="Assumption Percentage. 2 2 4 2 2 2" xfId="10525"/>
    <cellStyle name="Assumption Percentage. 2 2 4 2 2 2 10" xfId="10526"/>
    <cellStyle name="Assumption Percentage. 2 2 4 2 2 2 2" xfId="10527"/>
    <cellStyle name="Assumption Percentage. 2 2 4 2 2 2 3" xfId="10528"/>
    <cellStyle name="Assumption Percentage. 2 2 4 2 2 2 4" xfId="10529"/>
    <cellStyle name="Assumption Percentage. 2 2 4 2 2 2 5" xfId="10530"/>
    <cellStyle name="Assumption Percentage. 2 2 4 2 2 2 6" xfId="10531"/>
    <cellStyle name="Assumption Percentage. 2 2 4 2 2 2 7" xfId="10532"/>
    <cellStyle name="Assumption Percentage. 2 2 4 2 2 2 8" xfId="10533"/>
    <cellStyle name="Assumption Percentage. 2 2 4 2 2 2 9" xfId="10534"/>
    <cellStyle name="Assumption Percentage. 2 2 4 2 2 3" xfId="10535"/>
    <cellStyle name="Assumption Percentage. 2 2 4 2 2 4" xfId="10536"/>
    <cellStyle name="Assumption Percentage. 2 2 4 2 2 5" xfId="10537"/>
    <cellStyle name="Assumption Percentage. 2 2 4 2 2 6" xfId="10538"/>
    <cellStyle name="Assumption Percentage. 2 2 4 2 2 7" xfId="10539"/>
    <cellStyle name="Assumption Percentage. 2 2 4 2 2 8" xfId="10540"/>
    <cellStyle name="Assumption Percentage. 2 2 4 2 2 9" xfId="10541"/>
    <cellStyle name="Assumption Percentage. 2 2 4 2 3" xfId="10542"/>
    <cellStyle name="Assumption Percentage. 2 2 4 2 3 10" xfId="10543"/>
    <cellStyle name="Assumption Percentage. 2 2 4 2 3 2" xfId="10544"/>
    <cellStyle name="Assumption Percentage. 2 2 4 2 3 3" xfId="10545"/>
    <cellStyle name="Assumption Percentage. 2 2 4 2 3 4" xfId="10546"/>
    <cellStyle name="Assumption Percentage. 2 2 4 2 3 5" xfId="10547"/>
    <cellStyle name="Assumption Percentage. 2 2 4 2 3 6" xfId="10548"/>
    <cellStyle name="Assumption Percentage. 2 2 4 2 3 7" xfId="10549"/>
    <cellStyle name="Assumption Percentage. 2 2 4 2 3 8" xfId="10550"/>
    <cellStyle name="Assumption Percentage. 2 2 4 2 3 9" xfId="10551"/>
    <cellStyle name="Assumption Percentage. 2 2 4 2 4" xfId="10552"/>
    <cellStyle name="Assumption Percentage. 2 2 4 2 5" xfId="10553"/>
    <cellStyle name="Assumption Percentage. 2 2 4 2 6" xfId="10554"/>
    <cellStyle name="Assumption Percentage. 2 2 4 2 7" xfId="10555"/>
    <cellStyle name="Assumption Percentage. 2 2 4 2 8" xfId="10556"/>
    <cellStyle name="Assumption Percentage. 2 2 4 2 9" xfId="10557"/>
    <cellStyle name="Assumption Percentage. 2 2 4 3" xfId="10558"/>
    <cellStyle name="Assumption Percentage. 2 2 4 3 10" xfId="10559"/>
    <cellStyle name="Assumption Percentage. 2 2 4 3 2" xfId="10560"/>
    <cellStyle name="Assumption Percentage. 2 2 4 3 2 10" xfId="10561"/>
    <cellStyle name="Assumption Percentage. 2 2 4 3 2 2" xfId="10562"/>
    <cellStyle name="Assumption Percentage. 2 2 4 3 2 3" xfId="10563"/>
    <cellStyle name="Assumption Percentage. 2 2 4 3 2 4" xfId="10564"/>
    <cellStyle name="Assumption Percentage. 2 2 4 3 2 5" xfId="10565"/>
    <cellStyle name="Assumption Percentage. 2 2 4 3 2 6" xfId="10566"/>
    <cellStyle name="Assumption Percentage. 2 2 4 3 2 7" xfId="10567"/>
    <cellStyle name="Assumption Percentage. 2 2 4 3 2 8" xfId="10568"/>
    <cellStyle name="Assumption Percentage. 2 2 4 3 2 9" xfId="10569"/>
    <cellStyle name="Assumption Percentage. 2 2 4 3 3" xfId="10570"/>
    <cellStyle name="Assumption Percentage. 2 2 4 3 4" xfId="10571"/>
    <cellStyle name="Assumption Percentage. 2 2 4 3 5" xfId="10572"/>
    <cellStyle name="Assumption Percentage. 2 2 4 3 6" xfId="10573"/>
    <cellStyle name="Assumption Percentage. 2 2 4 3 7" xfId="10574"/>
    <cellStyle name="Assumption Percentage. 2 2 4 3 8" xfId="10575"/>
    <cellStyle name="Assumption Percentage. 2 2 4 3 9" xfId="10576"/>
    <cellStyle name="Assumption Percentage. 2 2 4 4" xfId="10577"/>
    <cellStyle name="Assumption Percentage. 2 2 4 4 10" xfId="10578"/>
    <cellStyle name="Assumption Percentage. 2 2 4 4 2" xfId="10579"/>
    <cellStyle name="Assumption Percentage. 2 2 4 4 3" xfId="10580"/>
    <cellStyle name="Assumption Percentage. 2 2 4 4 4" xfId="10581"/>
    <cellStyle name="Assumption Percentage. 2 2 4 4 5" xfId="10582"/>
    <cellStyle name="Assumption Percentage. 2 2 4 4 6" xfId="10583"/>
    <cellStyle name="Assumption Percentage. 2 2 4 4 7" xfId="10584"/>
    <cellStyle name="Assumption Percentage. 2 2 4 4 8" xfId="10585"/>
    <cellStyle name="Assumption Percentage. 2 2 4 4 9" xfId="10586"/>
    <cellStyle name="Assumption Percentage. 2 2 4 5" xfId="10587"/>
    <cellStyle name="Assumption Percentage. 2 2 4 6" xfId="10588"/>
    <cellStyle name="Assumption Percentage. 2 2 4 7" xfId="10589"/>
    <cellStyle name="Assumption Percentage. 2 2 4 8" xfId="10590"/>
    <cellStyle name="Assumption Percentage. 2 2 4 9" xfId="10591"/>
    <cellStyle name="Assumption Percentage. 2 2 5" xfId="10592"/>
    <cellStyle name="Assumption Percentage. 2 2 5 10" xfId="10593"/>
    <cellStyle name="Assumption Percentage. 2 2 5 11" xfId="10594"/>
    <cellStyle name="Assumption Percentage. 2 2 5 12" xfId="10595"/>
    <cellStyle name="Assumption Percentage. 2 2 5 2" xfId="10596"/>
    <cellStyle name="Assumption Percentage. 2 2 5 2 10" xfId="10597"/>
    <cellStyle name="Assumption Percentage. 2 2 5 2 2" xfId="10598"/>
    <cellStyle name="Assumption Percentage. 2 2 5 2 2 10" xfId="10599"/>
    <cellStyle name="Assumption Percentage. 2 2 5 2 2 2" xfId="10600"/>
    <cellStyle name="Assumption Percentage. 2 2 5 2 2 3" xfId="10601"/>
    <cellStyle name="Assumption Percentage. 2 2 5 2 2 4" xfId="10602"/>
    <cellStyle name="Assumption Percentage. 2 2 5 2 2 5" xfId="10603"/>
    <cellStyle name="Assumption Percentage. 2 2 5 2 2 6" xfId="10604"/>
    <cellStyle name="Assumption Percentage. 2 2 5 2 2 7" xfId="10605"/>
    <cellStyle name="Assumption Percentage. 2 2 5 2 2 8" xfId="10606"/>
    <cellStyle name="Assumption Percentage. 2 2 5 2 2 9" xfId="10607"/>
    <cellStyle name="Assumption Percentage. 2 2 5 2 3" xfId="10608"/>
    <cellStyle name="Assumption Percentage. 2 2 5 2 4" xfId="10609"/>
    <cellStyle name="Assumption Percentage. 2 2 5 2 5" xfId="10610"/>
    <cellStyle name="Assumption Percentage. 2 2 5 2 6" xfId="10611"/>
    <cellStyle name="Assumption Percentage. 2 2 5 2 7" xfId="10612"/>
    <cellStyle name="Assumption Percentage. 2 2 5 2 8" xfId="10613"/>
    <cellStyle name="Assumption Percentage. 2 2 5 2 9" xfId="10614"/>
    <cellStyle name="Assumption Percentage. 2 2 5 3" xfId="10615"/>
    <cellStyle name="Assumption Percentage. 2 2 5 3 10" xfId="10616"/>
    <cellStyle name="Assumption Percentage. 2 2 5 3 2" xfId="10617"/>
    <cellStyle name="Assumption Percentage. 2 2 5 3 3" xfId="10618"/>
    <cellStyle name="Assumption Percentage. 2 2 5 3 4" xfId="10619"/>
    <cellStyle name="Assumption Percentage. 2 2 5 3 5" xfId="10620"/>
    <cellStyle name="Assumption Percentage. 2 2 5 3 6" xfId="10621"/>
    <cellStyle name="Assumption Percentage. 2 2 5 3 7" xfId="10622"/>
    <cellStyle name="Assumption Percentage. 2 2 5 3 8" xfId="10623"/>
    <cellStyle name="Assumption Percentage. 2 2 5 3 9" xfId="10624"/>
    <cellStyle name="Assumption Percentage. 2 2 5 4" xfId="10625"/>
    <cellStyle name="Assumption Percentage. 2 2 5 5" xfId="10626"/>
    <cellStyle name="Assumption Percentage. 2 2 5 6" xfId="10627"/>
    <cellStyle name="Assumption Percentage. 2 2 5 7" xfId="10628"/>
    <cellStyle name="Assumption Percentage. 2 2 5 8" xfId="10629"/>
    <cellStyle name="Assumption Percentage. 2 2 5 9" xfId="10630"/>
    <cellStyle name="Assumption Percentage. 2 2 6" xfId="10631"/>
    <cellStyle name="Assumption Percentage. 2 2 6 10" xfId="10632"/>
    <cellStyle name="Assumption Percentage. 2 2 6 11" xfId="10633"/>
    <cellStyle name="Assumption Percentage. 2 2 6 12" xfId="10634"/>
    <cellStyle name="Assumption Percentage. 2 2 6 2" xfId="10635"/>
    <cellStyle name="Assumption Percentage. 2 2 6 2 10" xfId="10636"/>
    <cellStyle name="Assumption Percentage. 2 2 6 2 2" xfId="10637"/>
    <cellStyle name="Assumption Percentage. 2 2 6 2 2 10" xfId="10638"/>
    <cellStyle name="Assumption Percentage. 2 2 6 2 2 2" xfId="10639"/>
    <cellStyle name="Assumption Percentage. 2 2 6 2 2 3" xfId="10640"/>
    <cellStyle name="Assumption Percentage. 2 2 6 2 2 4" xfId="10641"/>
    <cellStyle name="Assumption Percentage. 2 2 6 2 2 5" xfId="10642"/>
    <cellStyle name="Assumption Percentage. 2 2 6 2 2 6" xfId="10643"/>
    <cellStyle name="Assumption Percentage. 2 2 6 2 2 7" xfId="10644"/>
    <cellStyle name="Assumption Percentage. 2 2 6 2 2 8" xfId="10645"/>
    <cellStyle name="Assumption Percentage. 2 2 6 2 2 9" xfId="10646"/>
    <cellStyle name="Assumption Percentage. 2 2 6 2 3" xfId="10647"/>
    <cellStyle name="Assumption Percentage. 2 2 6 2 4" xfId="10648"/>
    <cellStyle name="Assumption Percentage. 2 2 6 2 5" xfId="10649"/>
    <cellStyle name="Assumption Percentage. 2 2 6 2 6" xfId="10650"/>
    <cellStyle name="Assumption Percentage. 2 2 6 2 7" xfId="10651"/>
    <cellStyle name="Assumption Percentage. 2 2 6 2 8" xfId="10652"/>
    <cellStyle name="Assumption Percentage. 2 2 6 2 9" xfId="10653"/>
    <cellStyle name="Assumption Percentage. 2 2 6 3" xfId="10654"/>
    <cellStyle name="Assumption Percentage. 2 2 6 3 10" xfId="10655"/>
    <cellStyle name="Assumption Percentage. 2 2 6 3 2" xfId="10656"/>
    <cellStyle name="Assumption Percentage. 2 2 6 3 3" xfId="10657"/>
    <cellStyle name="Assumption Percentage. 2 2 6 3 4" xfId="10658"/>
    <cellStyle name="Assumption Percentage. 2 2 6 3 5" xfId="10659"/>
    <cellStyle name="Assumption Percentage. 2 2 6 3 6" xfId="10660"/>
    <cellStyle name="Assumption Percentage. 2 2 6 3 7" xfId="10661"/>
    <cellStyle name="Assumption Percentage. 2 2 6 3 8" xfId="10662"/>
    <cellStyle name="Assumption Percentage. 2 2 6 3 9" xfId="10663"/>
    <cellStyle name="Assumption Percentage. 2 2 6 4" xfId="10664"/>
    <cellStyle name="Assumption Percentage. 2 2 6 5" xfId="10665"/>
    <cellStyle name="Assumption Percentage. 2 2 6 6" xfId="10666"/>
    <cellStyle name="Assumption Percentage. 2 2 6 7" xfId="10667"/>
    <cellStyle name="Assumption Percentage. 2 2 6 8" xfId="10668"/>
    <cellStyle name="Assumption Percentage. 2 2 6 9" xfId="10669"/>
    <cellStyle name="Assumption Percentage. 2 2 7" xfId="10670"/>
    <cellStyle name="Assumption Percentage. 2 2 7 10" xfId="10671"/>
    <cellStyle name="Assumption Percentage. 2 2 7 11" xfId="10672"/>
    <cellStyle name="Assumption Percentage. 2 2 7 12" xfId="10673"/>
    <cellStyle name="Assumption Percentage. 2 2 7 2" xfId="10674"/>
    <cellStyle name="Assumption Percentage. 2 2 7 2 10" xfId="10675"/>
    <cellStyle name="Assumption Percentage. 2 2 7 2 2" xfId="10676"/>
    <cellStyle name="Assumption Percentage. 2 2 7 2 2 10" xfId="10677"/>
    <cellStyle name="Assumption Percentage. 2 2 7 2 2 2" xfId="10678"/>
    <cellStyle name="Assumption Percentage. 2 2 7 2 2 3" xfId="10679"/>
    <cellStyle name="Assumption Percentage. 2 2 7 2 2 4" xfId="10680"/>
    <cellStyle name="Assumption Percentage. 2 2 7 2 2 5" xfId="10681"/>
    <cellStyle name="Assumption Percentage. 2 2 7 2 2 6" xfId="10682"/>
    <cellStyle name="Assumption Percentage. 2 2 7 2 2 7" xfId="10683"/>
    <cellStyle name="Assumption Percentage. 2 2 7 2 2 8" xfId="10684"/>
    <cellStyle name="Assumption Percentage. 2 2 7 2 2 9" xfId="10685"/>
    <cellStyle name="Assumption Percentage. 2 2 7 2 3" xfId="10686"/>
    <cellStyle name="Assumption Percentage. 2 2 7 2 4" xfId="10687"/>
    <cellStyle name="Assumption Percentage. 2 2 7 2 5" xfId="10688"/>
    <cellStyle name="Assumption Percentage. 2 2 7 2 6" xfId="10689"/>
    <cellStyle name="Assumption Percentage. 2 2 7 2 7" xfId="10690"/>
    <cellStyle name="Assumption Percentage. 2 2 7 2 8" xfId="10691"/>
    <cellStyle name="Assumption Percentage. 2 2 7 2 9" xfId="10692"/>
    <cellStyle name="Assumption Percentage. 2 2 7 3" xfId="10693"/>
    <cellStyle name="Assumption Percentage. 2 2 7 3 10" xfId="10694"/>
    <cellStyle name="Assumption Percentage. 2 2 7 3 2" xfId="10695"/>
    <cellStyle name="Assumption Percentage. 2 2 7 3 3" xfId="10696"/>
    <cellStyle name="Assumption Percentage. 2 2 7 3 4" xfId="10697"/>
    <cellStyle name="Assumption Percentage. 2 2 7 3 5" xfId="10698"/>
    <cellStyle name="Assumption Percentage. 2 2 7 3 6" xfId="10699"/>
    <cellStyle name="Assumption Percentage. 2 2 7 3 7" xfId="10700"/>
    <cellStyle name="Assumption Percentage. 2 2 7 3 8" xfId="10701"/>
    <cellStyle name="Assumption Percentage. 2 2 7 3 9" xfId="10702"/>
    <cellStyle name="Assumption Percentage. 2 2 7 4" xfId="10703"/>
    <cellStyle name="Assumption Percentage. 2 2 7 5" xfId="10704"/>
    <cellStyle name="Assumption Percentage. 2 2 7 6" xfId="10705"/>
    <cellStyle name="Assumption Percentage. 2 2 7 7" xfId="10706"/>
    <cellStyle name="Assumption Percentage. 2 2 7 8" xfId="10707"/>
    <cellStyle name="Assumption Percentage. 2 2 7 9" xfId="10708"/>
    <cellStyle name="Assumption Percentage. 2 2 8" xfId="10709"/>
    <cellStyle name="Assumption Percentage. 2 2 8 10" xfId="10710"/>
    <cellStyle name="Assumption Percentage. 2 2 8 2" xfId="10711"/>
    <cellStyle name="Assumption Percentage. 2 2 8 2 10" xfId="10712"/>
    <cellStyle name="Assumption Percentage. 2 2 8 2 2" xfId="10713"/>
    <cellStyle name="Assumption Percentage. 2 2 8 2 3" xfId="10714"/>
    <cellStyle name="Assumption Percentage. 2 2 8 2 4" xfId="10715"/>
    <cellStyle name="Assumption Percentage. 2 2 8 2 5" xfId="10716"/>
    <cellStyle name="Assumption Percentage. 2 2 8 2 6" xfId="10717"/>
    <cellStyle name="Assumption Percentage. 2 2 8 2 7" xfId="10718"/>
    <cellStyle name="Assumption Percentage. 2 2 8 2 8" xfId="10719"/>
    <cellStyle name="Assumption Percentage. 2 2 8 2 9" xfId="10720"/>
    <cellStyle name="Assumption Percentage. 2 2 8 3" xfId="10721"/>
    <cellStyle name="Assumption Percentage. 2 2 8 4" xfId="10722"/>
    <cellStyle name="Assumption Percentage. 2 2 8 5" xfId="10723"/>
    <cellStyle name="Assumption Percentage. 2 2 8 6" xfId="10724"/>
    <cellStyle name="Assumption Percentage. 2 2 8 7" xfId="10725"/>
    <cellStyle name="Assumption Percentage. 2 2 8 8" xfId="10726"/>
    <cellStyle name="Assumption Percentage. 2 2 8 9" xfId="10727"/>
    <cellStyle name="Assumption Percentage. 2 2 9" xfId="10728"/>
    <cellStyle name="Assumption Percentage. 2 2 9 10" xfId="10729"/>
    <cellStyle name="Assumption Percentage. 2 2 9 2" xfId="10730"/>
    <cellStyle name="Assumption Percentage. 2 2 9 3" xfId="10731"/>
    <cellStyle name="Assumption Percentage. 2 2 9 4" xfId="10732"/>
    <cellStyle name="Assumption Percentage. 2 2 9 5" xfId="10733"/>
    <cellStyle name="Assumption Percentage. 2 2 9 6" xfId="10734"/>
    <cellStyle name="Assumption Percentage. 2 2 9 7" xfId="10735"/>
    <cellStyle name="Assumption Percentage. 2 2 9 8" xfId="10736"/>
    <cellStyle name="Assumption Percentage. 2 2 9 9" xfId="10737"/>
    <cellStyle name="Assumption Percentage. 2 3" xfId="10738"/>
    <cellStyle name="Assumption Percentage. 2 3 10" xfId="10739"/>
    <cellStyle name="Assumption Percentage. 2 3 11" xfId="10740"/>
    <cellStyle name="Assumption Percentage. 2 3 12" xfId="10741"/>
    <cellStyle name="Assumption Percentage. 2 3 13" xfId="10742"/>
    <cellStyle name="Assumption Percentage. 2 3 14" xfId="10743"/>
    <cellStyle name="Assumption Percentage. 2 3 2" xfId="10744"/>
    <cellStyle name="Assumption Percentage. 2 3 2 10" xfId="10745"/>
    <cellStyle name="Assumption Percentage. 2 3 2 11" xfId="10746"/>
    <cellStyle name="Assumption Percentage. 2 3 2 12" xfId="10747"/>
    <cellStyle name="Assumption Percentage. 2 3 2 13" xfId="10748"/>
    <cellStyle name="Assumption Percentage. 2 3 2 2" xfId="10749"/>
    <cellStyle name="Assumption Percentage. 2 3 2 2 10" xfId="10750"/>
    <cellStyle name="Assumption Percentage. 2 3 2 2 11" xfId="10751"/>
    <cellStyle name="Assumption Percentage. 2 3 2 2 12" xfId="10752"/>
    <cellStyle name="Assumption Percentage. 2 3 2 2 2" xfId="10753"/>
    <cellStyle name="Assumption Percentage. 2 3 2 2 2 10" xfId="10754"/>
    <cellStyle name="Assumption Percentage. 2 3 2 2 2 2" xfId="10755"/>
    <cellStyle name="Assumption Percentage. 2 3 2 2 2 2 10" xfId="10756"/>
    <cellStyle name="Assumption Percentage. 2 3 2 2 2 2 2" xfId="10757"/>
    <cellStyle name="Assumption Percentage. 2 3 2 2 2 2 3" xfId="10758"/>
    <cellStyle name="Assumption Percentage. 2 3 2 2 2 2 4" xfId="10759"/>
    <cellStyle name="Assumption Percentage. 2 3 2 2 2 2 5" xfId="10760"/>
    <cellStyle name="Assumption Percentage. 2 3 2 2 2 2 6" xfId="10761"/>
    <cellStyle name="Assumption Percentage. 2 3 2 2 2 2 7" xfId="10762"/>
    <cellStyle name="Assumption Percentage. 2 3 2 2 2 2 8" xfId="10763"/>
    <cellStyle name="Assumption Percentage. 2 3 2 2 2 2 9" xfId="10764"/>
    <cellStyle name="Assumption Percentage. 2 3 2 2 2 3" xfId="10765"/>
    <cellStyle name="Assumption Percentage. 2 3 2 2 2 4" xfId="10766"/>
    <cellStyle name="Assumption Percentage. 2 3 2 2 2 5" xfId="10767"/>
    <cellStyle name="Assumption Percentage. 2 3 2 2 2 6" xfId="10768"/>
    <cellStyle name="Assumption Percentage. 2 3 2 2 2 7" xfId="10769"/>
    <cellStyle name="Assumption Percentage. 2 3 2 2 2 8" xfId="10770"/>
    <cellStyle name="Assumption Percentage. 2 3 2 2 2 9" xfId="10771"/>
    <cellStyle name="Assumption Percentage. 2 3 2 2 3" xfId="10772"/>
    <cellStyle name="Assumption Percentage. 2 3 2 2 3 10" xfId="10773"/>
    <cellStyle name="Assumption Percentage. 2 3 2 2 3 2" xfId="10774"/>
    <cellStyle name="Assumption Percentage. 2 3 2 2 3 3" xfId="10775"/>
    <cellStyle name="Assumption Percentage. 2 3 2 2 3 4" xfId="10776"/>
    <cellStyle name="Assumption Percentage. 2 3 2 2 3 5" xfId="10777"/>
    <cellStyle name="Assumption Percentage. 2 3 2 2 3 6" xfId="10778"/>
    <cellStyle name="Assumption Percentage. 2 3 2 2 3 7" xfId="10779"/>
    <cellStyle name="Assumption Percentage. 2 3 2 2 3 8" xfId="10780"/>
    <cellStyle name="Assumption Percentage. 2 3 2 2 3 9" xfId="10781"/>
    <cellStyle name="Assumption Percentage. 2 3 2 2 4" xfId="10782"/>
    <cellStyle name="Assumption Percentage. 2 3 2 2 5" xfId="10783"/>
    <cellStyle name="Assumption Percentage. 2 3 2 2 6" xfId="10784"/>
    <cellStyle name="Assumption Percentage. 2 3 2 2 7" xfId="10785"/>
    <cellStyle name="Assumption Percentage. 2 3 2 2 8" xfId="10786"/>
    <cellStyle name="Assumption Percentage. 2 3 2 2 9" xfId="10787"/>
    <cellStyle name="Assumption Percentage. 2 3 2 3" xfId="10788"/>
    <cellStyle name="Assumption Percentage. 2 3 2 3 10" xfId="10789"/>
    <cellStyle name="Assumption Percentage. 2 3 2 3 2" xfId="10790"/>
    <cellStyle name="Assumption Percentage. 2 3 2 3 2 10" xfId="10791"/>
    <cellStyle name="Assumption Percentage. 2 3 2 3 2 2" xfId="10792"/>
    <cellStyle name="Assumption Percentage. 2 3 2 3 2 3" xfId="10793"/>
    <cellStyle name="Assumption Percentage. 2 3 2 3 2 4" xfId="10794"/>
    <cellStyle name="Assumption Percentage. 2 3 2 3 2 5" xfId="10795"/>
    <cellStyle name="Assumption Percentage. 2 3 2 3 2 6" xfId="10796"/>
    <cellStyle name="Assumption Percentage. 2 3 2 3 2 7" xfId="10797"/>
    <cellStyle name="Assumption Percentage. 2 3 2 3 2 8" xfId="10798"/>
    <cellStyle name="Assumption Percentage. 2 3 2 3 2 9" xfId="10799"/>
    <cellStyle name="Assumption Percentage. 2 3 2 3 3" xfId="10800"/>
    <cellStyle name="Assumption Percentage. 2 3 2 3 4" xfId="10801"/>
    <cellStyle name="Assumption Percentage. 2 3 2 3 5" xfId="10802"/>
    <cellStyle name="Assumption Percentage. 2 3 2 3 6" xfId="10803"/>
    <cellStyle name="Assumption Percentage. 2 3 2 3 7" xfId="10804"/>
    <cellStyle name="Assumption Percentage. 2 3 2 3 8" xfId="10805"/>
    <cellStyle name="Assumption Percentage. 2 3 2 3 9" xfId="10806"/>
    <cellStyle name="Assumption Percentage. 2 3 2 4" xfId="10807"/>
    <cellStyle name="Assumption Percentage. 2 3 2 4 10" xfId="10808"/>
    <cellStyle name="Assumption Percentage. 2 3 2 4 2" xfId="10809"/>
    <cellStyle name="Assumption Percentage. 2 3 2 4 3" xfId="10810"/>
    <cellStyle name="Assumption Percentage. 2 3 2 4 4" xfId="10811"/>
    <cellStyle name="Assumption Percentage. 2 3 2 4 5" xfId="10812"/>
    <cellStyle name="Assumption Percentage. 2 3 2 4 6" xfId="10813"/>
    <cellStyle name="Assumption Percentage. 2 3 2 4 7" xfId="10814"/>
    <cellStyle name="Assumption Percentage. 2 3 2 4 8" xfId="10815"/>
    <cellStyle name="Assumption Percentage. 2 3 2 4 9" xfId="10816"/>
    <cellStyle name="Assumption Percentage. 2 3 2 5" xfId="10817"/>
    <cellStyle name="Assumption Percentage. 2 3 2 6" xfId="10818"/>
    <cellStyle name="Assumption Percentage. 2 3 2 7" xfId="10819"/>
    <cellStyle name="Assumption Percentage. 2 3 2 8" xfId="10820"/>
    <cellStyle name="Assumption Percentage. 2 3 2 9" xfId="10821"/>
    <cellStyle name="Assumption Percentage. 2 3 3" xfId="10822"/>
    <cellStyle name="Assumption Percentage. 2 3 3 10" xfId="10823"/>
    <cellStyle name="Assumption Percentage. 2 3 3 11" xfId="10824"/>
    <cellStyle name="Assumption Percentage. 2 3 3 12" xfId="10825"/>
    <cellStyle name="Assumption Percentage. 2 3 3 2" xfId="10826"/>
    <cellStyle name="Assumption Percentage. 2 3 3 2 10" xfId="10827"/>
    <cellStyle name="Assumption Percentage. 2 3 3 2 2" xfId="10828"/>
    <cellStyle name="Assumption Percentage. 2 3 3 2 2 10" xfId="10829"/>
    <cellStyle name="Assumption Percentage. 2 3 3 2 2 2" xfId="10830"/>
    <cellStyle name="Assumption Percentage. 2 3 3 2 2 3" xfId="10831"/>
    <cellStyle name="Assumption Percentage. 2 3 3 2 2 4" xfId="10832"/>
    <cellStyle name="Assumption Percentage. 2 3 3 2 2 5" xfId="10833"/>
    <cellStyle name="Assumption Percentage. 2 3 3 2 2 6" xfId="10834"/>
    <cellStyle name="Assumption Percentage. 2 3 3 2 2 7" xfId="10835"/>
    <cellStyle name="Assumption Percentage. 2 3 3 2 2 8" xfId="10836"/>
    <cellStyle name="Assumption Percentage. 2 3 3 2 2 9" xfId="10837"/>
    <cellStyle name="Assumption Percentage. 2 3 3 2 3" xfId="10838"/>
    <cellStyle name="Assumption Percentage. 2 3 3 2 4" xfId="10839"/>
    <cellStyle name="Assumption Percentage. 2 3 3 2 5" xfId="10840"/>
    <cellStyle name="Assumption Percentage. 2 3 3 2 6" xfId="10841"/>
    <cellStyle name="Assumption Percentage. 2 3 3 2 7" xfId="10842"/>
    <cellStyle name="Assumption Percentage. 2 3 3 2 8" xfId="10843"/>
    <cellStyle name="Assumption Percentage. 2 3 3 2 9" xfId="10844"/>
    <cellStyle name="Assumption Percentage. 2 3 3 3" xfId="10845"/>
    <cellStyle name="Assumption Percentage. 2 3 3 3 10" xfId="10846"/>
    <cellStyle name="Assumption Percentage. 2 3 3 3 2" xfId="10847"/>
    <cellStyle name="Assumption Percentage. 2 3 3 3 3" xfId="10848"/>
    <cellStyle name="Assumption Percentage. 2 3 3 3 4" xfId="10849"/>
    <cellStyle name="Assumption Percentage. 2 3 3 3 5" xfId="10850"/>
    <cellStyle name="Assumption Percentage. 2 3 3 3 6" xfId="10851"/>
    <cellStyle name="Assumption Percentage. 2 3 3 3 7" xfId="10852"/>
    <cellStyle name="Assumption Percentage. 2 3 3 3 8" xfId="10853"/>
    <cellStyle name="Assumption Percentage. 2 3 3 3 9" xfId="10854"/>
    <cellStyle name="Assumption Percentage. 2 3 3 4" xfId="10855"/>
    <cellStyle name="Assumption Percentage. 2 3 3 5" xfId="10856"/>
    <cellStyle name="Assumption Percentage. 2 3 3 6" xfId="10857"/>
    <cellStyle name="Assumption Percentage. 2 3 3 7" xfId="10858"/>
    <cellStyle name="Assumption Percentage. 2 3 3 8" xfId="10859"/>
    <cellStyle name="Assumption Percentage. 2 3 3 9" xfId="10860"/>
    <cellStyle name="Assumption Percentage. 2 3 4" xfId="10861"/>
    <cellStyle name="Assumption Percentage. 2 3 4 10" xfId="10862"/>
    <cellStyle name="Assumption Percentage. 2 3 4 2" xfId="10863"/>
    <cellStyle name="Assumption Percentage. 2 3 4 2 10" xfId="10864"/>
    <cellStyle name="Assumption Percentage. 2 3 4 2 2" xfId="10865"/>
    <cellStyle name="Assumption Percentage. 2 3 4 2 3" xfId="10866"/>
    <cellStyle name="Assumption Percentage. 2 3 4 2 4" xfId="10867"/>
    <cellStyle name="Assumption Percentage. 2 3 4 2 5" xfId="10868"/>
    <cellStyle name="Assumption Percentage. 2 3 4 2 6" xfId="10869"/>
    <cellStyle name="Assumption Percentage. 2 3 4 2 7" xfId="10870"/>
    <cellStyle name="Assumption Percentage. 2 3 4 2 8" xfId="10871"/>
    <cellStyle name="Assumption Percentage. 2 3 4 2 9" xfId="10872"/>
    <cellStyle name="Assumption Percentage. 2 3 4 3" xfId="10873"/>
    <cellStyle name="Assumption Percentage. 2 3 4 4" xfId="10874"/>
    <cellStyle name="Assumption Percentage. 2 3 4 5" xfId="10875"/>
    <cellStyle name="Assumption Percentage. 2 3 4 6" xfId="10876"/>
    <cellStyle name="Assumption Percentage. 2 3 4 7" xfId="10877"/>
    <cellStyle name="Assumption Percentage. 2 3 4 8" xfId="10878"/>
    <cellStyle name="Assumption Percentage. 2 3 4 9" xfId="10879"/>
    <cellStyle name="Assumption Percentage. 2 3 5" xfId="10880"/>
    <cellStyle name="Assumption Percentage. 2 3 5 10" xfId="10881"/>
    <cellStyle name="Assumption Percentage. 2 3 5 2" xfId="10882"/>
    <cellStyle name="Assumption Percentage. 2 3 5 3" xfId="10883"/>
    <cellStyle name="Assumption Percentage. 2 3 5 4" xfId="10884"/>
    <cellStyle name="Assumption Percentage. 2 3 5 5" xfId="10885"/>
    <cellStyle name="Assumption Percentage. 2 3 5 6" xfId="10886"/>
    <cellStyle name="Assumption Percentage. 2 3 5 7" xfId="10887"/>
    <cellStyle name="Assumption Percentage. 2 3 5 8" xfId="10888"/>
    <cellStyle name="Assumption Percentage. 2 3 5 9" xfId="10889"/>
    <cellStyle name="Assumption Percentage. 2 3 6" xfId="10890"/>
    <cellStyle name="Assumption Percentage. 2 3 7" xfId="10891"/>
    <cellStyle name="Assumption Percentage. 2 3 8" xfId="10892"/>
    <cellStyle name="Assumption Percentage. 2 3 9" xfId="10893"/>
    <cellStyle name="Assumption Percentage. 2 4" xfId="10894"/>
    <cellStyle name="Assumption Percentage. 2 4 10" xfId="10895"/>
    <cellStyle name="Assumption Percentage. 2 4 11" xfId="10896"/>
    <cellStyle name="Assumption Percentage. 2 4 12" xfId="10897"/>
    <cellStyle name="Assumption Percentage. 2 4 13" xfId="10898"/>
    <cellStyle name="Assumption Percentage. 2 4 2" xfId="10899"/>
    <cellStyle name="Assumption Percentage. 2 4 2 10" xfId="10900"/>
    <cellStyle name="Assumption Percentage. 2 4 2 11" xfId="10901"/>
    <cellStyle name="Assumption Percentage. 2 4 2 12" xfId="10902"/>
    <cellStyle name="Assumption Percentage. 2 4 2 2" xfId="10903"/>
    <cellStyle name="Assumption Percentage. 2 4 2 2 10" xfId="10904"/>
    <cellStyle name="Assumption Percentage. 2 4 2 2 2" xfId="10905"/>
    <cellStyle name="Assumption Percentage. 2 4 2 2 2 10" xfId="10906"/>
    <cellStyle name="Assumption Percentage. 2 4 2 2 2 2" xfId="10907"/>
    <cellStyle name="Assumption Percentage. 2 4 2 2 2 3" xfId="10908"/>
    <cellStyle name="Assumption Percentage. 2 4 2 2 2 4" xfId="10909"/>
    <cellStyle name="Assumption Percentage. 2 4 2 2 2 5" xfId="10910"/>
    <cellStyle name="Assumption Percentage. 2 4 2 2 2 6" xfId="10911"/>
    <cellStyle name="Assumption Percentage. 2 4 2 2 2 7" xfId="10912"/>
    <cellStyle name="Assumption Percentage. 2 4 2 2 2 8" xfId="10913"/>
    <cellStyle name="Assumption Percentage. 2 4 2 2 2 9" xfId="10914"/>
    <cellStyle name="Assumption Percentage. 2 4 2 2 3" xfId="10915"/>
    <cellStyle name="Assumption Percentage. 2 4 2 2 4" xfId="10916"/>
    <cellStyle name="Assumption Percentage. 2 4 2 2 5" xfId="10917"/>
    <cellStyle name="Assumption Percentage. 2 4 2 2 6" xfId="10918"/>
    <cellStyle name="Assumption Percentage. 2 4 2 2 7" xfId="10919"/>
    <cellStyle name="Assumption Percentage. 2 4 2 2 8" xfId="10920"/>
    <cellStyle name="Assumption Percentage. 2 4 2 2 9" xfId="10921"/>
    <cellStyle name="Assumption Percentage. 2 4 2 3" xfId="10922"/>
    <cellStyle name="Assumption Percentage. 2 4 2 3 10" xfId="10923"/>
    <cellStyle name="Assumption Percentage. 2 4 2 3 2" xfId="10924"/>
    <cellStyle name="Assumption Percentage. 2 4 2 3 3" xfId="10925"/>
    <cellStyle name="Assumption Percentage. 2 4 2 3 4" xfId="10926"/>
    <cellStyle name="Assumption Percentage. 2 4 2 3 5" xfId="10927"/>
    <cellStyle name="Assumption Percentage. 2 4 2 3 6" xfId="10928"/>
    <cellStyle name="Assumption Percentage. 2 4 2 3 7" xfId="10929"/>
    <cellStyle name="Assumption Percentage. 2 4 2 3 8" xfId="10930"/>
    <cellStyle name="Assumption Percentage. 2 4 2 3 9" xfId="10931"/>
    <cellStyle name="Assumption Percentage. 2 4 2 4" xfId="10932"/>
    <cellStyle name="Assumption Percentage. 2 4 2 5" xfId="10933"/>
    <cellStyle name="Assumption Percentage. 2 4 2 6" xfId="10934"/>
    <cellStyle name="Assumption Percentage. 2 4 2 7" xfId="10935"/>
    <cellStyle name="Assumption Percentage. 2 4 2 8" xfId="10936"/>
    <cellStyle name="Assumption Percentage. 2 4 2 9" xfId="10937"/>
    <cellStyle name="Assumption Percentage. 2 4 3" xfId="10938"/>
    <cellStyle name="Assumption Percentage. 2 4 3 10" xfId="10939"/>
    <cellStyle name="Assumption Percentage. 2 4 3 2" xfId="10940"/>
    <cellStyle name="Assumption Percentage. 2 4 3 2 10" xfId="10941"/>
    <cellStyle name="Assumption Percentage. 2 4 3 2 2" xfId="10942"/>
    <cellStyle name="Assumption Percentage. 2 4 3 2 3" xfId="10943"/>
    <cellStyle name="Assumption Percentage. 2 4 3 2 4" xfId="10944"/>
    <cellStyle name="Assumption Percentage. 2 4 3 2 5" xfId="10945"/>
    <cellStyle name="Assumption Percentage. 2 4 3 2 6" xfId="10946"/>
    <cellStyle name="Assumption Percentage. 2 4 3 2 7" xfId="10947"/>
    <cellStyle name="Assumption Percentage. 2 4 3 2 8" xfId="10948"/>
    <cellStyle name="Assumption Percentage. 2 4 3 2 9" xfId="10949"/>
    <cellStyle name="Assumption Percentage. 2 4 3 3" xfId="10950"/>
    <cellStyle name="Assumption Percentage. 2 4 3 4" xfId="10951"/>
    <cellStyle name="Assumption Percentage. 2 4 3 5" xfId="10952"/>
    <cellStyle name="Assumption Percentage. 2 4 3 6" xfId="10953"/>
    <cellStyle name="Assumption Percentage. 2 4 3 7" xfId="10954"/>
    <cellStyle name="Assumption Percentage. 2 4 3 8" xfId="10955"/>
    <cellStyle name="Assumption Percentage. 2 4 3 9" xfId="10956"/>
    <cellStyle name="Assumption Percentage. 2 4 4" xfId="10957"/>
    <cellStyle name="Assumption Percentage. 2 4 4 10" xfId="10958"/>
    <cellStyle name="Assumption Percentage. 2 4 4 2" xfId="10959"/>
    <cellStyle name="Assumption Percentage. 2 4 4 3" xfId="10960"/>
    <cellStyle name="Assumption Percentage. 2 4 4 4" xfId="10961"/>
    <cellStyle name="Assumption Percentage. 2 4 4 5" xfId="10962"/>
    <cellStyle name="Assumption Percentage. 2 4 4 6" xfId="10963"/>
    <cellStyle name="Assumption Percentage. 2 4 4 7" xfId="10964"/>
    <cellStyle name="Assumption Percentage. 2 4 4 8" xfId="10965"/>
    <cellStyle name="Assumption Percentage. 2 4 4 9" xfId="10966"/>
    <cellStyle name="Assumption Percentage. 2 4 5" xfId="10967"/>
    <cellStyle name="Assumption Percentage. 2 4 6" xfId="10968"/>
    <cellStyle name="Assumption Percentage. 2 4 7" xfId="10969"/>
    <cellStyle name="Assumption Percentage. 2 4 8" xfId="10970"/>
    <cellStyle name="Assumption Percentage. 2 4 9" xfId="10971"/>
    <cellStyle name="Assumption Percentage. 2 5" xfId="10972"/>
    <cellStyle name="Assumption Percentage. 2 5 10" xfId="10973"/>
    <cellStyle name="Assumption Percentage. 2 5 11" xfId="10974"/>
    <cellStyle name="Assumption Percentage. 2 5 12" xfId="10975"/>
    <cellStyle name="Assumption Percentage. 2 5 13" xfId="10976"/>
    <cellStyle name="Assumption Percentage. 2 5 2" xfId="10977"/>
    <cellStyle name="Assumption Percentage. 2 5 2 10" xfId="10978"/>
    <cellStyle name="Assumption Percentage. 2 5 2 11" xfId="10979"/>
    <cellStyle name="Assumption Percentage. 2 5 2 12" xfId="10980"/>
    <cellStyle name="Assumption Percentage. 2 5 2 2" xfId="10981"/>
    <cellStyle name="Assumption Percentage. 2 5 2 2 10" xfId="10982"/>
    <cellStyle name="Assumption Percentage. 2 5 2 2 2" xfId="10983"/>
    <cellStyle name="Assumption Percentage. 2 5 2 2 2 10" xfId="10984"/>
    <cellStyle name="Assumption Percentage. 2 5 2 2 2 2" xfId="10985"/>
    <cellStyle name="Assumption Percentage. 2 5 2 2 2 3" xfId="10986"/>
    <cellStyle name="Assumption Percentage. 2 5 2 2 2 4" xfId="10987"/>
    <cellStyle name="Assumption Percentage. 2 5 2 2 2 5" xfId="10988"/>
    <cellStyle name="Assumption Percentage. 2 5 2 2 2 6" xfId="10989"/>
    <cellStyle name="Assumption Percentage. 2 5 2 2 2 7" xfId="10990"/>
    <cellStyle name="Assumption Percentage. 2 5 2 2 2 8" xfId="10991"/>
    <cellStyle name="Assumption Percentage. 2 5 2 2 2 9" xfId="10992"/>
    <cellStyle name="Assumption Percentage. 2 5 2 2 3" xfId="10993"/>
    <cellStyle name="Assumption Percentage. 2 5 2 2 4" xfId="10994"/>
    <cellStyle name="Assumption Percentage. 2 5 2 2 5" xfId="10995"/>
    <cellStyle name="Assumption Percentage. 2 5 2 2 6" xfId="10996"/>
    <cellStyle name="Assumption Percentage. 2 5 2 2 7" xfId="10997"/>
    <cellStyle name="Assumption Percentage. 2 5 2 2 8" xfId="10998"/>
    <cellStyle name="Assumption Percentage. 2 5 2 2 9" xfId="10999"/>
    <cellStyle name="Assumption Percentage. 2 5 2 3" xfId="11000"/>
    <cellStyle name="Assumption Percentage. 2 5 2 3 10" xfId="11001"/>
    <cellStyle name="Assumption Percentage. 2 5 2 3 2" xfId="11002"/>
    <cellStyle name="Assumption Percentage. 2 5 2 3 3" xfId="11003"/>
    <cellStyle name="Assumption Percentage. 2 5 2 3 4" xfId="11004"/>
    <cellStyle name="Assumption Percentage. 2 5 2 3 5" xfId="11005"/>
    <cellStyle name="Assumption Percentage. 2 5 2 3 6" xfId="11006"/>
    <cellStyle name="Assumption Percentage. 2 5 2 3 7" xfId="11007"/>
    <cellStyle name="Assumption Percentage. 2 5 2 3 8" xfId="11008"/>
    <cellStyle name="Assumption Percentage. 2 5 2 3 9" xfId="11009"/>
    <cellStyle name="Assumption Percentage. 2 5 2 4" xfId="11010"/>
    <cellStyle name="Assumption Percentage. 2 5 2 5" xfId="11011"/>
    <cellStyle name="Assumption Percentage. 2 5 2 6" xfId="11012"/>
    <cellStyle name="Assumption Percentage. 2 5 2 7" xfId="11013"/>
    <cellStyle name="Assumption Percentage. 2 5 2 8" xfId="11014"/>
    <cellStyle name="Assumption Percentage. 2 5 2 9" xfId="11015"/>
    <cellStyle name="Assumption Percentage. 2 5 3" xfId="11016"/>
    <cellStyle name="Assumption Percentage. 2 5 3 10" xfId="11017"/>
    <cellStyle name="Assumption Percentage. 2 5 3 2" xfId="11018"/>
    <cellStyle name="Assumption Percentage. 2 5 3 2 10" xfId="11019"/>
    <cellStyle name="Assumption Percentage. 2 5 3 2 2" xfId="11020"/>
    <cellStyle name="Assumption Percentage. 2 5 3 2 3" xfId="11021"/>
    <cellStyle name="Assumption Percentage. 2 5 3 2 4" xfId="11022"/>
    <cellStyle name="Assumption Percentage. 2 5 3 2 5" xfId="11023"/>
    <cellStyle name="Assumption Percentage. 2 5 3 2 6" xfId="11024"/>
    <cellStyle name="Assumption Percentage. 2 5 3 2 7" xfId="11025"/>
    <cellStyle name="Assumption Percentage. 2 5 3 2 8" xfId="11026"/>
    <cellStyle name="Assumption Percentage. 2 5 3 2 9" xfId="11027"/>
    <cellStyle name="Assumption Percentage. 2 5 3 3" xfId="11028"/>
    <cellStyle name="Assumption Percentage. 2 5 3 4" xfId="11029"/>
    <cellStyle name="Assumption Percentage. 2 5 3 5" xfId="11030"/>
    <cellStyle name="Assumption Percentage. 2 5 3 6" xfId="11031"/>
    <cellStyle name="Assumption Percentage. 2 5 3 7" xfId="11032"/>
    <cellStyle name="Assumption Percentage. 2 5 3 8" xfId="11033"/>
    <cellStyle name="Assumption Percentage. 2 5 3 9" xfId="11034"/>
    <cellStyle name="Assumption Percentage. 2 5 4" xfId="11035"/>
    <cellStyle name="Assumption Percentage. 2 5 4 10" xfId="11036"/>
    <cellStyle name="Assumption Percentage. 2 5 4 2" xfId="11037"/>
    <cellStyle name="Assumption Percentage. 2 5 4 3" xfId="11038"/>
    <cellStyle name="Assumption Percentage. 2 5 4 4" xfId="11039"/>
    <cellStyle name="Assumption Percentage. 2 5 4 5" xfId="11040"/>
    <cellStyle name="Assumption Percentage. 2 5 4 6" xfId="11041"/>
    <cellStyle name="Assumption Percentage. 2 5 4 7" xfId="11042"/>
    <cellStyle name="Assumption Percentage. 2 5 4 8" xfId="11043"/>
    <cellStyle name="Assumption Percentage. 2 5 4 9" xfId="11044"/>
    <cellStyle name="Assumption Percentage. 2 5 5" xfId="11045"/>
    <cellStyle name="Assumption Percentage. 2 5 6" xfId="11046"/>
    <cellStyle name="Assumption Percentage. 2 5 7" xfId="11047"/>
    <cellStyle name="Assumption Percentage. 2 5 8" xfId="11048"/>
    <cellStyle name="Assumption Percentage. 2 5 9" xfId="11049"/>
    <cellStyle name="Assumption Percentage. 2 6" xfId="11050"/>
    <cellStyle name="Assumption Percentage. 2 6 10" xfId="11051"/>
    <cellStyle name="Assumption Percentage. 2 6 11" xfId="11052"/>
    <cellStyle name="Assumption Percentage. 2 6 12" xfId="11053"/>
    <cellStyle name="Assumption Percentage. 2 6 2" xfId="11054"/>
    <cellStyle name="Assumption Percentage. 2 6 2 10" xfId="11055"/>
    <cellStyle name="Assumption Percentage. 2 6 2 2" xfId="11056"/>
    <cellStyle name="Assumption Percentage. 2 6 2 2 10" xfId="11057"/>
    <cellStyle name="Assumption Percentage. 2 6 2 2 2" xfId="11058"/>
    <cellStyle name="Assumption Percentage. 2 6 2 2 3" xfId="11059"/>
    <cellStyle name="Assumption Percentage. 2 6 2 2 4" xfId="11060"/>
    <cellStyle name="Assumption Percentage. 2 6 2 2 5" xfId="11061"/>
    <cellStyle name="Assumption Percentage. 2 6 2 2 6" xfId="11062"/>
    <cellStyle name="Assumption Percentage. 2 6 2 2 7" xfId="11063"/>
    <cellStyle name="Assumption Percentage. 2 6 2 2 8" xfId="11064"/>
    <cellStyle name="Assumption Percentage. 2 6 2 2 9" xfId="11065"/>
    <cellStyle name="Assumption Percentage. 2 6 2 3" xfId="11066"/>
    <cellStyle name="Assumption Percentage. 2 6 2 4" xfId="11067"/>
    <cellStyle name="Assumption Percentage. 2 6 2 5" xfId="11068"/>
    <cellStyle name="Assumption Percentage. 2 6 2 6" xfId="11069"/>
    <cellStyle name="Assumption Percentage. 2 6 2 7" xfId="11070"/>
    <cellStyle name="Assumption Percentage. 2 6 2 8" xfId="11071"/>
    <cellStyle name="Assumption Percentage. 2 6 2 9" xfId="11072"/>
    <cellStyle name="Assumption Percentage. 2 6 3" xfId="11073"/>
    <cellStyle name="Assumption Percentage. 2 6 3 10" xfId="11074"/>
    <cellStyle name="Assumption Percentage. 2 6 3 2" xfId="11075"/>
    <cellStyle name="Assumption Percentage. 2 6 3 3" xfId="11076"/>
    <cellStyle name="Assumption Percentage. 2 6 3 4" xfId="11077"/>
    <cellStyle name="Assumption Percentage. 2 6 3 5" xfId="11078"/>
    <cellStyle name="Assumption Percentage. 2 6 3 6" xfId="11079"/>
    <cellStyle name="Assumption Percentage. 2 6 3 7" xfId="11080"/>
    <cellStyle name="Assumption Percentage. 2 6 3 8" xfId="11081"/>
    <cellStyle name="Assumption Percentage. 2 6 3 9" xfId="11082"/>
    <cellStyle name="Assumption Percentage. 2 6 4" xfId="11083"/>
    <cellStyle name="Assumption Percentage. 2 6 5" xfId="11084"/>
    <cellStyle name="Assumption Percentage. 2 6 6" xfId="11085"/>
    <cellStyle name="Assumption Percentage. 2 6 7" xfId="11086"/>
    <cellStyle name="Assumption Percentage. 2 6 8" xfId="11087"/>
    <cellStyle name="Assumption Percentage. 2 6 9" xfId="11088"/>
    <cellStyle name="Assumption Percentage. 2 7" xfId="11089"/>
    <cellStyle name="Assumption Percentage. 2 7 10" xfId="11090"/>
    <cellStyle name="Assumption Percentage. 2 7 11" xfId="11091"/>
    <cellStyle name="Assumption Percentage. 2 7 12" xfId="11092"/>
    <cellStyle name="Assumption Percentage. 2 7 2" xfId="11093"/>
    <cellStyle name="Assumption Percentage. 2 7 2 10" xfId="11094"/>
    <cellStyle name="Assumption Percentage. 2 7 2 2" xfId="11095"/>
    <cellStyle name="Assumption Percentage. 2 7 2 2 10" xfId="11096"/>
    <cellStyle name="Assumption Percentage. 2 7 2 2 2" xfId="11097"/>
    <cellStyle name="Assumption Percentage. 2 7 2 2 3" xfId="11098"/>
    <cellStyle name="Assumption Percentage. 2 7 2 2 4" xfId="11099"/>
    <cellStyle name="Assumption Percentage. 2 7 2 2 5" xfId="11100"/>
    <cellStyle name="Assumption Percentage. 2 7 2 2 6" xfId="11101"/>
    <cellStyle name="Assumption Percentage. 2 7 2 2 7" xfId="11102"/>
    <cellStyle name="Assumption Percentage. 2 7 2 2 8" xfId="11103"/>
    <cellStyle name="Assumption Percentage. 2 7 2 2 9" xfId="11104"/>
    <cellStyle name="Assumption Percentage. 2 7 2 3" xfId="11105"/>
    <cellStyle name="Assumption Percentage. 2 7 2 4" xfId="11106"/>
    <cellStyle name="Assumption Percentage. 2 7 2 5" xfId="11107"/>
    <cellStyle name="Assumption Percentage. 2 7 2 6" xfId="11108"/>
    <cellStyle name="Assumption Percentage. 2 7 2 7" xfId="11109"/>
    <cellStyle name="Assumption Percentage. 2 7 2 8" xfId="11110"/>
    <cellStyle name="Assumption Percentage. 2 7 2 9" xfId="11111"/>
    <cellStyle name="Assumption Percentage. 2 7 3" xfId="11112"/>
    <cellStyle name="Assumption Percentage. 2 7 3 10" xfId="11113"/>
    <cellStyle name="Assumption Percentage. 2 7 3 2" xfId="11114"/>
    <cellStyle name="Assumption Percentage. 2 7 3 3" xfId="11115"/>
    <cellStyle name="Assumption Percentage. 2 7 3 4" xfId="11116"/>
    <cellStyle name="Assumption Percentage. 2 7 3 5" xfId="11117"/>
    <cellStyle name="Assumption Percentage. 2 7 3 6" xfId="11118"/>
    <cellStyle name="Assumption Percentage. 2 7 3 7" xfId="11119"/>
    <cellStyle name="Assumption Percentage. 2 7 3 8" xfId="11120"/>
    <cellStyle name="Assumption Percentage. 2 7 3 9" xfId="11121"/>
    <cellStyle name="Assumption Percentage. 2 7 4" xfId="11122"/>
    <cellStyle name="Assumption Percentage. 2 7 5" xfId="11123"/>
    <cellStyle name="Assumption Percentage. 2 7 6" xfId="11124"/>
    <cellStyle name="Assumption Percentage. 2 7 7" xfId="11125"/>
    <cellStyle name="Assumption Percentage. 2 7 8" xfId="11126"/>
    <cellStyle name="Assumption Percentage. 2 7 9" xfId="11127"/>
    <cellStyle name="Assumption Percentage. 2 8" xfId="11128"/>
    <cellStyle name="Assumption Percentage. 2 8 10" xfId="11129"/>
    <cellStyle name="Assumption Percentage. 2 8 11" xfId="11130"/>
    <cellStyle name="Assumption Percentage. 2 8 12" xfId="11131"/>
    <cellStyle name="Assumption Percentage. 2 8 2" xfId="11132"/>
    <cellStyle name="Assumption Percentage. 2 8 2 10" xfId="11133"/>
    <cellStyle name="Assumption Percentage. 2 8 2 2" xfId="11134"/>
    <cellStyle name="Assumption Percentage. 2 8 2 2 10" xfId="11135"/>
    <cellStyle name="Assumption Percentage. 2 8 2 2 2" xfId="11136"/>
    <cellStyle name="Assumption Percentage. 2 8 2 2 3" xfId="11137"/>
    <cellStyle name="Assumption Percentage. 2 8 2 2 4" xfId="11138"/>
    <cellStyle name="Assumption Percentage. 2 8 2 2 5" xfId="11139"/>
    <cellStyle name="Assumption Percentage. 2 8 2 2 6" xfId="11140"/>
    <cellStyle name="Assumption Percentage. 2 8 2 2 7" xfId="11141"/>
    <cellStyle name="Assumption Percentage. 2 8 2 2 8" xfId="11142"/>
    <cellStyle name="Assumption Percentage. 2 8 2 2 9" xfId="11143"/>
    <cellStyle name="Assumption Percentage. 2 8 2 3" xfId="11144"/>
    <cellStyle name="Assumption Percentage. 2 8 2 4" xfId="11145"/>
    <cellStyle name="Assumption Percentage. 2 8 2 5" xfId="11146"/>
    <cellStyle name="Assumption Percentage. 2 8 2 6" xfId="11147"/>
    <cellStyle name="Assumption Percentage. 2 8 2 7" xfId="11148"/>
    <cellStyle name="Assumption Percentage. 2 8 2 8" xfId="11149"/>
    <cellStyle name="Assumption Percentage. 2 8 2 9" xfId="11150"/>
    <cellStyle name="Assumption Percentage. 2 8 3" xfId="11151"/>
    <cellStyle name="Assumption Percentage. 2 8 3 10" xfId="11152"/>
    <cellStyle name="Assumption Percentage. 2 8 3 2" xfId="11153"/>
    <cellStyle name="Assumption Percentage. 2 8 3 3" xfId="11154"/>
    <cellStyle name="Assumption Percentage. 2 8 3 4" xfId="11155"/>
    <cellStyle name="Assumption Percentage. 2 8 3 5" xfId="11156"/>
    <cellStyle name="Assumption Percentage. 2 8 3 6" xfId="11157"/>
    <cellStyle name="Assumption Percentage. 2 8 3 7" xfId="11158"/>
    <cellStyle name="Assumption Percentage. 2 8 3 8" xfId="11159"/>
    <cellStyle name="Assumption Percentage. 2 8 3 9" xfId="11160"/>
    <cellStyle name="Assumption Percentage. 2 8 4" xfId="11161"/>
    <cellStyle name="Assumption Percentage. 2 8 5" xfId="11162"/>
    <cellStyle name="Assumption Percentage. 2 8 6" xfId="11163"/>
    <cellStyle name="Assumption Percentage. 2 8 7" xfId="11164"/>
    <cellStyle name="Assumption Percentage. 2 8 8" xfId="11165"/>
    <cellStyle name="Assumption Percentage. 2 8 9" xfId="11166"/>
    <cellStyle name="Assumption Percentage. 2 9" xfId="11167"/>
    <cellStyle name="Assumption Percentage. 2 9 10" xfId="11168"/>
    <cellStyle name="Assumption Percentage. 2 9 2" xfId="11169"/>
    <cellStyle name="Assumption Percentage. 2 9 2 10" xfId="11170"/>
    <cellStyle name="Assumption Percentage. 2 9 2 2" xfId="11171"/>
    <cellStyle name="Assumption Percentage. 2 9 2 3" xfId="11172"/>
    <cellStyle name="Assumption Percentage. 2 9 2 4" xfId="11173"/>
    <cellStyle name="Assumption Percentage. 2 9 2 5" xfId="11174"/>
    <cellStyle name="Assumption Percentage. 2 9 2 6" xfId="11175"/>
    <cellStyle name="Assumption Percentage. 2 9 2 7" xfId="11176"/>
    <cellStyle name="Assumption Percentage. 2 9 2 8" xfId="11177"/>
    <cellStyle name="Assumption Percentage. 2 9 2 9" xfId="11178"/>
    <cellStyle name="Assumption Percentage. 2 9 3" xfId="11179"/>
    <cellStyle name="Assumption Percentage. 2 9 4" xfId="11180"/>
    <cellStyle name="Assumption Percentage. 2 9 5" xfId="11181"/>
    <cellStyle name="Assumption Percentage. 2 9 6" xfId="11182"/>
    <cellStyle name="Assumption Percentage. 2 9 7" xfId="11183"/>
    <cellStyle name="Assumption Percentage. 2 9 8" xfId="11184"/>
    <cellStyle name="Assumption Percentage. 2 9 9" xfId="11185"/>
    <cellStyle name="Assumption Percentage. 3" xfId="11186"/>
    <cellStyle name="Assumption Percentage. 3 10" xfId="11187"/>
    <cellStyle name="Assumption Percentage. 3 11" xfId="11188"/>
    <cellStyle name="Assumption Percentage. 3 12" xfId="11189"/>
    <cellStyle name="Assumption Percentage. 3 13" xfId="11190"/>
    <cellStyle name="Assumption Percentage. 3 14" xfId="11191"/>
    <cellStyle name="Assumption Percentage. 3 15" xfId="11192"/>
    <cellStyle name="Assumption Percentage. 3 16" xfId="11193"/>
    <cellStyle name="Assumption Percentage. 3 2" xfId="11194"/>
    <cellStyle name="Assumption Percentage. 3 2 10" xfId="11195"/>
    <cellStyle name="Assumption Percentage. 3 2 11" xfId="11196"/>
    <cellStyle name="Assumption Percentage. 3 2 12" xfId="11197"/>
    <cellStyle name="Assumption Percentage. 3 2 13" xfId="11198"/>
    <cellStyle name="Assumption Percentage. 3 2 14" xfId="11199"/>
    <cellStyle name="Assumption Percentage. 3 2 2" xfId="11200"/>
    <cellStyle name="Assumption Percentage. 3 2 2 10" xfId="11201"/>
    <cellStyle name="Assumption Percentage. 3 2 2 11" xfId="11202"/>
    <cellStyle name="Assumption Percentage. 3 2 2 12" xfId="11203"/>
    <cellStyle name="Assumption Percentage. 3 2 2 13" xfId="11204"/>
    <cellStyle name="Assumption Percentage. 3 2 2 2" xfId="11205"/>
    <cellStyle name="Assumption Percentage. 3 2 2 2 10" xfId="11206"/>
    <cellStyle name="Assumption Percentage. 3 2 2 2 11" xfId="11207"/>
    <cellStyle name="Assumption Percentage. 3 2 2 2 12" xfId="11208"/>
    <cellStyle name="Assumption Percentage. 3 2 2 2 2" xfId="11209"/>
    <cellStyle name="Assumption Percentage. 3 2 2 2 2 10" xfId="11210"/>
    <cellStyle name="Assumption Percentage. 3 2 2 2 2 2" xfId="11211"/>
    <cellStyle name="Assumption Percentage. 3 2 2 2 2 2 10" xfId="11212"/>
    <cellStyle name="Assumption Percentage. 3 2 2 2 2 2 2" xfId="11213"/>
    <cellStyle name="Assumption Percentage. 3 2 2 2 2 2 3" xfId="11214"/>
    <cellStyle name="Assumption Percentage. 3 2 2 2 2 2 4" xfId="11215"/>
    <cellStyle name="Assumption Percentage. 3 2 2 2 2 2 5" xfId="11216"/>
    <cellStyle name="Assumption Percentage. 3 2 2 2 2 2 6" xfId="11217"/>
    <cellStyle name="Assumption Percentage. 3 2 2 2 2 2 7" xfId="11218"/>
    <cellStyle name="Assumption Percentage. 3 2 2 2 2 2 8" xfId="11219"/>
    <cellStyle name="Assumption Percentage. 3 2 2 2 2 2 9" xfId="11220"/>
    <cellStyle name="Assumption Percentage. 3 2 2 2 2 3" xfId="11221"/>
    <cellStyle name="Assumption Percentage. 3 2 2 2 2 4" xfId="11222"/>
    <cellStyle name="Assumption Percentage. 3 2 2 2 2 5" xfId="11223"/>
    <cellStyle name="Assumption Percentage. 3 2 2 2 2 6" xfId="11224"/>
    <cellStyle name="Assumption Percentage. 3 2 2 2 2 7" xfId="11225"/>
    <cellStyle name="Assumption Percentage. 3 2 2 2 2 8" xfId="11226"/>
    <cellStyle name="Assumption Percentage. 3 2 2 2 2 9" xfId="11227"/>
    <cellStyle name="Assumption Percentage. 3 2 2 2 3" xfId="11228"/>
    <cellStyle name="Assumption Percentage. 3 2 2 2 3 10" xfId="11229"/>
    <cellStyle name="Assumption Percentage. 3 2 2 2 3 2" xfId="11230"/>
    <cellStyle name="Assumption Percentage. 3 2 2 2 3 3" xfId="11231"/>
    <cellStyle name="Assumption Percentage. 3 2 2 2 3 4" xfId="11232"/>
    <cellStyle name="Assumption Percentage. 3 2 2 2 3 5" xfId="11233"/>
    <cellStyle name="Assumption Percentage. 3 2 2 2 3 6" xfId="11234"/>
    <cellStyle name="Assumption Percentage. 3 2 2 2 3 7" xfId="11235"/>
    <cellStyle name="Assumption Percentage. 3 2 2 2 3 8" xfId="11236"/>
    <cellStyle name="Assumption Percentage. 3 2 2 2 3 9" xfId="11237"/>
    <cellStyle name="Assumption Percentage. 3 2 2 2 4" xfId="11238"/>
    <cellStyle name="Assumption Percentage. 3 2 2 2 5" xfId="11239"/>
    <cellStyle name="Assumption Percentage. 3 2 2 2 6" xfId="11240"/>
    <cellStyle name="Assumption Percentage. 3 2 2 2 7" xfId="11241"/>
    <cellStyle name="Assumption Percentage. 3 2 2 2 8" xfId="11242"/>
    <cellStyle name="Assumption Percentage. 3 2 2 2 9" xfId="11243"/>
    <cellStyle name="Assumption Percentage. 3 2 2 3" xfId="11244"/>
    <cellStyle name="Assumption Percentage. 3 2 2 3 10" xfId="11245"/>
    <cellStyle name="Assumption Percentage. 3 2 2 3 2" xfId="11246"/>
    <cellStyle name="Assumption Percentage. 3 2 2 3 2 10" xfId="11247"/>
    <cellStyle name="Assumption Percentage. 3 2 2 3 2 2" xfId="11248"/>
    <cellStyle name="Assumption Percentage. 3 2 2 3 2 3" xfId="11249"/>
    <cellStyle name="Assumption Percentage. 3 2 2 3 2 4" xfId="11250"/>
    <cellStyle name="Assumption Percentage. 3 2 2 3 2 5" xfId="11251"/>
    <cellStyle name="Assumption Percentage. 3 2 2 3 2 6" xfId="11252"/>
    <cellStyle name="Assumption Percentage. 3 2 2 3 2 7" xfId="11253"/>
    <cellStyle name="Assumption Percentage. 3 2 2 3 2 8" xfId="11254"/>
    <cellStyle name="Assumption Percentage. 3 2 2 3 2 9" xfId="11255"/>
    <cellStyle name="Assumption Percentage. 3 2 2 3 3" xfId="11256"/>
    <cellStyle name="Assumption Percentage. 3 2 2 3 4" xfId="11257"/>
    <cellStyle name="Assumption Percentage. 3 2 2 3 5" xfId="11258"/>
    <cellStyle name="Assumption Percentage. 3 2 2 3 6" xfId="11259"/>
    <cellStyle name="Assumption Percentage. 3 2 2 3 7" xfId="11260"/>
    <cellStyle name="Assumption Percentage. 3 2 2 3 8" xfId="11261"/>
    <cellStyle name="Assumption Percentage. 3 2 2 3 9" xfId="11262"/>
    <cellStyle name="Assumption Percentage. 3 2 2 4" xfId="11263"/>
    <cellStyle name="Assumption Percentage. 3 2 2 4 10" xfId="11264"/>
    <cellStyle name="Assumption Percentage. 3 2 2 4 2" xfId="11265"/>
    <cellStyle name="Assumption Percentage. 3 2 2 4 3" xfId="11266"/>
    <cellStyle name="Assumption Percentage. 3 2 2 4 4" xfId="11267"/>
    <cellStyle name="Assumption Percentage. 3 2 2 4 5" xfId="11268"/>
    <cellStyle name="Assumption Percentage. 3 2 2 4 6" xfId="11269"/>
    <cellStyle name="Assumption Percentage. 3 2 2 4 7" xfId="11270"/>
    <cellStyle name="Assumption Percentage. 3 2 2 4 8" xfId="11271"/>
    <cellStyle name="Assumption Percentage. 3 2 2 4 9" xfId="11272"/>
    <cellStyle name="Assumption Percentage. 3 2 2 5" xfId="11273"/>
    <cellStyle name="Assumption Percentage. 3 2 2 6" xfId="11274"/>
    <cellStyle name="Assumption Percentage. 3 2 2 7" xfId="11275"/>
    <cellStyle name="Assumption Percentage. 3 2 2 8" xfId="11276"/>
    <cellStyle name="Assumption Percentage. 3 2 2 9" xfId="11277"/>
    <cellStyle name="Assumption Percentage. 3 2 3" xfId="11278"/>
    <cellStyle name="Assumption Percentage. 3 2 3 10" xfId="11279"/>
    <cellStyle name="Assumption Percentage. 3 2 3 11" xfId="11280"/>
    <cellStyle name="Assumption Percentage. 3 2 3 12" xfId="11281"/>
    <cellStyle name="Assumption Percentage. 3 2 3 2" xfId="11282"/>
    <cellStyle name="Assumption Percentage. 3 2 3 2 10" xfId="11283"/>
    <cellStyle name="Assumption Percentage. 3 2 3 2 2" xfId="11284"/>
    <cellStyle name="Assumption Percentage. 3 2 3 2 2 10" xfId="11285"/>
    <cellStyle name="Assumption Percentage. 3 2 3 2 2 2" xfId="11286"/>
    <cellStyle name="Assumption Percentage. 3 2 3 2 2 3" xfId="11287"/>
    <cellStyle name="Assumption Percentage. 3 2 3 2 2 4" xfId="11288"/>
    <cellStyle name="Assumption Percentage. 3 2 3 2 2 5" xfId="11289"/>
    <cellStyle name="Assumption Percentage. 3 2 3 2 2 6" xfId="11290"/>
    <cellStyle name="Assumption Percentage. 3 2 3 2 2 7" xfId="11291"/>
    <cellStyle name="Assumption Percentage. 3 2 3 2 2 8" xfId="11292"/>
    <cellStyle name="Assumption Percentage. 3 2 3 2 2 9" xfId="11293"/>
    <cellStyle name="Assumption Percentage. 3 2 3 2 3" xfId="11294"/>
    <cellStyle name="Assumption Percentage. 3 2 3 2 4" xfId="11295"/>
    <cellStyle name="Assumption Percentage. 3 2 3 2 5" xfId="11296"/>
    <cellStyle name="Assumption Percentage. 3 2 3 2 6" xfId="11297"/>
    <cellStyle name="Assumption Percentage. 3 2 3 2 7" xfId="11298"/>
    <cellStyle name="Assumption Percentage. 3 2 3 2 8" xfId="11299"/>
    <cellStyle name="Assumption Percentage. 3 2 3 2 9" xfId="11300"/>
    <cellStyle name="Assumption Percentage. 3 2 3 3" xfId="11301"/>
    <cellStyle name="Assumption Percentage. 3 2 3 3 10" xfId="11302"/>
    <cellStyle name="Assumption Percentage. 3 2 3 3 2" xfId="11303"/>
    <cellStyle name="Assumption Percentage. 3 2 3 3 3" xfId="11304"/>
    <cellStyle name="Assumption Percentage. 3 2 3 3 4" xfId="11305"/>
    <cellStyle name="Assumption Percentage. 3 2 3 3 5" xfId="11306"/>
    <cellStyle name="Assumption Percentage. 3 2 3 3 6" xfId="11307"/>
    <cellStyle name="Assumption Percentage. 3 2 3 3 7" xfId="11308"/>
    <cellStyle name="Assumption Percentage. 3 2 3 3 8" xfId="11309"/>
    <cellStyle name="Assumption Percentage. 3 2 3 3 9" xfId="11310"/>
    <cellStyle name="Assumption Percentage. 3 2 3 4" xfId="11311"/>
    <cellStyle name="Assumption Percentage. 3 2 3 5" xfId="11312"/>
    <cellStyle name="Assumption Percentage. 3 2 3 6" xfId="11313"/>
    <cellStyle name="Assumption Percentage. 3 2 3 7" xfId="11314"/>
    <cellStyle name="Assumption Percentage. 3 2 3 8" xfId="11315"/>
    <cellStyle name="Assumption Percentage. 3 2 3 9" xfId="11316"/>
    <cellStyle name="Assumption Percentage. 3 2 4" xfId="11317"/>
    <cellStyle name="Assumption Percentage. 3 2 4 10" xfId="11318"/>
    <cellStyle name="Assumption Percentage. 3 2 4 2" xfId="11319"/>
    <cellStyle name="Assumption Percentage. 3 2 4 2 10" xfId="11320"/>
    <cellStyle name="Assumption Percentage. 3 2 4 2 2" xfId="11321"/>
    <cellStyle name="Assumption Percentage. 3 2 4 2 3" xfId="11322"/>
    <cellStyle name="Assumption Percentage. 3 2 4 2 4" xfId="11323"/>
    <cellStyle name="Assumption Percentage. 3 2 4 2 5" xfId="11324"/>
    <cellStyle name="Assumption Percentage. 3 2 4 2 6" xfId="11325"/>
    <cellStyle name="Assumption Percentage. 3 2 4 2 7" xfId="11326"/>
    <cellStyle name="Assumption Percentage. 3 2 4 2 8" xfId="11327"/>
    <cellStyle name="Assumption Percentage. 3 2 4 2 9" xfId="11328"/>
    <cellStyle name="Assumption Percentage. 3 2 4 3" xfId="11329"/>
    <cellStyle name="Assumption Percentage. 3 2 4 4" xfId="11330"/>
    <cellStyle name="Assumption Percentage. 3 2 4 5" xfId="11331"/>
    <cellStyle name="Assumption Percentage. 3 2 4 6" xfId="11332"/>
    <cellStyle name="Assumption Percentage. 3 2 4 7" xfId="11333"/>
    <cellStyle name="Assumption Percentage. 3 2 4 8" xfId="11334"/>
    <cellStyle name="Assumption Percentage. 3 2 4 9" xfId="11335"/>
    <cellStyle name="Assumption Percentage. 3 2 5" xfId="11336"/>
    <cellStyle name="Assumption Percentage. 3 2 5 10" xfId="11337"/>
    <cellStyle name="Assumption Percentage. 3 2 5 2" xfId="11338"/>
    <cellStyle name="Assumption Percentage. 3 2 5 3" xfId="11339"/>
    <cellStyle name="Assumption Percentage. 3 2 5 4" xfId="11340"/>
    <cellStyle name="Assumption Percentage. 3 2 5 5" xfId="11341"/>
    <cellStyle name="Assumption Percentage. 3 2 5 6" xfId="11342"/>
    <cellStyle name="Assumption Percentage. 3 2 5 7" xfId="11343"/>
    <cellStyle name="Assumption Percentage. 3 2 5 8" xfId="11344"/>
    <cellStyle name="Assumption Percentage. 3 2 5 9" xfId="11345"/>
    <cellStyle name="Assumption Percentage. 3 2 6" xfId="11346"/>
    <cellStyle name="Assumption Percentage. 3 2 7" xfId="11347"/>
    <cellStyle name="Assumption Percentage. 3 2 8" xfId="11348"/>
    <cellStyle name="Assumption Percentage. 3 2 9" xfId="11349"/>
    <cellStyle name="Assumption Percentage. 3 3" xfId="11350"/>
    <cellStyle name="Assumption Percentage. 3 3 10" xfId="11351"/>
    <cellStyle name="Assumption Percentage. 3 3 11" xfId="11352"/>
    <cellStyle name="Assumption Percentage. 3 3 12" xfId="11353"/>
    <cellStyle name="Assumption Percentage. 3 3 13" xfId="11354"/>
    <cellStyle name="Assumption Percentage. 3 3 2" xfId="11355"/>
    <cellStyle name="Assumption Percentage. 3 3 2 10" xfId="11356"/>
    <cellStyle name="Assumption Percentage. 3 3 2 11" xfId="11357"/>
    <cellStyle name="Assumption Percentage. 3 3 2 12" xfId="11358"/>
    <cellStyle name="Assumption Percentage. 3 3 2 2" xfId="11359"/>
    <cellStyle name="Assumption Percentage. 3 3 2 2 10" xfId="11360"/>
    <cellStyle name="Assumption Percentage. 3 3 2 2 2" xfId="11361"/>
    <cellStyle name="Assumption Percentage. 3 3 2 2 2 10" xfId="11362"/>
    <cellStyle name="Assumption Percentage. 3 3 2 2 2 2" xfId="11363"/>
    <cellStyle name="Assumption Percentage. 3 3 2 2 2 3" xfId="11364"/>
    <cellStyle name="Assumption Percentage. 3 3 2 2 2 4" xfId="11365"/>
    <cellStyle name="Assumption Percentage. 3 3 2 2 2 5" xfId="11366"/>
    <cellStyle name="Assumption Percentage. 3 3 2 2 2 6" xfId="11367"/>
    <cellStyle name="Assumption Percentage. 3 3 2 2 2 7" xfId="11368"/>
    <cellStyle name="Assumption Percentage. 3 3 2 2 2 8" xfId="11369"/>
    <cellStyle name="Assumption Percentage. 3 3 2 2 2 9" xfId="11370"/>
    <cellStyle name="Assumption Percentage. 3 3 2 2 3" xfId="11371"/>
    <cellStyle name="Assumption Percentage. 3 3 2 2 4" xfId="11372"/>
    <cellStyle name="Assumption Percentage. 3 3 2 2 5" xfId="11373"/>
    <cellStyle name="Assumption Percentage. 3 3 2 2 6" xfId="11374"/>
    <cellStyle name="Assumption Percentage. 3 3 2 2 7" xfId="11375"/>
    <cellStyle name="Assumption Percentage. 3 3 2 2 8" xfId="11376"/>
    <cellStyle name="Assumption Percentage. 3 3 2 2 9" xfId="11377"/>
    <cellStyle name="Assumption Percentage. 3 3 2 3" xfId="11378"/>
    <cellStyle name="Assumption Percentage. 3 3 2 3 10" xfId="11379"/>
    <cellStyle name="Assumption Percentage. 3 3 2 3 2" xfId="11380"/>
    <cellStyle name="Assumption Percentage. 3 3 2 3 3" xfId="11381"/>
    <cellStyle name="Assumption Percentage. 3 3 2 3 4" xfId="11382"/>
    <cellStyle name="Assumption Percentage. 3 3 2 3 5" xfId="11383"/>
    <cellStyle name="Assumption Percentage. 3 3 2 3 6" xfId="11384"/>
    <cellStyle name="Assumption Percentage. 3 3 2 3 7" xfId="11385"/>
    <cellStyle name="Assumption Percentage. 3 3 2 3 8" xfId="11386"/>
    <cellStyle name="Assumption Percentage. 3 3 2 3 9" xfId="11387"/>
    <cellStyle name="Assumption Percentage. 3 3 2 4" xfId="11388"/>
    <cellStyle name="Assumption Percentage. 3 3 2 5" xfId="11389"/>
    <cellStyle name="Assumption Percentage. 3 3 2 6" xfId="11390"/>
    <cellStyle name="Assumption Percentage. 3 3 2 7" xfId="11391"/>
    <cellStyle name="Assumption Percentage. 3 3 2 8" xfId="11392"/>
    <cellStyle name="Assumption Percentage. 3 3 2 9" xfId="11393"/>
    <cellStyle name="Assumption Percentage. 3 3 3" xfId="11394"/>
    <cellStyle name="Assumption Percentage. 3 3 3 10" xfId="11395"/>
    <cellStyle name="Assumption Percentage. 3 3 3 2" xfId="11396"/>
    <cellStyle name="Assumption Percentage. 3 3 3 2 10" xfId="11397"/>
    <cellStyle name="Assumption Percentage. 3 3 3 2 2" xfId="11398"/>
    <cellStyle name="Assumption Percentage. 3 3 3 2 3" xfId="11399"/>
    <cellStyle name="Assumption Percentage. 3 3 3 2 4" xfId="11400"/>
    <cellStyle name="Assumption Percentage. 3 3 3 2 5" xfId="11401"/>
    <cellStyle name="Assumption Percentage. 3 3 3 2 6" xfId="11402"/>
    <cellStyle name="Assumption Percentage. 3 3 3 2 7" xfId="11403"/>
    <cellStyle name="Assumption Percentage. 3 3 3 2 8" xfId="11404"/>
    <cellStyle name="Assumption Percentage. 3 3 3 2 9" xfId="11405"/>
    <cellStyle name="Assumption Percentage. 3 3 3 3" xfId="11406"/>
    <cellStyle name="Assumption Percentage. 3 3 3 4" xfId="11407"/>
    <cellStyle name="Assumption Percentage. 3 3 3 5" xfId="11408"/>
    <cellStyle name="Assumption Percentage. 3 3 3 6" xfId="11409"/>
    <cellStyle name="Assumption Percentage. 3 3 3 7" xfId="11410"/>
    <cellStyle name="Assumption Percentage. 3 3 3 8" xfId="11411"/>
    <cellStyle name="Assumption Percentage. 3 3 3 9" xfId="11412"/>
    <cellStyle name="Assumption Percentage. 3 3 4" xfId="11413"/>
    <cellStyle name="Assumption Percentage. 3 3 4 10" xfId="11414"/>
    <cellStyle name="Assumption Percentage. 3 3 4 2" xfId="11415"/>
    <cellStyle name="Assumption Percentage. 3 3 4 3" xfId="11416"/>
    <cellStyle name="Assumption Percentage. 3 3 4 4" xfId="11417"/>
    <cellStyle name="Assumption Percentage. 3 3 4 5" xfId="11418"/>
    <cellStyle name="Assumption Percentage. 3 3 4 6" xfId="11419"/>
    <cellStyle name="Assumption Percentage. 3 3 4 7" xfId="11420"/>
    <cellStyle name="Assumption Percentage. 3 3 4 8" xfId="11421"/>
    <cellStyle name="Assumption Percentage. 3 3 4 9" xfId="11422"/>
    <cellStyle name="Assumption Percentage. 3 3 5" xfId="11423"/>
    <cellStyle name="Assumption Percentage. 3 3 6" xfId="11424"/>
    <cellStyle name="Assumption Percentage. 3 3 7" xfId="11425"/>
    <cellStyle name="Assumption Percentage. 3 3 8" xfId="11426"/>
    <cellStyle name="Assumption Percentage. 3 3 9" xfId="11427"/>
    <cellStyle name="Assumption Percentage. 3 4" xfId="11428"/>
    <cellStyle name="Assumption Percentage. 3 4 10" xfId="11429"/>
    <cellStyle name="Assumption Percentage. 3 4 11" xfId="11430"/>
    <cellStyle name="Assumption Percentage. 3 4 12" xfId="11431"/>
    <cellStyle name="Assumption Percentage. 3 4 2" xfId="11432"/>
    <cellStyle name="Assumption Percentage. 3 4 2 10" xfId="11433"/>
    <cellStyle name="Assumption Percentage. 3 4 2 2" xfId="11434"/>
    <cellStyle name="Assumption Percentage. 3 4 2 2 10" xfId="11435"/>
    <cellStyle name="Assumption Percentage. 3 4 2 2 2" xfId="11436"/>
    <cellStyle name="Assumption Percentage. 3 4 2 2 3" xfId="11437"/>
    <cellStyle name="Assumption Percentage. 3 4 2 2 4" xfId="11438"/>
    <cellStyle name="Assumption Percentage. 3 4 2 2 5" xfId="11439"/>
    <cellStyle name="Assumption Percentage. 3 4 2 2 6" xfId="11440"/>
    <cellStyle name="Assumption Percentage. 3 4 2 2 7" xfId="11441"/>
    <cellStyle name="Assumption Percentage. 3 4 2 2 8" xfId="11442"/>
    <cellStyle name="Assumption Percentage. 3 4 2 2 9" xfId="11443"/>
    <cellStyle name="Assumption Percentage. 3 4 2 3" xfId="11444"/>
    <cellStyle name="Assumption Percentage. 3 4 2 4" xfId="11445"/>
    <cellStyle name="Assumption Percentage. 3 4 2 5" xfId="11446"/>
    <cellStyle name="Assumption Percentage. 3 4 2 6" xfId="11447"/>
    <cellStyle name="Assumption Percentage. 3 4 2 7" xfId="11448"/>
    <cellStyle name="Assumption Percentage. 3 4 2 8" xfId="11449"/>
    <cellStyle name="Assumption Percentage. 3 4 2 9" xfId="11450"/>
    <cellStyle name="Assumption Percentage. 3 4 3" xfId="11451"/>
    <cellStyle name="Assumption Percentage. 3 4 3 10" xfId="11452"/>
    <cellStyle name="Assumption Percentage. 3 4 3 2" xfId="11453"/>
    <cellStyle name="Assumption Percentage. 3 4 3 3" xfId="11454"/>
    <cellStyle name="Assumption Percentage. 3 4 3 4" xfId="11455"/>
    <cellStyle name="Assumption Percentage. 3 4 3 5" xfId="11456"/>
    <cellStyle name="Assumption Percentage. 3 4 3 6" xfId="11457"/>
    <cellStyle name="Assumption Percentage. 3 4 3 7" xfId="11458"/>
    <cellStyle name="Assumption Percentage. 3 4 3 8" xfId="11459"/>
    <cellStyle name="Assumption Percentage. 3 4 3 9" xfId="11460"/>
    <cellStyle name="Assumption Percentage. 3 4 4" xfId="11461"/>
    <cellStyle name="Assumption Percentage. 3 4 5" xfId="11462"/>
    <cellStyle name="Assumption Percentage. 3 4 6" xfId="11463"/>
    <cellStyle name="Assumption Percentage. 3 4 7" xfId="11464"/>
    <cellStyle name="Assumption Percentage. 3 4 8" xfId="11465"/>
    <cellStyle name="Assumption Percentage. 3 4 9" xfId="11466"/>
    <cellStyle name="Assumption Percentage. 3 5" xfId="11467"/>
    <cellStyle name="Assumption Percentage. 3 5 10" xfId="11468"/>
    <cellStyle name="Assumption Percentage. 3 5 11" xfId="11469"/>
    <cellStyle name="Assumption Percentage. 3 5 12" xfId="11470"/>
    <cellStyle name="Assumption Percentage. 3 5 2" xfId="11471"/>
    <cellStyle name="Assumption Percentage. 3 5 2 10" xfId="11472"/>
    <cellStyle name="Assumption Percentage. 3 5 2 2" xfId="11473"/>
    <cellStyle name="Assumption Percentage. 3 5 2 2 10" xfId="11474"/>
    <cellStyle name="Assumption Percentage. 3 5 2 2 2" xfId="11475"/>
    <cellStyle name="Assumption Percentage. 3 5 2 2 3" xfId="11476"/>
    <cellStyle name="Assumption Percentage. 3 5 2 2 4" xfId="11477"/>
    <cellStyle name="Assumption Percentage. 3 5 2 2 5" xfId="11478"/>
    <cellStyle name="Assumption Percentage. 3 5 2 2 6" xfId="11479"/>
    <cellStyle name="Assumption Percentage. 3 5 2 2 7" xfId="11480"/>
    <cellStyle name="Assumption Percentage. 3 5 2 2 8" xfId="11481"/>
    <cellStyle name="Assumption Percentage. 3 5 2 2 9" xfId="11482"/>
    <cellStyle name="Assumption Percentage. 3 5 2 3" xfId="11483"/>
    <cellStyle name="Assumption Percentage. 3 5 2 4" xfId="11484"/>
    <cellStyle name="Assumption Percentage. 3 5 2 5" xfId="11485"/>
    <cellStyle name="Assumption Percentage. 3 5 2 6" xfId="11486"/>
    <cellStyle name="Assumption Percentage. 3 5 2 7" xfId="11487"/>
    <cellStyle name="Assumption Percentage. 3 5 2 8" xfId="11488"/>
    <cellStyle name="Assumption Percentage. 3 5 2 9" xfId="11489"/>
    <cellStyle name="Assumption Percentage. 3 5 3" xfId="11490"/>
    <cellStyle name="Assumption Percentage. 3 5 3 10" xfId="11491"/>
    <cellStyle name="Assumption Percentage. 3 5 3 2" xfId="11492"/>
    <cellStyle name="Assumption Percentage. 3 5 3 3" xfId="11493"/>
    <cellStyle name="Assumption Percentage. 3 5 3 4" xfId="11494"/>
    <cellStyle name="Assumption Percentage. 3 5 3 5" xfId="11495"/>
    <cellStyle name="Assumption Percentage. 3 5 3 6" xfId="11496"/>
    <cellStyle name="Assumption Percentage. 3 5 3 7" xfId="11497"/>
    <cellStyle name="Assumption Percentage. 3 5 3 8" xfId="11498"/>
    <cellStyle name="Assumption Percentage. 3 5 3 9" xfId="11499"/>
    <cellStyle name="Assumption Percentage. 3 5 4" xfId="11500"/>
    <cellStyle name="Assumption Percentage. 3 5 5" xfId="11501"/>
    <cellStyle name="Assumption Percentage. 3 5 6" xfId="11502"/>
    <cellStyle name="Assumption Percentage. 3 5 7" xfId="11503"/>
    <cellStyle name="Assumption Percentage. 3 5 8" xfId="11504"/>
    <cellStyle name="Assumption Percentage. 3 5 9" xfId="11505"/>
    <cellStyle name="Assumption Percentage. 3 6" xfId="11506"/>
    <cellStyle name="Assumption Percentage. 3 6 10" xfId="11507"/>
    <cellStyle name="Assumption Percentage. 3 6 2" xfId="11508"/>
    <cellStyle name="Assumption Percentage. 3 6 2 10" xfId="11509"/>
    <cellStyle name="Assumption Percentage. 3 6 2 2" xfId="11510"/>
    <cellStyle name="Assumption Percentage. 3 6 2 3" xfId="11511"/>
    <cellStyle name="Assumption Percentage. 3 6 2 4" xfId="11512"/>
    <cellStyle name="Assumption Percentage. 3 6 2 5" xfId="11513"/>
    <cellStyle name="Assumption Percentage. 3 6 2 6" xfId="11514"/>
    <cellStyle name="Assumption Percentage. 3 6 2 7" xfId="11515"/>
    <cellStyle name="Assumption Percentage. 3 6 2 8" xfId="11516"/>
    <cellStyle name="Assumption Percentage. 3 6 2 9" xfId="11517"/>
    <cellStyle name="Assumption Percentage. 3 6 3" xfId="11518"/>
    <cellStyle name="Assumption Percentage. 3 6 4" xfId="11519"/>
    <cellStyle name="Assumption Percentage. 3 6 5" xfId="11520"/>
    <cellStyle name="Assumption Percentage. 3 6 6" xfId="11521"/>
    <cellStyle name="Assumption Percentage. 3 6 7" xfId="11522"/>
    <cellStyle name="Assumption Percentage. 3 6 8" xfId="11523"/>
    <cellStyle name="Assumption Percentage. 3 6 9" xfId="11524"/>
    <cellStyle name="Assumption Percentage. 3 7" xfId="11525"/>
    <cellStyle name="Assumption Percentage. 3 7 10" xfId="11526"/>
    <cellStyle name="Assumption Percentage. 3 7 2" xfId="11527"/>
    <cellStyle name="Assumption Percentage. 3 7 3" xfId="11528"/>
    <cellStyle name="Assumption Percentage. 3 7 4" xfId="11529"/>
    <cellStyle name="Assumption Percentage. 3 7 5" xfId="11530"/>
    <cellStyle name="Assumption Percentage. 3 7 6" xfId="11531"/>
    <cellStyle name="Assumption Percentage. 3 7 7" xfId="11532"/>
    <cellStyle name="Assumption Percentage. 3 7 8" xfId="11533"/>
    <cellStyle name="Assumption Percentage. 3 7 9" xfId="11534"/>
    <cellStyle name="Assumption Percentage. 3 8" xfId="11535"/>
    <cellStyle name="Assumption Percentage. 3 9" xfId="11536"/>
    <cellStyle name="Assumption Percentage. 4" xfId="11537"/>
    <cellStyle name="Assumption Percentage. 4 10" xfId="11538"/>
    <cellStyle name="Assumption Percentage. 4 11" xfId="11539"/>
    <cellStyle name="Assumption Percentage. 4 12" xfId="11540"/>
    <cellStyle name="Assumption Percentage. 4 13" xfId="11541"/>
    <cellStyle name="Assumption Percentage. 4 2" xfId="11542"/>
    <cellStyle name="Assumption Percentage. 4 2 10" xfId="11543"/>
    <cellStyle name="Assumption Percentage. 4 2 11" xfId="11544"/>
    <cellStyle name="Assumption Percentage. 4 2 12" xfId="11545"/>
    <cellStyle name="Assumption Percentage. 4 2 2" xfId="11546"/>
    <cellStyle name="Assumption Percentage. 4 2 2 10" xfId="11547"/>
    <cellStyle name="Assumption Percentage. 4 2 2 2" xfId="11548"/>
    <cellStyle name="Assumption Percentage. 4 2 2 2 10" xfId="11549"/>
    <cellStyle name="Assumption Percentage. 4 2 2 2 2" xfId="11550"/>
    <cellStyle name="Assumption Percentage. 4 2 2 2 3" xfId="11551"/>
    <cellStyle name="Assumption Percentage. 4 2 2 2 4" xfId="11552"/>
    <cellStyle name="Assumption Percentage. 4 2 2 2 5" xfId="11553"/>
    <cellStyle name="Assumption Percentage. 4 2 2 2 6" xfId="11554"/>
    <cellStyle name="Assumption Percentage. 4 2 2 2 7" xfId="11555"/>
    <cellStyle name="Assumption Percentage. 4 2 2 2 8" xfId="11556"/>
    <cellStyle name="Assumption Percentage. 4 2 2 2 9" xfId="11557"/>
    <cellStyle name="Assumption Percentage. 4 2 2 3" xfId="11558"/>
    <cellStyle name="Assumption Percentage. 4 2 2 4" xfId="11559"/>
    <cellStyle name="Assumption Percentage. 4 2 2 5" xfId="11560"/>
    <cellStyle name="Assumption Percentage. 4 2 2 6" xfId="11561"/>
    <cellStyle name="Assumption Percentage. 4 2 2 7" xfId="11562"/>
    <cellStyle name="Assumption Percentage. 4 2 2 8" xfId="11563"/>
    <cellStyle name="Assumption Percentage. 4 2 2 9" xfId="11564"/>
    <cellStyle name="Assumption Percentage. 4 2 3" xfId="11565"/>
    <cellStyle name="Assumption Percentage. 4 2 3 10" xfId="11566"/>
    <cellStyle name="Assumption Percentage. 4 2 3 2" xfId="11567"/>
    <cellStyle name="Assumption Percentage. 4 2 3 3" xfId="11568"/>
    <cellStyle name="Assumption Percentage. 4 2 3 4" xfId="11569"/>
    <cellStyle name="Assumption Percentage. 4 2 3 5" xfId="11570"/>
    <cellStyle name="Assumption Percentage. 4 2 3 6" xfId="11571"/>
    <cellStyle name="Assumption Percentage. 4 2 3 7" xfId="11572"/>
    <cellStyle name="Assumption Percentage. 4 2 3 8" xfId="11573"/>
    <cellStyle name="Assumption Percentage. 4 2 3 9" xfId="11574"/>
    <cellStyle name="Assumption Percentage. 4 2 4" xfId="11575"/>
    <cellStyle name="Assumption Percentage. 4 2 5" xfId="11576"/>
    <cellStyle name="Assumption Percentage. 4 2 6" xfId="11577"/>
    <cellStyle name="Assumption Percentage. 4 2 7" xfId="11578"/>
    <cellStyle name="Assumption Percentage. 4 2 8" xfId="11579"/>
    <cellStyle name="Assumption Percentage. 4 2 9" xfId="11580"/>
    <cellStyle name="Assumption Percentage. 4 3" xfId="11581"/>
    <cellStyle name="Assumption Percentage. 4 3 10" xfId="11582"/>
    <cellStyle name="Assumption Percentage. 4 3 2" xfId="11583"/>
    <cellStyle name="Assumption Percentage. 4 3 2 10" xfId="11584"/>
    <cellStyle name="Assumption Percentage. 4 3 2 2" xfId="11585"/>
    <cellStyle name="Assumption Percentage. 4 3 2 3" xfId="11586"/>
    <cellStyle name="Assumption Percentage. 4 3 2 4" xfId="11587"/>
    <cellStyle name="Assumption Percentage. 4 3 2 5" xfId="11588"/>
    <cellStyle name="Assumption Percentage. 4 3 2 6" xfId="11589"/>
    <cellStyle name="Assumption Percentage. 4 3 2 7" xfId="11590"/>
    <cellStyle name="Assumption Percentage. 4 3 2 8" xfId="11591"/>
    <cellStyle name="Assumption Percentage. 4 3 2 9" xfId="11592"/>
    <cellStyle name="Assumption Percentage. 4 3 3" xfId="11593"/>
    <cellStyle name="Assumption Percentage. 4 3 4" xfId="11594"/>
    <cellStyle name="Assumption Percentage. 4 3 5" xfId="11595"/>
    <cellStyle name="Assumption Percentage. 4 3 6" xfId="11596"/>
    <cellStyle name="Assumption Percentage. 4 3 7" xfId="11597"/>
    <cellStyle name="Assumption Percentage. 4 3 8" xfId="11598"/>
    <cellStyle name="Assumption Percentage. 4 3 9" xfId="11599"/>
    <cellStyle name="Assumption Percentage. 4 4" xfId="11600"/>
    <cellStyle name="Assumption Percentage. 4 4 10" xfId="11601"/>
    <cellStyle name="Assumption Percentage. 4 4 2" xfId="11602"/>
    <cellStyle name="Assumption Percentage. 4 4 3" xfId="11603"/>
    <cellStyle name="Assumption Percentage. 4 4 4" xfId="11604"/>
    <cellStyle name="Assumption Percentage. 4 4 5" xfId="11605"/>
    <cellStyle name="Assumption Percentage. 4 4 6" xfId="11606"/>
    <cellStyle name="Assumption Percentage. 4 4 7" xfId="11607"/>
    <cellStyle name="Assumption Percentage. 4 4 8" xfId="11608"/>
    <cellStyle name="Assumption Percentage. 4 4 9" xfId="11609"/>
    <cellStyle name="Assumption Percentage. 4 5" xfId="11610"/>
    <cellStyle name="Assumption Percentage. 4 6" xfId="11611"/>
    <cellStyle name="Assumption Percentage. 4 7" xfId="11612"/>
    <cellStyle name="Assumption Percentage. 4 8" xfId="11613"/>
    <cellStyle name="Assumption Percentage. 4 9" xfId="11614"/>
    <cellStyle name="Assumption Percentage. 5" xfId="11615"/>
    <cellStyle name="Assumption Percentage. 5 10" xfId="11616"/>
    <cellStyle name="Assumption Percentage. 5 11" xfId="11617"/>
    <cellStyle name="Assumption Percentage. 5 12" xfId="11618"/>
    <cellStyle name="Assumption Percentage. 5 13" xfId="11619"/>
    <cellStyle name="Assumption Percentage. 5 2" xfId="11620"/>
    <cellStyle name="Assumption Percentage. 5 2 10" xfId="11621"/>
    <cellStyle name="Assumption Percentage. 5 2 11" xfId="11622"/>
    <cellStyle name="Assumption Percentage. 5 2 12" xfId="11623"/>
    <cellStyle name="Assumption Percentage. 5 2 2" xfId="11624"/>
    <cellStyle name="Assumption Percentage. 5 2 2 10" xfId="11625"/>
    <cellStyle name="Assumption Percentage. 5 2 2 2" xfId="11626"/>
    <cellStyle name="Assumption Percentage. 5 2 2 2 10" xfId="11627"/>
    <cellStyle name="Assumption Percentage. 5 2 2 2 2" xfId="11628"/>
    <cellStyle name="Assumption Percentage. 5 2 2 2 3" xfId="11629"/>
    <cellStyle name="Assumption Percentage. 5 2 2 2 4" xfId="11630"/>
    <cellStyle name="Assumption Percentage. 5 2 2 2 5" xfId="11631"/>
    <cellStyle name="Assumption Percentage. 5 2 2 2 6" xfId="11632"/>
    <cellStyle name="Assumption Percentage. 5 2 2 2 7" xfId="11633"/>
    <cellStyle name="Assumption Percentage. 5 2 2 2 8" xfId="11634"/>
    <cellStyle name="Assumption Percentage. 5 2 2 2 9" xfId="11635"/>
    <cellStyle name="Assumption Percentage. 5 2 2 3" xfId="11636"/>
    <cellStyle name="Assumption Percentage. 5 2 2 4" xfId="11637"/>
    <cellStyle name="Assumption Percentage. 5 2 2 5" xfId="11638"/>
    <cellStyle name="Assumption Percentage. 5 2 2 6" xfId="11639"/>
    <cellStyle name="Assumption Percentage. 5 2 2 7" xfId="11640"/>
    <cellStyle name="Assumption Percentage. 5 2 2 8" xfId="11641"/>
    <cellStyle name="Assumption Percentage. 5 2 2 9" xfId="11642"/>
    <cellStyle name="Assumption Percentage. 5 2 3" xfId="11643"/>
    <cellStyle name="Assumption Percentage. 5 2 3 10" xfId="11644"/>
    <cellStyle name="Assumption Percentage. 5 2 3 2" xfId="11645"/>
    <cellStyle name="Assumption Percentage. 5 2 3 3" xfId="11646"/>
    <cellStyle name="Assumption Percentage. 5 2 3 4" xfId="11647"/>
    <cellStyle name="Assumption Percentage. 5 2 3 5" xfId="11648"/>
    <cellStyle name="Assumption Percentage. 5 2 3 6" xfId="11649"/>
    <cellStyle name="Assumption Percentage. 5 2 3 7" xfId="11650"/>
    <cellStyle name="Assumption Percentage. 5 2 3 8" xfId="11651"/>
    <cellStyle name="Assumption Percentage. 5 2 3 9" xfId="11652"/>
    <cellStyle name="Assumption Percentage. 5 2 4" xfId="11653"/>
    <cellStyle name="Assumption Percentage. 5 2 5" xfId="11654"/>
    <cellStyle name="Assumption Percentage. 5 2 6" xfId="11655"/>
    <cellStyle name="Assumption Percentage. 5 2 7" xfId="11656"/>
    <cellStyle name="Assumption Percentage. 5 2 8" xfId="11657"/>
    <cellStyle name="Assumption Percentage. 5 2 9" xfId="11658"/>
    <cellStyle name="Assumption Percentage. 5 3" xfId="11659"/>
    <cellStyle name="Assumption Percentage. 5 3 10" xfId="11660"/>
    <cellStyle name="Assumption Percentage. 5 3 2" xfId="11661"/>
    <cellStyle name="Assumption Percentage. 5 3 2 10" xfId="11662"/>
    <cellStyle name="Assumption Percentage. 5 3 2 2" xfId="11663"/>
    <cellStyle name="Assumption Percentage. 5 3 2 3" xfId="11664"/>
    <cellStyle name="Assumption Percentage. 5 3 2 4" xfId="11665"/>
    <cellStyle name="Assumption Percentage. 5 3 2 5" xfId="11666"/>
    <cellStyle name="Assumption Percentage. 5 3 2 6" xfId="11667"/>
    <cellStyle name="Assumption Percentage. 5 3 2 7" xfId="11668"/>
    <cellStyle name="Assumption Percentage. 5 3 2 8" xfId="11669"/>
    <cellStyle name="Assumption Percentage. 5 3 2 9" xfId="11670"/>
    <cellStyle name="Assumption Percentage. 5 3 3" xfId="11671"/>
    <cellStyle name="Assumption Percentage. 5 3 4" xfId="11672"/>
    <cellStyle name="Assumption Percentage. 5 3 5" xfId="11673"/>
    <cellStyle name="Assumption Percentage. 5 3 6" xfId="11674"/>
    <cellStyle name="Assumption Percentage. 5 3 7" xfId="11675"/>
    <cellStyle name="Assumption Percentage. 5 3 8" xfId="11676"/>
    <cellStyle name="Assumption Percentage. 5 3 9" xfId="11677"/>
    <cellStyle name="Assumption Percentage. 5 4" xfId="11678"/>
    <cellStyle name="Assumption Percentage. 5 4 10" xfId="11679"/>
    <cellStyle name="Assumption Percentage. 5 4 2" xfId="11680"/>
    <cellStyle name="Assumption Percentage. 5 4 3" xfId="11681"/>
    <cellStyle name="Assumption Percentage. 5 4 4" xfId="11682"/>
    <cellStyle name="Assumption Percentage. 5 4 5" xfId="11683"/>
    <cellStyle name="Assumption Percentage. 5 4 6" xfId="11684"/>
    <cellStyle name="Assumption Percentage. 5 4 7" xfId="11685"/>
    <cellStyle name="Assumption Percentage. 5 4 8" xfId="11686"/>
    <cellStyle name="Assumption Percentage. 5 4 9" xfId="11687"/>
    <cellStyle name="Assumption Percentage. 5 5" xfId="11688"/>
    <cellStyle name="Assumption Percentage. 5 6" xfId="11689"/>
    <cellStyle name="Assumption Percentage. 5 7" xfId="11690"/>
    <cellStyle name="Assumption Percentage. 5 8" xfId="11691"/>
    <cellStyle name="Assumption Percentage. 5 9" xfId="11692"/>
    <cellStyle name="Assumption Percentage. 6" xfId="11693"/>
    <cellStyle name="Assumption Percentage. 6 10" xfId="11694"/>
    <cellStyle name="Assumption Percentage. 6 11" xfId="11695"/>
    <cellStyle name="Assumption Percentage. 6 12" xfId="11696"/>
    <cellStyle name="Assumption Percentage. 6 13" xfId="11697"/>
    <cellStyle name="Assumption Percentage. 6 2" xfId="11698"/>
    <cellStyle name="Assumption Percentage. 6 2 10" xfId="11699"/>
    <cellStyle name="Assumption Percentage. 6 2 11" xfId="11700"/>
    <cellStyle name="Assumption Percentage. 6 2 12" xfId="11701"/>
    <cellStyle name="Assumption Percentage. 6 2 2" xfId="11702"/>
    <cellStyle name="Assumption Percentage. 6 2 2 10" xfId="11703"/>
    <cellStyle name="Assumption Percentage. 6 2 2 2" xfId="11704"/>
    <cellStyle name="Assumption Percentage. 6 2 2 2 10" xfId="11705"/>
    <cellStyle name="Assumption Percentage. 6 2 2 2 2" xfId="11706"/>
    <cellStyle name="Assumption Percentage. 6 2 2 2 3" xfId="11707"/>
    <cellStyle name="Assumption Percentage. 6 2 2 2 4" xfId="11708"/>
    <cellStyle name="Assumption Percentage. 6 2 2 2 5" xfId="11709"/>
    <cellStyle name="Assumption Percentage. 6 2 2 2 6" xfId="11710"/>
    <cellStyle name="Assumption Percentage. 6 2 2 2 7" xfId="11711"/>
    <cellStyle name="Assumption Percentage. 6 2 2 2 8" xfId="11712"/>
    <cellStyle name="Assumption Percentage. 6 2 2 2 9" xfId="11713"/>
    <cellStyle name="Assumption Percentage. 6 2 2 3" xfId="11714"/>
    <cellStyle name="Assumption Percentage. 6 2 2 4" xfId="11715"/>
    <cellStyle name="Assumption Percentage. 6 2 2 5" xfId="11716"/>
    <cellStyle name="Assumption Percentage. 6 2 2 6" xfId="11717"/>
    <cellStyle name="Assumption Percentage. 6 2 2 7" xfId="11718"/>
    <cellStyle name="Assumption Percentage. 6 2 2 8" xfId="11719"/>
    <cellStyle name="Assumption Percentage. 6 2 2 9" xfId="11720"/>
    <cellStyle name="Assumption Percentage. 6 2 3" xfId="11721"/>
    <cellStyle name="Assumption Percentage. 6 2 3 10" xfId="11722"/>
    <cellStyle name="Assumption Percentage. 6 2 3 2" xfId="11723"/>
    <cellStyle name="Assumption Percentage. 6 2 3 3" xfId="11724"/>
    <cellStyle name="Assumption Percentage. 6 2 3 4" xfId="11725"/>
    <cellStyle name="Assumption Percentage. 6 2 3 5" xfId="11726"/>
    <cellStyle name="Assumption Percentage. 6 2 3 6" xfId="11727"/>
    <cellStyle name="Assumption Percentage. 6 2 3 7" xfId="11728"/>
    <cellStyle name="Assumption Percentage. 6 2 3 8" xfId="11729"/>
    <cellStyle name="Assumption Percentage. 6 2 3 9" xfId="11730"/>
    <cellStyle name="Assumption Percentage. 6 2 4" xfId="11731"/>
    <cellStyle name="Assumption Percentage. 6 2 5" xfId="11732"/>
    <cellStyle name="Assumption Percentage. 6 2 6" xfId="11733"/>
    <cellStyle name="Assumption Percentage. 6 2 7" xfId="11734"/>
    <cellStyle name="Assumption Percentage. 6 2 8" xfId="11735"/>
    <cellStyle name="Assumption Percentage. 6 2 9" xfId="11736"/>
    <cellStyle name="Assumption Percentage. 6 3" xfId="11737"/>
    <cellStyle name="Assumption Percentage. 6 3 10" xfId="11738"/>
    <cellStyle name="Assumption Percentage. 6 3 2" xfId="11739"/>
    <cellStyle name="Assumption Percentage. 6 3 2 10" xfId="11740"/>
    <cellStyle name="Assumption Percentage. 6 3 2 2" xfId="11741"/>
    <cellStyle name="Assumption Percentage. 6 3 2 3" xfId="11742"/>
    <cellStyle name="Assumption Percentage. 6 3 2 4" xfId="11743"/>
    <cellStyle name="Assumption Percentage. 6 3 2 5" xfId="11744"/>
    <cellStyle name="Assumption Percentage. 6 3 2 6" xfId="11745"/>
    <cellStyle name="Assumption Percentage. 6 3 2 7" xfId="11746"/>
    <cellStyle name="Assumption Percentage. 6 3 2 8" xfId="11747"/>
    <cellStyle name="Assumption Percentage. 6 3 2 9" xfId="11748"/>
    <cellStyle name="Assumption Percentage. 6 3 3" xfId="11749"/>
    <cellStyle name="Assumption Percentage. 6 3 4" xfId="11750"/>
    <cellStyle name="Assumption Percentage. 6 3 5" xfId="11751"/>
    <cellStyle name="Assumption Percentage. 6 3 6" xfId="11752"/>
    <cellStyle name="Assumption Percentage. 6 3 7" xfId="11753"/>
    <cellStyle name="Assumption Percentage. 6 3 8" xfId="11754"/>
    <cellStyle name="Assumption Percentage. 6 3 9" xfId="11755"/>
    <cellStyle name="Assumption Percentage. 6 4" xfId="11756"/>
    <cellStyle name="Assumption Percentage. 6 4 10" xfId="11757"/>
    <cellStyle name="Assumption Percentage. 6 4 2" xfId="11758"/>
    <cellStyle name="Assumption Percentage. 6 4 3" xfId="11759"/>
    <cellStyle name="Assumption Percentage. 6 4 4" xfId="11760"/>
    <cellStyle name="Assumption Percentage. 6 4 5" xfId="11761"/>
    <cellStyle name="Assumption Percentage. 6 4 6" xfId="11762"/>
    <cellStyle name="Assumption Percentage. 6 4 7" xfId="11763"/>
    <cellStyle name="Assumption Percentage. 6 4 8" xfId="11764"/>
    <cellStyle name="Assumption Percentage. 6 4 9" xfId="11765"/>
    <cellStyle name="Assumption Percentage. 6 5" xfId="11766"/>
    <cellStyle name="Assumption Percentage. 6 6" xfId="11767"/>
    <cellStyle name="Assumption Percentage. 6 7" xfId="11768"/>
    <cellStyle name="Assumption Percentage. 6 8" xfId="11769"/>
    <cellStyle name="Assumption Percentage. 6 9" xfId="11770"/>
    <cellStyle name="Assumption Percentage. 7" xfId="11771"/>
    <cellStyle name="Assumption Percentage. 7 10" xfId="11772"/>
    <cellStyle name="Assumption Percentage. 7 11" xfId="11773"/>
    <cellStyle name="Assumption Percentage. 7 12" xfId="11774"/>
    <cellStyle name="Assumption Percentage. 7 13" xfId="11775"/>
    <cellStyle name="Assumption Percentage. 7 2" xfId="11776"/>
    <cellStyle name="Assumption Percentage. 7 2 10" xfId="11777"/>
    <cellStyle name="Assumption Percentage. 7 2 11" xfId="11778"/>
    <cellStyle name="Assumption Percentage. 7 2 12" xfId="11779"/>
    <cellStyle name="Assumption Percentage. 7 2 2" xfId="11780"/>
    <cellStyle name="Assumption Percentage. 7 2 2 10" xfId="11781"/>
    <cellStyle name="Assumption Percentage. 7 2 2 2" xfId="11782"/>
    <cellStyle name="Assumption Percentage. 7 2 2 2 10" xfId="11783"/>
    <cellStyle name="Assumption Percentage. 7 2 2 2 2" xfId="11784"/>
    <cellStyle name="Assumption Percentage. 7 2 2 2 3" xfId="11785"/>
    <cellStyle name="Assumption Percentage. 7 2 2 2 4" xfId="11786"/>
    <cellStyle name="Assumption Percentage. 7 2 2 2 5" xfId="11787"/>
    <cellStyle name="Assumption Percentage. 7 2 2 2 6" xfId="11788"/>
    <cellStyle name="Assumption Percentage. 7 2 2 2 7" xfId="11789"/>
    <cellStyle name="Assumption Percentage. 7 2 2 2 8" xfId="11790"/>
    <cellStyle name="Assumption Percentage. 7 2 2 2 9" xfId="11791"/>
    <cellStyle name="Assumption Percentage. 7 2 2 3" xfId="11792"/>
    <cellStyle name="Assumption Percentage. 7 2 2 4" xfId="11793"/>
    <cellStyle name="Assumption Percentage. 7 2 2 5" xfId="11794"/>
    <cellStyle name="Assumption Percentage. 7 2 2 6" xfId="11795"/>
    <cellStyle name="Assumption Percentage. 7 2 2 7" xfId="11796"/>
    <cellStyle name="Assumption Percentage. 7 2 2 8" xfId="11797"/>
    <cellStyle name="Assumption Percentage. 7 2 2 9" xfId="11798"/>
    <cellStyle name="Assumption Percentage. 7 2 3" xfId="11799"/>
    <cellStyle name="Assumption Percentage. 7 2 3 10" xfId="11800"/>
    <cellStyle name="Assumption Percentage. 7 2 3 2" xfId="11801"/>
    <cellStyle name="Assumption Percentage. 7 2 3 3" xfId="11802"/>
    <cellStyle name="Assumption Percentage. 7 2 3 4" xfId="11803"/>
    <cellStyle name="Assumption Percentage. 7 2 3 5" xfId="11804"/>
    <cellStyle name="Assumption Percentage. 7 2 3 6" xfId="11805"/>
    <cellStyle name="Assumption Percentage. 7 2 3 7" xfId="11806"/>
    <cellStyle name="Assumption Percentage. 7 2 3 8" xfId="11807"/>
    <cellStyle name="Assumption Percentage. 7 2 3 9" xfId="11808"/>
    <cellStyle name="Assumption Percentage. 7 2 4" xfId="11809"/>
    <cellStyle name="Assumption Percentage. 7 2 5" xfId="11810"/>
    <cellStyle name="Assumption Percentage. 7 2 6" xfId="11811"/>
    <cellStyle name="Assumption Percentage. 7 2 7" xfId="11812"/>
    <cellStyle name="Assumption Percentage. 7 2 8" xfId="11813"/>
    <cellStyle name="Assumption Percentage. 7 2 9" xfId="11814"/>
    <cellStyle name="Assumption Percentage. 7 3" xfId="11815"/>
    <cellStyle name="Assumption Percentage. 7 3 10" xfId="11816"/>
    <cellStyle name="Assumption Percentage. 7 3 2" xfId="11817"/>
    <cellStyle name="Assumption Percentage. 7 3 2 10" xfId="11818"/>
    <cellStyle name="Assumption Percentage. 7 3 2 2" xfId="11819"/>
    <cellStyle name="Assumption Percentage. 7 3 2 3" xfId="11820"/>
    <cellStyle name="Assumption Percentage. 7 3 2 4" xfId="11821"/>
    <cellStyle name="Assumption Percentage. 7 3 2 5" xfId="11822"/>
    <cellStyle name="Assumption Percentage. 7 3 2 6" xfId="11823"/>
    <cellStyle name="Assumption Percentage. 7 3 2 7" xfId="11824"/>
    <cellStyle name="Assumption Percentage. 7 3 2 8" xfId="11825"/>
    <cellStyle name="Assumption Percentage. 7 3 2 9" xfId="11826"/>
    <cellStyle name="Assumption Percentage. 7 3 3" xfId="11827"/>
    <cellStyle name="Assumption Percentage. 7 3 4" xfId="11828"/>
    <cellStyle name="Assumption Percentage. 7 3 5" xfId="11829"/>
    <cellStyle name="Assumption Percentage. 7 3 6" xfId="11830"/>
    <cellStyle name="Assumption Percentage. 7 3 7" xfId="11831"/>
    <cellStyle name="Assumption Percentage. 7 3 8" xfId="11832"/>
    <cellStyle name="Assumption Percentage. 7 3 9" xfId="11833"/>
    <cellStyle name="Assumption Percentage. 7 4" xfId="11834"/>
    <cellStyle name="Assumption Percentage. 7 4 10" xfId="11835"/>
    <cellStyle name="Assumption Percentage. 7 4 2" xfId="11836"/>
    <cellStyle name="Assumption Percentage. 7 4 3" xfId="11837"/>
    <cellStyle name="Assumption Percentage. 7 4 4" xfId="11838"/>
    <cellStyle name="Assumption Percentage. 7 4 5" xfId="11839"/>
    <cellStyle name="Assumption Percentage. 7 4 6" xfId="11840"/>
    <cellStyle name="Assumption Percentage. 7 4 7" xfId="11841"/>
    <cellStyle name="Assumption Percentage. 7 4 8" xfId="11842"/>
    <cellStyle name="Assumption Percentage. 7 4 9" xfId="11843"/>
    <cellStyle name="Assumption Percentage. 7 5" xfId="11844"/>
    <cellStyle name="Assumption Percentage. 7 6" xfId="11845"/>
    <cellStyle name="Assumption Percentage. 7 7" xfId="11846"/>
    <cellStyle name="Assumption Percentage. 7 8" xfId="11847"/>
    <cellStyle name="Assumption Percentage. 7 9" xfId="11848"/>
    <cellStyle name="Assumption Percentage. 8" xfId="11849"/>
    <cellStyle name="Assumption Percentage. 8 10" xfId="11850"/>
    <cellStyle name="Assumption Percentage. 8 11" xfId="11851"/>
    <cellStyle name="Assumption Percentage. 8 12" xfId="11852"/>
    <cellStyle name="Assumption Percentage. 8 13" xfId="11853"/>
    <cellStyle name="Assumption Percentage. 8 2" xfId="11854"/>
    <cellStyle name="Assumption Percentage. 8 2 10" xfId="11855"/>
    <cellStyle name="Assumption Percentage. 8 2 11" xfId="11856"/>
    <cellStyle name="Assumption Percentage. 8 2 12" xfId="11857"/>
    <cellStyle name="Assumption Percentage. 8 2 2" xfId="11858"/>
    <cellStyle name="Assumption Percentage. 8 2 2 10" xfId="11859"/>
    <cellStyle name="Assumption Percentage. 8 2 2 2" xfId="11860"/>
    <cellStyle name="Assumption Percentage. 8 2 2 2 10" xfId="11861"/>
    <cellStyle name="Assumption Percentage. 8 2 2 2 2" xfId="11862"/>
    <cellStyle name="Assumption Percentage. 8 2 2 2 3" xfId="11863"/>
    <cellStyle name="Assumption Percentage. 8 2 2 2 4" xfId="11864"/>
    <cellStyle name="Assumption Percentage. 8 2 2 2 5" xfId="11865"/>
    <cellStyle name="Assumption Percentage. 8 2 2 2 6" xfId="11866"/>
    <cellStyle name="Assumption Percentage. 8 2 2 2 7" xfId="11867"/>
    <cellStyle name="Assumption Percentage. 8 2 2 2 8" xfId="11868"/>
    <cellStyle name="Assumption Percentage. 8 2 2 2 9" xfId="11869"/>
    <cellStyle name="Assumption Percentage. 8 2 2 3" xfId="11870"/>
    <cellStyle name="Assumption Percentage. 8 2 2 4" xfId="11871"/>
    <cellStyle name="Assumption Percentage. 8 2 2 5" xfId="11872"/>
    <cellStyle name="Assumption Percentage. 8 2 2 6" xfId="11873"/>
    <cellStyle name="Assumption Percentage. 8 2 2 7" xfId="11874"/>
    <cellStyle name="Assumption Percentage. 8 2 2 8" xfId="11875"/>
    <cellStyle name="Assumption Percentage. 8 2 2 9" xfId="11876"/>
    <cellStyle name="Assumption Percentage. 8 2 3" xfId="11877"/>
    <cellStyle name="Assumption Percentage. 8 2 3 10" xfId="11878"/>
    <cellStyle name="Assumption Percentage. 8 2 3 2" xfId="11879"/>
    <cellStyle name="Assumption Percentage. 8 2 3 3" xfId="11880"/>
    <cellStyle name="Assumption Percentage. 8 2 3 4" xfId="11881"/>
    <cellStyle name="Assumption Percentage. 8 2 3 5" xfId="11882"/>
    <cellStyle name="Assumption Percentage. 8 2 3 6" xfId="11883"/>
    <cellStyle name="Assumption Percentage. 8 2 3 7" xfId="11884"/>
    <cellStyle name="Assumption Percentage. 8 2 3 8" xfId="11885"/>
    <cellStyle name="Assumption Percentage. 8 2 3 9" xfId="11886"/>
    <cellStyle name="Assumption Percentage. 8 2 4" xfId="11887"/>
    <cellStyle name="Assumption Percentage. 8 2 5" xfId="11888"/>
    <cellStyle name="Assumption Percentage. 8 2 6" xfId="11889"/>
    <cellStyle name="Assumption Percentage. 8 2 7" xfId="11890"/>
    <cellStyle name="Assumption Percentage. 8 2 8" xfId="11891"/>
    <cellStyle name="Assumption Percentage. 8 2 9" xfId="11892"/>
    <cellStyle name="Assumption Percentage. 8 3" xfId="11893"/>
    <cellStyle name="Assumption Percentage. 8 3 10" xfId="11894"/>
    <cellStyle name="Assumption Percentage. 8 3 2" xfId="11895"/>
    <cellStyle name="Assumption Percentage. 8 3 2 10" xfId="11896"/>
    <cellStyle name="Assumption Percentage. 8 3 2 2" xfId="11897"/>
    <cellStyle name="Assumption Percentage. 8 3 2 3" xfId="11898"/>
    <cellStyle name="Assumption Percentage. 8 3 2 4" xfId="11899"/>
    <cellStyle name="Assumption Percentage. 8 3 2 5" xfId="11900"/>
    <cellStyle name="Assumption Percentage. 8 3 2 6" xfId="11901"/>
    <cellStyle name="Assumption Percentage. 8 3 2 7" xfId="11902"/>
    <cellStyle name="Assumption Percentage. 8 3 2 8" xfId="11903"/>
    <cellStyle name="Assumption Percentage. 8 3 2 9" xfId="11904"/>
    <cellStyle name="Assumption Percentage. 8 3 3" xfId="11905"/>
    <cellStyle name="Assumption Percentage. 8 3 4" xfId="11906"/>
    <cellStyle name="Assumption Percentage. 8 3 5" xfId="11907"/>
    <cellStyle name="Assumption Percentage. 8 3 6" xfId="11908"/>
    <cellStyle name="Assumption Percentage. 8 3 7" xfId="11909"/>
    <cellStyle name="Assumption Percentage. 8 3 8" xfId="11910"/>
    <cellStyle name="Assumption Percentage. 8 3 9" xfId="11911"/>
    <cellStyle name="Assumption Percentage. 8 4" xfId="11912"/>
    <cellStyle name="Assumption Percentage. 8 4 10" xfId="11913"/>
    <cellStyle name="Assumption Percentage. 8 4 2" xfId="11914"/>
    <cellStyle name="Assumption Percentage. 8 4 3" xfId="11915"/>
    <cellStyle name="Assumption Percentage. 8 4 4" xfId="11916"/>
    <cellStyle name="Assumption Percentage. 8 4 5" xfId="11917"/>
    <cellStyle name="Assumption Percentage. 8 4 6" xfId="11918"/>
    <cellStyle name="Assumption Percentage. 8 4 7" xfId="11919"/>
    <cellStyle name="Assumption Percentage. 8 4 8" xfId="11920"/>
    <cellStyle name="Assumption Percentage. 8 4 9" xfId="11921"/>
    <cellStyle name="Assumption Percentage. 8 5" xfId="11922"/>
    <cellStyle name="Assumption Percentage. 8 6" xfId="11923"/>
    <cellStyle name="Assumption Percentage. 8 7" xfId="11924"/>
    <cellStyle name="Assumption Percentage. 8 8" xfId="11925"/>
    <cellStyle name="Assumption Percentage. 8 9" xfId="11926"/>
    <cellStyle name="Assumption Percentage. 9" xfId="11927"/>
    <cellStyle name="Assumption Percentage. 9 10" xfId="11928"/>
    <cellStyle name="Assumption Percentage. 9 11" xfId="11929"/>
    <cellStyle name="Assumption Percentage. 9 12" xfId="11930"/>
    <cellStyle name="Assumption Percentage. 9 13" xfId="11931"/>
    <cellStyle name="Assumption Percentage. 9 2" xfId="11932"/>
    <cellStyle name="Assumption Percentage. 9 2 10" xfId="11933"/>
    <cellStyle name="Assumption Percentage. 9 2 11" xfId="11934"/>
    <cellStyle name="Assumption Percentage. 9 2 12" xfId="11935"/>
    <cellStyle name="Assumption Percentage. 9 2 2" xfId="11936"/>
    <cellStyle name="Assumption Percentage. 9 2 2 10" xfId="11937"/>
    <cellStyle name="Assumption Percentage. 9 2 2 2" xfId="11938"/>
    <cellStyle name="Assumption Percentage. 9 2 2 2 10" xfId="11939"/>
    <cellStyle name="Assumption Percentage. 9 2 2 2 2" xfId="11940"/>
    <cellStyle name="Assumption Percentage. 9 2 2 2 3" xfId="11941"/>
    <cellStyle name="Assumption Percentage. 9 2 2 2 4" xfId="11942"/>
    <cellStyle name="Assumption Percentage. 9 2 2 2 5" xfId="11943"/>
    <cellStyle name="Assumption Percentage. 9 2 2 2 6" xfId="11944"/>
    <cellStyle name="Assumption Percentage. 9 2 2 2 7" xfId="11945"/>
    <cellStyle name="Assumption Percentage. 9 2 2 2 8" xfId="11946"/>
    <cellStyle name="Assumption Percentage. 9 2 2 2 9" xfId="11947"/>
    <cellStyle name="Assumption Percentage. 9 2 2 3" xfId="11948"/>
    <cellStyle name="Assumption Percentage. 9 2 2 4" xfId="11949"/>
    <cellStyle name="Assumption Percentage. 9 2 2 5" xfId="11950"/>
    <cellStyle name="Assumption Percentage. 9 2 2 6" xfId="11951"/>
    <cellStyle name="Assumption Percentage. 9 2 2 7" xfId="11952"/>
    <cellStyle name="Assumption Percentage. 9 2 2 8" xfId="11953"/>
    <cellStyle name="Assumption Percentage. 9 2 2 9" xfId="11954"/>
    <cellStyle name="Assumption Percentage. 9 2 3" xfId="11955"/>
    <cellStyle name="Assumption Percentage. 9 2 3 10" xfId="11956"/>
    <cellStyle name="Assumption Percentage. 9 2 3 2" xfId="11957"/>
    <cellStyle name="Assumption Percentage. 9 2 3 3" xfId="11958"/>
    <cellStyle name="Assumption Percentage. 9 2 3 4" xfId="11959"/>
    <cellStyle name="Assumption Percentage. 9 2 3 5" xfId="11960"/>
    <cellStyle name="Assumption Percentage. 9 2 3 6" xfId="11961"/>
    <cellStyle name="Assumption Percentage. 9 2 3 7" xfId="11962"/>
    <cellStyle name="Assumption Percentage. 9 2 3 8" xfId="11963"/>
    <cellStyle name="Assumption Percentage. 9 2 3 9" xfId="11964"/>
    <cellStyle name="Assumption Percentage. 9 2 4" xfId="11965"/>
    <cellStyle name="Assumption Percentage. 9 2 5" xfId="11966"/>
    <cellStyle name="Assumption Percentage. 9 2 6" xfId="11967"/>
    <cellStyle name="Assumption Percentage. 9 2 7" xfId="11968"/>
    <cellStyle name="Assumption Percentage. 9 2 8" xfId="11969"/>
    <cellStyle name="Assumption Percentage. 9 2 9" xfId="11970"/>
    <cellStyle name="Assumption Percentage. 9 3" xfId="11971"/>
    <cellStyle name="Assumption Percentage. 9 3 10" xfId="11972"/>
    <cellStyle name="Assumption Percentage. 9 3 2" xfId="11973"/>
    <cellStyle name="Assumption Percentage. 9 3 2 10" xfId="11974"/>
    <cellStyle name="Assumption Percentage. 9 3 2 2" xfId="11975"/>
    <cellStyle name="Assumption Percentage. 9 3 2 3" xfId="11976"/>
    <cellStyle name="Assumption Percentage. 9 3 2 4" xfId="11977"/>
    <cellStyle name="Assumption Percentage. 9 3 2 5" xfId="11978"/>
    <cellStyle name="Assumption Percentage. 9 3 2 6" xfId="11979"/>
    <cellStyle name="Assumption Percentage. 9 3 2 7" xfId="11980"/>
    <cellStyle name="Assumption Percentage. 9 3 2 8" xfId="11981"/>
    <cellStyle name="Assumption Percentage. 9 3 2 9" xfId="11982"/>
    <cellStyle name="Assumption Percentage. 9 3 3" xfId="11983"/>
    <cellStyle name="Assumption Percentage. 9 3 4" xfId="11984"/>
    <cellStyle name="Assumption Percentage. 9 3 5" xfId="11985"/>
    <cellStyle name="Assumption Percentage. 9 3 6" xfId="11986"/>
    <cellStyle name="Assumption Percentage. 9 3 7" xfId="11987"/>
    <cellStyle name="Assumption Percentage. 9 3 8" xfId="11988"/>
    <cellStyle name="Assumption Percentage. 9 3 9" xfId="11989"/>
    <cellStyle name="Assumption Percentage. 9 4" xfId="11990"/>
    <cellStyle name="Assumption Percentage. 9 4 10" xfId="11991"/>
    <cellStyle name="Assumption Percentage. 9 4 2" xfId="11992"/>
    <cellStyle name="Assumption Percentage. 9 4 3" xfId="11993"/>
    <cellStyle name="Assumption Percentage. 9 4 4" xfId="11994"/>
    <cellStyle name="Assumption Percentage. 9 4 5" xfId="11995"/>
    <cellStyle name="Assumption Percentage. 9 4 6" xfId="11996"/>
    <cellStyle name="Assumption Percentage. 9 4 7" xfId="11997"/>
    <cellStyle name="Assumption Percentage. 9 4 8" xfId="11998"/>
    <cellStyle name="Assumption Percentage. 9 4 9" xfId="11999"/>
    <cellStyle name="Assumption Percentage. 9 5" xfId="12000"/>
    <cellStyle name="Assumption Percentage. 9 6" xfId="12001"/>
    <cellStyle name="Assumption Percentage. 9 7" xfId="12002"/>
    <cellStyle name="Assumption Percentage. 9 8" xfId="12003"/>
    <cellStyle name="Assumption Percentage. 9 9" xfId="12004"/>
    <cellStyle name="Assumption Year." xfId="12005"/>
    <cellStyle name="Assumption Year. 10" xfId="12006"/>
    <cellStyle name="Assumption Year. 10 10" xfId="12007"/>
    <cellStyle name="Assumption Year. 10 11" xfId="12008"/>
    <cellStyle name="Assumption Year. 10 12" xfId="12009"/>
    <cellStyle name="Assumption Year. 10 13" xfId="12010"/>
    <cellStyle name="Assumption Year. 10 2" xfId="12011"/>
    <cellStyle name="Assumption Year. 10 2 10" xfId="12012"/>
    <cellStyle name="Assumption Year. 10 2 11" xfId="12013"/>
    <cellStyle name="Assumption Year. 10 2 12" xfId="12014"/>
    <cellStyle name="Assumption Year. 10 2 2" xfId="12015"/>
    <cellStyle name="Assumption Year. 10 2 2 10" xfId="12016"/>
    <cellStyle name="Assumption Year. 10 2 2 2" xfId="12017"/>
    <cellStyle name="Assumption Year. 10 2 2 2 10" xfId="12018"/>
    <cellStyle name="Assumption Year. 10 2 2 2 2" xfId="12019"/>
    <cellStyle name="Assumption Year. 10 2 2 2 3" xfId="12020"/>
    <cellStyle name="Assumption Year. 10 2 2 2 4" xfId="12021"/>
    <cellStyle name="Assumption Year. 10 2 2 2 5" xfId="12022"/>
    <cellStyle name="Assumption Year. 10 2 2 2 6" xfId="12023"/>
    <cellStyle name="Assumption Year. 10 2 2 2 7" xfId="12024"/>
    <cellStyle name="Assumption Year. 10 2 2 2 8" xfId="12025"/>
    <cellStyle name="Assumption Year. 10 2 2 2 9" xfId="12026"/>
    <cellStyle name="Assumption Year. 10 2 2 3" xfId="12027"/>
    <cellStyle name="Assumption Year. 10 2 2 4" xfId="12028"/>
    <cellStyle name="Assumption Year. 10 2 2 5" xfId="12029"/>
    <cellStyle name="Assumption Year. 10 2 2 6" xfId="12030"/>
    <cellStyle name="Assumption Year. 10 2 2 7" xfId="12031"/>
    <cellStyle name="Assumption Year. 10 2 2 8" xfId="12032"/>
    <cellStyle name="Assumption Year. 10 2 2 9" xfId="12033"/>
    <cellStyle name="Assumption Year. 10 2 3" xfId="12034"/>
    <cellStyle name="Assumption Year. 10 2 3 10" xfId="12035"/>
    <cellStyle name="Assumption Year. 10 2 3 2" xfId="12036"/>
    <cellStyle name="Assumption Year. 10 2 3 3" xfId="12037"/>
    <cellStyle name="Assumption Year. 10 2 3 4" xfId="12038"/>
    <cellStyle name="Assumption Year. 10 2 3 5" xfId="12039"/>
    <cellStyle name="Assumption Year. 10 2 3 6" xfId="12040"/>
    <cellStyle name="Assumption Year. 10 2 3 7" xfId="12041"/>
    <cellStyle name="Assumption Year. 10 2 3 8" xfId="12042"/>
    <cellStyle name="Assumption Year. 10 2 3 9" xfId="12043"/>
    <cellStyle name="Assumption Year. 10 2 4" xfId="12044"/>
    <cellStyle name="Assumption Year. 10 2 5" xfId="12045"/>
    <cellStyle name="Assumption Year. 10 2 6" xfId="12046"/>
    <cellStyle name="Assumption Year. 10 2 7" xfId="12047"/>
    <cellStyle name="Assumption Year. 10 2 8" xfId="12048"/>
    <cellStyle name="Assumption Year. 10 2 9" xfId="12049"/>
    <cellStyle name="Assumption Year. 10 3" xfId="12050"/>
    <cellStyle name="Assumption Year. 10 3 10" xfId="12051"/>
    <cellStyle name="Assumption Year. 10 3 2" xfId="12052"/>
    <cellStyle name="Assumption Year. 10 3 2 10" xfId="12053"/>
    <cellStyle name="Assumption Year. 10 3 2 2" xfId="12054"/>
    <cellStyle name="Assumption Year. 10 3 2 3" xfId="12055"/>
    <cellStyle name="Assumption Year. 10 3 2 4" xfId="12056"/>
    <cellStyle name="Assumption Year. 10 3 2 5" xfId="12057"/>
    <cellStyle name="Assumption Year. 10 3 2 6" xfId="12058"/>
    <cellStyle name="Assumption Year. 10 3 2 7" xfId="12059"/>
    <cellStyle name="Assumption Year. 10 3 2 8" xfId="12060"/>
    <cellStyle name="Assumption Year. 10 3 2 9" xfId="12061"/>
    <cellStyle name="Assumption Year. 10 3 3" xfId="12062"/>
    <cellStyle name="Assumption Year. 10 3 4" xfId="12063"/>
    <cellStyle name="Assumption Year. 10 3 5" xfId="12064"/>
    <cellStyle name="Assumption Year. 10 3 6" xfId="12065"/>
    <cellStyle name="Assumption Year. 10 3 7" xfId="12066"/>
    <cellStyle name="Assumption Year. 10 3 8" xfId="12067"/>
    <cellStyle name="Assumption Year. 10 3 9" xfId="12068"/>
    <cellStyle name="Assumption Year. 10 4" xfId="12069"/>
    <cellStyle name="Assumption Year. 10 4 10" xfId="12070"/>
    <cellStyle name="Assumption Year. 10 4 2" xfId="12071"/>
    <cellStyle name="Assumption Year. 10 4 3" xfId="12072"/>
    <cellStyle name="Assumption Year. 10 4 4" xfId="12073"/>
    <cellStyle name="Assumption Year. 10 4 5" xfId="12074"/>
    <cellStyle name="Assumption Year. 10 4 6" xfId="12075"/>
    <cellStyle name="Assumption Year. 10 4 7" xfId="12076"/>
    <cellStyle name="Assumption Year. 10 4 8" xfId="12077"/>
    <cellStyle name="Assumption Year. 10 4 9" xfId="12078"/>
    <cellStyle name="Assumption Year. 10 5" xfId="12079"/>
    <cellStyle name="Assumption Year. 10 6" xfId="12080"/>
    <cellStyle name="Assumption Year. 10 7" xfId="12081"/>
    <cellStyle name="Assumption Year. 10 8" xfId="12082"/>
    <cellStyle name="Assumption Year. 10 9" xfId="12083"/>
    <cellStyle name="Assumption Year. 11" xfId="12084"/>
    <cellStyle name="Assumption Year. 11 10" xfId="12085"/>
    <cellStyle name="Assumption Year. 11 11" xfId="12086"/>
    <cellStyle name="Assumption Year. 11 12" xfId="12087"/>
    <cellStyle name="Assumption Year. 11 2" xfId="12088"/>
    <cellStyle name="Assumption Year. 11 2 10" xfId="12089"/>
    <cellStyle name="Assumption Year. 11 2 2" xfId="12090"/>
    <cellStyle name="Assumption Year. 11 2 2 10" xfId="12091"/>
    <cellStyle name="Assumption Year. 11 2 2 2" xfId="12092"/>
    <cellStyle name="Assumption Year. 11 2 2 3" xfId="12093"/>
    <cellStyle name="Assumption Year. 11 2 2 4" xfId="12094"/>
    <cellStyle name="Assumption Year. 11 2 2 5" xfId="12095"/>
    <cellStyle name="Assumption Year. 11 2 2 6" xfId="12096"/>
    <cellStyle name="Assumption Year. 11 2 2 7" xfId="12097"/>
    <cellStyle name="Assumption Year. 11 2 2 8" xfId="12098"/>
    <cellStyle name="Assumption Year. 11 2 2 9" xfId="12099"/>
    <cellStyle name="Assumption Year. 11 2 3" xfId="12100"/>
    <cellStyle name="Assumption Year. 11 2 4" xfId="12101"/>
    <cellStyle name="Assumption Year. 11 2 5" xfId="12102"/>
    <cellStyle name="Assumption Year. 11 2 6" xfId="12103"/>
    <cellStyle name="Assumption Year. 11 2 7" xfId="12104"/>
    <cellStyle name="Assumption Year. 11 2 8" xfId="12105"/>
    <cellStyle name="Assumption Year. 11 2 9" xfId="12106"/>
    <cellStyle name="Assumption Year. 11 3" xfId="12107"/>
    <cellStyle name="Assumption Year. 11 3 10" xfId="12108"/>
    <cellStyle name="Assumption Year. 11 3 2" xfId="12109"/>
    <cellStyle name="Assumption Year. 11 3 3" xfId="12110"/>
    <cellStyle name="Assumption Year. 11 3 4" xfId="12111"/>
    <cellStyle name="Assumption Year. 11 3 5" xfId="12112"/>
    <cellStyle name="Assumption Year. 11 3 6" xfId="12113"/>
    <cellStyle name="Assumption Year. 11 3 7" xfId="12114"/>
    <cellStyle name="Assumption Year. 11 3 8" xfId="12115"/>
    <cellStyle name="Assumption Year. 11 3 9" xfId="12116"/>
    <cellStyle name="Assumption Year. 11 4" xfId="12117"/>
    <cellStyle name="Assumption Year. 11 5" xfId="12118"/>
    <cellStyle name="Assumption Year. 11 6" xfId="12119"/>
    <cellStyle name="Assumption Year. 11 7" xfId="12120"/>
    <cellStyle name="Assumption Year. 11 8" xfId="12121"/>
    <cellStyle name="Assumption Year. 11 9" xfId="12122"/>
    <cellStyle name="Assumption Year. 12" xfId="12123"/>
    <cellStyle name="Assumption Year. 12 10" xfId="12124"/>
    <cellStyle name="Assumption Year. 12 11" xfId="12125"/>
    <cellStyle name="Assumption Year. 12 12" xfId="12126"/>
    <cellStyle name="Assumption Year. 12 2" xfId="12127"/>
    <cellStyle name="Assumption Year. 12 2 10" xfId="12128"/>
    <cellStyle name="Assumption Year. 12 2 2" xfId="12129"/>
    <cellStyle name="Assumption Year. 12 2 2 10" xfId="12130"/>
    <cellStyle name="Assumption Year. 12 2 2 2" xfId="12131"/>
    <cellStyle name="Assumption Year. 12 2 2 3" xfId="12132"/>
    <cellStyle name="Assumption Year. 12 2 2 4" xfId="12133"/>
    <cellStyle name="Assumption Year. 12 2 2 5" xfId="12134"/>
    <cellStyle name="Assumption Year. 12 2 2 6" xfId="12135"/>
    <cellStyle name="Assumption Year. 12 2 2 7" xfId="12136"/>
    <cellStyle name="Assumption Year. 12 2 2 8" xfId="12137"/>
    <cellStyle name="Assumption Year. 12 2 2 9" xfId="12138"/>
    <cellStyle name="Assumption Year. 12 2 3" xfId="12139"/>
    <cellStyle name="Assumption Year. 12 2 4" xfId="12140"/>
    <cellStyle name="Assumption Year. 12 2 5" xfId="12141"/>
    <cellStyle name="Assumption Year. 12 2 6" xfId="12142"/>
    <cellStyle name="Assumption Year. 12 2 7" xfId="12143"/>
    <cellStyle name="Assumption Year. 12 2 8" xfId="12144"/>
    <cellStyle name="Assumption Year. 12 2 9" xfId="12145"/>
    <cellStyle name="Assumption Year. 12 3" xfId="12146"/>
    <cellStyle name="Assumption Year. 12 3 10" xfId="12147"/>
    <cellStyle name="Assumption Year. 12 3 2" xfId="12148"/>
    <cellStyle name="Assumption Year. 12 3 3" xfId="12149"/>
    <cellStyle name="Assumption Year. 12 3 4" xfId="12150"/>
    <cellStyle name="Assumption Year. 12 3 5" xfId="12151"/>
    <cellStyle name="Assumption Year. 12 3 6" xfId="12152"/>
    <cellStyle name="Assumption Year. 12 3 7" xfId="12153"/>
    <cellStyle name="Assumption Year. 12 3 8" xfId="12154"/>
    <cellStyle name="Assumption Year. 12 3 9" xfId="12155"/>
    <cellStyle name="Assumption Year. 12 4" xfId="12156"/>
    <cellStyle name="Assumption Year. 12 5" xfId="12157"/>
    <cellStyle name="Assumption Year. 12 6" xfId="12158"/>
    <cellStyle name="Assumption Year. 12 7" xfId="12159"/>
    <cellStyle name="Assumption Year. 12 8" xfId="12160"/>
    <cellStyle name="Assumption Year. 12 9" xfId="12161"/>
    <cellStyle name="Assumption Year. 13" xfId="12162"/>
    <cellStyle name="Assumption Year. 13 10" xfId="12163"/>
    <cellStyle name="Assumption Year. 13 2" xfId="12164"/>
    <cellStyle name="Assumption Year. 13 2 10" xfId="12165"/>
    <cellStyle name="Assumption Year. 13 2 2" xfId="12166"/>
    <cellStyle name="Assumption Year. 13 2 3" xfId="12167"/>
    <cellStyle name="Assumption Year. 13 2 4" xfId="12168"/>
    <cellStyle name="Assumption Year. 13 2 5" xfId="12169"/>
    <cellStyle name="Assumption Year. 13 2 6" xfId="12170"/>
    <cellStyle name="Assumption Year. 13 2 7" xfId="12171"/>
    <cellStyle name="Assumption Year. 13 2 8" xfId="12172"/>
    <cellStyle name="Assumption Year. 13 2 9" xfId="12173"/>
    <cellStyle name="Assumption Year. 13 3" xfId="12174"/>
    <cellStyle name="Assumption Year. 13 4" xfId="12175"/>
    <cellStyle name="Assumption Year. 13 5" xfId="12176"/>
    <cellStyle name="Assumption Year. 13 6" xfId="12177"/>
    <cellStyle name="Assumption Year. 13 7" xfId="12178"/>
    <cellStyle name="Assumption Year. 13 8" xfId="12179"/>
    <cellStyle name="Assumption Year. 13 9" xfId="12180"/>
    <cellStyle name="Assumption Year. 14" xfId="12181"/>
    <cellStyle name="Assumption Year. 14 10" xfId="12182"/>
    <cellStyle name="Assumption Year. 14 2" xfId="12183"/>
    <cellStyle name="Assumption Year. 14 3" xfId="12184"/>
    <cellStyle name="Assumption Year. 14 4" xfId="12185"/>
    <cellStyle name="Assumption Year. 14 5" xfId="12186"/>
    <cellStyle name="Assumption Year. 14 6" xfId="12187"/>
    <cellStyle name="Assumption Year. 14 7" xfId="12188"/>
    <cellStyle name="Assumption Year. 14 8" xfId="12189"/>
    <cellStyle name="Assumption Year. 14 9" xfId="12190"/>
    <cellStyle name="Assumption Year. 15" xfId="12191"/>
    <cellStyle name="Assumption Year. 16" xfId="12192"/>
    <cellStyle name="Assumption Year. 17" xfId="12193"/>
    <cellStyle name="Assumption Year. 18" xfId="12194"/>
    <cellStyle name="Assumption Year. 2" xfId="12195"/>
    <cellStyle name="Assumption Year. 2 10" xfId="12196"/>
    <cellStyle name="Assumption Year. 2 10 10" xfId="12197"/>
    <cellStyle name="Assumption Year. 2 10 2" xfId="12198"/>
    <cellStyle name="Assumption Year. 2 10 3" xfId="12199"/>
    <cellStyle name="Assumption Year. 2 10 4" xfId="12200"/>
    <cellStyle name="Assumption Year. 2 10 5" xfId="12201"/>
    <cellStyle name="Assumption Year. 2 10 6" xfId="12202"/>
    <cellStyle name="Assumption Year. 2 10 7" xfId="12203"/>
    <cellStyle name="Assumption Year. 2 10 8" xfId="12204"/>
    <cellStyle name="Assumption Year. 2 10 9" xfId="12205"/>
    <cellStyle name="Assumption Year. 2 11" xfId="12206"/>
    <cellStyle name="Assumption Year. 2 12" xfId="12207"/>
    <cellStyle name="Assumption Year. 2 13" xfId="12208"/>
    <cellStyle name="Assumption Year. 2 14" xfId="12209"/>
    <cellStyle name="Assumption Year. 2 15" xfId="12210"/>
    <cellStyle name="Assumption Year. 2 16" xfId="12211"/>
    <cellStyle name="Assumption Year. 2 17" xfId="12212"/>
    <cellStyle name="Assumption Year. 2 18" xfId="12213"/>
    <cellStyle name="Assumption Year. 2 19" xfId="12214"/>
    <cellStyle name="Assumption Year. 2 2" xfId="12215"/>
    <cellStyle name="Assumption Year. 2 2 10" xfId="12216"/>
    <cellStyle name="Assumption Year. 2 2 11" xfId="12217"/>
    <cellStyle name="Assumption Year. 2 2 12" xfId="12218"/>
    <cellStyle name="Assumption Year. 2 2 13" xfId="12219"/>
    <cellStyle name="Assumption Year. 2 2 14" xfId="12220"/>
    <cellStyle name="Assumption Year. 2 2 15" xfId="12221"/>
    <cellStyle name="Assumption Year. 2 2 16" xfId="12222"/>
    <cellStyle name="Assumption Year. 2 2 17" xfId="12223"/>
    <cellStyle name="Assumption Year. 2 2 18" xfId="12224"/>
    <cellStyle name="Assumption Year. 2 2 2" xfId="12225"/>
    <cellStyle name="Assumption Year. 2 2 2 10" xfId="12226"/>
    <cellStyle name="Assumption Year. 2 2 2 11" xfId="12227"/>
    <cellStyle name="Assumption Year. 2 2 2 12" xfId="12228"/>
    <cellStyle name="Assumption Year. 2 2 2 13" xfId="12229"/>
    <cellStyle name="Assumption Year. 2 2 2 14" xfId="12230"/>
    <cellStyle name="Assumption Year. 2 2 2 2" xfId="12231"/>
    <cellStyle name="Assumption Year. 2 2 2 2 10" xfId="12232"/>
    <cellStyle name="Assumption Year. 2 2 2 2 11" xfId="12233"/>
    <cellStyle name="Assumption Year. 2 2 2 2 12" xfId="12234"/>
    <cellStyle name="Assumption Year. 2 2 2 2 13" xfId="12235"/>
    <cellStyle name="Assumption Year. 2 2 2 2 2" xfId="12236"/>
    <cellStyle name="Assumption Year. 2 2 2 2 2 10" xfId="12237"/>
    <cellStyle name="Assumption Year. 2 2 2 2 2 11" xfId="12238"/>
    <cellStyle name="Assumption Year. 2 2 2 2 2 12" xfId="12239"/>
    <cellStyle name="Assumption Year. 2 2 2 2 2 2" xfId="12240"/>
    <cellStyle name="Assumption Year. 2 2 2 2 2 2 10" xfId="12241"/>
    <cellStyle name="Assumption Year. 2 2 2 2 2 2 2" xfId="12242"/>
    <cellStyle name="Assumption Year. 2 2 2 2 2 2 2 10" xfId="12243"/>
    <cellStyle name="Assumption Year. 2 2 2 2 2 2 2 2" xfId="12244"/>
    <cellStyle name="Assumption Year. 2 2 2 2 2 2 2 3" xfId="12245"/>
    <cellStyle name="Assumption Year. 2 2 2 2 2 2 2 4" xfId="12246"/>
    <cellStyle name="Assumption Year. 2 2 2 2 2 2 2 5" xfId="12247"/>
    <cellStyle name="Assumption Year. 2 2 2 2 2 2 2 6" xfId="12248"/>
    <cellStyle name="Assumption Year. 2 2 2 2 2 2 2 7" xfId="12249"/>
    <cellStyle name="Assumption Year. 2 2 2 2 2 2 2 8" xfId="12250"/>
    <cellStyle name="Assumption Year. 2 2 2 2 2 2 2 9" xfId="12251"/>
    <cellStyle name="Assumption Year. 2 2 2 2 2 2 3" xfId="12252"/>
    <cellStyle name="Assumption Year. 2 2 2 2 2 2 4" xfId="12253"/>
    <cellStyle name="Assumption Year. 2 2 2 2 2 2 5" xfId="12254"/>
    <cellStyle name="Assumption Year. 2 2 2 2 2 2 6" xfId="12255"/>
    <cellStyle name="Assumption Year. 2 2 2 2 2 2 7" xfId="12256"/>
    <cellStyle name="Assumption Year. 2 2 2 2 2 2 8" xfId="12257"/>
    <cellStyle name="Assumption Year. 2 2 2 2 2 2 9" xfId="12258"/>
    <cellStyle name="Assumption Year. 2 2 2 2 2 3" xfId="12259"/>
    <cellStyle name="Assumption Year. 2 2 2 2 2 3 10" xfId="12260"/>
    <cellStyle name="Assumption Year. 2 2 2 2 2 3 2" xfId="12261"/>
    <cellStyle name="Assumption Year. 2 2 2 2 2 3 3" xfId="12262"/>
    <cellStyle name="Assumption Year. 2 2 2 2 2 3 4" xfId="12263"/>
    <cellStyle name="Assumption Year. 2 2 2 2 2 3 5" xfId="12264"/>
    <cellStyle name="Assumption Year. 2 2 2 2 2 3 6" xfId="12265"/>
    <cellStyle name="Assumption Year. 2 2 2 2 2 3 7" xfId="12266"/>
    <cellStyle name="Assumption Year. 2 2 2 2 2 3 8" xfId="12267"/>
    <cellStyle name="Assumption Year. 2 2 2 2 2 3 9" xfId="12268"/>
    <cellStyle name="Assumption Year. 2 2 2 2 2 4" xfId="12269"/>
    <cellStyle name="Assumption Year. 2 2 2 2 2 5" xfId="12270"/>
    <cellStyle name="Assumption Year. 2 2 2 2 2 6" xfId="12271"/>
    <cellStyle name="Assumption Year. 2 2 2 2 2 7" xfId="12272"/>
    <cellStyle name="Assumption Year. 2 2 2 2 2 8" xfId="12273"/>
    <cellStyle name="Assumption Year. 2 2 2 2 2 9" xfId="12274"/>
    <cellStyle name="Assumption Year. 2 2 2 2 3" xfId="12275"/>
    <cellStyle name="Assumption Year. 2 2 2 2 3 10" xfId="12276"/>
    <cellStyle name="Assumption Year. 2 2 2 2 3 2" xfId="12277"/>
    <cellStyle name="Assumption Year. 2 2 2 2 3 2 10" xfId="12278"/>
    <cellStyle name="Assumption Year. 2 2 2 2 3 2 2" xfId="12279"/>
    <cellStyle name="Assumption Year. 2 2 2 2 3 2 3" xfId="12280"/>
    <cellStyle name="Assumption Year. 2 2 2 2 3 2 4" xfId="12281"/>
    <cellStyle name="Assumption Year. 2 2 2 2 3 2 5" xfId="12282"/>
    <cellStyle name="Assumption Year. 2 2 2 2 3 2 6" xfId="12283"/>
    <cellStyle name="Assumption Year. 2 2 2 2 3 2 7" xfId="12284"/>
    <cellStyle name="Assumption Year. 2 2 2 2 3 2 8" xfId="12285"/>
    <cellStyle name="Assumption Year. 2 2 2 2 3 2 9" xfId="12286"/>
    <cellStyle name="Assumption Year. 2 2 2 2 3 3" xfId="12287"/>
    <cellStyle name="Assumption Year. 2 2 2 2 3 4" xfId="12288"/>
    <cellStyle name="Assumption Year. 2 2 2 2 3 5" xfId="12289"/>
    <cellStyle name="Assumption Year. 2 2 2 2 3 6" xfId="12290"/>
    <cellStyle name="Assumption Year. 2 2 2 2 3 7" xfId="12291"/>
    <cellStyle name="Assumption Year. 2 2 2 2 3 8" xfId="12292"/>
    <cellStyle name="Assumption Year. 2 2 2 2 3 9" xfId="12293"/>
    <cellStyle name="Assumption Year. 2 2 2 2 4" xfId="12294"/>
    <cellStyle name="Assumption Year. 2 2 2 2 4 10" xfId="12295"/>
    <cellStyle name="Assumption Year. 2 2 2 2 4 2" xfId="12296"/>
    <cellStyle name="Assumption Year. 2 2 2 2 4 3" xfId="12297"/>
    <cellStyle name="Assumption Year. 2 2 2 2 4 4" xfId="12298"/>
    <cellStyle name="Assumption Year. 2 2 2 2 4 5" xfId="12299"/>
    <cellStyle name="Assumption Year. 2 2 2 2 4 6" xfId="12300"/>
    <cellStyle name="Assumption Year. 2 2 2 2 4 7" xfId="12301"/>
    <cellStyle name="Assumption Year. 2 2 2 2 4 8" xfId="12302"/>
    <cellStyle name="Assumption Year. 2 2 2 2 4 9" xfId="12303"/>
    <cellStyle name="Assumption Year. 2 2 2 2 5" xfId="12304"/>
    <cellStyle name="Assumption Year. 2 2 2 2 6" xfId="12305"/>
    <cellStyle name="Assumption Year. 2 2 2 2 7" xfId="12306"/>
    <cellStyle name="Assumption Year. 2 2 2 2 8" xfId="12307"/>
    <cellStyle name="Assumption Year. 2 2 2 2 9" xfId="12308"/>
    <cellStyle name="Assumption Year. 2 2 2 3" xfId="12309"/>
    <cellStyle name="Assumption Year. 2 2 2 3 10" xfId="12310"/>
    <cellStyle name="Assumption Year. 2 2 2 3 11" xfId="12311"/>
    <cellStyle name="Assumption Year. 2 2 2 3 12" xfId="12312"/>
    <cellStyle name="Assumption Year. 2 2 2 3 2" xfId="12313"/>
    <cellStyle name="Assumption Year. 2 2 2 3 2 10" xfId="12314"/>
    <cellStyle name="Assumption Year. 2 2 2 3 2 2" xfId="12315"/>
    <cellStyle name="Assumption Year. 2 2 2 3 2 2 10" xfId="12316"/>
    <cellStyle name="Assumption Year. 2 2 2 3 2 2 2" xfId="12317"/>
    <cellStyle name="Assumption Year. 2 2 2 3 2 2 3" xfId="12318"/>
    <cellStyle name="Assumption Year. 2 2 2 3 2 2 4" xfId="12319"/>
    <cellStyle name="Assumption Year. 2 2 2 3 2 2 5" xfId="12320"/>
    <cellStyle name="Assumption Year. 2 2 2 3 2 2 6" xfId="12321"/>
    <cellStyle name="Assumption Year. 2 2 2 3 2 2 7" xfId="12322"/>
    <cellStyle name="Assumption Year. 2 2 2 3 2 2 8" xfId="12323"/>
    <cellStyle name="Assumption Year. 2 2 2 3 2 2 9" xfId="12324"/>
    <cellStyle name="Assumption Year. 2 2 2 3 2 3" xfId="12325"/>
    <cellStyle name="Assumption Year. 2 2 2 3 2 4" xfId="12326"/>
    <cellStyle name="Assumption Year. 2 2 2 3 2 5" xfId="12327"/>
    <cellStyle name="Assumption Year. 2 2 2 3 2 6" xfId="12328"/>
    <cellStyle name="Assumption Year. 2 2 2 3 2 7" xfId="12329"/>
    <cellStyle name="Assumption Year. 2 2 2 3 2 8" xfId="12330"/>
    <cellStyle name="Assumption Year. 2 2 2 3 2 9" xfId="12331"/>
    <cellStyle name="Assumption Year. 2 2 2 3 3" xfId="12332"/>
    <cellStyle name="Assumption Year. 2 2 2 3 3 10" xfId="12333"/>
    <cellStyle name="Assumption Year. 2 2 2 3 3 2" xfId="12334"/>
    <cellStyle name="Assumption Year. 2 2 2 3 3 3" xfId="12335"/>
    <cellStyle name="Assumption Year. 2 2 2 3 3 4" xfId="12336"/>
    <cellStyle name="Assumption Year. 2 2 2 3 3 5" xfId="12337"/>
    <cellStyle name="Assumption Year. 2 2 2 3 3 6" xfId="12338"/>
    <cellStyle name="Assumption Year. 2 2 2 3 3 7" xfId="12339"/>
    <cellStyle name="Assumption Year. 2 2 2 3 3 8" xfId="12340"/>
    <cellStyle name="Assumption Year. 2 2 2 3 3 9" xfId="12341"/>
    <cellStyle name="Assumption Year. 2 2 2 3 4" xfId="12342"/>
    <cellStyle name="Assumption Year. 2 2 2 3 5" xfId="12343"/>
    <cellStyle name="Assumption Year. 2 2 2 3 6" xfId="12344"/>
    <cellStyle name="Assumption Year. 2 2 2 3 7" xfId="12345"/>
    <cellStyle name="Assumption Year. 2 2 2 3 8" xfId="12346"/>
    <cellStyle name="Assumption Year. 2 2 2 3 9" xfId="12347"/>
    <cellStyle name="Assumption Year. 2 2 2 4" xfId="12348"/>
    <cellStyle name="Assumption Year. 2 2 2 4 10" xfId="12349"/>
    <cellStyle name="Assumption Year. 2 2 2 4 2" xfId="12350"/>
    <cellStyle name="Assumption Year. 2 2 2 4 2 10" xfId="12351"/>
    <cellStyle name="Assumption Year. 2 2 2 4 2 2" xfId="12352"/>
    <cellStyle name="Assumption Year. 2 2 2 4 2 3" xfId="12353"/>
    <cellStyle name="Assumption Year. 2 2 2 4 2 4" xfId="12354"/>
    <cellStyle name="Assumption Year. 2 2 2 4 2 5" xfId="12355"/>
    <cellStyle name="Assumption Year. 2 2 2 4 2 6" xfId="12356"/>
    <cellStyle name="Assumption Year. 2 2 2 4 2 7" xfId="12357"/>
    <cellStyle name="Assumption Year. 2 2 2 4 2 8" xfId="12358"/>
    <cellStyle name="Assumption Year. 2 2 2 4 2 9" xfId="12359"/>
    <cellStyle name="Assumption Year. 2 2 2 4 3" xfId="12360"/>
    <cellStyle name="Assumption Year. 2 2 2 4 4" xfId="12361"/>
    <cellStyle name="Assumption Year. 2 2 2 4 5" xfId="12362"/>
    <cellStyle name="Assumption Year. 2 2 2 4 6" xfId="12363"/>
    <cellStyle name="Assumption Year. 2 2 2 4 7" xfId="12364"/>
    <cellStyle name="Assumption Year. 2 2 2 4 8" xfId="12365"/>
    <cellStyle name="Assumption Year. 2 2 2 4 9" xfId="12366"/>
    <cellStyle name="Assumption Year. 2 2 2 5" xfId="12367"/>
    <cellStyle name="Assumption Year. 2 2 2 5 10" xfId="12368"/>
    <cellStyle name="Assumption Year. 2 2 2 5 2" xfId="12369"/>
    <cellStyle name="Assumption Year. 2 2 2 5 3" xfId="12370"/>
    <cellStyle name="Assumption Year. 2 2 2 5 4" xfId="12371"/>
    <cellStyle name="Assumption Year. 2 2 2 5 5" xfId="12372"/>
    <cellStyle name="Assumption Year. 2 2 2 5 6" xfId="12373"/>
    <cellStyle name="Assumption Year. 2 2 2 5 7" xfId="12374"/>
    <cellStyle name="Assumption Year. 2 2 2 5 8" xfId="12375"/>
    <cellStyle name="Assumption Year. 2 2 2 5 9" xfId="12376"/>
    <cellStyle name="Assumption Year. 2 2 2 6" xfId="12377"/>
    <cellStyle name="Assumption Year. 2 2 2 7" xfId="12378"/>
    <cellStyle name="Assumption Year. 2 2 2 8" xfId="12379"/>
    <cellStyle name="Assumption Year. 2 2 2 9" xfId="12380"/>
    <cellStyle name="Assumption Year. 2 2 3" xfId="12381"/>
    <cellStyle name="Assumption Year. 2 2 3 10" xfId="12382"/>
    <cellStyle name="Assumption Year. 2 2 3 11" xfId="12383"/>
    <cellStyle name="Assumption Year. 2 2 3 12" xfId="12384"/>
    <cellStyle name="Assumption Year. 2 2 3 13" xfId="12385"/>
    <cellStyle name="Assumption Year. 2 2 3 2" xfId="12386"/>
    <cellStyle name="Assumption Year. 2 2 3 2 10" xfId="12387"/>
    <cellStyle name="Assumption Year. 2 2 3 2 11" xfId="12388"/>
    <cellStyle name="Assumption Year. 2 2 3 2 12" xfId="12389"/>
    <cellStyle name="Assumption Year. 2 2 3 2 2" xfId="12390"/>
    <cellStyle name="Assumption Year. 2 2 3 2 2 10" xfId="12391"/>
    <cellStyle name="Assumption Year. 2 2 3 2 2 2" xfId="12392"/>
    <cellStyle name="Assumption Year. 2 2 3 2 2 2 10" xfId="12393"/>
    <cellStyle name="Assumption Year. 2 2 3 2 2 2 2" xfId="12394"/>
    <cellStyle name="Assumption Year. 2 2 3 2 2 2 3" xfId="12395"/>
    <cellStyle name="Assumption Year. 2 2 3 2 2 2 4" xfId="12396"/>
    <cellStyle name="Assumption Year. 2 2 3 2 2 2 5" xfId="12397"/>
    <cellStyle name="Assumption Year. 2 2 3 2 2 2 6" xfId="12398"/>
    <cellStyle name="Assumption Year. 2 2 3 2 2 2 7" xfId="12399"/>
    <cellStyle name="Assumption Year. 2 2 3 2 2 2 8" xfId="12400"/>
    <cellStyle name="Assumption Year. 2 2 3 2 2 2 9" xfId="12401"/>
    <cellStyle name="Assumption Year. 2 2 3 2 2 3" xfId="12402"/>
    <cellStyle name="Assumption Year. 2 2 3 2 2 4" xfId="12403"/>
    <cellStyle name="Assumption Year. 2 2 3 2 2 5" xfId="12404"/>
    <cellStyle name="Assumption Year. 2 2 3 2 2 6" xfId="12405"/>
    <cellStyle name="Assumption Year. 2 2 3 2 2 7" xfId="12406"/>
    <cellStyle name="Assumption Year. 2 2 3 2 2 8" xfId="12407"/>
    <cellStyle name="Assumption Year. 2 2 3 2 2 9" xfId="12408"/>
    <cellStyle name="Assumption Year. 2 2 3 2 3" xfId="12409"/>
    <cellStyle name="Assumption Year. 2 2 3 2 3 10" xfId="12410"/>
    <cellStyle name="Assumption Year. 2 2 3 2 3 2" xfId="12411"/>
    <cellStyle name="Assumption Year. 2 2 3 2 3 3" xfId="12412"/>
    <cellStyle name="Assumption Year. 2 2 3 2 3 4" xfId="12413"/>
    <cellStyle name="Assumption Year. 2 2 3 2 3 5" xfId="12414"/>
    <cellStyle name="Assumption Year. 2 2 3 2 3 6" xfId="12415"/>
    <cellStyle name="Assumption Year. 2 2 3 2 3 7" xfId="12416"/>
    <cellStyle name="Assumption Year. 2 2 3 2 3 8" xfId="12417"/>
    <cellStyle name="Assumption Year. 2 2 3 2 3 9" xfId="12418"/>
    <cellStyle name="Assumption Year. 2 2 3 2 4" xfId="12419"/>
    <cellStyle name="Assumption Year. 2 2 3 2 5" xfId="12420"/>
    <cellStyle name="Assumption Year. 2 2 3 2 6" xfId="12421"/>
    <cellStyle name="Assumption Year. 2 2 3 2 7" xfId="12422"/>
    <cellStyle name="Assumption Year. 2 2 3 2 8" xfId="12423"/>
    <cellStyle name="Assumption Year. 2 2 3 2 9" xfId="12424"/>
    <cellStyle name="Assumption Year. 2 2 3 3" xfId="12425"/>
    <cellStyle name="Assumption Year. 2 2 3 3 10" xfId="12426"/>
    <cellStyle name="Assumption Year. 2 2 3 3 2" xfId="12427"/>
    <cellStyle name="Assumption Year. 2 2 3 3 2 10" xfId="12428"/>
    <cellStyle name="Assumption Year. 2 2 3 3 2 2" xfId="12429"/>
    <cellStyle name="Assumption Year. 2 2 3 3 2 3" xfId="12430"/>
    <cellStyle name="Assumption Year. 2 2 3 3 2 4" xfId="12431"/>
    <cellStyle name="Assumption Year. 2 2 3 3 2 5" xfId="12432"/>
    <cellStyle name="Assumption Year. 2 2 3 3 2 6" xfId="12433"/>
    <cellStyle name="Assumption Year. 2 2 3 3 2 7" xfId="12434"/>
    <cellStyle name="Assumption Year. 2 2 3 3 2 8" xfId="12435"/>
    <cellStyle name="Assumption Year. 2 2 3 3 2 9" xfId="12436"/>
    <cellStyle name="Assumption Year. 2 2 3 3 3" xfId="12437"/>
    <cellStyle name="Assumption Year. 2 2 3 3 4" xfId="12438"/>
    <cellStyle name="Assumption Year. 2 2 3 3 5" xfId="12439"/>
    <cellStyle name="Assumption Year. 2 2 3 3 6" xfId="12440"/>
    <cellStyle name="Assumption Year. 2 2 3 3 7" xfId="12441"/>
    <cellStyle name="Assumption Year. 2 2 3 3 8" xfId="12442"/>
    <cellStyle name="Assumption Year. 2 2 3 3 9" xfId="12443"/>
    <cellStyle name="Assumption Year. 2 2 3 4" xfId="12444"/>
    <cellStyle name="Assumption Year. 2 2 3 4 10" xfId="12445"/>
    <cellStyle name="Assumption Year. 2 2 3 4 2" xfId="12446"/>
    <cellStyle name="Assumption Year. 2 2 3 4 3" xfId="12447"/>
    <cellStyle name="Assumption Year. 2 2 3 4 4" xfId="12448"/>
    <cellStyle name="Assumption Year. 2 2 3 4 5" xfId="12449"/>
    <cellStyle name="Assumption Year. 2 2 3 4 6" xfId="12450"/>
    <cellStyle name="Assumption Year. 2 2 3 4 7" xfId="12451"/>
    <cellStyle name="Assumption Year. 2 2 3 4 8" xfId="12452"/>
    <cellStyle name="Assumption Year. 2 2 3 4 9" xfId="12453"/>
    <cellStyle name="Assumption Year. 2 2 3 5" xfId="12454"/>
    <cellStyle name="Assumption Year. 2 2 3 6" xfId="12455"/>
    <cellStyle name="Assumption Year. 2 2 3 7" xfId="12456"/>
    <cellStyle name="Assumption Year. 2 2 3 8" xfId="12457"/>
    <cellStyle name="Assumption Year. 2 2 3 9" xfId="12458"/>
    <cellStyle name="Assumption Year. 2 2 4" xfId="12459"/>
    <cellStyle name="Assumption Year. 2 2 4 10" xfId="12460"/>
    <cellStyle name="Assumption Year. 2 2 4 11" xfId="12461"/>
    <cellStyle name="Assumption Year. 2 2 4 12" xfId="12462"/>
    <cellStyle name="Assumption Year. 2 2 4 13" xfId="12463"/>
    <cellStyle name="Assumption Year. 2 2 4 2" xfId="12464"/>
    <cellStyle name="Assumption Year. 2 2 4 2 10" xfId="12465"/>
    <cellStyle name="Assumption Year. 2 2 4 2 11" xfId="12466"/>
    <cellStyle name="Assumption Year. 2 2 4 2 12" xfId="12467"/>
    <cellStyle name="Assumption Year. 2 2 4 2 2" xfId="12468"/>
    <cellStyle name="Assumption Year. 2 2 4 2 2 10" xfId="12469"/>
    <cellStyle name="Assumption Year. 2 2 4 2 2 2" xfId="12470"/>
    <cellStyle name="Assumption Year. 2 2 4 2 2 2 10" xfId="12471"/>
    <cellStyle name="Assumption Year. 2 2 4 2 2 2 2" xfId="12472"/>
    <cellStyle name="Assumption Year. 2 2 4 2 2 2 3" xfId="12473"/>
    <cellStyle name="Assumption Year. 2 2 4 2 2 2 4" xfId="12474"/>
    <cellStyle name="Assumption Year. 2 2 4 2 2 2 5" xfId="12475"/>
    <cellStyle name="Assumption Year. 2 2 4 2 2 2 6" xfId="12476"/>
    <cellStyle name="Assumption Year. 2 2 4 2 2 2 7" xfId="12477"/>
    <cellStyle name="Assumption Year. 2 2 4 2 2 2 8" xfId="12478"/>
    <cellStyle name="Assumption Year. 2 2 4 2 2 2 9" xfId="12479"/>
    <cellStyle name="Assumption Year. 2 2 4 2 2 3" xfId="12480"/>
    <cellStyle name="Assumption Year. 2 2 4 2 2 4" xfId="12481"/>
    <cellStyle name="Assumption Year. 2 2 4 2 2 5" xfId="12482"/>
    <cellStyle name="Assumption Year. 2 2 4 2 2 6" xfId="12483"/>
    <cellStyle name="Assumption Year. 2 2 4 2 2 7" xfId="12484"/>
    <cellStyle name="Assumption Year. 2 2 4 2 2 8" xfId="12485"/>
    <cellStyle name="Assumption Year. 2 2 4 2 2 9" xfId="12486"/>
    <cellStyle name="Assumption Year. 2 2 4 2 3" xfId="12487"/>
    <cellStyle name="Assumption Year. 2 2 4 2 3 10" xfId="12488"/>
    <cellStyle name="Assumption Year. 2 2 4 2 3 2" xfId="12489"/>
    <cellStyle name="Assumption Year. 2 2 4 2 3 3" xfId="12490"/>
    <cellStyle name="Assumption Year. 2 2 4 2 3 4" xfId="12491"/>
    <cellStyle name="Assumption Year. 2 2 4 2 3 5" xfId="12492"/>
    <cellStyle name="Assumption Year. 2 2 4 2 3 6" xfId="12493"/>
    <cellStyle name="Assumption Year. 2 2 4 2 3 7" xfId="12494"/>
    <cellStyle name="Assumption Year. 2 2 4 2 3 8" xfId="12495"/>
    <cellStyle name="Assumption Year. 2 2 4 2 3 9" xfId="12496"/>
    <cellStyle name="Assumption Year. 2 2 4 2 4" xfId="12497"/>
    <cellStyle name="Assumption Year. 2 2 4 2 5" xfId="12498"/>
    <cellStyle name="Assumption Year. 2 2 4 2 6" xfId="12499"/>
    <cellStyle name="Assumption Year. 2 2 4 2 7" xfId="12500"/>
    <cellStyle name="Assumption Year. 2 2 4 2 8" xfId="12501"/>
    <cellStyle name="Assumption Year. 2 2 4 2 9" xfId="12502"/>
    <cellStyle name="Assumption Year. 2 2 4 3" xfId="12503"/>
    <cellStyle name="Assumption Year. 2 2 4 3 10" xfId="12504"/>
    <cellStyle name="Assumption Year. 2 2 4 3 2" xfId="12505"/>
    <cellStyle name="Assumption Year. 2 2 4 3 2 10" xfId="12506"/>
    <cellStyle name="Assumption Year. 2 2 4 3 2 2" xfId="12507"/>
    <cellStyle name="Assumption Year. 2 2 4 3 2 3" xfId="12508"/>
    <cellStyle name="Assumption Year. 2 2 4 3 2 4" xfId="12509"/>
    <cellStyle name="Assumption Year. 2 2 4 3 2 5" xfId="12510"/>
    <cellStyle name="Assumption Year. 2 2 4 3 2 6" xfId="12511"/>
    <cellStyle name="Assumption Year. 2 2 4 3 2 7" xfId="12512"/>
    <cellStyle name="Assumption Year. 2 2 4 3 2 8" xfId="12513"/>
    <cellStyle name="Assumption Year. 2 2 4 3 2 9" xfId="12514"/>
    <cellStyle name="Assumption Year. 2 2 4 3 3" xfId="12515"/>
    <cellStyle name="Assumption Year. 2 2 4 3 4" xfId="12516"/>
    <cellStyle name="Assumption Year. 2 2 4 3 5" xfId="12517"/>
    <cellStyle name="Assumption Year. 2 2 4 3 6" xfId="12518"/>
    <cellStyle name="Assumption Year. 2 2 4 3 7" xfId="12519"/>
    <cellStyle name="Assumption Year. 2 2 4 3 8" xfId="12520"/>
    <cellStyle name="Assumption Year. 2 2 4 3 9" xfId="12521"/>
    <cellStyle name="Assumption Year. 2 2 4 4" xfId="12522"/>
    <cellStyle name="Assumption Year. 2 2 4 4 10" xfId="12523"/>
    <cellStyle name="Assumption Year. 2 2 4 4 2" xfId="12524"/>
    <cellStyle name="Assumption Year. 2 2 4 4 3" xfId="12525"/>
    <cellStyle name="Assumption Year. 2 2 4 4 4" xfId="12526"/>
    <cellStyle name="Assumption Year. 2 2 4 4 5" xfId="12527"/>
    <cellStyle name="Assumption Year. 2 2 4 4 6" xfId="12528"/>
    <cellStyle name="Assumption Year. 2 2 4 4 7" xfId="12529"/>
    <cellStyle name="Assumption Year. 2 2 4 4 8" xfId="12530"/>
    <cellStyle name="Assumption Year. 2 2 4 4 9" xfId="12531"/>
    <cellStyle name="Assumption Year. 2 2 4 5" xfId="12532"/>
    <cellStyle name="Assumption Year. 2 2 4 6" xfId="12533"/>
    <cellStyle name="Assumption Year. 2 2 4 7" xfId="12534"/>
    <cellStyle name="Assumption Year. 2 2 4 8" xfId="12535"/>
    <cellStyle name="Assumption Year. 2 2 4 9" xfId="12536"/>
    <cellStyle name="Assumption Year. 2 2 5" xfId="12537"/>
    <cellStyle name="Assumption Year. 2 2 5 10" xfId="12538"/>
    <cellStyle name="Assumption Year. 2 2 5 11" xfId="12539"/>
    <cellStyle name="Assumption Year. 2 2 5 12" xfId="12540"/>
    <cellStyle name="Assumption Year. 2 2 5 2" xfId="12541"/>
    <cellStyle name="Assumption Year. 2 2 5 2 10" xfId="12542"/>
    <cellStyle name="Assumption Year. 2 2 5 2 2" xfId="12543"/>
    <cellStyle name="Assumption Year. 2 2 5 2 2 10" xfId="12544"/>
    <cellStyle name="Assumption Year. 2 2 5 2 2 2" xfId="12545"/>
    <cellStyle name="Assumption Year. 2 2 5 2 2 3" xfId="12546"/>
    <cellStyle name="Assumption Year. 2 2 5 2 2 4" xfId="12547"/>
    <cellStyle name="Assumption Year. 2 2 5 2 2 5" xfId="12548"/>
    <cellStyle name="Assumption Year. 2 2 5 2 2 6" xfId="12549"/>
    <cellStyle name="Assumption Year. 2 2 5 2 2 7" xfId="12550"/>
    <cellStyle name="Assumption Year. 2 2 5 2 2 8" xfId="12551"/>
    <cellStyle name="Assumption Year. 2 2 5 2 2 9" xfId="12552"/>
    <cellStyle name="Assumption Year. 2 2 5 2 3" xfId="12553"/>
    <cellStyle name="Assumption Year. 2 2 5 2 4" xfId="12554"/>
    <cellStyle name="Assumption Year. 2 2 5 2 5" xfId="12555"/>
    <cellStyle name="Assumption Year. 2 2 5 2 6" xfId="12556"/>
    <cellStyle name="Assumption Year. 2 2 5 2 7" xfId="12557"/>
    <cellStyle name="Assumption Year. 2 2 5 2 8" xfId="12558"/>
    <cellStyle name="Assumption Year. 2 2 5 2 9" xfId="12559"/>
    <cellStyle name="Assumption Year. 2 2 5 3" xfId="12560"/>
    <cellStyle name="Assumption Year. 2 2 5 3 10" xfId="12561"/>
    <cellStyle name="Assumption Year. 2 2 5 3 2" xfId="12562"/>
    <cellStyle name="Assumption Year. 2 2 5 3 3" xfId="12563"/>
    <cellStyle name="Assumption Year. 2 2 5 3 4" xfId="12564"/>
    <cellStyle name="Assumption Year. 2 2 5 3 5" xfId="12565"/>
    <cellStyle name="Assumption Year. 2 2 5 3 6" xfId="12566"/>
    <cellStyle name="Assumption Year. 2 2 5 3 7" xfId="12567"/>
    <cellStyle name="Assumption Year. 2 2 5 3 8" xfId="12568"/>
    <cellStyle name="Assumption Year. 2 2 5 3 9" xfId="12569"/>
    <cellStyle name="Assumption Year. 2 2 5 4" xfId="12570"/>
    <cellStyle name="Assumption Year. 2 2 5 5" xfId="12571"/>
    <cellStyle name="Assumption Year. 2 2 5 6" xfId="12572"/>
    <cellStyle name="Assumption Year. 2 2 5 7" xfId="12573"/>
    <cellStyle name="Assumption Year. 2 2 5 8" xfId="12574"/>
    <cellStyle name="Assumption Year. 2 2 5 9" xfId="12575"/>
    <cellStyle name="Assumption Year. 2 2 6" xfId="12576"/>
    <cellStyle name="Assumption Year. 2 2 6 10" xfId="12577"/>
    <cellStyle name="Assumption Year. 2 2 6 11" xfId="12578"/>
    <cellStyle name="Assumption Year. 2 2 6 12" xfId="12579"/>
    <cellStyle name="Assumption Year. 2 2 6 2" xfId="12580"/>
    <cellStyle name="Assumption Year. 2 2 6 2 10" xfId="12581"/>
    <cellStyle name="Assumption Year. 2 2 6 2 2" xfId="12582"/>
    <cellStyle name="Assumption Year. 2 2 6 2 2 10" xfId="12583"/>
    <cellStyle name="Assumption Year. 2 2 6 2 2 2" xfId="12584"/>
    <cellStyle name="Assumption Year. 2 2 6 2 2 3" xfId="12585"/>
    <cellStyle name="Assumption Year. 2 2 6 2 2 4" xfId="12586"/>
    <cellStyle name="Assumption Year. 2 2 6 2 2 5" xfId="12587"/>
    <cellStyle name="Assumption Year. 2 2 6 2 2 6" xfId="12588"/>
    <cellStyle name="Assumption Year. 2 2 6 2 2 7" xfId="12589"/>
    <cellStyle name="Assumption Year. 2 2 6 2 2 8" xfId="12590"/>
    <cellStyle name="Assumption Year. 2 2 6 2 2 9" xfId="12591"/>
    <cellStyle name="Assumption Year. 2 2 6 2 3" xfId="12592"/>
    <cellStyle name="Assumption Year. 2 2 6 2 4" xfId="12593"/>
    <cellStyle name="Assumption Year. 2 2 6 2 5" xfId="12594"/>
    <cellStyle name="Assumption Year. 2 2 6 2 6" xfId="12595"/>
    <cellStyle name="Assumption Year. 2 2 6 2 7" xfId="12596"/>
    <cellStyle name="Assumption Year. 2 2 6 2 8" xfId="12597"/>
    <cellStyle name="Assumption Year. 2 2 6 2 9" xfId="12598"/>
    <cellStyle name="Assumption Year. 2 2 6 3" xfId="12599"/>
    <cellStyle name="Assumption Year. 2 2 6 3 10" xfId="12600"/>
    <cellStyle name="Assumption Year. 2 2 6 3 2" xfId="12601"/>
    <cellStyle name="Assumption Year. 2 2 6 3 3" xfId="12602"/>
    <cellStyle name="Assumption Year. 2 2 6 3 4" xfId="12603"/>
    <cellStyle name="Assumption Year. 2 2 6 3 5" xfId="12604"/>
    <cellStyle name="Assumption Year. 2 2 6 3 6" xfId="12605"/>
    <cellStyle name="Assumption Year. 2 2 6 3 7" xfId="12606"/>
    <cellStyle name="Assumption Year. 2 2 6 3 8" xfId="12607"/>
    <cellStyle name="Assumption Year. 2 2 6 3 9" xfId="12608"/>
    <cellStyle name="Assumption Year. 2 2 6 4" xfId="12609"/>
    <cellStyle name="Assumption Year. 2 2 6 5" xfId="12610"/>
    <cellStyle name="Assumption Year. 2 2 6 6" xfId="12611"/>
    <cellStyle name="Assumption Year. 2 2 6 7" xfId="12612"/>
    <cellStyle name="Assumption Year. 2 2 6 8" xfId="12613"/>
    <cellStyle name="Assumption Year. 2 2 6 9" xfId="12614"/>
    <cellStyle name="Assumption Year. 2 2 7" xfId="12615"/>
    <cellStyle name="Assumption Year. 2 2 7 10" xfId="12616"/>
    <cellStyle name="Assumption Year. 2 2 7 11" xfId="12617"/>
    <cellStyle name="Assumption Year. 2 2 7 12" xfId="12618"/>
    <cellStyle name="Assumption Year. 2 2 7 2" xfId="12619"/>
    <cellStyle name="Assumption Year. 2 2 7 2 10" xfId="12620"/>
    <cellStyle name="Assumption Year. 2 2 7 2 2" xfId="12621"/>
    <cellStyle name="Assumption Year. 2 2 7 2 2 10" xfId="12622"/>
    <cellStyle name="Assumption Year. 2 2 7 2 2 2" xfId="12623"/>
    <cellStyle name="Assumption Year. 2 2 7 2 2 3" xfId="12624"/>
    <cellStyle name="Assumption Year. 2 2 7 2 2 4" xfId="12625"/>
    <cellStyle name="Assumption Year. 2 2 7 2 2 5" xfId="12626"/>
    <cellStyle name="Assumption Year. 2 2 7 2 2 6" xfId="12627"/>
    <cellStyle name="Assumption Year. 2 2 7 2 2 7" xfId="12628"/>
    <cellStyle name="Assumption Year. 2 2 7 2 2 8" xfId="12629"/>
    <cellStyle name="Assumption Year. 2 2 7 2 2 9" xfId="12630"/>
    <cellStyle name="Assumption Year. 2 2 7 2 3" xfId="12631"/>
    <cellStyle name="Assumption Year. 2 2 7 2 4" xfId="12632"/>
    <cellStyle name="Assumption Year. 2 2 7 2 5" xfId="12633"/>
    <cellStyle name="Assumption Year. 2 2 7 2 6" xfId="12634"/>
    <cellStyle name="Assumption Year. 2 2 7 2 7" xfId="12635"/>
    <cellStyle name="Assumption Year. 2 2 7 2 8" xfId="12636"/>
    <cellStyle name="Assumption Year. 2 2 7 2 9" xfId="12637"/>
    <cellStyle name="Assumption Year. 2 2 7 3" xfId="12638"/>
    <cellStyle name="Assumption Year. 2 2 7 3 10" xfId="12639"/>
    <cellStyle name="Assumption Year. 2 2 7 3 2" xfId="12640"/>
    <cellStyle name="Assumption Year. 2 2 7 3 3" xfId="12641"/>
    <cellStyle name="Assumption Year. 2 2 7 3 4" xfId="12642"/>
    <cellStyle name="Assumption Year. 2 2 7 3 5" xfId="12643"/>
    <cellStyle name="Assumption Year. 2 2 7 3 6" xfId="12644"/>
    <cellStyle name="Assumption Year. 2 2 7 3 7" xfId="12645"/>
    <cellStyle name="Assumption Year. 2 2 7 3 8" xfId="12646"/>
    <cellStyle name="Assumption Year. 2 2 7 3 9" xfId="12647"/>
    <cellStyle name="Assumption Year. 2 2 7 4" xfId="12648"/>
    <cellStyle name="Assumption Year. 2 2 7 5" xfId="12649"/>
    <cellStyle name="Assumption Year. 2 2 7 6" xfId="12650"/>
    <cellStyle name="Assumption Year. 2 2 7 7" xfId="12651"/>
    <cellStyle name="Assumption Year. 2 2 7 8" xfId="12652"/>
    <cellStyle name="Assumption Year. 2 2 7 9" xfId="12653"/>
    <cellStyle name="Assumption Year. 2 2 8" xfId="12654"/>
    <cellStyle name="Assumption Year. 2 2 8 10" xfId="12655"/>
    <cellStyle name="Assumption Year. 2 2 8 2" xfId="12656"/>
    <cellStyle name="Assumption Year. 2 2 8 2 10" xfId="12657"/>
    <cellStyle name="Assumption Year. 2 2 8 2 2" xfId="12658"/>
    <cellStyle name="Assumption Year. 2 2 8 2 3" xfId="12659"/>
    <cellStyle name="Assumption Year. 2 2 8 2 4" xfId="12660"/>
    <cellStyle name="Assumption Year. 2 2 8 2 5" xfId="12661"/>
    <cellStyle name="Assumption Year. 2 2 8 2 6" xfId="12662"/>
    <cellStyle name="Assumption Year. 2 2 8 2 7" xfId="12663"/>
    <cellStyle name="Assumption Year. 2 2 8 2 8" xfId="12664"/>
    <cellStyle name="Assumption Year. 2 2 8 2 9" xfId="12665"/>
    <cellStyle name="Assumption Year. 2 2 8 3" xfId="12666"/>
    <cellStyle name="Assumption Year. 2 2 8 4" xfId="12667"/>
    <cellStyle name="Assumption Year. 2 2 8 5" xfId="12668"/>
    <cellStyle name="Assumption Year. 2 2 8 6" xfId="12669"/>
    <cellStyle name="Assumption Year. 2 2 8 7" xfId="12670"/>
    <cellStyle name="Assumption Year. 2 2 8 8" xfId="12671"/>
    <cellStyle name="Assumption Year. 2 2 8 9" xfId="12672"/>
    <cellStyle name="Assumption Year. 2 2 9" xfId="12673"/>
    <cellStyle name="Assumption Year. 2 2 9 10" xfId="12674"/>
    <cellStyle name="Assumption Year. 2 2 9 2" xfId="12675"/>
    <cellStyle name="Assumption Year. 2 2 9 3" xfId="12676"/>
    <cellStyle name="Assumption Year. 2 2 9 4" xfId="12677"/>
    <cellStyle name="Assumption Year. 2 2 9 5" xfId="12678"/>
    <cellStyle name="Assumption Year. 2 2 9 6" xfId="12679"/>
    <cellStyle name="Assumption Year. 2 2 9 7" xfId="12680"/>
    <cellStyle name="Assumption Year. 2 2 9 8" xfId="12681"/>
    <cellStyle name="Assumption Year. 2 2 9 9" xfId="12682"/>
    <cellStyle name="Assumption Year. 2 3" xfId="12683"/>
    <cellStyle name="Assumption Year. 2 3 10" xfId="12684"/>
    <cellStyle name="Assumption Year. 2 3 11" xfId="12685"/>
    <cellStyle name="Assumption Year. 2 3 12" xfId="12686"/>
    <cellStyle name="Assumption Year. 2 3 13" xfId="12687"/>
    <cellStyle name="Assumption Year. 2 3 14" xfId="12688"/>
    <cellStyle name="Assumption Year. 2 3 2" xfId="12689"/>
    <cellStyle name="Assumption Year. 2 3 2 10" xfId="12690"/>
    <cellStyle name="Assumption Year. 2 3 2 11" xfId="12691"/>
    <cellStyle name="Assumption Year. 2 3 2 12" xfId="12692"/>
    <cellStyle name="Assumption Year. 2 3 2 13" xfId="12693"/>
    <cellStyle name="Assumption Year. 2 3 2 2" xfId="12694"/>
    <cellStyle name="Assumption Year. 2 3 2 2 10" xfId="12695"/>
    <cellStyle name="Assumption Year. 2 3 2 2 11" xfId="12696"/>
    <cellStyle name="Assumption Year. 2 3 2 2 12" xfId="12697"/>
    <cellStyle name="Assumption Year. 2 3 2 2 2" xfId="12698"/>
    <cellStyle name="Assumption Year. 2 3 2 2 2 10" xfId="12699"/>
    <cellStyle name="Assumption Year. 2 3 2 2 2 2" xfId="12700"/>
    <cellStyle name="Assumption Year. 2 3 2 2 2 2 10" xfId="12701"/>
    <cellStyle name="Assumption Year. 2 3 2 2 2 2 2" xfId="12702"/>
    <cellStyle name="Assumption Year. 2 3 2 2 2 2 3" xfId="12703"/>
    <cellStyle name="Assumption Year. 2 3 2 2 2 2 4" xfId="12704"/>
    <cellStyle name="Assumption Year. 2 3 2 2 2 2 5" xfId="12705"/>
    <cellStyle name="Assumption Year. 2 3 2 2 2 2 6" xfId="12706"/>
    <cellStyle name="Assumption Year. 2 3 2 2 2 2 7" xfId="12707"/>
    <cellStyle name="Assumption Year. 2 3 2 2 2 2 8" xfId="12708"/>
    <cellStyle name="Assumption Year. 2 3 2 2 2 2 9" xfId="12709"/>
    <cellStyle name="Assumption Year. 2 3 2 2 2 3" xfId="12710"/>
    <cellStyle name="Assumption Year. 2 3 2 2 2 4" xfId="12711"/>
    <cellStyle name="Assumption Year. 2 3 2 2 2 5" xfId="12712"/>
    <cellStyle name="Assumption Year. 2 3 2 2 2 6" xfId="12713"/>
    <cellStyle name="Assumption Year. 2 3 2 2 2 7" xfId="12714"/>
    <cellStyle name="Assumption Year. 2 3 2 2 2 8" xfId="12715"/>
    <cellStyle name="Assumption Year. 2 3 2 2 2 9" xfId="12716"/>
    <cellStyle name="Assumption Year. 2 3 2 2 3" xfId="12717"/>
    <cellStyle name="Assumption Year. 2 3 2 2 3 10" xfId="12718"/>
    <cellStyle name="Assumption Year. 2 3 2 2 3 2" xfId="12719"/>
    <cellStyle name="Assumption Year. 2 3 2 2 3 3" xfId="12720"/>
    <cellStyle name="Assumption Year. 2 3 2 2 3 4" xfId="12721"/>
    <cellStyle name="Assumption Year. 2 3 2 2 3 5" xfId="12722"/>
    <cellStyle name="Assumption Year. 2 3 2 2 3 6" xfId="12723"/>
    <cellStyle name="Assumption Year. 2 3 2 2 3 7" xfId="12724"/>
    <cellStyle name="Assumption Year. 2 3 2 2 3 8" xfId="12725"/>
    <cellStyle name="Assumption Year. 2 3 2 2 3 9" xfId="12726"/>
    <cellStyle name="Assumption Year. 2 3 2 2 4" xfId="12727"/>
    <cellStyle name="Assumption Year. 2 3 2 2 5" xfId="12728"/>
    <cellStyle name="Assumption Year. 2 3 2 2 6" xfId="12729"/>
    <cellStyle name="Assumption Year. 2 3 2 2 7" xfId="12730"/>
    <cellStyle name="Assumption Year. 2 3 2 2 8" xfId="12731"/>
    <cellStyle name="Assumption Year. 2 3 2 2 9" xfId="12732"/>
    <cellStyle name="Assumption Year. 2 3 2 3" xfId="12733"/>
    <cellStyle name="Assumption Year. 2 3 2 3 10" xfId="12734"/>
    <cellStyle name="Assumption Year. 2 3 2 3 2" xfId="12735"/>
    <cellStyle name="Assumption Year. 2 3 2 3 2 10" xfId="12736"/>
    <cellStyle name="Assumption Year. 2 3 2 3 2 2" xfId="12737"/>
    <cellStyle name="Assumption Year. 2 3 2 3 2 3" xfId="12738"/>
    <cellStyle name="Assumption Year. 2 3 2 3 2 4" xfId="12739"/>
    <cellStyle name="Assumption Year. 2 3 2 3 2 5" xfId="12740"/>
    <cellStyle name="Assumption Year. 2 3 2 3 2 6" xfId="12741"/>
    <cellStyle name="Assumption Year. 2 3 2 3 2 7" xfId="12742"/>
    <cellStyle name="Assumption Year. 2 3 2 3 2 8" xfId="12743"/>
    <cellStyle name="Assumption Year. 2 3 2 3 2 9" xfId="12744"/>
    <cellStyle name="Assumption Year. 2 3 2 3 3" xfId="12745"/>
    <cellStyle name="Assumption Year. 2 3 2 3 4" xfId="12746"/>
    <cellStyle name="Assumption Year. 2 3 2 3 5" xfId="12747"/>
    <cellStyle name="Assumption Year. 2 3 2 3 6" xfId="12748"/>
    <cellStyle name="Assumption Year. 2 3 2 3 7" xfId="12749"/>
    <cellStyle name="Assumption Year. 2 3 2 3 8" xfId="12750"/>
    <cellStyle name="Assumption Year. 2 3 2 3 9" xfId="12751"/>
    <cellStyle name="Assumption Year. 2 3 2 4" xfId="12752"/>
    <cellStyle name="Assumption Year. 2 3 2 4 10" xfId="12753"/>
    <cellStyle name="Assumption Year. 2 3 2 4 2" xfId="12754"/>
    <cellStyle name="Assumption Year. 2 3 2 4 3" xfId="12755"/>
    <cellStyle name="Assumption Year. 2 3 2 4 4" xfId="12756"/>
    <cellStyle name="Assumption Year. 2 3 2 4 5" xfId="12757"/>
    <cellStyle name="Assumption Year. 2 3 2 4 6" xfId="12758"/>
    <cellStyle name="Assumption Year. 2 3 2 4 7" xfId="12759"/>
    <cellStyle name="Assumption Year. 2 3 2 4 8" xfId="12760"/>
    <cellStyle name="Assumption Year. 2 3 2 4 9" xfId="12761"/>
    <cellStyle name="Assumption Year. 2 3 2 5" xfId="12762"/>
    <cellStyle name="Assumption Year. 2 3 2 6" xfId="12763"/>
    <cellStyle name="Assumption Year. 2 3 2 7" xfId="12764"/>
    <cellStyle name="Assumption Year. 2 3 2 8" xfId="12765"/>
    <cellStyle name="Assumption Year. 2 3 2 9" xfId="12766"/>
    <cellStyle name="Assumption Year. 2 3 3" xfId="12767"/>
    <cellStyle name="Assumption Year. 2 3 3 10" xfId="12768"/>
    <cellStyle name="Assumption Year. 2 3 3 11" xfId="12769"/>
    <cellStyle name="Assumption Year. 2 3 3 12" xfId="12770"/>
    <cellStyle name="Assumption Year. 2 3 3 2" xfId="12771"/>
    <cellStyle name="Assumption Year. 2 3 3 2 10" xfId="12772"/>
    <cellStyle name="Assumption Year. 2 3 3 2 2" xfId="12773"/>
    <cellStyle name="Assumption Year. 2 3 3 2 2 10" xfId="12774"/>
    <cellStyle name="Assumption Year. 2 3 3 2 2 2" xfId="12775"/>
    <cellStyle name="Assumption Year. 2 3 3 2 2 3" xfId="12776"/>
    <cellStyle name="Assumption Year. 2 3 3 2 2 4" xfId="12777"/>
    <cellStyle name="Assumption Year. 2 3 3 2 2 5" xfId="12778"/>
    <cellStyle name="Assumption Year. 2 3 3 2 2 6" xfId="12779"/>
    <cellStyle name="Assumption Year. 2 3 3 2 2 7" xfId="12780"/>
    <cellStyle name="Assumption Year. 2 3 3 2 2 8" xfId="12781"/>
    <cellStyle name="Assumption Year. 2 3 3 2 2 9" xfId="12782"/>
    <cellStyle name="Assumption Year. 2 3 3 2 3" xfId="12783"/>
    <cellStyle name="Assumption Year. 2 3 3 2 4" xfId="12784"/>
    <cellStyle name="Assumption Year. 2 3 3 2 5" xfId="12785"/>
    <cellStyle name="Assumption Year. 2 3 3 2 6" xfId="12786"/>
    <cellStyle name="Assumption Year. 2 3 3 2 7" xfId="12787"/>
    <cellStyle name="Assumption Year. 2 3 3 2 8" xfId="12788"/>
    <cellStyle name="Assumption Year. 2 3 3 2 9" xfId="12789"/>
    <cellStyle name="Assumption Year. 2 3 3 3" xfId="12790"/>
    <cellStyle name="Assumption Year. 2 3 3 3 10" xfId="12791"/>
    <cellStyle name="Assumption Year. 2 3 3 3 2" xfId="12792"/>
    <cellStyle name="Assumption Year. 2 3 3 3 3" xfId="12793"/>
    <cellStyle name="Assumption Year. 2 3 3 3 4" xfId="12794"/>
    <cellStyle name="Assumption Year. 2 3 3 3 5" xfId="12795"/>
    <cellStyle name="Assumption Year. 2 3 3 3 6" xfId="12796"/>
    <cellStyle name="Assumption Year. 2 3 3 3 7" xfId="12797"/>
    <cellStyle name="Assumption Year. 2 3 3 3 8" xfId="12798"/>
    <cellStyle name="Assumption Year. 2 3 3 3 9" xfId="12799"/>
    <cellStyle name="Assumption Year. 2 3 3 4" xfId="12800"/>
    <cellStyle name="Assumption Year. 2 3 3 5" xfId="12801"/>
    <cellStyle name="Assumption Year. 2 3 3 6" xfId="12802"/>
    <cellStyle name="Assumption Year. 2 3 3 7" xfId="12803"/>
    <cellStyle name="Assumption Year. 2 3 3 8" xfId="12804"/>
    <cellStyle name="Assumption Year. 2 3 3 9" xfId="12805"/>
    <cellStyle name="Assumption Year. 2 3 4" xfId="12806"/>
    <cellStyle name="Assumption Year. 2 3 4 10" xfId="12807"/>
    <cellStyle name="Assumption Year. 2 3 4 2" xfId="12808"/>
    <cellStyle name="Assumption Year. 2 3 4 2 10" xfId="12809"/>
    <cellStyle name="Assumption Year. 2 3 4 2 2" xfId="12810"/>
    <cellStyle name="Assumption Year. 2 3 4 2 3" xfId="12811"/>
    <cellStyle name="Assumption Year. 2 3 4 2 4" xfId="12812"/>
    <cellStyle name="Assumption Year. 2 3 4 2 5" xfId="12813"/>
    <cellStyle name="Assumption Year. 2 3 4 2 6" xfId="12814"/>
    <cellStyle name="Assumption Year. 2 3 4 2 7" xfId="12815"/>
    <cellStyle name="Assumption Year. 2 3 4 2 8" xfId="12816"/>
    <cellStyle name="Assumption Year. 2 3 4 2 9" xfId="12817"/>
    <cellStyle name="Assumption Year. 2 3 4 3" xfId="12818"/>
    <cellStyle name="Assumption Year. 2 3 4 4" xfId="12819"/>
    <cellStyle name="Assumption Year. 2 3 4 5" xfId="12820"/>
    <cellStyle name="Assumption Year. 2 3 4 6" xfId="12821"/>
    <cellStyle name="Assumption Year. 2 3 4 7" xfId="12822"/>
    <cellStyle name="Assumption Year. 2 3 4 8" xfId="12823"/>
    <cellStyle name="Assumption Year. 2 3 4 9" xfId="12824"/>
    <cellStyle name="Assumption Year. 2 3 5" xfId="12825"/>
    <cellStyle name="Assumption Year. 2 3 5 10" xfId="12826"/>
    <cellStyle name="Assumption Year. 2 3 5 2" xfId="12827"/>
    <cellStyle name="Assumption Year. 2 3 5 3" xfId="12828"/>
    <cellStyle name="Assumption Year. 2 3 5 4" xfId="12829"/>
    <cellStyle name="Assumption Year. 2 3 5 5" xfId="12830"/>
    <cellStyle name="Assumption Year. 2 3 5 6" xfId="12831"/>
    <cellStyle name="Assumption Year. 2 3 5 7" xfId="12832"/>
    <cellStyle name="Assumption Year. 2 3 5 8" xfId="12833"/>
    <cellStyle name="Assumption Year. 2 3 5 9" xfId="12834"/>
    <cellStyle name="Assumption Year. 2 3 6" xfId="12835"/>
    <cellStyle name="Assumption Year. 2 3 7" xfId="12836"/>
    <cellStyle name="Assumption Year. 2 3 8" xfId="12837"/>
    <cellStyle name="Assumption Year. 2 3 9" xfId="12838"/>
    <cellStyle name="Assumption Year. 2 4" xfId="12839"/>
    <cellStyle name="Assumption Year. 2 4 10" xfId="12840"/>
    <cellStyle name="Assumption Year. 2 4 11" xfId="12841"/>
    <cellStyle name="Assumption Year. 2 4 12" xfId="12842"/>
    <cellStyle name="Assumption Year. 2 4 13" xfId="12843"/>
    <cellStyle name="Assumption Year. 2 4 2" xfId="12844"/>
    <cellStyle name="Assumption Year. 2 4 2 10" xfId="12845"/>
    <cellStyle name="Assumption Year. 2 4 2 11" xfId="12846"/>
    <cellStyle name="Assumption Year. 2 4 2 12" xfId="12847"/>
    <cellStyle name="Assumption Year. 2 4 2 2" xfId="12848"/>
    <cellStyle name="Assumption Year. 2 4 2 2 10" xfId="12849"/>
    <cellStyle name="Assumption Year. 2 4 2 2 2" xfId="12850"/>
    <cellStyle name="Assumption Year. 2 4 2 2 2 10" xfId="12851"/>
    <cellStyle name="Assumption Year. 2 4 2 2 2 2" xfId="12852"/>
    <cellStyle name="Assumption Year. 2 4 2 2 2 3" xfId="12853"/>
    <cellStyle name="Assumption Year. 2 4 2 2 2 4" xfId="12854"/>
    <cellStyle name="Assumption Year. 2 4 2 2 2 5" xfId="12855"/>
    <cellStyle name="Assumption Year. 2 4 2 2 2 6" xfId="12856"/>
    <cellStyle name="Assumption Year. 2 4 2 2 2 7" xfId="12857"/>
    <cellStyle name="Assumption Year. 2 4 2 2 2 8" xfId="12858"/>
    <cellStyle name="Assumption Year. 2 4 2 2 2 9" xfId="12859"/>
    <cellStyle name="Assumption Year. 2 4 2 2 3" xfId="12860"/>
    <cellStyle name="Assumption Year. 2 4 2 2 4" xfId="12861"/>
    <cellStyle name="Assumption Year. 2 4 2 2 5" xfId="12862"/>
    <cellStyle name="Assumption Year. 2 4 2 2 6" xfId="12863"/>
    <cellStyle name="Assumption Year. 2 4 2 2 7" xfId="12864"/>
    <cellStyle name="Assumption Year. 2 4 2 2 8" xfId="12865"/>
    <cellStyle name="Assumption Year. 2 4 2 2 9" xfId="12866"/>
    <cellStyle name="Assumption Year. 2 4 2 3" xfId="12867"/>
    <cellStyle name="Assumption Year. 2 4 2 3 10" xfId="12868"/>
    <cellStyle name="Assumption Year. 2 4 2 3 2" xfId="12869"/>
    <cellStyle name="Assumption Year. 2 4 2 3 3" xfId="12870"/>
    <cellStyle name="Assumption Year. 2 4 2 3 4" xfId="12871"/>
    <cellStyle name="Assumption Year. 2 4 2 3 5" xfId="12872"/>
    <cellStyle name="Assumption Year. 2 4 2 3 6" xfId="12873"/>
    <cellStyle name="Assumption Year. 2 4 2 3 7" xfId="12874"/>
    <cellStyle name="Assumption Year. 2 4 2 3 8" xfId="12875"/>
    <cellStyle name="Assumption Year. 2 4 2 3 9" xfId="12876"/>
    <cellStyle name="Assumption Year. 2 4 2 4" xfId="12877"/>
    <cellStyle name="Assumption Year. 2 4 2 5" xfId="12878"/>
    <cellStyle name="Assumption Year. 2 4 2 6" xfId="12879"/>
    <cellStyle name="Assumption Year. 2 4 2 7" xfId="12880"/>
    <cellStyle name="Assumption Year. 2 4 2 8" xfId="12881"/>
    <cellStyle name="Assumption Year. 2 4 2 9" xfId="12882"/>
    <cellStyle name="Assumption Year. 2 4 3" xfId="12883"/>
    <cellStyle name="Assumption Year. 2 4 3 10" xfId="12884"/>
    <cellStyle name="Assumption Year. 2 4 3 2" xfId="12885"/>
    <cellStyle name="Assumption Year. 2 4 3 2 10" xfId="12886"/>
    <cellStyle name="Assumption Year. 2 4 3 2 2" xfId="12887"/>
    <cellStyle name="Assumption Year. 2 4 3 2 3" xfId="12888"/>
    <cellStyle name="Assumption Year. 2 4 3 2 4" xfId="12889"/>
    <cellStyle name="Assumption Year. 2 4 3 2 5" xfId="12890"/>
    <cellStyle name="Assumption Year. 2 4 3 2 6" xfId="12891"/>
    <cellStyle name="Assumption Year. 2 4 3 2 7" xfId="12892"/>
    <cellStyle name="Assumption Year. 2 4 3 2 8" xfId="12893"/>
    <cellStyle name="Assumption Year. 2 4 3 2 9" xfId="12894"/>
    <cellStyle name="Assumption Year. 2 4 3 3" xfId="12895"/>
    <cellStyle name="Assumption Year. 2 4 3 4" xfId="12896"/>
    <cellStyle name="Assumption Year. 2 4 3 5" xfId="12897"/>
    <cellStyle name="Assumption Year. 2 4 3 6" xfId="12898"/>
    <cellStyle name="Assumption Year. 2 4 3 7" xfId="12899"/>
    <cellStyle name="Assumption Year. 2 4 3 8" xfId="12900"/>
    <cellStyle name="Assumption Year. 2 4 3 9" xfId="12901"/>
    <cellStyle name="Assumption Year. 2 4 4" xfId="12902"/>
    <cellStyle name="Assumption Year. 2 4 4 10" xfId="12903"/>
    <cellStyle name="Assumption Year. 2 4 4 2" xfId="12904"/>
    <cellStyle name="Assumption Year. 2 4 4 3" xfId="12905"/>
    <cellStyle name="Assumption Year. 2 4 4 4" xfId="12906"/>
    <cellStyle name="Assumption Year. 2 4 4 5" xfId="12907"/>
    <cellStyle name="Assumption Year. 2 4 4 6" xfId="12908"/>
    <cellStyle name="Assumption Year. 2 4 4 7" xfId="12909"/>
    <cellStyle name="Assumption Year. 2 4 4 8" xfId="12910"/>
    <cellStyle name="Assumption Year. 2 4 4 9" xfId="12911"/>
    <cellStyle name="Assumption Year. 2 4 5" xfId="12912"/>
    <cellStyle name="Assumption Year. 2 4 6" xfId="12913"/>
    <cellStyle name="Assumption Year. 2 4 7" xfId="12914"/>
    <cellStyle name="Assumption Year. 2 4 8" xfId="12915"/>
    <cellStyle name="Assumption Year. 2 4 9" xfId="12916"/>
    <cellStyle name="Assumption Year. 2 5" xfId="12917"/>
    <cellStyle name="Assumption Year. 2 5 10" xfId="12918"/>
    <cellStyle name="Assumption Year. 2 5 11" xfId="12919"/>
    <cellStyle name="Assumption Year. 2 5 12" xfId="12920"/>
    <cellStyle name="Assumption Year. 2 5 13" xfId="12921"/>
    <cellStyle name="Assumption Year. 2 5 2" xfId="12922"/>
    <cellStyle name="Assumption Year. 2 5 2 10" xfId="12923"/>
    <cellStyle name="Assumption Year. 2 5 2 11" xfId="12924"/>
    <cellStyle name="Assumption Year. 2 5 2 12" xfId="12925"/>
    <cellStyle name="Assumption Year. 2 5 2 2" xfId="12926"/>
    <cellStyle name="Assumption Year. 2 5 2 2 10" xfId="12927"/>
    <cellStyle name="Assumption Year. 2 5 2 2 2" xfId="12928"/>
    <cellStyle name="Assumption Year. 2 5 2 2 2 10" xfId="12929"/>
    <cellStyle name="Assumption Year. 2 5 2 2 2 2" xfId="12930"/>
    <cellStyle name="Assumption Year. 2 5 2 2 2 3" xfId="12931"/>
    <cellStyle name="Assumption Year. 2 5 2 2 2 4" xfId="12932"/>
    <cellStyle name="Assumption Year. 2 5 2 2 2 5" xfId="12933"/>
    <cellStyle name="Assumption Year. 2 5 2 2 2 6" xfId="12934"/>
    <cellStyle name="Assumption Year. 2 5 2 2 2 7" xfId="12935"/>
    <cellStyle name="Assumption Year. 2 5 2 2 2 8" xfId="12936"/>
    <cellStyle name="Assumption Year. 2 5 2 2 2 9" xfId="12937"/>
    <cellStyle name="Assumption Year. 2 5 2 2 3" xfId="12938"/>
    <cellStyle name="Assumption Year. 2 5 2 2 4" xfId="12939"/>
    <cellStyle name="Assumption Year. 2 5 2 2 5" xfId="12940"/>
    <cellStyle name="Assumption Year. 2 5 2 2 6" xfId="12941"/>
    <cellStyle name="Assumption Year. 2 5 2 2 7" xfId="12942"/>
    <cellStyle name="Assumption Year. 2 5 2 2 8" xfId="12943"/>
    <cellStyle name="Assumption Year. 2 5 2 2 9" xfId="12944"/>
    <cellStyle name="Assumption Year. 2 5 2 3" xfId="12945"/>
    <cellStyle name="Assumption Year. 2 5 2 3 10" xfId="12946"/>
    <cellStyle name="Assumption Year. 2 5 2 3 2" xfId="12947"/>
    <cellStyle name="Assumption Year. 2 5 2 3 3" xfId="12948"/>
    <cellStyle name="Assumption Year. 2 5 2 3 4" xfId="12949"/>
    <cellStyle name="Assumption Year. 2 5 2 3 5" xfId="12950"/>
    <cellStyle name="Assumption Year. 2 5 2 3 6" xfId="12951"/>
    <cellStyle name="Assumption Year. 2 5 2 3 7" xfId="12952"/>
    <cellStyle name="Assumption Year. 2 5 2 3 8" xfId="12953"/>
    <cellStyle name="Assumption Year. 2 5 2 3 9" xfId="12954"/>
    <cellStyle name="Assumption Year. 2 5 2 4" xfId="12955"/>
    <cellStyle name="Assumption Year. 2 5 2 5" xfId="12956"/>
    <cellStyle name="Assumption Year. 2 5 2 6" xfId="12957"/>
    <cellStyle name="Assumption Year. 2 5 2 7" xfId="12958"/>
    <cellStyle name="Assumption Year. 2 5 2 8" xfId="12959"/>
    <cellStyle name="Assumption Year. 2 5 2 9" xfId="12960"/>
    <cellStyle name="Assumption Year. 2 5 3" xfId="12961"/>
    <cellStyle name="Assumption Year. 2 5 3 10" xfId="12962"/>
    <cellStyle name="Assumption Year. 2 5 3 2" xfId="12963"/>
    <cellStyle name="Assumption Year. 2 5 3 2 10" xfId="12964"/>
    <cellStyle name="Assumption Year. 2 5 3 2 2" xfId="12965"/>
    <cellStyle name="Assumption Year. 2 5 3 2 3" xfId="12966"/>
    <cellStyle name="Assumption Year. 2 5 3 2 4" xfId="12967"/>
    <cellStyle name="Assumption Year. 2 5 3 2 5" xfId="12968"/>
    <cellStyle name="Assumption Year. 2 5 3 2 6" xfId="12969"/>
    <cellStyle name="Assumption Year. 2 5 3 2 7" xfId="12970"/>
    <cellStyle name="Assumption Year. 2 5 3 2 8" xfId="12971"/>
    <cellStyle name="Assumption Year. 2 5 3 2 9" xfId="12972"/>
    <cellStyle name="Assumption Year. 2 5 3 3" xfId="12973"/>
    <cellStyle name="Assumption Year. 2 5 3 4" xfId="12974"/>
    <cellStyle name="Assumption Year. 2 5 3 5" xfId="12975"/>
    <cellStyle name="Assumption Year. 2 5 3 6" xfId="12976"/>
    <cellStyle name="Assumption Year. 2 5 3 7" xfId="12977"/>
    <cellStyle name="Assumption Year. 2 5 3 8" xfId="12978"/>
    <cellStyle name="Assumption Year. 2 5 3 9" xfId="12979"/>
    <cellStyle name="Assumption Year. 2 5 4" xfId="12980"/>
    <cellStyle name="Assumption Year. 2 5 4 10" xfId="12981"/>
    <cellStyle name="Assumption Year. 2 5 4 2" xfId="12982"/>
    <cellStyle name="Assumption Year. 2 5 4 3" xfId="12983"/>
    <cellStyle name="Assumption Year. 2 5 4 4" xfId="12984"/>
    <cellStyle name="Assumption Year. 2 5 4 5" xfId="12985"/>
    <cellStyle name="Assumption Year. 2 5 4 6" xfId="12986"/>
    <cellStyle name="Assumption Year. 2 5 4 7" xfId="12987"/>
    <cellStyle name="Assumption Year. 2 5 4 8" xfId="12988"/>
    <cellStyle name="Assumption Year. 2 5 4 9" xfId="12989"/>
    <cellStyle name="Assumption Year. 2 5 5" xfId="12990"/>
    <cellStyle name="Assumption Year. 2 5 6" xfId="12991"/>
    <cellStyle name="Assumption Year. 2 5 7" xfId="12992"/>
    <cellStyle name="Assumption Year. 2 5 8" xfId="12993"/>
    <cellStyle name="Assumption Year. 2 5 9" xfId="12994"/>
    <cellStyle name="Assumption Year. 2 6" xfId="12995"/>
    <cellStyle name="Assumption Year. 2 6 10" xfId="12996"/>
    <cellStyle name="Assumption Year. 2 6 11" xfId="12997"/>
    <cellStyle name="Assumption Year. 2 6 12" xfId="12998"/>
    <cellStyle name="Assumption Year. 2 6 2" xfId="12999"/>
    <cellStyle name="Assumption Year. 2 6 2 10" xfId="13000"/>
    <cellStyle name="Assumption Year. 2 6 2 2" xfId="13001"/>
    <cellStyle name="Assumption Year. 2 6 2 2 10" xfId="13002"/>
    <cellStyle name="Assumption Year. 2 6 2 2 2" xfId="13003"/>
    <cellStyle name="Assumption Year. 2 6 2 2 3" xfId="13004"/>
    <cellStyle name="Assumption Year. 2 6 2 2 4" xfId="13005"/>
    <cellStyle name="Assumption Year. 2 6 2 2 5" xfId="13006"/>
    <cellStyle name="Assumption Year. 2 6 2 2 6" xfId="13007"/>
    <cellStyle name="Assumption Year. 2 6 2 2 7" xfId="13008"/>
    <cellStyle name="Assumption Year. 2 6 2 2 8" xfId="13009"/>
    <cellStyle name="Assumption Year. 2 6 2 2 9" xfId="13010"/>
    <cellStyle name="Assumption Year. 2 6 2 3" xfId="13011"/>
    <cellStyle name="Assumption Year. 2 6 2 4" xfId="13012"/>
    <cellStyle name="Assumption Year. 2 6 2 5" xfId="13013"/>
    <cellStyle name="Assumption Year. 2 6 2 6" xfId="13014"/>
    <cellStyle name="Assumption Year. 2 6 2 7" xfId="13015"/>
    <cellStyle name="Assumption Year. 2 6 2 8" xfId="13016"/>
    <cellStyle name="Assumption Year. 2 6 2 9" xfId="13017"/>
    <cellStyle name="Assumption Year. 2 6 3" xfId="13018"/>
    <cellStyle name="Assumption Year. 2 6 3 10" xfId="13019"/>
    <cellStyle name="Assumption Year. 2 6 3 2" xfId="13020"/>
    <cellStyle name="Assumption Year. 2 6 3 3" xfId="13021"/>
    <cellStyle name="Assumption Year. 2 6 3 4" xfId="13022"/>
    <cellStyle name="Assumption Year. 2 6 3 5" xfId="13023"/>
    <cellStyle name="Assumption Year. 2 6 3 6" xfId="13024"/>
    <cellStyle name="Assumption Year. 2 6 3 7" xfId="13025"/>
    <cellStyle name="Assumption Year. 2 6 3 8" xfId="13026"/>
    <cellStyle name="Assumption Year. 2 6 3 9" xfId="13027"/>
    <cellStyle name="Assumption Year. 2 6 4" xfId="13028"/>
    <cellStyle name="Assumption Year. 2 6 5" xfId="13029"/>
    <cellStyle name="Assumption Year. 2 6 6" xfId="13030"/>
    <cellStyle name="Assumption Year. 2 6 7" xfId="13031"/>
    <cellStyle name="Assumption Year. 2 6 8" xfId="13032"/>
    <cellStyle name="Assumption Year. 2 6 9" xfId="13033"/>
    <cellStyle name="Assumption Year. 2 7" xfId="13034"/>
    <cellStyle name="Assumption Year. 2 7 10" xfId="13035"/>
    <cellStyle name="Assumption Year. 2 7 11" xfId="13036"/>
    <cellStyle name="Assumption Year. 2 7 12" xfId="13037"/>
    <cellStyle name="Assumption Year. 2 7 2" xfId="13038"/>
    <cellStyle name="Assumption Year. 2 7 2 10" xfId="13039"/>
    <cellStyle name="Assumption Year. 2 7 2 2" xfId="13040"/>
    <cellStyle name="Assumption Year. 2 7 2 2 10" xfId="13041"/>
    <cellStyle name="Assumption Year. 2 7 2 2 2" xfId="13042"/>
    <cellStyle name="Assumption Year. 2 7 2 2 3" xfId="13043"/>
    <cellStyle name="Assumption Year. 2 7 2 2 4" xfId="13044"/>
    <cellStyle name="Assumption Year. 2 7 2 2 5" xfId="13045"/>
    <cellStyle name="Assumption Year. 2 7 2 2 6" xfId="13046"/>
    <cellStyle name="Assumption Year. 2 7 2 2 7" xfId="13047"/>
    <cellStyle name="Assumption Year. 2 7 2 2 8" xfId="13048"/>
    <cellStyle name="Assumption Year. 2 7 2 2 9" xfId="13049"/>
    <cellStyle name="Assumption Year. 2 7 2 3" xfId="13050"/>
    <cellStyle name="Assumption Year. 2 7 2 4" xfId="13051"/>
    <cellStyle name="Assumption Year. 2 7 2 5" xfId="13052"/>
    <cellStyle name="Assumption Year. 2 7 2 6" xfId="13053"/>
    <cellStyle name="Assumption Year. 2 7 2 7" xfId="13054"/>
    <cellStyle name="Assumption Year. 2 7 2 8" xfId="13055"/>
    <cellStyle name="Assumption Year. 2 7 2 9" xfId="13056"/>
    <cellStyle name="Assumption Year. 2 7 3" xfId="13057"/>
    <cellStyle name="Assumption Year. 2 7 3 10" xfId="13058"/>
    <cellStyle name="Assumption Year. 2 7 3 2" xfId="13059"/>
    <cellStyle name="Assumption Year. 2 7 3 3" xfId="13060"/>
    <cellStyle name="Assumption Year. 2 7 3 4" xfId="13061"/>
    <cellStyle name="Assumption Year. 2 7 3 5" xfId="13062"/>
    <cellStyle name="Assumption Year. 2 7 3 6" xfId="13063"/>
    <cellStyle name="Assumption Year. 2 7 3 7" xfId="13064"/>
    <cellStyle name="Assumption Year. 2 7 3 8" xfId="13065"/>
    <cellStyle name="Assumption Year. 2 7 3 9" xfId="13066"/>
    <cellStyle name="Assumption Year. 2 7 4" xfId="13067"/>
    <cellStyle name="Assumption Year. 2 7 5" xfId="13068"/>
    <cellStyle name="Assumption Year. 2 7 6" xfId="13069"/>
    <cellStyle name="Assumption Year. 2 7 7" xfId="13070"/>
    <cellStyle name="Assumption Year. 2 7 8" xfId="13071"/>
    <cellStyle name="Assumption Year. 2 7 9" xfId="13072"/>
    <cellStyle name="Assumption Year. 2 8" xfId="13073"/>
    <cellStyle name="Assumption Year. 2 8 10" xfId="13074"/>
    <cellStyle name="Assumption Year. 2 8 11" xfId="13075"/>
    <cellStyle name="Assumption Year. 2 8 12" xfId="13076"/>
    <cellStyle name="Assumption Year. 2 8 2" xfId="13077"/>
    <cellStyle name="Assumption Year. 2 8 2 10" xfId="13078"/>
    <cellStyle name="Assumption Year. 2 8 2 2" xfId="13079"/>
    <cellStyle name="Assumption Year. 2 8 2 2 10" xfId="13080"/>
    <cellStyle name="Assumption Year. 2 8 2 2 2" xfId="13081"/>
    <cellStyle name="Assumption Year. 2 8 2 2 3" xfId="13082"/>
    <cellStyle name="Assumption Year. 2 8 2 2 4" xfId="13083"/>
    <cellStyle name="Assumption Year. 2 8 2 2 5" xfId="13084"/>
    <cellStyle name="Assumption Year. 2 8 2 2 6" xfId="13085"/>
    <cellStyle name="Assumption Year. 2 8 2 2 7" xfId="13086"/>
    <cellStyle name="Assumption Year. 2 8 2 2 8" xfId="13087"/>
    <cellStyle name="Assumption Year. 2 8 2 2 9" xfId="13088"/>
    <cellStyle name="Assumption Year. 2 8 2 3" xfId="13089"/>
    <cellStyle name="Assumption Year. 2 8 2 4" xfId="13090"/>
    <cellStyle name="Assumption Year. 2 8 2 5" xfId="13091"/>
    <cellStyle name="Assumption Year. 2 8 2 6" xfId="13092"/>
    <cellStyle name="Assumption Year. 2 8 2 7" xfId="13093"/>
    <cellStyle name="Assumption Year. 2 8 2 8" xfId="13094"/>
    <cellStyle name="Assumption Year. 2 8 2 9" xfId="13095"/>
    <cellStyle name="Assumption Year. 2 8 3" xfId="13096"/>
    <cellStyle name="Assumption Year. 2 8 3 10" xfId="13097"/>
    <cellStyle name="Assumption Year. 2 8 3 2" xfId="13098"/>
    <cellStyle name="Assumption Year. 2 8 3 3" xfId="13099"/>
    <cellStyle name="Assumption Year. 2 8 3 4" xfId="13100"/>
    <cellStyle name="Assumption Year. 2 8 3 5" xfId="13101"/>
    <cellStyle name="Assumption Year. 2 8 3 6" xfId="13102"/>
    <cellStyle name="Assumption Year. 2 8 3 7" xfId="13103"/>
    <cellStyle name="Assumption Year. 2 8 3 8" xfId="13104"/>
    <cellStyle name="Assumption Year. 2 8 3 9" xfId="13105"/>
    <cellStyle name="Assumption Year. 2 8 4" xfId="13106"/>
    <cellStyle name="Assumption Year. 2 8 5" xfId="13107"/>
    <cellStyle name="Assumption Year. 2 8 6" xfId="13108"/>
    <cellStyle name="Assumption Year. 2 8 7" xfId="13109"/>
    <cellStyle name="Assumption Year. 2 8 8" xfId="13110"/>
    <cellStyle name="Assumption Year. 2 8 9" xfId="13111"/>
    <cellStyle name="Assumption Year. 2 9" xfId="13112"/>
    <cellStyle name="Assumption Year. 2 9 10" xfId="13113"/>
    <cellStyle name="Assumption Year. 2 9 2" xfId="13114"/>
    <cellStyle name="Assumption Year. 2 9 2 10" xfId="13115"/>
    <cellStyle name="Assumption Year. 2 9 2 2" xfId="13116"/>
    <cellStyle name="Assumption Year. 2 9 2 3" xfId="13117"/>
    <cellStyle name="Assumption Year. 2 9 2 4" xfId="13118"/>
    <cellStyle name="Assumption Year. 2 9 2 5" xfId="13119"/>
    <cellStyle name="Assumption Year. 2 9 2 6" xfId="13120"/>
    <cellStyle name="Assumption Year. 2 9 2 7" xfId="13121"/>
    <cellStyle name="Assumption Year. 2 9 2 8" xfId="13122"/>
    <cellStyle name="Assumption Year. 2 9 2 9" xfId="13123"/>
    <cellStyle name="Assumption Year. 2 9 3" xfId="13124"/>
    <cellStyle name="Assumption Year. 2 9 4" xfId="13125"/>
    <cellStyle name="Assumption Year. 2 9 5" xfId="13126"/>
    <cellStyle name="Assumption Year. 2 9 6" xfId="13127"/>
    <cellStyle name="Assumption Year. 2 9 7" xfId="13128"/>
    <cellStyle name="Assumption Year. 2 9 8" xfId="13129"/>
    <cellStyle name="Assumption Year. 2 9 9" xfId="13130"/>
    <cellStyle name="Assumption Year. 3" xfId="13131"/>
    <cellStyle name="Assumption Year. 3 10" xfId="13132"/>
    <cellStyle name="Assumption Year. 3 11" xfId="13133"/>
    <cellStyle name="Assumption Year. 3 12" xfId="13134"/>
    <cellStyle name="Assumption Year. 3 13" xfId="13135"/>
    <cellStyle name="Assumption Year. 3 14" xfId="13136"/>
    <cellStyle name="Assumption Year. 3 15" xfId="13137"/>
    <cellStyle name="Assumption Year. 3 16" xfId="13138"/>
    <cellStyle name="Assumption Year. 3 2" xfId="13139"/>
    <cellStyle name="Assumption Year. 3 2 10" xfId="13140"/>
    <cellStyle name="Assumption Year. 3 2 11" xfId="13141"/>
    <cellStyle name="Assumption Year. 3 2 12" xfId="13142"/>
    <cellStyle name="Assumption Year. 3 2 13" xfId="13143"/>
    <cellStyle name="Assumption Year. 3 2 14" xfId="13144"/>
    <cellStyle name="Assumption Year. 3 2 2" xfId="13145"/>
    <cellStyle name="Assumption Year. 3 2 2 10" xfId="13146"/>
    <cellStyle name="Assumption Year. 3 2 2 11" xfId="13147"/>
    <cellStyle name="Assumption Year. 3 2 2 12" xfId="13148"/>
    <cellStyle name="Assumption Year. 3 2 2 13" xfId="13149"/>
    <cellStyle name="Assumption Year. 3 2 2 2" xfId="13150"/>
    <cellStyle name="Assumption Year. 3 2 2 2 10" xfId="13151"/>
    <cellStyle name="Assumption Year. 3 2 2 2 11" xfId="13152"/>
    <cellStyle name="Assumption Year. 3 2 2 2 12" xfId="13153"/>
    <cellStyle name="Assumption Year. 3 2 2 2 2" xfId="13154"/>
    <cellStyle name="Assumption Year. 3 2 2 2 2 10" xfId="13155"/>
    <cellStyle name="Assumption Year. 3 2 2 2 2 2" xfId="13156"/>
    <cellStyle name="Assumption Year. 3 2 2 2 2 2 10" xfId="13157"/>
    <cellStyle name="Assumption Year. 3 2 2 2 2 2 2" xfId="13158"/>
    <cellStyle name="Assumption Year. 3 2 2 2 2 2 3" xfId="13159"/>
    <cellStyle name="Assumption Year. 3 2 2 2 2 2 4" xfId="13160"/>
    <cellStyle name="Assumption Year. 3 2 2 2 2 2 5" xfId="13161"/>
    <cellStyle name="Assumption Year. 3 2 2 2 2 2 6" xfId="13162"/>
    <cellStyle name="Assumption Year. 3 2 2 2 2 2 7" xfId="13163"/>
    <cellStyle name="Assumption Year. 3 2 2 2 2 2 8" xfId="13164"/>
    <cellStyle name="Assumption Year. 3 2 2 2 2 2 9" xfId="13165"/>
    <cellStyle name="Assumption Year. 3 2 2 2 2 3" xfId="13166"/>
    <cellStyle name="Assumption Year. 3 2 2 2 2 4" xfId="13167"/>
    <cellStyle name="Assumption Year. 3 2 2 2 2 5" xfId="13168"/>
    <cellStyle name="Assumption Year. 3 2 2 2 2 6" xfId="13169"/>
    <cellStyle name="Assumption Year. 3 2 2 2 2 7" xfId="13170"/>
    <cellStyle name="Assumption Year. 3 2 2 2 2 8" xfId="13171"/>
    <cellStyle name="Assumption Year. 3 2 2 2 2 9" xfId="13172"/>
    <cellStyle name="Assumption Year. 3 2 2 2 3" xfId="13173"/>
    <cellStyle name="Assumption Year. 3 2 2 2 3 10" xfId="13174"/>
    <cellStyle name="Assumption Year. 3 2 2 2 3 2" xfId="13175"/>
    <cellStyle name="Assumption Year. 3 2 2 2 3 3" xfId="13176"/>
    <cellStyle name="Assumption Year. 3 2 2 2 3 4" xfId="13177"/>
    <cellStyle name="Assumption Year. 3 2 2 2 3 5" xfId="13178"/>
    <cellStyle name="Assumption Year. 3 2 2 2 3 6" xfId="13179"/>
    <cellStyle name="Assumption Year. 3 2 2 2 3 7" xfId="13180"/>
    <cellStyle name="Assumption Year. 3 2 2 2 3 8" xfId="13181"/>
    <cellStyle name="Assumption Year. 3 2 2 2 3 9" xfId="13182"/>
    <cellStyle name="Assumption Year. 3 2 2 2 4" xfId="13183"/>
    <cellStyle name="Assumption Year. 3 2 2 2 5" xfId="13184"/>
    <cellStyle name="Assumption Year. 3 2 2 2 6" xfId="13185"/>
    <cellStyle name="Assumption Year. 3 2 2 2 7" xfId="13186"/>
    <cellStyle name="Assumption Year. 3 2 2 2 8" xfId="13187"/>
    <cellStyle name="Assumption Year. 3 2 2 2 9" xfId="13188"/>
    <cellStyle name="Assumption Year. 3 2 2 3" xfId="13189"/>
    <cellStyle name="Assumption Year. 3 2 2 3 10" xfId="13190"/>
    <cellStyle name="Assumption Year. 3 2 2 3 2" xfId="13191"/>
    <cellStyle name="Assumption Year. 3 2 2 3 2 10" xfId="13192"/>
    <cellStyle name="Assumption Year. 3 2 2 3 2 2" xfId="13193"/>
    <cellStyle name="Assumption Year. 3 2 2 3 2 3" xfId="13194"/>
    <cellStyle name="Assumption Year. 3 2 2 3 2 4" xfId="13195"/>
    <cellStyle name="Assumption Year. 3 2 2 3 2 5" xfId="13196"/>
    <cellStyle name="Assumption Year. 3 2 2 3 2 6" xfId="13197"/>
    <cellStyle name="Assumption Year. 3 2 2 3 2 7" xfId="13198"/>
    <cellStyle name="Assumption Year. 3 2 2 3 2 8" xfId="13199"/>
    <cellStyle name="Assumption Year. 3 2 2 3 2 9" xfId="13200"/>
    <cellStyle name="Assumption Year. 3 2 2 3 3" xfId="13201"/>
    <cellStyle name="Assumption Year. 3 2 2 3 4" xfId="13202"/>
    <cellStyle name="Assumption Year. 3 2 2 3 5" xfId="13203"/>
    <cellStyle name="Assumption Year. 3 2 2 3 6" xfId="13204"/>
    <cellStyle name="Assumption Year. 3 2 2 3 7" xfId="13205"/>
    <cellStyle name="Assumption Year. 3 2 2 3 8" xfId="13206"/>
    <cellStyle name="Assumption Year. 3 2 2 3 9" xfId="13207"/>
    <cellStyle name="Assumption Year. 3 2 2 4" xfId="13208"/>
    <cellStyle name="Assumption Year. 3 2 2 4 10" xfId="13209"/>
    <cellStyle name="Assumption Year. 3 2 2 4 2" xfId="13210"/>
    <cellStyle name="Assumption Year. 3 2 2 4 3" xfId="13211"/>
    <cellStyle name="Assumption Year. 3 2 2 4 4" xfId="13212"/>
    <cellStyle name="Assumption Year. 3 2 2 4 5" xfId="13213"/>
    <cellStyle name="Assumption Year. 3 2 2 4 6" xfId="13214"/>
    <cellStyle name="Assumption Year. 3 2 2 4 7" xfId="13215"/>
    <cellStyle name="Assumption Year. 3 2 2 4 8" xfId="13216"/>
    <cellStyle name="Assumption Year. 3 2 2 4 9" xfId="13217"/>
    <cellStyle name="Assumption Year. 3 2 2 5" xfId="13218"/>
    <cellStyle name="Assumption Year. 3 2 2 6" xfId="13219"/>
    <cellStyle name="Assumption Year. 3 2 2 7" xfId="13220"/>
    <cellStyle name="Assumption Year. 3 2 2 8" xfId="13221"/>
    <cellStyle name="Assumption Year. 3 2 2 9" xfId="13222"/>
    <cellStyle name="Assumption Year. 3 2 3" xfId="13223"/>
    <cellStyle name="Assumption Year. 3 2 3 10" xfId="13224"/>
    <cellStyle name="Assumption Year. 3 2 3 11" xfId="13225"/>
    <cellStyle name="Assumption Year. 3 2 3 12" xfId="13226"/>
    <cellStyle name="Assumption Year. 3 2 3 2" xfId="13227"/>
    <cellStyle name="Assumption Year. 3 2 3 2 10" xfId="13228"/>
    <cellStyle name="Assumption Year. 3 2 3 2 2" xfId="13229"/>
    <cellStyle name="Assumption Year. 3 2 3 2 2 10" xfId="13230"/>
    <cellStyle name="Assumption Year. 3 2 3 2 2 2" xfId="13231"/>
    <cellStyle name="Assumption Year. 3 2 3 2 2 3" xfId="13232"/>
    <cellStyle name="Assumption Year. 3 2 3 2 2 4" xfId="13233"/>
    <cellStyle name="Assumption Year. 3 2 3 2 2 5" xfId="13234"/>
    <cellStyle name="Assumption Year. 3 2 3 2 2 6" xfId="13235"/>
    <cellStyle name="Assumption Year. 3 2 3 2 2 7" xfId="13236"/>
    <cellStyle name="Assumption Year. 3 2 3 2 2 8" xfId="13237"/>
    <cellStyle name="Assumption Year. 3 2 3 2 2 9" xfId="13238"/>
    <cellStyle name="Assumption Year. 3 2 3 2 3" xfId="13239"/>
    <cellStyle name="Assumption Year. 3 2 3 2 4" xfId="13240"/>
    <cellStyle name="Assumption Year. 3 2 3 2 5" xfId="13241"/>
    <cellStyle name="Assumption Year. 3 2 3 2 6" xfId="13242"/>
    <cellStyle name="Assumption Year. 3 2 3 2 7" xfId="13243"/>
    <cellStyle name="Assumption Year. 3 2 3 2 8" xfId="13244"/>
    <cellStyle name="Assumption Year. 3 2 3 2 9" xfId="13245"/>
    <cellStyle name="Assumption Year. 3 2 3 3" xfId="13246"/>
    <cellStyle name="Assumption Year. 3 2 3 3 10" xfId="13247"/>
    <cellStyle name="Assumption Year. 3 2 3 3 2" xfId="13248"/>
    <cellStyle name="Assumption Year. 3 2 3 3 3" xfId="13249"/>
    <cellStyle name="Assumption Year. 3 2 3 3 4" xfId="13250"/>
    <cellStyle name="Assumption Year. 3 2 3 3 5" xfId="13251"/>
    <cellStyle name="Assumption Year. 3 2 3 3 6" xfId="13252"/>
    <cellStyle name="Assumption Year. 3 2 3 3 7" xfId="13253"/>
    <cellStyle name="Assumption Year. 3 2 3 3 8" xfId="13254"/>
    <cellStyle name="Assumption Year. 3 2 3 3 9" xfId="13255"/>
    <cellStyle name="Assumption Year. 3 2 3 4" xfId="13256"/>
    <cellStyle name="Assumption Year. 3 2 3 5" xfId="13257"/>
    <cellStyle name="Assumption Year. 3 2 3 6" xfId="13258"/>
    <cellStyle name="Assumption Year. 3 2 3 7" xfId="13259"/>
    <cellStyle name="Assumption Year. 3 2 3 8" xfId="13260"/>
    <cellStyle name="Assumption Year. 3 2 3 9" xfId="13261"/>
    <cellStyle name="Assumption Year. 3 2 4" xfId="13262"/>
    <cellStyle name="Assumption Year. 3 2 4 10" xfId="13263"/>
    <cellStyle name="Assumption Year. 3 2 4 2" xfId="13264"/>
    <cellStyle name="Assumption Year. 3 2 4 2 10" xfId="13265"/>
    <cellStyle name="Assumption Year. 3 2 4 2 2" xfId="13266"/>
    <cellStyle name="Assumption Year. 3 2 4 2 3" xfId="13267"/>
    <cellStyle name="Assumption Year. 3 2 4 2 4" xfId="13268"/>
    <cellStyle name="Assumption Year. 3 2 4 2 5" xfId="13269"/>
    <cellStyle name="Assumption Year. 3 2 4 2 6" xfId="13270"/>
    <cellStyle name="Assumption Year. 3 2 4 2 7" xfId="13271"/>
    <cellStyle name="Assumption Year. 3 2 4 2 8" xfId="13272"/>
    <cellStyle name="Assumption Year. 3 2 4 2 9" xfId="13273"/>
    <cellStyle name="Assumption Year. 3 2 4 3" xfId="13274"/>
    <cellStyle name="Assumption Year. 3 2 4 4" xfId="13275"/>
    <cellStyle name="Assumption Year. 3 2 4 5" xfId="13276"/>
    <cellStyle name="Assumption Year. 3 2 4 6" xfId="13277"/>
    <cellStyle name="Assumption Year. 3 2 4 7" xfId="13278"/>
    <cellStyle name="Assumption Year. 3 2 4 8" xfId="13279"/>
    <cellStyle name="Assumption Year. 3 2 4 9" xfId="13280"/>
    <cellStyle name="Assumption Year. 3 2 5" xfId="13281"/>
    <cellStyle name="Assumption Year. 3 2 5 10" xfId="13282"/>
    <cellStyle name="Assumption Year. 3 2 5 2" xfId="13283"/>
    <cellStyle name="Assumption Year. 3 2 5 3" xfId="13284"/>
    <cellStyle name="Assumption Year. 3 2 5 4" xfId="13285"/>
    <cellStyle name="Assumption Year. 3 2 5 5" xfId="13286"/>
    <cellStyle name="Assumption Year. 3 2 5 6" xfId="13287"/>
    <cellStyle name="Assumption Year. 3 2 5 7" xfId="13288"/>
    <cellStyle name="Assumption Year. 3 2 5 8" xfId="13289"/>
    <cellStyle name="Assumption Year. 3 2 5 9" xfId="13290"/>
    <cellStyle name="Assumption Year. 3 2 6" xfId="13291"/>
    <cellStyle name="Assumption Year. 3 2 7" xfId="13292"/>
    <cellStyle name="Assumption Year. 3 2 8" xfId="13293"/>
    <cellStyle name="Assumption Year. 3 2 9" xfId="13294"/>
    <cellStyle name="Assumption Year. 3 3" xfId="13295"/>
    <cellStyle name="Assumption Year. 3 3 10" xfId="13296"/>
    <cellStyle name="Assumption Year. 3 3 11" xfId="13297"/>
    <cellStyle name="Assumption Year. 3 3 12" xfId="13298"/>
    <cellStyle name="Assumption Year. 3 3 13" xfId="13299"/>
    <cellStyle name="Assumption Year. 3 3 2" xfId="13300"/>
    <cellStyle name="Assumption Year. 3 3 2 10" xfId="13301"/>
    <cellStyle name="Assumption Year. 3 3 2 11" xfId="13302"/>
    <cellStyle name="Assumption Year. 3 3 2 12" xfId="13303"/>
    <cellStyle name="Assumption Year. 3 3 2 2" xfId="13304"/>
    <cellStyle name="Assumption Year. 3 3 2 2 10" xfId="13305"/>
    <cellStyle name="Assumption Year. 3 3 2 2 2" xfId="13306"/>
    <cellStyle name="Assumption Year. 3 3 2 2 2 10" xfId="13307"/>
    <cellStyle name="Assumption Year. 3 3 2 2 2 2" xfId="13308"/>
    <cellStyle name="Assumption Year. 3 3 2 2 2 3" xfId="13309"/>
    <cellStyle name="Assumption Year. 3 3 2 2 2 4" xfId="13310"/>
    <cellStyle name="Assumption Year. 3 3 2 2 2 5" xfId="13311"/>
    <cellStyle name="Assumption Year. 3 3 2 2 2 6" xfId="13312"/>
    <cellStyle name="Assumption Year. 3 3 2 2 2 7" xfId="13313"/>
    <cellStyle name="Assumption Year. 3 3 2 2 2 8" xfId="13314"/>
    <cellStyle name="Assumption Year. 3 3 2 2 2 9" xfId="13315"/>
    <cellStyle name="Assumption Year. 3 3 2 2 3" xfId="13316"/>
    <cellStyle name="Assumption Year. 3 3 2 2 4" xfId="13317"/>
    <cellStyle name="Assumption Year. 3 3 2 2 5" xfId="13318"/>
    <cellStyle name="Assumption Year. 3 3 2 2 6" xfId="13319"/>
    <cellStyle name="Assumption Year. 3 3 2 2 7" xfId="13320"/>
    <cellStyle name="Assumption Year. 3 3 2 2 8" xfId="13321"/>
    <cellStyle name="Assumption Year. 3 3 2 2 9" xfId="13322"/>
    <cellStyle name="Assumption Year. 3 3 2 3" xfId="13323"/>
    <cellStyle name="Assumption Year. 3 3 2 3 10" xfId="13324"/>
    <cellStyle name="Assumption Year. 3 3 2 3 2" xfId="13325"/>
    <cellStyle name="Assumption Year. 3 3 2 3 3" xfId="13326"/>
    <cellStyle name="Assumption Year. 3 3 2 3 4" xfId="13327"/>
    <cellStyle name="Assumption Year. 3 3 2 3 5" xfId="13328"/>
    <cellStyle name="Assumption Year. 3 3 2 3 6" xfId="13329"/>
    <cellStyle name="Assumption Year. 3 3 2 3 7" xfId="13330"/>
    <cellStyle name="Assumption Year. 3 3 2 3 8" xfId="13331"/>
    <cellStyle name="Assumption Year. 3 3 2 3 9" xfId="13332"/>
    <cellStyle name="Assumption Year. 3 3 2 4" xfId="13333"/>
    <cellStyle name="Assumption Year. 3 3 2 5" xfId="13334"/>
    <cellStyle name="Assumption Year. 3 3 2 6" xfId="13335"/>
    <cellStyle name="Assumption Year. 3 3 2 7" xfId="13336"/>
    <cellStyle name="Assumption Year. 3 3 2 8" xfId="13337"/>
    <cellStyle name="Assumption Year. 3 3 2 9" xfId="13338"/>
    <cellStyle name="Assumption Year. 3 3 3" xfId="13339"/>
    <cellStyle name="Assumption Year. 3 3 3 10" xfId="13340"/>
    <cellStyle name="Assumption Year. 3 3 3 2" xfId="13341"/>
    <cellStyle name="Assumption Year. 3 3 3 2 10" xfId="13342"/>
    <cellStyle name="Assumption Year. 3 3 3 2 2" xfId="13343"/>
    <cellStyle name="Assumption Year. 3 3 3 2 3" xfId="13344"/>
    <cellStyle name="Assumption Year. 3 3 3 2 4" xfId="13345"/>
    <cellStyle name="Assumption Year. 3 3 3 2 5" xfId="13346"/>
    <cellStyle name="Assumption Year. 3 3 3 2 6" xfId="13347"/>
    <cellStyle name="Assumption Year. 3 3 3 2 7" xfId="13348"/>
    <cellStyle name="Assumption Year. 3 3 3 2 8" xfId="13349"/>
    <cellStyle name="Assumption Year. 3 3 3 2 9" xfId="13350"/>
    <cellStyle name="Assumption Year. 3 3 3 3" xfId="13351"/>
    <cellStyle name="Assumption Year. 3 3 3 4" xfId="13352"/>
    <cellStyle name="Assumption Year. 3 3 3 5" xfId="13353"/>
    <cellStyle name="Assumption Year. 3 3 3 6" xfId="13354"/>
    <cellStyle name="Assumption Year. 3 3 3 7" xfId="13355"/>
    <cellStyle name="Assumption Year. 3 3 3 8" xfId="13356"/>
    <cellStyle name="Assumption Year. 3 3 3 9" xfId="13357"/>
    <cellStyle name="Assumption Year. 3 3 4" xfId="13358"/>
    <cellStyle name="Assumption Year. 3 3 4 10" xfId="13359"/>
    <cellStyle name="Assumption Year. 3 3 4 2" xfId="13360"/>
    <cellStyle name="Assumption Year. 3 3 4 3" xfId="13361"/>
    <cellStyle name="Assumption Year. 3 3 4 4" xfId="13362"/>
    <cellStyle name="Assumption Year. 3 3 4 5" xfId="13363"/>
    <cellStyle name="Assumption Year. 3 3 4 6" xfId="13364"/>
    <cellStyle name="Assumption Year. 3 3 4 7" xfId="13365"/>
    <cellStyle name="Assumption Year. 3 3 4 8" xfId="13366"/>
    <cellStyle name="Assumption Year. 3 3 4 9" xfId="13367"/>
    <cellStyle name="Assumption Year. 3 3 5" xfId="13368"/>
    <cellStyle name="Assumption Year. 3 3 6" xfId="13369"/>
    <cellStyle name="Assumption Year. 3 3 7" xfId="13370"/>
    <cellStyle name="Assumption Year. 3 3 8" xfId="13371"/>
    <cellStyle name="Assumption Year. 3 3 9" xfId="13372"/>
    <cellStyle name="Assumption Year. 3 4" xfId="13373"/>
    <cellStyle name="Assumption Year. 3 4 10" xfId="13374"/>
    <cellStyle name="Assumption Year. 3 4 11" xfId="13375"/>
    <cellStyle name="Assumption Year. 3 4 12" xfId="13376"/>
    <cellStyle name="Assumption Year. 3 4 2" xfId="13377"/>
    <cellStyle name="Assumption Year. 3 4 2 10" xfId="13378"/>
    <cellStyle name="Assumption Year. 3 4 2 2" xfId="13379"/>
    <cellStyle name="Assumption Year. 3 4 2 2 10" xfId="13380"/>
    <cellStyle name="Assumption Year. 3 4 2 2 2" xfId="13381"/>
    <cellStyle name="Assumption Year. 3 4 2 2 3" xfId="13382"/>
    <cellStyle name="Assumption Year. 3 4 2 2 4" xfId="13383"/>
    <cellStyle name="Assumption Year. 3 4 2 2 5" xfId="13384"/>
    <cellStyle name="Assumption Year. 3 4 2 2 6" xfId="13385"/>
    <cellStyle name="Assumption Year. 3 4 2 2 7" xfId="13386"/>
    <cellStyle name="Assumption Year. 3 4 2 2 8" xfId="13387"/>
    <cellStyle name="Assumption Year. 3 4 2 2 9" xfId="13388"/>
    <cellStyle name="Assumption Year. 3 4 2 3" xfId="13389"/>
    <cellStyle name="Assumption Year. 3 4 2 4" xfId="13390"/>
    <cellStyle name="Assumption Year. 3 4 2 5" xfId="13391"/>
    <cellStyle name="Assumption Year. 3 4 2 6" xfId="13392"/>
    <cellStyle name="Assumption Year. 3 4 2 7" xfId="13393"/>
    <cellStyle name="Assumption Year. 3 4 2 8" xfId="13394"/>
    <cellStyle name="Assumption Year. 3 4 2 9" xfId="13395"/>
    <cellStyle name="Assumption Year. 3 4 3" xfId="13396"/>
    <cellStyle name="Assumption Year. 3 4 3 10" xfId="13397"/>
    <cellStyle name="Assumption Year. 3 4 3 2" xfId="13398"/>
    <cellStyle name="Assumption Year. 3 4 3 3" xfId="13399"/>
    <cellStyle name="Assumption Year. 3 4 3 4" xfId="13400"/>
    <cellStyle name="Assumption Year. 3 4 3 5" xfId="13401"/>
    <cellStyle name="Assumption Year. 3 4 3 6" xfId="13402"/>
    <cellStyle name="Assumption Year. 3 4 3 7" xfId="13403"/>
    <cellStyle name="Assumption Year. 3 4 3 8" xfId="13404"/>
    <cellStyle name="Assumption Year. 3 4 3 9" xfId="13405"/>
    <cellStyle name="Assumption Year. 3 4 4" xfId="13406"/>
    <cellStyle name="Assumption Year. 3 4 5" xfId="13407"/>
    <cellStyle name="Assumption Year. 3 4 6" xfId="13408"/>
    <cellStyle name="Assumption Year. 3 4 7" xfId="13409"/>
    <cellStyle name="Assumption Year. 3 4 8" xfId="13410"/>
    <cellStyle name="Assumption Year. 3 4 9" xfId="13411"/>
    <cellStyle name="Assumption Year. 3 5" xfId="13412"/>
    <cellStyle name="Assumption Year. 3 5 10" xfId="13413"/>
    <cellStyle name="Assumption Year. 3 5 11" xfId="13414"/>
    <cellStyle name="Assumption Year. 3 5 12" xfId="13415"/>
    <cellStyle name="Assumption Year. 3 5 2" xfId="13416"/>
    <cellStyle name="Assumption Year. 3 5 2 10" xfId="13417"/>
    <cellStyle name="Assumption Year. 3 5 2 2" xfId="13418"/>
    <cellStyle name="Assumption Year. 3 5 2 2 10" xfId="13419"/>
    <cellStyle name="Assumption Year. 3 5 2 2 2" xfId="13420"/>
    <cellStyle name="Assumption Year. 3 5 2 2 3" xfId="13421"/>
    <cellStyle name="Assumption Year. 3 5 2 2 4" xfId="13422"/>
    <cellStyle name="Assumption Year. 3 5 2 2 5" xfId="13423"/>
    <cellStyle name="Assumption Year. 3 5 2 2 6" xfId="13424"/>
    <cellStyle name="Assumption Year. 3 5 2 2 7" xfId="13425"/>
    <cellStyle name="Assumption Year. 3 5 2 2 8" xfId="13426"/>
    <cellStyle name="Assumption Year. 3 5 2 2 9" xfId="13427"/>
    <cellStyle name="Assumption Year. 3 5 2 3" xfId="13428"/>
    <cellStyle name="Assumption Year. 3 5 2 4" xfId="13429"/>
    <cellStyle name="Assumption Year. 3 5 2 5" xfId="13430"/>
    <cellStyle name="Assumption Year. 3 5 2 6" xfId="13431"/>
    <cellStyle name="Assumption Year. 3 5 2 7" xfId="13432"/>
    <cellStyle name="Assumption Year. 3 5 2 8" xfId="13433"/>
    <cellStyle name="Assumption Year. 3 5 2 9" xfId="13434"/>
    <cellStyle name="Assumption Year. 3 5 3" xfId="13435"/>
    <cellStyle name="Assumption Year. 3 5 3 10" xfId="13436"/>
    <cellStyle name="Assumption Year. 3 5 3 2" xfId="13437"/>
    <cellStyle name="Assumption Year. 3 5 3 3" xfId="13438"/>
    <cellStyle name="Assumption Year. 3 5 3 4" xfId="13439"/>
    <cellStyle name="Assumption Year. 3 5 3 5" xfId="13440"/>
    <cellStyle name="Assumption Year. 3 5 3 6" xfId="13441"/>
    <cellStyle name="Assumption Year. 3 5 3 7" xfId="13442"/>
    <cellStyle name="Assumption Year. 3 5 3 8" xfId="13443"/>
    <cellStyle name="Assumption Year. 3 5 3 9" xfId="13444"/>
    <cellStyle name="Assumption Year. 3 5 4" xfId="13445"/>
    <cellStyle name="Assumption Year. 3 5 5" xfId="13446"/>
    <cellStyle name="Assumption Year. 3 5 6" xfId="13447"/>
    <cellStyle name="Assumption Year. 3 5 7" xfId="13448"/>
    <cellStyle name="Assumption Year. 3 5 8" xfId="13449"/>
    <cellStyle name="Assumption Year. 3 5 9" xfId="13450"/>
    <cellStyle name="Assumption Year. 3 6" xfId="13451"/>
    <cellStyle name="Assumption Year. 3 6 10" xfId="13452"/>
    <cellStyle name="Assumption Year. 3 6 2" xfId="13453"/>
    <cellStyle name="Assumption Year. 3 6 2 10" xfId="13454"/>
    <cellStyle name="Assumption Year. 3 6 2 2" xfId="13455"/>
    <cellStyle name="Assumption Year. 3 6 2 3" xfId="13456"/>
    <cellStyle name="Assumption Year. 3 6 2 4" xfId="13457"/>
    <cellStyle name="Assumption Year. 3 6 2 5" xfId="13458"/>
    <cellStyle name="Assumption Year. 3 6 2 6" xfId="13459"/>
    <cellStyle name="Assumption Year. 3 6 2 7" xfId="13460"/>
    <cellStyle name="Assumption Year. 3 6 2 8" xfId="13461"/>
    <cellStyle name="Assumption Year. 3 6 2 9" xfId="13462"/>
    <cellStyle name="Assumption Year. 3 6 3" xfId="13463"/>
    <cellStyle name="Assumption Year. 3 6 4" xfId="13464"/>
    <cellStyle name="Assumption Year. 3 6 5" xfId="13465"/>
    <cellStyle name="Assumption Year. 3 6 6" xfId="13466"/>
    <cellStyle name="Assumption Year. 3 6 7" xfId="13467"/>
    <cellStyle name="Assumption Year. 3 6 8" xfId="13468"/>
    <cellStyle name="Assumption Year. 3 6 9" xfId="13469"/>
    <cellStyle name="Assumption Year. 3 7" xfId="13470"/>
    <cellStyle name="Assumption Year. 3 7 10" xfId="13471"/>
    <cellStyle name="Assumption Year. 3 7 2" xfId="13472"/>
    <cellStyle name="Assumption Year. 3 7 3" xfId="13473"/>
    <cellStyle name="Assumption Year. 3 7 4" xfId="13474"/>
    <cellStyle name="Assumption Year. 3 7 5" xfId="13475"/>
    <cellStyle name="Assumption Year. 3 7 6" xfId="13476"/>
    <cellStyle name="Assumption Year. 3 7 7" xfId="13477"/>
    <cellStyle name="Assumption Year. 3 7 8" xfId="13478"/>
    <cellStyle name="Assumption Year. 3 7 9" xfId="13479"/>
    <cellStyle name="Assumption Year. 3 8" xfId="13480"/>
    <cellStyle name="Assumption Year. 3 9" xfId="13481"/>
    <cellStyle name="Assumption Year. 4" xfId="13482"/>
    <cellStyle name="Assumption Year. 4 10" xfId="13483"/>
    <cellStyle name="Assumption Year. 4 11" xfId="13484"/>
    <cellStyle name="Assumption Year. 4 12" xfId="13485"/>
    <cellStyle name="Assumption Year. 4 13" xfId="13486"/>
    <cellStyle name="Assumption Year. 4 2" xfId="13487"/>
    <cellStyle name="Assumption Year. 4 2 10" xfId="13488"/>
    <cellStyle name="Assumption Year. 4 2 11" xfId="13489"/>
    <cellStyle name="Assumption Year. 4 2 12" xfId="13490"/>
    <cellStyle name="Assumption Year. 4 2 2" xfId="13491"/>
    <cellStyle name="Assumption Year. 4 2 2 10" xfId="13492"/>
    <cellStyle name="Assumption Year. 4 2 2 2" xfId="13493"/>
    <cellStyle name="Assumption Year. 4 2 2 2 10" xfId="13494"/>
    <cellStyle name="Assumption Year. 4 2 2 2 2" xfId="13495"/>
    <cellStyle name="Assumption Year. 4 2 2 2 3" xfId="13496"/>
    <cellStyle name="Assumption Year. 4 2 2 2 4" xfId="13497"/>
    <cellStyle name="Assumption Year. 4 2 2 2 5" xfId="13498"/>
    <cellStyle name="Assumption Year. 4 2 2 2 6" xfId="13499"/>
    <cellStyle name="Assumption Year. 4 2 2 2 7" xfId="13500"/>
    <cellStyle name="Assumption Year. 4 2 2 2 8" xfId="13501"/>
    <cellStyle name="Assumption Year. 4 2 2 2 9" xfId="13502"/>
    <cellStyle name="Assumption Year. 4 2 2 3" xfId="13503"/>
    <cellStyle name="Assumption Year. 4 2 2 4" xfId="13504"/>
    <cellStyle name="Assumption Year. 4 2 2 5" xfId="13505"/>
    <cellStyle name="Assumption Year. 4 2 2 6" xfId="13506"/>
    <cellStyle name="Assumption Year. 4 2 2 7" xfId="13507"/>
    <cellStyle name="Assumption Year. 4 2 2 8" xfId="13508"/>
    <cellStyle name="Assumption Year. 4 2 2 9" xfId="13509"/>
    <cellStyle name="Assumption Year. 4 2 3" xfId="13510"/>
    <cellStyle name="Assumption Year. 4 2 3 10" xfId="13511"/>
    <cellStyle name="Assumption Year. 4 2 3 2" xfId="13512"/>
    <cellStyle name="Assumption Year. 4 2 3 3" xfId="13513"/>
    <cellStyle name="Assumption Year. 4 2 3 4" xfId="13514"/>
    <cellStyle name="Assumption Year. 4 2 3 5" xfId="13515"/>
    <cellStyle name="Assumption Year. 4 2 3 6" xfId="13516"/>
    <cellStyle name="Assumption Year. 4 2 3 7" xfId="13517"/>
    <cellStyle name="Assumption Year. 4 2 3 8" xfId="13518"/>
    <cellStyle name="Assumption Year. 4 2 3 9" xfId="13519"/>
    <cellStyle name="Assumption Year. 4 2 4" xfId="13520"/>
    <cellStyle name="Assumption Year. 4 2 5" xfId="13521"/>
    <cellStyle name="Assumption Year. 4 2 6" xfId="13522"/>
    <cellStyle name="Assumption Year. 4 2 7" xfId="13523"/>
    <cellStyle name="Assumption Year. 4 2 8" xfId="13524"/>
    <cellStyle name="Assumption Year. 4 2 9" xfId="13525"/>
    <cellStyle name="Assumption Year. 4 3" xfId="13526"/>
    <cellStyle name="Assumption Year. 4 3 10" xfId="13527"/>
    <cellStyle name="Assumption Year. 4 3 2" xfId="13528"/>
    <cellStyle name="Assumption Year. 4 3 2 10" xfId="13529"/>
    <cellStyle name="Assumption Year. 4 3 2 2" xfId="13530"/>
    <cellStyle name="Assumption Year. 4 3 2 3" xfId="13531"/>
    <cellStyle name="Assumption Year. 4 3 2 4" xfId="13532"/>
    <cellStyle name="Assumption Year. 4 3 2 5" xfId="13533"/>
    <cellStyle name="Assumption Year. 4 3 2 6" xfId="13534"/>
    <cellStyle name="Assumption Year. 4 3 2 7" xfId="13535"/>
    <cellStyle name="Assumption Year. 4 3 2 8" xfId="13536"/>
    <cellStyle name="Assumption Year. 4 3 2 9" xfId="13537"/>
    <cellStyle name="Assumption Year. 4 3 3" xfId="13538"/>
    <cellStyle name="Assumption Year. 4 3 4" xfId="13539"/>
    <cellStyle name="Assumption Year. 4 3 5" xfId="13540"/>
    <cellStyle name="Assumption Year. 4 3 6" xfId="13541"/>
    <cellStyle name="Assumption Year. 4 3 7" xfId="13542"/>
    <cellStyle name="Assumption Year. 4 3 8" xfId="13543"/>
    <cellStyle name="Assumption Year. 4 3 9" xfId="13544"/>
    <cellStyle name="Assumption Year. 4 4" xfId="13545"/>
    <cellStyle name="Assumption Year. 4 4 10" xfId="13546"/>
    <cellStyle name="Assumption Year. 4 4 2" xfId="13547"/>
    <cellStyle name="Assumption Year. 4 4 3" xfId="13548"/>
    <cellStyle name="Assumption Year. 4 4 4" xfId="13549"/>
    <cellStyle name="Assumption Year. 4 4 5" xfId="13550"/>
    <cellStyle name="Assumption Year. 4 4 6" xfId="13551"/>
    <cellStyle name="Assumption Year. 4 4 7" xfId="13552"/>
    <cellStyle name="Assumption Year. 4 4 8" xfId="13553"/>
    <cellStyle name="Assumption Year. 4 4 9" xfId="13554"/>
    <cellStyle name="Assumption Year. 4 5" xfId="13555"/>
    <cellStyle name="Assumption Year. 4 6" xfId="13556"/>
    <cellStyle name="Assumption Year. 4 7" xfId="13557"/>
    <cellStyle name="Assumption Year. 4 8" xfId="13558"/>
    <cellStyle name="Assumption Year. 4 9" xfId="13559"/>
    <cellStyle name="Assumption Year. 5" xfId="13560"/>
    <cellStyle name="Assumption Year. 5 10" xfId="13561"/>
    <cellStyle name="Assumption Year. 5 11" xfId="13562"/>
    <cellStyle name="Assumption Year. 5 12" xfId="13563"/>
    <cellStyle name="Assumption Year. 5 13" xfId="13564"/>
    <cellStyle name="Assumption Year. 5 2" xfId="13565"/>
    <cellStyle name="Assumption Year. 5 2 10" xfId="13566"/>
    <cellStyle name="Assumption Year. 5 2 11" xfId="13567"/>
    <cellStyle name="Assumption Year. 5 2 12" xfId="13568"/>
    <cellStyle name="Assumption Year. 5 2 2" xfId="13569"/>
    <cellStyle name="Assumption Year. 5 2 2 10" xfId="13570"/>
    <cellStyle name="Assumption Year. 5 2 2 2" xfId="13571"/>
    <cellStyle name="Assumption Year. 5 2 2 2 10" xfId="13572"/>
    <cellStyle name="Assumption Year. 5 2 2 2 2" xfId="13573"/>
    <cellStyle name="Assumption Year. 5 2 2 2 3" xfId="13574"/>
    <cellStyle name="Assumption Year. 5 2 2 2 4" xfId="13575"/>
    <cellStyle name="Assumption Year. 5 2 2 2 5" xfId="13576"/>
    <cellStyle name="Assumption Year. 5 2 2 2 6" xfId="13577"/>
    <cellStyle name="Assumption Year. 5 2 2 2 7" xfId="13578"/>
    <cellStyle name="Assumption Year. 5 2 2 2 8" xfId="13579"/>
    <cellStyle name="Assumption Year. 5 2 2 2 9" xfId="13580"/>
    <cellStyle name="Assumption Year. 5 2 2 3" xfId="13581"/>
    <cellStyle name="Assumption Year. 5 2 2 4" xfId="13582"/>
    <cellStyle name="Assumption Year. 5 2 2 5" xfId="13583"/>
    <cellStyle name="Assumption Year. 5 2 2 6" xfId="13584"/>
    <cellStyle name="Assumption Year. 5 2 2 7" xfId="13585"/>
    <cellStyle name="Assumption Year. 5 2 2 8" xfId="13586"/>
    <cellStyle name="Assumption Year. 5 2 2 9" xfId="13587"/>
    <cellStyle name="Assumption Year. 5 2 3" xfId="13588"/>
    <cellStyle name="Assumption Year. 5 2 3 10" xfId="13589"/>
    <cellStyle name="Assumption Year. 5 2 3 2" xfId="13590"/>
    <cellStyle name="Assumption Year. 5 2 3 3" xfId="13591"/>
    <cellStyle name="Assumption Year. 5 2 3 4" xfId="13592"/>
    <cellStyle name="Assumption Year. 5 2 3 5" xfId="13593"/>
    <cellStyle name="Assumption Year. 5 2 3 6" xfId="13594"/>
    <cellStyle name="Assumption Year. 5 2 3 7" xfId="13595"/>
    <cellStyle name="Assumption Year. 5 2 3 8" xfId="13596"/>
    <cellStyle name="Assumption Year. 5 2 3 9" xfId="13597"/>
    <cellStyle name="Assumption Year. 5 2 4" xfId="13598"/>
    <cellStyle name="Assumption Year. 5 2 5" xfId="13599"/>
    <cellStyle name="Assumption Year. 5 2 6" xfId="13600"/>
    <cellStyle name="Assumption Year. 5 2 7" xfId="13601"/>
    <cellStyle name="Assumption Year. 5 2 8" xfId="13602"/>
    <cellStyle name="Assumption Year. 5 2 9" xfId="13603"/>
    <cellStyle name="Assumption Year. 5 3" xfId="13604"/>
    <cellStyle name="Assumption Year. 5 3 10" xfId="13605"/>
    <cellStyle name="Assumption Year. 5 3 2" xfId="13606"/>
    <cellStyle name="Assumption Year. 5 3 2 10" xfId="13607"/>
    <cellStyle name="Assumption Year. 5 3 2 2" xfId="13608"/>
    <cellStyle name="Assumption Year. 5 3 2 3" xfId="13609"/>
    <cellStyle name="Assumption Year. 5 3 2 4" xfId="13610"/>
    <cellStyle name="Assumption Year. 5 3 2 5" xfId="13611"/>
    <cellStyle name="Assumption Year. 5 3 2 6" xfId="13612"/>
    <cellStyle name="Assumption Year. 5 3 2 7" xfId="13613"/>
    <cellStyle name="Assumption Year. 5 3 2 8" xfId="13614"/>
    <cellStyle name="Assumption Year. 5 3 2 9" xfId="13615"/>
    <cellStyle name="Assumption Year. 5 3 3" xfId="13616"/>
    <cellStyle name="Assumption Year. 5 3 4" xfId="13617"/>
    <cellStyle name="Assumption Year. 5 3 5" xfId="13618"/>
    <cellStyle name="Assumption Year. 5 3 6" xfId="13619"/>
    <cellStyle name="Assumption Year. 5 3 7" xfId="13620"/>
    <cellStyle name="Assumption Year. 5 3 8" xfId="13621"/>
    <cellStyle name="Assumption Year. 5 3 9" xfId="13622"/>
    <cellStyle name="Assumption Year. 5 4" xfId="13623"/>
    <cellStyle name="Assumption Year. 5 4 10" xfId="13624"/>
    <cellStyle name="Assumption Year. 5 4 2" xfId="13625"/>
    <cellStyle name="Assumption Year. 5 4 3" xfId="13626"/>
    <cellStyle name="Assumption Year. 5 4 4" xfId="13627"/>
    <cellStyle name="Assumption Year. 5 4 5" xfId="13628"/>
    <cellStyle name="Assumption Year. 5 4 6" xfId="13629"/>
    <cellStyle name="Assumption Year. 5 4 7" xfId="13630"/>
    <cellStyle name="Assumption Year. 5 4 8" xfId="13631"/>
    <cellStyle name="Assumption Year. 5 4 9" xfId="13632"/>
    <cellStyle name="Assumption Year. 5 5" xfId="13633"/>
    <cellStyle name="Assumption Year. 5 6" xfId="13634"/>
    <cellStyle name="Assumption Year. 5 7" xfId="13635"/>
    <cellStyle name="Assumption Year. 5 8" xfId="13636"/>
    <cellStyle name="Assumption Year. 5 9" xfId="13637"/>
    <cellStyle name="Assumption Year. 6" xfId="13638"/>
    <cellStyle name="Assumption Year. 6 10" xfId="13639"/>
    <cellStyle name="Assumption Year. 6 11" xfId="13640"/>
    <cellStyle name="Assumption Year. 6 12" xfId="13641"/>
    <cellStyle name="Assumption Year. 6 13" xfId="13642"/>
    <cellStyle name="Assumption Year. 6 2" xfId="13643"/>
    <cellStyle name="Assumption Year. 6 2 10" xfId="13644"/>
    <cellStyle name="Assumption Year. 6 2 11" xfId="13645"/>
    <cellStyle name="Assumption Year. 6 2 12" xfId="13646"/>
    <cellStyle name="Assumption Year. 6 2 2" xfId="13647"/>
    <cellStyle name="Assumption Year. 6 2 2 10" xfId="13648"/>
    <cellStyle name="Assumption Year. 6 2 2 2" xfId="13649"/>
    <cellStyle name="Assumption Year. 6 2 2 2 10" xfId="13650"/>
    <cellStyle name="Assumption Year. 6 2 2 2 2" xfId="13651"/>
    <cellStyle name="Assumption Year. 6 2 2 2 3" xfId="13652"/>
    <cellStyle name="Assumption Year. 6 2 2 2 4" xfId="13653"/>
    <cellStyle name="Assumption Year. 6 2 2 2 5" xfId="13654"/>
    <cellStyle name="Assumption Year. 6 2 2 2 6" xfId="13655"/>
    <cellStyle name="Assumption Year. 6 2 2 2 7" xfId="13656"/>
    <cellStyle name="Assumption Year. 6 2 2 2 8" xfId="13657"/>
    <cellStyle name="Assumption Year. 6 2 2 2 9" xfId="13658"/>
    <cellStyle name="Assumption Year. 6 2 2 3" xfId="13659"/>
    <cellStyle name="Assumption Year. 6 2 2 4" xfId="13660"/>
    <cellStyle name="Assumption Year. 6 2 2 5" xfId="13661"/>
    <cellStyle name="Assumption Year. 6 2 2 6" xfId="13662"/>
    <cellStyle name="Assumption Year. 6 2 2 7" xfId="13663"/>
    <cellStyle name="Assumption Year. 6 2 2 8" xfId="13664"/>
    <cellStyle name="Assumption Year. 6 2 2 9" xfId="13665"/>
    <cellStyle name="Assumption Year. 6 2 3" xfId="13666"/>
    <cellStyle name="Assumption Year. 6 2 3 10" xfId="13667"/>
    <cellStyle name="Assumption Year. 6 2 3 2" xfId="13668"/>
    <cellStyle name="Assumption Year. 6 2 3 3" xfId="13669"/>
    <cellStyle name="Assumption Year. 6 2 3 4" xfId="13670"/>
    <cellStyle name="Assumption Year. 6 2 3 5" xfId="13671"/>
    <cellStyle name="Assumption Year. 6 2 3 6" xfId="13672"/>
    <cellStyle name="Assumption Year. 6 2 3 7" xfId="13673"/>
    <cellStyle name="Assumption Year. 6 2 3 8" xfId="13674"/>
    <cellStyle name="Assumption Year. 6 2 3 9" xfId="13675"/>
    <cellStyle name="Assumption Year. 6 2 4" xfId="13676"/>
    <cellStyle name="Assumption Year. 6 2 5" xfId="13677"/>
    <cellStyle name="Assumption Year. 6 2 6" xfId="13678"/>
    <cellStyle name="Assumption Year. 6 2 7" xfId="13679"/>
    <cellStyle name="Assumption Year. 6 2 8" xfId="13680"/>
    <cellStyle name="Assumption Year. 6 2 9" xfId="13681"/>
    <cellStyle name="Assumption Year. 6 3" xfId="13682"/>
    <cellStyle name="Assumption Year. 6 3 10" xfId="13683"/>
    <cellStyle name="Assumption Year. 6 3 2" xfId="13684"/>
    <cellStyle name="Assumption Year. 6 3 2 10" xfId="13685"/>
    <cellStyle name="Assumption Year. 6 3 2 2" xfId="13686"/>
    <cellStyle name="Assumption Year. 6 3 2 3" xfId="13687"/>
    <cellStyle name="Assumption Year. 6 3 2 4" xfId="13688"/>
    <cellStyle name="Assumption Year. 6 3 2 5" xfId="13689"/>
    <cellStyle name="Assumption Year. 6 3 2 6" xfId="13690"/>
    <cellStyle name="Assumption Year. 6 3 2 7" xfId="13691"/>
    <cellStyle name="Assumption Year. 6 3 2 8" xfId="13692"/>
    <cellStyle name="Assumption Year. 6 3 2 9" xfId="13693"/>
    <cellStyle name="Assumption Year. 6 3 3" xfId="13694"/>
    <cellStyle name="Assumption Year. 6 3 4" xfId="13695"/>
    <cellStyle name="Assumption Year. 6 3 5" xfId="13696"/>
    <cellStyle name="Assumption Year. 6 3 6" xfId="13697"/>
    <cellStyle name="Assumption Year. 6 3 7" xfId="13698"/>
    <cellStyle name="Assumption Year. 6 3 8" xfId="13699"/>
    <cellStyle name="Assumption Year. 6 3 9" xfId="13700"/>
    <cellStyle name="Assumption Year. 6 4" xfId="13701"/>
    <cellStyle name="Assumption Year. 6 4 10" xfId="13702"/>
    <cellStyle name="Assumption Year. 6 4 2" xfId="13703"/>
    <cellStyle name="Assumption Year. 6 4 3" xfId="13704"/>
    <cellStyle name="Assumption Year. 6 4 4" xfId="13705"/>
    <cellStyle name="Assumption Year. 6 4 5" xfId="13706"/>
    <cellStyle name="Assumption Year. 6 4 6" xfId="13707"/>
    <cellStyle name="Assumption Year. 6 4 7" xfId="13708"/>
    <cellStyle name="Assumption Year. 6 4 8" xfId="13709"/>
    <cellStyle name="Assumption Year. 6 4 9" xfId="13710"/>
    <cellStyle name="Assumption Year. 6 5" xfId="13711"/>
    <cellStyle name="Assumption Year. 6 6" xfId="13712"/>
    <cellStyle name="Assumption Year. 6 7" xfId="13713"/>
    <cellStyle name="Assumption Year. 6 8" xfId="13714"/>
    <cellStyle name="Assumption Year. 6 9" xfId="13715"/>
    <cellStyle name="Assumption Year. 7" xfId="13716"/>
    <cellStyle name="Assumption Year. 7 10" xfId="13717"/>
    <cellStyle name="Assumption Year. 7 11" xfId="13718"/>
    <cellStyle name="Assumption Year. 7 12" xfId="13719"/>
    <cellStyle name="Assumption Year. 7 13" xfId="13720"/>
    <cellStyle name="Assumption Year. 7 2" xfId="13721"/>
    <cellStyle name="Assumption Year. 7 2 10" xfId="13722"/>
    <cellStyle name="Assumption Year. 7 2 11" xfId="13723"/>
    <cellStyle name="Assumption Year. 7 2 12" xfId="13724"/>
    <cellStyle name="Assumption Year. 7 2 2" xfId="13725"/>
    <cellStyle name="Assumption Year. 7 2 2 10" xfId="13726"/>
    <cellStyle name="Assumption Year. 7 2 2 2" xfId="13727"/>
    <cellStyle name="Assumption Year. 7 2 2 2 10" xfId="13728"/>
    <cellStyle name="Assumption Year. 7 2 2 2 2" xfId="13729"/>
    <cellStyle name="Assumption Year. 7 2 2 2 3" xfId="13730"/>
    <cellStyle name="Assumption Year. 7 2 2 2 4" xfId="13731"/>
    <cellStyle name="Assumption Year. 7 2 2 2 5" xfId="13732"/>
    <cellStyle name="Assumption Year. 7 2 2 2 6" xfId="13733"/>
    <cellStyle name="Assumption Year. 7 2 2 2 7" xfId="13734"/>
    <cellStyle name="Assumption Year. 7 2 2 2 8" xfId="13735"/>
    <cellStyle name="Assumption Year. 7 2 2 2 9" xfId="13736"/>
    <cellStyle name="Assumption Year. 7 2 2 3" xfId="13737"/>
    <cellStyle name="Assumption Year. 7 2 2 4" xfId="13738"/>
    <cellStyle name="Assumption Year. 7 2 2 5" xfId="13739"/>
    <cellStyle name="Assumption Year. 7 2 2 6" xfId="13740"/>
    <cellStyle name="Assumption Year. 7 2 2 7" xfId="13741"/>
    <cellStyle name="Assumption Year. 7 2 2 8" xfId="13742"/>
    <cellStyle name="Assumption Year. 7 2 2 9" xfId="13743"/>
    <cellStyle name="Assumption Year. 7 2 3" xfId="13744"/>
    <cellStyle name="Assumption Year. 7 2 3 10" xfId="13745"/>
    <cellStyle name="Assumption Year. 7 2 3 2" xfId="13746"/>
    <cellStyle name="Assumption Year. 7 2 3 3" xfId="13747"/>
    <cellStyle name="Assumption Year. 7 2 3 4" xfId="13748"/>
    <cellStyle name="Assumption Year. 7 2 3 5" xfId="13749"/>
    <cellStyle name="Assumption Year. 7 2 3 6" xfId="13750"/>
    <cellStyle name="Assumption Year. 7 2 3 7" xfId="13751"/>
    <cellStyle name="Assumption Year. 7 2 3 8" xfId="13752"/>
    <cellStyle name="Assumption Year. 7 2 3 9" xfId="13753"/>
    <cellStyle name="Assumption Year. 7 2 4" xfId="13754"/>
    <cellStyle name="Assumption Year. 7 2 5" xfId="13755"/>
    <cellStyle name="Assumption Year. 7 2 6" xfId="13756"/>
    <cellStyle name="Assumption Year. 7 2 7" xfId="13757"/>
    <cellStyle name="Assumption Year. 7 2 8" xfId="13758"/>
    <cellStyle name="Assumption Year. 7 2 9" xfId="13759"/>
    <cellStyle name="Assumption Year. 7 3" xfId="13760"/>
    <cellStyle name="Assumption Year. 7 3 10" xfId="13761"/>
    <cellStyle name="Assumption Year. 7 3 2" xfId="13762"/>
    <cellStyle name="Assumption Year. 7 3 2 10" xfId="13763"/>
    <cellStyle name="Assumption Year. 7 3 2 2" xfId="13764"/>
    <cellStyle name="Assumption Year. 7 3 2 3" xfId="13765"/>
    <cellStyle name="Assumption Year. 7 3 2 4" xfId="13766"/>
    <cellStyle name="Assumption Year. 7 3 2 5" xfId="13767"/>
    <cellStyle name="Assumption Year. 7 3 2 6" xfId="13768"/>
    <cellStyle name="Assumption Year. 7 3 2 7" xfId="13769"/>
    <cellStyle name="Assumption Year. 7 3 2 8" xfId="13770"/>
    <cellStyle name="Assumption Year. 7 3 2 9" xfId="13771"/>
    <cellStyle name="Assumption Year. 7 3 3" xfId="13772"/>
    <cellStyle name="Assumption Year. 7 3 4" xfId="13773"/>
    <cellStyle name="Assumption Year. 7 3 5" xfId="13774"/>
    <cellStyle name="Assumption Year. 7 3 6" xfId="13775"/>
    <cellStyle name="Assumption Year. 7 3 7" xfId="13776"/>
    <cellStyle name="Assumption Year. 7 3 8" xfId="13777"/>
    <cellStyle name="Assumption Year. 7 3 9" xfId="13778"/>
    <cellStyle name="Assumption Year. 7 4" xfId="13779"/>
    <cellStyle name="Assumption Year. 7 4 10" xfId="13780"/>
    <cellStyle name="Assumption Year. 7 4 2" xfId="13781"/>
    <cellStyle name="Assumption Year. 7 4 3" xfId="13782"/>
    <cellStyle name="Assumption Year. 7 4 4" xfId="13783"/>
    <cellStyle name="Assumption Year. 7 4 5" xfId="13784"/>
    <cellStyle name="Assumption Year. 7 4 6" xfId="13785"/>
    <cellStyle name="Assumption Year. 7 4 7" xfId="13786"/>
    <cellStyle name="Assumption Year. 7 4 8" xfId="13787"/>
    <cellStyle name="Assumption Year. 7 4 9" xfId="13788"/>
    <cellStyle name="Assumption Year. 7 5" xfId="13789"/>
    <cellStyle name="Assumption Year. 7 6" xfId="13790"/>
    <cellStyle name="Assumption Year. 7 7" xfId="13791"/>
    <cellStyle name="Assumption Year. 7 8" xfId="13792"/>
    <cellStyle name="Assumption Year. 7 9" xfId="13793"/>
    <cellStyle name="Assumption Year. 8" xfId="13794"/>
    <cellStyle name="Assumption Year. 8 10" xfId="13795"/>
    <cellStyle name="Assumption Year. 8 11" xfId="13796"/>
    <cellStyle name="Assumption Year. 8 12" xfId="13797"/>
    <cellStyle name="Assumption Year. 8 13" xfId="13798"/>
    <cellStyle name="Assumption Year. 8 2" xfId="13799"/>
    <cellStyle name="Assumption Year. 8 2 10" xfId="13800"/>
    <cellStyle name="Assumption Year. 8 2 11" xfId="13801"/>
    <cellStyle name="Assumption Year. 8 2 12" xfId="13802"/>
    <cellStyle name="Assumption Year. 8 2 2" xfId="13803"/>
    <cellStyle name="Assumption Year. 8 2 2 10" xfId="13804"/>
    <cellStyle name="Assumption Year. 8 2 2 2" xfId="13805"/>
    <cellStyle name="Assumption Year. 8 2 2 2 10" xfId="13806"/>
    <cellStyle name="Assumption Year. 8 2 2 2 2" xfId="13807"/>
    <cellStyle name="Assumption Year. 8 2 2 2 3" xfId="13808"/>
    <cellStyle name="Assumption Year. 8 2 2 2 4" xfId="13809"/>
    <cellStyle name="Assumption Year. 8 2 2 2 5" xfId="13810"/>
    <cellStyle name="Assumption Year. 8 2 2 2 6" xfId="13811"/>
    <cellStyle name="Assumption Year. 8 2 2 2 7" xfId="13812"/>
    <cellStyle name="Assumption Year. 8 2 2 2 8" xfId="13813"/>
    <cellStyle name="Assumption Year. 8 2 2 2 9" xfId="13814"/>
    <cellStyle name="Assumption Year. 8 2 2 3" xfId="13815"/>
    <cellStyle name="Assumption Year. 8 2 2 4" xfId="13816"/>
    <cellStyle name="Assumption Year. 8 2 2 5" xfId="13817"/>
    <cellStyle name="Assumption Year. 8 2 2 6" xfId="13818"/>
    <cellStyle name="Assumption Year. 8 2 2 7" xfId="13819"/>
    <cellStyle name="Assumption Year. 8 2 2 8" xfId="13820"/>
    <cellStyle name="Assumption Year. 8 2 2 9" xfId="13821"/>
    <cellStyle name="Assumption Year. 8 2 3" xfId="13822"/>
    <cellStyle name="Assumption Year. 8 2 3 10" xfId="13823"/>
    <cellStyle name="Assumption Year. 8 2 3 2" xfId="13824"/>
    <cellStyle name="Assumption Year. 8 2 3 3" xfId="13825"/>
    <cellStyle name="Assumption Year. 8 2 3 4" xfId="13826"/>
    <cellStyle name="Assumption Year. 8 2 3 5" xfId="13827"/>
    <cellStyle name="Assumption Year. 8 2 3 6" xfId="13828"/>
    <cellStyle name="Assumption Year. 8 2 3 7" xfId="13829"/>
    <cellStyle name="Assumption Year. 8 2 3 8" xfId="13830"/>
    <cellStyle name="Assumption Year. 8 2 3 9" xfId="13831"/>
    <cellStyle name="Assumption Year. 8 2 4" xfId="13832"/>
    <cellStyle name="Assumption Year. 8 2 5" xfId="13833"/>
    <cellStyle name="Assumption Year. 8 2 6" xfId="13834"/>
    <cellStyle name="Assumption Year. 8 2 7" xfId="13835"/>
    <cellStyle name="Assumption Year. 8 2 8" xfId="13836"/>
    <cellStyle name="Assumption Year. 8 2 9" xfId="13837"/>
    <cellStyle name="Assumption Year. 8 3" xfId="13838"/>
    <cellStyle name="Assumption Year. 8 3 10" xfId="13839"/>
    <cellStyle name="Assumption Year. 8 3 2" xfId="13840"/>
    <cellStyle name="Assumption Year. 8 3 2 10" xfId="13841"/>
    <cellStyle name="Assumption Year. 8 3 2 2" xfId="13842"/>
    <cellStyle name="Assumption Year. 8 3 2 3" xfId="13843"/>
    <cellStyle name="Assumption Year. 8 3 2 4" xfId="13844"/>
    <cellStyle name="Assumption Year. 8 3 2 5" xfId="13845"/>
    <cellStyle name="Assumption Year. 8 3 2 6" xfId="13846"/>
    <cellStyle name="Assumption Year. 8 3 2 7" xfId="13847"/>
    <cellStyle name="Assumption Year. 8 3 2 8" xfId="13848"/>
    <cellStyle name="Assumption Year. 8 3 2 9" xfId="13849"/>
    <cellStyle name="Assumption Year. 8 3 3" xfId="13850"/>
    <cellStyle name="Assumption Year. 8 3 4" xfId="13851"/>
    <cellStyle name="Assumption Year. 8 3 5" xfId="13852"/>
    <cellStyle name="Assumption Year. 8 3 6" xfId="13853"/>
    <cellStyle name="Assumption Year. 8 3 7" xfId="13854"/>
    <cellStyle name="Assumption Year. 8 3 8" xfId="13855"/>
    <cellStyle name="Assumption Year. 8 3 9" xfId="13856"/>
    <cellStyle name="Assumption Year. 8 4" xfId="13857"/>
    <cellStyle name="Assumption Year. 8 4 10" xfId="13858"/>
    <cellStyle name="Assumption Year. 8 4 2" xfId="13859"/>
    <cellStyle name="Assumption Year. 8 4 3" xfId="13860"/>
    <cellStyle name="Assumption Year. 8 4 4" xfId="13861"/>
    <cellStyle name="Assumption Year. 8 4 5" xfId="13862"/>
    <cellStyle name="Assumption Year. 8 4 6" xfId="13863"/>
    <cellStyle name="Assumption Year. 8 4 7" xfId="13864"/>
    <cellStyle name="Assumption Year. 8 4 8" xfId="13865"/>
    <cellStyle name="Assumption Year. 8 4 9" xfId="13866"/>
    <cellStyle name="Assumption Year. 8 5" xfId="13867"/>
    <cellStyle name="Assumption Year. 8 6" xfId="13868"/>
    <cellStyle name="Assumption Year. 8 7" xfId="13869"/>
    <cellStyle name="Assumption Year. 8 8" xfId="13870"/>
    <cellStyle name="Assumption Year. 8 9" xfId="13871"/>
    <cellStyle name="Assumption Year. 9" xfId="13872"/>
    <cellStyle name="Assumption Year. 9 10" xfId="13873"/>
    <cellStyle name="Assumption Year. 9 11" xfId="13874"/>
    <cellStyle name="Assumption Year. 9 12" xfId="13875"/>
    <cellStyle name="Assumption Year. 9 13" xfId="13876"/>
    <cellStyle name="Assumption Year. 9 2" xfId="13877"/>
    <cellStyle name="Assumption Year. 9 2 10" xfId="13878"/>
    <cellStyle name="Assumption Year. 9 2 11" xfId="13879"/>
    <cellStyle name="Assumption Year. 9 2 12" xfId="13880"/>
    <cellStyle name="Assumption Year. 9 2 2" xfId="13881"/>
    <cellStyle name="Assumption Year. 9 2 2 10" xfId="13882"/>
    <cellStyle name="Assumption Year. 9 2 2 2" xfId="13883"/>
    <cellStyle name="Assumption Year. 9 2 2 2 10" xfId="13884"/>
    <cellStyle name="Assumption Year. 9 2 2 2 2" xfId="13885"/>
    <cellStyle name="Assumption Year. 9 2 2 2 3" xfId="13886"/>
    <cellStyle name="Assumption Year. 9 2 2 2 4" xfId="13887"/>
    <cellStyle name="Assumption Year. 9 2 2 2 5" xfId="13888"/>
    <cellStyle name="Assumption Year. 9 2 2 2 6" xfId="13889"/>
    <cellStyle name="Assumption Year. 9 2 2 2 7" xfId="13890"/>
    <cellStyle name="Assumption Year. 9 2 2 2 8" xfId="13891"/>
    <cellStyle name="Assumption Year. 9 2 2 2 9" xfId="13892"/>
    <cellStyle name="Assumption Year. 9 2 2 3" xfId="13893"/>
    <cellStyle name="Assumption Year. 9 2 2 4" xfId="13894"/>
    <cellStyle name="Assumption Year. 9 2 2 5" xfId="13895"/>
    <cellStyle name="Assumption Year. 9 2 2 6" xfId="13896"/>
    <cellStyle name="Assumption Year. 9 2 2 7" xfId="13897"/>
    <cellStyle name="Assumption Year. 9 2 2 8" xfId="13898"/>
    <cellStyle name="Assumption Year. 9 2 2 9" xfId="13899"/>
    <cellStyle name="Assumption Year. 9 2 3" xfId="13900"/>
    <cellStyle name="Assumption Year. 9 2 3 10" xfId="13901"/>
    <cellStyle name="Assumption Year. 9 2 3 2" xfId="13902"/>
    <cellStyle name="Assumption Year. 9 2 3 3" xfId="13903"/>
    <cellStyle name="Assumption Year. 9 2 3 4" xfId="13904"/>
    <cellStyle name="Assumption Year. 9 2 3 5" xfId="13905"/>
    <cellStyle name="Assumption Year. 9 2 3 6" xfId="13906"/>
    <cellStyle name="Assumption Year. 9 2 3 7" xfId="13907"/>
    <cellStyle name="Assumption Year. 9 2 3 8" xfId="13908"/>
    <cellStyle name="Assumption Year. 9 2 3 9" xfId="13909"/>
    <cellStyle name="Assumption Year. 9 2 4" xfId="13910"/>
    <cellStyle name="Assumption Year. 9 2 5" xfId="13911"/>
    <cellStyle name="Assumption Year. 9 2 6" xfId="13912"/>
    <cellStyle name="Assumption Year. 9 2 7" xfId="13913"/>
    <cellStyle name="Assumption Year. 9 2 8" xfId="13914"/>
    <cellStyle name="Assumption Year. 9 2 9" xfId="13915"/>
    <cellStyle name="Assumption Year. 9 3" xfId="13916"/>
    <cellStyle name="Assumption Year. 9 3 10" xfId="13917"/>
    <cellStyle name="Assumption Year. 9 3 2" xfId="13918"/>
    <cellStyle name="Assumption Year. 9 3 2 10" xfId="13919"/>
    <cellStyle name="Assumption Year. 9 3 2 2" xfId="13920"/>
    <cellStyle name="Assumption Year. 9 3 2 3" xfId="13921"/>
    <cellStyle name="Assumption Year. 9 3 2 4" xfId="13922"/>
    <cellStyle name="Assumption Year. 9 3 2 5" xfId="13923"/>
    <cellStyle name="Assumption Year. 9 3 2 6" xfId="13924"/>
    <cellStyle name="Assumption Year. 9 3 2 7" xfId="13925"/>
    <cellStyle name="Assumption Year. 9 3 2 8" xfId="13926"/>
    <cellStyle name="Assumption Year. 9 3 2 9" xfId="13927"/>
    <cellStyle name="Assumption Year. 9 3 3" xfId="13928"/>
    <cellStyle name="Assumption Year. 9 3 4" xfId="13929"/>
    <cellStyle name="Assumption Year. 9 3 5" xfId="13930"/>
    <cellStyle name="Assumption Year. 9 3 6" xfId="13931"/>
    <cellStyle name="Assumption Year. 9 3 7" xfId="13932"/>
    <cellStyle name="Assumption Year. 9 3 8" xfId="13933"/>
    <cellStyle name="Assumption Year. 9 3 9" xfId="13934"/>
    <cellStyle name="Assumption Year. 9 4" xfId="13935"/>
    <cellStyle name="Assumption Year. 9 4 10" xfId="13936"/>
    <cellStyle name="Assumption Year. 9 4 2" xfId="13937"/>
    <cellStyle name="Assumption Year. 9 4 3" xfId="13938"/>
    <cellStyle name="Assumption Year. 9 4 4" xfId="13939"/>
    <cellStyle name="Assumption Year. 9 4 5" xfId="13940"/>
    <cellStyle name="Assumption Year. 9 4 6" xfId="13941"/>
    <cellStyle name="Assumption Year. 9 4 7" xfId="13942"/>
    <cellStyle name="Assumption Year. 9 4 8" xfId="13943"/>
    <cellStyle name="Assumption Year. 9 4 9" xfId="13944"/>
    <cellStyle name="Assumption Year. 9 5" xfId="13945"/>
    <cellStyle name="Assumption Year. 9 6" xfId="13946"/>
    <cellStyle name="Assumption Year. 9 7" xfId="13947"/>
    <cellStyle name="Assumption Year. 9 8" xfId="13948"/>
    <cellStyle name="Assumption Year. 9 9" xfId="13949"/>
    <cellStyle name="Assumptions Center Currency" xfId="13950"/>
    <cellStyle name="Assumptions Center Currency 2" xfId="13951"/>
    <cellStyle name="Assumptions Center Currency 3" xfId="13952"/>
    <cellStyle name="Assumptions Center Currency 4" xfId="13953"/>
    <cellStyle name="Assumptions Center Date" xfId="13954"/>
    <cellStyle name="Assumptions Center Date 2" xfId="13955"/>
    <cellStyle name="Assumptions Center Date 3" xfId="13956"/>
    <cellStyle name="Assumptions Center Date 4" xfId="13957"/>
    <cellStyle name="Assumptions Center Date 5" xfId="13958"/>
    <cellStyle name="Assumptions Center Multiple" xfId="13959"/>
    <cellStyle name="Assumptions Center Multiple 2" xfId="13960"/>
    <cellStyle name="Assumptions Center Multiple 3" xfId="13961"/>
    <cellStyle name="Assumptions Center Multiple 4" xfId="13962"/>
    <cellStyle name="Assumptions Center Number" xfId="13963"/>
    <cellStyle name="Assumptions Center Number 2" xfId="13964"/>
    <cellStyle name="Assumptions Center Number 3" xfId="13965"/>
    <cellStyle name="Assumptions Center Number 4" xfId="13966"/>
    <cellStyle name="Assumptions Center Number 5" xfId="13967"/>
    <cellStyle name="Assumptions Center Percentage" xfId="13968"/>
    <cellStyle name="Assumptions Center Percentage 2" xfId="13969"/>
    <cellStyle name="Assumptions Center Percentage 3" xfId="13970"/>
    <cellStyle name="Assumptions Center Percentage 4" xfId="13971"/>
    <cellStyle name="Assumptions Center Year" xfId="13972"/>
    <cellStyle name="Assumptions Center Year 2" xfId="13973"/>
    <cellStyle name="Assumptions Center Year 3" xfId="13974"/>
    <cellStyle name="Assumptions Center Year 4" xfId="13975"/>
    <cellStyle name="Assumptions Forecast Currency" xfId="13976"/>
    <cellStyle name="Assumptions Forecast Currency 2" xfId="13977"/>
    <cellStyle name="Assumptions Forecast Date" xfId="13978"/>
    <cellStyle name="Assumptions Forecast Date 2" xfId="13979"/>
    <cellStyle name="Assumptions Forecast Multiple" xfId="13980"/>
    <cellStyle name="Assumptions Forecast Multiple 2" xfId="13981"/>
    <cellStyle name="Assumptions Forecast Number" xfId="13982"/>
    <cellStyle name="Assumptions Forecast Number 2" xfId="13983"/>
    <cellStyle name="Assumptions Forecast Percentage" xfId="13984"/>
    <cellStyle name="Assumptions Forecast Percentage 2" xfId="13985"/>
    <cellStyle name="Assumptions Forecast Title / Name" xfId="13986"/>
    <cellStyle name="Assumptions Forecast Title / Name 2" xfId="13987"/>
    <cellStyle name="Assumptions Forecast Year" xfId="13988"/>
    <cellStyle name="Assumptions Forecast Year 2" xfId="13989"/>
    <cellStyle name="Assumptions Heading" xfId="13990"/>
    <cellStyle name="Assumptions Heading 2" xfId="13991"/>
    <cellStyle name="Assumptions Heading 3" xfId="13992"/>
    <cellStyle name="Assumptions Heading 4" xfId="13993"/>
    <cellStyle name="Assumptions Middle Currency" xfId="13994"/>
    <cellStyle name="Assumptions Middle Currency 2" xfId="13995"/>
    <cellStyle name="Assumptions Middle Date" xfId="13996"/>
    <cellStyle name="Assumptions Middle Date 2" xfId="13997"/>
    <cellStyle name="Assumptions Middle Multiple" xfId="13998"/>
    <cellStyle name="Assumptions Middle Multiple 2" xfId="13999"/>
    <cellStyle name="Assumptions Middle Number" xfId="14000"/>
    <cellStyle name="Assumptions Middle Number 2" xfId="14001"/>
    <cellStyle name="Assumptions Middle Percentage" xfId="14002"/>
    <cellStyle name="Assumptions Middle Percentage 2" xfId="14003"/>
    <cellStyle name="Assumptions Middle Title / Name" xfId="14004"/>
    <cellStyle name="Assumptions Middle Title / Name 2" xfId="14005"/>
    <cellStyle name="Assumptions Middle Year" xfId="14006"/>
    <cellStyle name="Assumptions Middle Year 2" xfId="14007"/>
    <cellStyle name="Assumptions Right Currency" xfId="14008"/>
    <cellStyle name="Assumptions Right Currency 2" xfId="14009"/>
    <cellStyle name="Assumptions Right Currency 3" xfId="14010"/>
    <cellStyle name="Assumptions Right Currency 4" xfId="14011"/>
    <cellStyle name="Assumptions Right Date" xfId="14012"/>
    <cellStyle name="Assumptions Right Date 2" xfId="14013"/>
    <cellStyle name="Assumptions Right Date 3" xfId="14014"/>
    <cellStyle name="Assumptions Right Date 4" xfId="14015"/>
    <cellStyle name="Assumptions Right Date 5" xfId="14016"/>
    <cellStyle name="Assumptions Right Multiple" xfId="14017"/>
    <cellStyle name="Assumptions Right Multiple 2" xfId="14018"/>
    <cellStyle name="Assumptions Right Multiple 3" xfId="14019"/>
    <cellStyle name="Assumptions Right Multiple 4" xfId="14020"/>
    <cellStyle name="Assumptions Right Number" xfId="14021"/>
    <cellStyle name="Assumptions Right Number 2" xfId="14022"/>
    <cellStyle name="Assumptions Right Number 2 2" xfId="14023"/>
    <cellStyle name="Assumptions Right Number 2 3" xfId="14024"/>
    <cellStyle name="Assumptions Right Number 3" xfId="14025"/>
    <cellStyle name="Assumptions Right Number 3 2" xfId="14026"/>
    <cellStyle name="Assumptions Right Number 3 3" xfId="14027"/>
    <cellStyle name="Assumptions Right Number 4" xfId="14028"/>
    <cellStyle name="Assumptions Right Number 4 2" xfId="14029"/>
    <cellStyle name="Assumptions Right Number 4 3" xfId="14030"/>
    <cellStyle name="Assumptions Right Number 5" xfId="14031"/>
    <cellStyle name="Assumptions Right Number 6" xfId="14032"/>
    <cellStyle name="Assumptions Right Percentage" xfId="14033"/>
    <cellStyle name="Assumptions Right Percentage 2" xfId="14034"/>
    <cellStyle name="Assumptions Right Percentage 3" xfId="14035"/>
    <cellStyle name="Assumptions Right Percentage 4" xfId="14036"/>
    <cellStyle name="Assumptions Right Year" xfId="14037"/>
    <cellStyle name="Assumptions Right Year 2" xfId="14038"/>
    <cellStyle name="Assumptions Right Year 3" xfId="14039"/>
    <cellStyle name="Assumptions Right Year 4" xfId="14040"/>
    <cellStyle name="B79812_.wvu.PrintTitlest" xfId="14041"/>
    <cellStyle name="Bad 2" xfId="14042"/>
    <cellStyle name="Bad 3" xfId="14043"/>
    <cellStyle name="Bad 4" xfId="14044"/>
    <cellStyle name="Bad 5" xfId="14045"/>
    <cellStyle name="Bad 6" xfId="14046"/>
    <cellStyle name="Black" xfId="14047"/>
    <cellStyle name="Blank" xfId="14048"/>
    <cellStyle name="Blockout" xfId="14049"/>
    <cellStyle name="Blockout 2" xfId="14050"/>
    <cellStyle name="Blue" xfId="14051"/>
    <cellStyle name="Border" xfId="14052"/>
    <cellStyle name="Calculation 10" xfId="14053"/>
    <cellStyle name="Calculation 10 10" xfId="14054"/>
    <cellStyle name="Calculation 10 11" xfId="14055"/>
    <cellStyle name="Calculation 10 12" xfId="14056"/>
    <cellStyle name="Calculation 10 13" xfId="14057"/>
    <cellStyle name="Calculation 10 2" xfId="14058"/>
    <cellStyle name="Calculation 10 2 10" xfId="14059"/>
    <cellStyle name="Calculation 10 2 11" xfId="14060"/>
    <cellStyle name="Calculation 10 2 12" xfId="14061"/>
    <cellStyle name="Calculation 10 2 2" xfId="14062"/>
    <cellStyle name="Calculation 10 2 2 10" xfId="14063"/>
    <cellStyle name="Calculation 10 2 2 11" xfId="14064"/>
    <cellStyle name="Calculation 10 2 2 2" xfId="14065"/>
    <cellStyle name="Calculation 10 2 2 2 10" xfId="14066"/>
    <cellStyle name="Calculation 10 2 2 2 11" xfId="14067"/>
    <cellStyle name="Calculation 10 2 2 2 2" xfId="14068"/>
    <cellStyle name="Calculation 10 2 2 2 3" xfId="14069"/>
    <cellStyle name="Calculation 10 2 2 2 4" xfId="14070"/>
    <cellStyle name="Calculation 10 2 2 2 5" xfId="14071"/>
    <cellStyle name="Calculation 10 2 2 2 6" xfId="14072"/>
    <cellStyle name="Calculation 10 2 2 2 7" xfId="14073"/>
    <cellStyle name="Calculation 10 2 2 2 8" xfId="14074"/>
    <cellStyle name="Calculation 10 2 2 2 9" xfId="14075"/>
    <cellStyle name="Calculation 10 2 2 3" xfId="14076"/>
    <cellStyle name="Calculation 10 2 2 4" xfId="14077"/>
    <cellStyle name="Calculation 10 2 2 5" xfId="14078"/>
    <cellStyle name="Calculation 10 2 2 6" xfId="14079"/>
    <cellStyle name="Calculation 10 2 2 7" xfId="14080"/>
    <cellStyle name="Calculation 10 2 2 8" xfId="14081"/>
    <cellStyle name="Calculation 10 2 2 9" xfId="14082"/>
    <cellStyle name="Calculation 10 2 3" xfId="14083"/>
    <cellStyle name="Calculation 10 2 3 10" xfId="14084"/>
    <cellStyle name="Calculation 10 2 3 11" xfId="14085"/>
    <cellStyle name="Calculation 10 2 3 2" xfId="14086"/>
    <cellStyle name="Calculation 10 2 3 3" xfId="14087"/>
    <cellStyle name="Calculation 10 2 3 4" xfId="14088"/>
    <cellStyle name="Calculation 10 2 3 5" xfId="14089"/>
    <cellStyle name="Calculation 10 2 3 6" xfId="14090"/>
    <cellStyle name="Calculation 10 2 3 7" xfId="14091"/>
    <cellStyle name="Calculation 10 2 3 8" xfId="14092"/>
    <cellStyle name="Calculation 10 2 3 9" xfId="14093"/>
    <cellStyle name="Calculation 10 2 4" xfId="14094"/>
    <cellStyle name="Calculation 10 2 5" xfId="14095"/>
    <cellStyle name="Calculation 10 2 6" xfId="14096"/>
    <cellStyle name="Calculation 10 2 7" xfId="14097"/>
    <cellStyle name="Calculation 10 2 8" xfId="14098"/>
    <cellStyle name="Calculation 10 2 9" xfId="14099"/>
    <cellStyle name="Calculation 10 3" xfId="14100"/>
    <cellStyle name="Calculation 10 3 10" xfId="14101"/>
    <cellStyle name="Calculation 10 3 11" xfId="14102"/>
    <cellStyle name="Calculation 10 3 2" xfId="14103"/>
    <cellStyle name="Calculation 10 3 2 10" xfId="14104"/>
    <cellStyle name="Calculation 10 3 2 11" xfId="14105"/>
    <cellStyle name="Calculation 10 3 2 2" xfId="14106"/>
    <cellStyle name="Calculation 10 3 2 3" xfId="14107"/>
    <cellStyle name="Calculation 10 3 2 4" xfId="14108"/>
    <cellStyle name="Calculation 10 3 2 5" xfId="14109"/>
    <cellStyle name="Calculation 10 3 2 6" xfId="14110"/>
    <cellStyle name="Calculation 10 3 2 7" xfId="14111"/>
    <cellStyle name="Calculation 10 3 2 8" xfId="14112"/>
    <cellStyle name="Calculation 10 3 2 9" xfId="14113"/>
    <cellStyle name="Calculation 10 3 3" xfId="14114"/>
    <cellStyle name="Calculation 10 3 4" xfId="14115"/>
    <cellStyle name="Calculation 10 3 5" xfId="14116"/>
    <cellStyle name="Calculation 10 3 6" xfId="14117"/>
    <cellStyle name="Calculation 10 3 7" xfId="14118"/>
    <cellStyle name="Calculation 10 3 8" xfId="14119"/>
    <cellStyle name="Calculation 10 3 9" xfId="14120"/>
    <cellStyle name="Calculation 10 4" xfId="14121"/>
    <cellStyle name="Calculation 10 4 10" xfId="14122"/>
    <cellStyle name="Calculation 10 4 11" xfId="14123"/>
    <cellStyle name="Calculation 10 4 2" xfId="14124"/>
    <cellStyle name="Calculation 10 4 3" xfId="14125"/>
    <cellStyle name="Calculation 10 4 4" xfId="14126"/>
    <cellStyle name="Calculation 10 4 5" xfId="14127"/>
    <cellStyle name="Calculation 10 4 6" xfId="14128"/>
    <cellStyle name="Calculation 10 4 7" xfId="14129"/>
    <cellStyle name="Calculation 10 4 8" xfId="14130"/>
    <cellStyle name="Calculation 10 4 9" xfId="14131"/>
    <cellStyle name="Calculation 10 5" xfId="14132"/>
    <cellStyle name="Calculation 10 6" xfId="14133"/>
    <cellStyle name="Calculation 10 7" xfId="14134"/>
    <cellStyle name="Calculation 10 8" xfId="14135"/>
    <cellStyle name="Calculation 10 9" xfId="14136"/>
    <cellStyle name="Calculation 11" xfId="14137"/>
    <cellStyle name="Calculation 11 10" xfId="14138"/>
    <cellStyle name="Calculation 11 11" xfId="14139"/>
    <cellStyle name="Calculation 11 12" xfId="14140"/>
    <cellStyle name="Calculation 11 2" xfId="14141"/>
    <cellStyle name="Calculation 11 2 10" xfId="14142"/>
    <cellStyle name="Calculation 11 2 11" xfId="14143"/>
    <cellStyle name="Calculation 11 2 2" xfId="14144"/>
    <cellStyle name="Calculation 11 2 2 10" xfId="14145"/>
    <cellStyle name="Calculation 11 2 2 11" xfId="14146"/>
    <cellStyle name="Calculation 11 2 2 2" xfId="14147"/>
    <cellStyle name="Calculation 11 2 2 3" xfId="14148"/>
    <cellStyle name="Calculation 11 2 2 4" xfId="14149"/>
    <cellStyle name="Calculation 11 2 2 5" xfId="14150"/>
    <cellStyle name="Calculation 11 2 2 6" xfId="14151"/>
    <cellStyle name="Calculation 11 2 2 7" xfId="14152"/>
    <cellStyle name="Calculation 11 2 2 8" xfId="14153"/>
    <cellStyle name="Calculation 11 2 2 9" xfId="14154"/>
    <cellStyle name="Calculation 11 2 3" xfId="14155"/>
    <cellStyle name="Calculation 11 2 4" xfId="14156"/>
    <cellStyle name="Calculation 11 2 5" xfId="14157"/>
    <cellStyle name="Calculation 11 2 6" xfId="14158"/>
    <cellStyle name="Calculation 11 2 7" xfId="14159"/>
    <cellStyle name="Calculation 11 2 8" xfId="14160"/>
    <cellStyle name="Calculation 11 2 9" xfId="14161"/>
    <cellStyle name="Calculation 11 3" xfId="14162"/>
    <cellStyle name="Calculation 11 3 10" xfId="14163"/>
    <cellStyle name="Calculation 11 3 11" xfId="14164"/>
    <cellStyle name="Calculation 11 3 2" xfId="14165"/>
    <cellStyle name="Calculation 11 3 3" xfId="14166"/>
    <cellStyle name="Calculation 11 3 4" xfId="14167"/>
    <cellStyle name="Calculation 11 3 5" xfId="14168"/>
    <cellStyle name="Calculation 11 3 6" xfId="14169"/>
    <cellStyle name="Calculation 11 3 7" xfId="14170"/>
    <cellStyle name="Calculation 11 3 8" xfId="14171"/>
    <cellStyle name="Calculation 11 3 9" xfId="14172"/>
    <cellStyle name="Calculation 11 4" xfId="14173"/>
    <cellStyle name="Calculation 11 5" xfId="14174"/>
    <cellStyle name="Calculation 11 6" xfId="14175"/>
    <cellStyle name="Calculation 11 7" xfId="14176"/>
    <cellStyle name="Calculation 11 8" xfId="14177"/>
    <cellStyle name="Calculation 11 9" xfId="14178"/>
    <cellStyle name="Calculation 12" xfId="14179"/>
    <cellStyle name="Calculation 2" xfId="14180"/>
    <cellStyle name="Calculation 2 2" xfId="14181"/>
    <cellStyle name="Calculation 2 2 10" xfId="14182"/>
    <cellStyle name="Calculation 2 2 11" xfId="14183"/>
    <cellStyle name="Calculation 2 2 12" xfId="14184"/>
    <cellStyle name="Calculation 2 2 13" xfId="14185"/>
    <cellStyle name="Calculation 2 2 2" xfId="14186"/>
    <cellStyle name="Calculation 2 2 2 10" xfId="14187"/>
    <cellStyle name="Calculation 2 2 2 11" xfId="14188"/>
    <cellStyle name="Calculation 2 2 2 12" xfId="14189"/>
    <cellStyle name="Calculation 2 2 2 2" xfId="14190"/>
    <cellStyle name="Calculation 2 2 2 2 10" xfId="14191"/>
    <cellStyle name="Calculation 2 2 2 2 11" xfId="14192"/>
    <cellStyle name="Calculation 2 2 2 2 2" xfId="14193"/>
    <cellStyle name="Calculation 2 2 2 2 2 10" xfId="14194"/>
    <cellStyle name="Calculation 2 2 2 2 2 11" xfId="14195"/>
    <cellStyle name="Calculation 2 2 2 2 2 2" xfId="14196"/>
    <cellStyle name="Calculation 2 2 2 2 2 3" xfId="14197"/>
    <cellStyle name="Calculation 2 2 2 2 2 4" xfId="14198"/>
    <cellStyle name="Calculation 2 2 2 2 2 5" xfId="14199"/>
    <cellStyle name="Calculation 2 2 2 2 2 6" xfId="14200"/>
    <cellStyle name="Calculation 2 2 2 2 2 7" xfId="14201"/>
    <cellStyle name="Calculation 2 2 2 2 2 8" xfId="14202"/>
    <cellStyle name="Calculation 2 2 2 2 2 9" xfId="14203"/>
    <cellStyle name="Calculation 2 2 2 2 3" xfId="14204"/>
    <cellStyle name="Calculation 2 2 2 2 4" xfId="14205"/>
    <cellStyle name="Calculation 2 2 2 2 5" xfId="14206"/>
    <cellStyle name="Calculation 2 2 2 2 6" xfId="14207"/>
    <cellStyle name="Calculation 2 2 2 2 7" xfId="14208"/>
    <cellStyle name="Calculation 2 2 2 2 8" xfId="14209"/>
    <cellStyle name="Calculation 2 2 2 2 9" xfId="14210"/>
    <cellStyle name="Calculation 2 2 2 3" xfId="14211"/>
    <cellStyle name="Calculation 2 2 2 3 10" xfId="14212"/>
    <cellStyle name="Calculation 2 2 2 3 11" xfId="14213"/>
    <cellStyle name="Calculation 2 2 2 3 2" xfId="14214"/>
    <cellStyle name="Calculation 2 2 2 3 3" xfId="14215"/>
    <cellStyle name="Calculation 2 2 2 3 4" xfId="14216"/>
    <cellStyle name="Calculation 2 2 2 3 5" xfId="14217"/>
    <cellStyle name="Calculation 2 2 2 3 6" xfId="14218"/>
    <cellStyle name="Calculation 2 2 2 3 7" xfId="14219"/>
    <cellStyle name="Calculation 2 2 2 3 8" xfId="14220"/>
    <cellStyle name="Calculation 2 2 2 3 9" xfId="14221"/>
    <cellStyle name="Calculation 2 2 2 4" xfId="14222"/>
    <cellStyle name="Calculation 2 2 2 5" xfId="14223"/>
    <cellStyle name="Calculation 2 2 2 6" xfId="14224"/>
    <cellStyle name="Calculation 2 2 2 7" xfId="14225"/>
    <cellStyle name="Calculation 2 2 2 8" xfId="14226"/>
    <cellStyle name="Calculation 2 2 2 9" xfId="14227"/>
    <cellStyle name="Calculation 2 2 3" xfId="14228"/>
    <cellStyle name="Calculation 2 2 3 10" xfId="14229"/>
    <cellStyle name="Calculation 2 2 3 11" xfId="14230"/>
    <cellStyle name="Calculation 2 2 3 2" xfId="14231"/>
    <cellStyle name="Calculation 2 2 3 2 10" xfId="14232"/>
    <cellStyle name="Calculation 2 2 3 2 11" xfId="14233"/>
    <cellStyle name="Calculation 2 2 3 2 2" xfId="14234"/>
    <cellStyle name="Calculation 2 2 3 2 3" xfId="14235"/>
    <cellStyle name="Calculation 2 2 3 2 4" xfId="14236"/>
    <cellStyle name="Calculation 2 2 3 2 5" xfId="14237"/>
    <cellStyle name="Calculation 2 2 3 2 6" xfId="14238"/>
    <cellStyle name="Calculation 2 2 3 2 7" xfId="14239"/>
    <cellStyle name="Calculation 2 2 3 2 8" xfId="14240"/>
    <cellStyle name="Calculation 2 2 3 2 9" xfId="14241"/>
    <cellStyle name="Calculation 2 2 3 3" xfId="14242"/>
    <cellStyle name="Calculation 2 2 3 4" xfId="14243"/>
    <cellStyle name="Calculation 2 2 3 5" xfId="14244"/>
    <cellStyle name="Calculation 2 2 3 6" xfId="14245"/>
    <cellStyle name="Calculation 2 2 3 7" xfId="14246"/>
    <cellStyle name="Calculation 2 2 3 8" xfId="14247"/>
    <cellStyle name="Calculation 2 2 3 9" xfId="14248"/>
    <cellStyle name="Calculation 2 2 4" xfId="14249"/>
    <cellStyle name="Calculation 2 2 4 10" xfId="14250"/>
    <cellStyle name="Calculation 2 2 4 11" xfId="14251"/>
    <cellStyle name="Calculation 2 2 4 2" xfId="14252"/>
    <cellStyle name="Calculation 2 2 4 3" xfId="14253"/>
    <cellStyle name="Calculation 2 2 4 4" xfId="14254"/>
    <cellStyle name="Calculation 2 2 4 5" xfId="14255"/>
    <cellStyle name="Calculation 2 2 4 6" xfId="14256"/>
    <cellStyle name="Calculation 2 2 4 7" xfId="14257"/>
    <cellStyle name="Calculation 2 2 4 8" xfId="14258"/>
    <cellStyle name="Calculation 2 2 4 9" xfId="14259"/>
    <cellStyle name="Calculation 2 2 5" xfId="14260"/>
    <cellStyle name="Calculation 2 2 6" xfId="14261"/>
    <cellStyle name="Calculation 2 2 7" xfId="14262"/>
    <cellStyle name="Calculation 2 2 8" xfId="14263"/>
    <cellStyle name="Calculation 2 2 9" xfId="14264"/>
    <cellStyle name="Calculation 2 3" xfId="14265"/>
    <cellStyle name="Calculation 2 3 10" xfId="14266"/>
    <cellStyle name="Calculation 2 3 11" xfId="14267"/>
    <cellStyle name="Calculation 2 3 12" xfId="14268"/>
    <cellStyle name="Calculation 2 3 13" xfId="14269"/>
    <cellStyle name="Calculation 2 3 2" xfId="14270"/>
    <cellStyle name="Calculation 2 3 2 10" xfId="14271"/>
    <cellStyle name="Calculation 2 3 2 11" xfId="14272"/>
    <cellStyle name="Calculation 2 3 2 12" xfId="14273"/>
    <cellStyle name="Calculation 2 3 2 2" xfId="14274"/>
    <cellStyle name="Calculation 2 3 2 2 10" xfId="14275"/>
    <cellStyle name="Calculation 2 3 2 2 11" xfId="14276"/>
    <cellStyle name="Calculation 2 3 2 2 2" xfId="14277"/>
    <cellStyle name="Calculation 2 3 2 2 2 10" xfId="14278"/>
    <cellStyle name="Calculation 2 3 2 2 2 11" xfId="14279"/>
    <cellStyle name="Calculation 2 3 2 2 2 2" xfId="14280"/>
    <cellStyle name="Calculation 2 3 2 2 2 3" xfId="14281"/>
    <cellStyle name="Calculation 2 3 2 2 2 4" xfId="14282"/>
    <cellStyle name="Calculation 2 3 2 2 2 5" xfId="14283"/>
    <cellStyle name="Calculation 2 3 2 2 2 6" xfId="14284"/>
    <cellStyle name="Calculation 2 3 2 2 2 7" xfId="14285"/>
    <cellStyle name="Calculation 2 3 2 2 2 8" xfId="14286"/>
    <cellStyle name="Calculation 2 3 2 2 2 9" xfId="14287"/>
    <cellStyle name="Calculation 2 3 2 2 3" xfId="14288"/>
    <cellStyle name="Calculation 2 3 2 2 4" xfId="14289"/>
    <cellStyle name="Calculation 2 3 2 2 5" xfId="14290"/>
    <cellStyle name="Calculation 2 3 2 2 6" xfId="14291"/>
    <cellStyle name="Calculation 2 3 2 2 7" xfId="14292"/>
    <cellStyle name="Calculation 2 3 2 2 8" xfId="14293"/>
    <cellStyle name="Calculation 2 3 2 2 9" xfId="14294"/>
    <cellStyle name="Calculation 2 3 2 3" xfId="14295"/>
    <cellStyle name="Calculation 2 3 2 3 10" xfId="14296"/>
    <cellStyle name="Calculation 2 3 2 3 11" xfId="14297"/>
    <cellStyle name="Calculation 2 3 2 3 2" xfId="14298"/>
    <cellStyle name="Calculation 2 3 2 3 3" xfId="14299"/>
    <cellStyle name="Calculation 2 3 2 3 4" xfId="14300"/>
    <cellStyle name="Calculation 2 3 2 3 5" xfId="14301"/>
    <cellStyle name="Calculation 2 3 2 3 6" xfId="14302"/>
    <cellStyle name="Calculation 2 3 2 3 7" xfId="14303"/>
    <cellStyle name="Calculation 2 3 2 3 8" xfId="14304"/>
    <cellStyle name="Calculation 2 3 2 3 9" xfId="14305"/>
    <cellStyle name="Calculation 2 3 2 4" xfId="14306"/>
    <cellStyle name="Calculation 2 3 2 5" xfId="14307"/>
    <cellStyle name="Calculation 2 3 2 6" xfId="14308"/>
    <cellStyle name="Calculation 2 3 2 7" xfId="14309"/>
    <cellStyle name="Calculation 2 3 2 8" xfId="14310"/>
    <cellStyle name="Calculation 2 3 2 9" xfId="14311"/>
    <cellStyle name="Calculation 2 3 3" xfId="14312"/>
    <cellStyle name="Calculation 2 3 3 10" xfId="14313"/>
    <cellStyle name="Calculation 2 3 3 11" xfId="14314"/>
    <cellStyle name="Calculation 2 3 3 2" xfId="14315"/>
    <cellStyle name="Calculation 2 3 3 2 10" xfId="14316"/>
    <cellStyle name="Calculation 2 3 3 2 11" xfId="14317"/>
    <cellStyle name="Calculation 2 3 3 2 2" xfId="14318"/>
    <cellStyle name="Calculation 2 3 3 2 3" xfId="14319"/>
    <cellStyle name="Calculation 2 3 3 2 4" xfId="14320"/>
    <cellStyle name="Calculation 2 3 3 2 5" xfId="14321"/>
    <cellStyle name="Calculation 2 3 3 2 6" xfId="14322"/>
    <cellStyle name="Calculation 2 3 3 2 7" xfId="14323"/>
    <cellStyle name="Calculation 2 3 3 2 8" xfId="14324"/>
    <cellStyle name="Calculation 2 3 3 2 9" xfId="14325"/>
    <cellStyle name="Calculation 2 3 3 3" xfId="14326"/>
    <cellStyle name="Calculation 2 3 3 4" xfId="14327"/>
    <cellStyle name="Calculation 2 3 3 5" xfId="14328"/>
    <cellStyle name="Calculation 2 3 3 6" xfId="14329"/>
    <cellStyle name="Calculation 2 3 3 7" xfId="14330"/>
    <cellStyle name="Calculation 2 3 3 8" xfId="14331"/>
    <cellStyle name="Calculation 2 3 3 9" xfId="14332"/>
    <cellStyle name="Calculation 2 3 4" xfId="14333"/>
    <cellStyle name="Calculation 2 3 4 10" xfId="14334"/>
    <cellStyle name="Calculation 2 3 4 11" xfId="14335"/>
    <cellStyle name="Calculation 2 3 4 2" xfId="14336"/>
    <cellStyle name="Calculation 2 3 4 3" xfId="14337"/>
    <cellStyle name="Calculation 2 3 4 4" xfId="14338"/>
    <cellStyle name="Calculation 2 3 4 5" xfId="14339"/>
    <cellStyle name="Calculation 2 3 4 6" xfId="14340"/>
    <cellStyle name="Calculation 2 3 4 7" xfId="14341"/>
    <cellStyle name="Calculation 2 3 4 8" xfId="14342"/>
    <cellStyle name="Calculation 2 3 4 9" xfId="14343"/>
    <cellStyle name="Calculation 2 3 5" xfId="14344"/>
    <cellStyle name="Calculation 2 3 6" xfId="14345"/>
    <cellStyle name="Calculation 2 3 7" xfId="14346"/>
    <cellStyle name="Calculation 2 3 8" xfId="14347"/>
    <cellStyle name="Calculation 2 3 9" xfId="14348"/>
    <cellStyle name="Calculation 2 4" xfId="14349"/>
    <cellStyle name="Calculation 2 4 10" xfId="14350"/>
    <cellStyle name="Calculation 2 4 11" xfId="14351"/>
    <cellStyle name="Calculation 2 4 12" xfId="14352"/>
    <cellStyle name="Calculation 2 4 13" xfId="14353"/>
    <cellStyle name="Calculation 2 4 2" xfId="14354"/>
    <cellStyle name="Calculation 2 4 2 10" xfId="14355"/>
    <cellStyle name="Calculation 2 4 2 11" xfId="14356"/>
    <cellStyle name="Calculation 2 4 2 12" xfId="14357"/>
    <cellStyle name="Calculation 2 4 2 2" xfId="14358"/>
    <cellStyle name="Calculation 2 4 2 2 10" xfId="14359"/>
    <cellStyle name="Calculation 2 4 2 2 11" xfId="14360"/>
    <cellStyle name="Calculation 2 4 2 2 2" xfId="14361"/>
    <cellStyle name="Calculation 2 4 2 2 2 10" xfId="14362"/>
    <cellStyle name="Calculation 2 4 2 2 2 11" xfId="14363"/>
    <cellStyle name="Calculation 2 4 2 2 2 2" xfId="14364"/>
    <cellStyle name="Calculation 2 4 2 2 2 3" xfId="14365"/>
    <cellStyle name="Calculation 2 4 2 2 2 4" xfId="14366"/>
    <cellStyle name="Calculation 2 4 2 2 2 5" xfId="14367"/>
    <cellStyle name="Calculation 2 4 2 2 2 6" xfId="14368"/>
    <cellStyle name="Calculation 2 4 2 2 2 7" xfId="14369"/>
    <cellStyle name="Calculation 2 4 2 2 2 8" xfId="14370"/>
    <cellStyle name="Calculation 2 4 2 2 2 9" xfId="14371"/>
    <cellStyle name="Calculation 2 4 2 2 3" xfId="14372"/>
    <cellStyle name="Calculation 2 4 2 2 4" xfId="14373"/>
    <cellStyle name="Calculation 2 4 2 2 5" xfId="14374"/>
    <cellStyle name="Calculation 2 4 2 2 6" xfId="14375"/>
    <cellStyle name="Calculation 2 4 2 2 7" xfId="14376"/>
    <cellStyle name="Calculation 2 4 2 2 8" xfId="14377"/>
    <cellStyle name="Calculation 2 4 2 2 9" xfId="14378"/>
    <cellStyle name="Calculation 2 4 2 3" xfId="14379"/>
    <cellStyle name="Calculation 2 4 2 3 10" xfId="14380"/>
    <cellStyle name="Calculation 2 4 2 3 11" xfId="14381"/>
    <cellStyle name="Calculation 2 4 2 3 2" xfId="14382"/>
    <cellStyle name="Calculation 2 4 2 3 3" xfId="14383"/>
    <cellStyle name="Calculation 2 4 2 3 4" xfId="14384"/>
    <cellStyle name="Calculation 2 4 2 3 5" xfId="14385"/>
    <cellStyle name="Calculation 2 4 2 3 6" xfId="14386"/>
    <cellStyle name="Calculation 2 4 2 3 7" xfId="14387"/>
    <cellStyle name="Calculation 2 4 2 3 8" xfId="14388"/>
    <cellStyle name="Calculation 2 4 2 3 9" xfId="14389"/>
    <cellStyle name="Calculation 2 4 2 4" xfId="14390"/>
    <cellStyle name="Calculation 2 4 2 5" xfId="14391"/>
    <cellStyle name="Calculation 2 4 2 6" xfId="14392"/>
    <cellStyle name="Calculation 2 4 2 7" xfId="14393"/>
    <cellStyle name="Calculation 2 4 2 8" xfId="14394"/>
    <cellStyle name="Calculation 2 4 2 9" xfId="14395"/>
    <cellStyle name="Calculation 2 4 3" xfId="14396"/>
    <cellStyle name="Calculation 2 4 3 10" xfId="14397"/>
    <cellStyle name="Calculation 2 4 3 11" xfId="14398"/>
    <cellStyle name="Calculation 2 4 3 2" xfId="14399"/>
    <cellStyle name="Calculation 2 4 3 2 10" xfId="14400"/>
    <cellStyle name="Calculation 2 4 3 2 11" xfId="14401"/>
    <cellStyle name="Calculation 2 4 3 2 2" xfId="14402"/>
    <cellStyle name="Calculation 2 4 3 2 3" xfId="14403"/>
    <cellStyle name="Calculation 2 4 3 2 4" xfId="14404"/>
    <cellStyle name="Calculation 2 4 3 2 5" xfId="14405"/>
    <cellStyle name="Calculation 2 4 3 2 6" xfId="14406"/>
    <cellStyle name="Calculation 2 4 3 2 7" xfId="14407"/>
    <cellStyle name="Calculation 2 4 3 2 8" xfId="14408"/>
    <cellStyle name="Calculation 2 4 3 2 9" xfId="14409"/>
    <cellStyle name="Calculation 2 4 3 3" xfId="14410"/>
    <cellStyle name="Calculation 2 4 3 4" xfId="14411"/>
    <cellStyle name="Calculation 2 4 3 5" xfId="14412"/>
    <cellStyle name="Calculation 2 4 3 6" xfId="14413"/>
    <cellStyle name="Calculation 2 4 3 7" xfId="14414"/>
    <cellStyle name="Calculation 2 4 3 8" xfId="14415"/>
    <cellStyle name="Calculation 2 4 3 9" xfId="14416"/>
    <cellStyle name="Calculation 2 4 4" xfId="14417"/>
    <cellStyle name="Calculation 2 4 4 10" xfId="14418"/>
    <cellStyle name="Calculation 2 4 4 11" xfId="14419"/>
    <cellStyle name="Calculation 2 4 4 2" xfId="14420"/>
    <cellStyle name="Calculation 2 4 4 3" xfId="14421"/>
    <cellStyle name="Calculation 2 4 4 4" xfId="14422"/>
    <cellStyle name="Calculation 2 4 4 5" xfId="14423"/>
    <cellStyle name="Calculation 2 4 4 6" xfId="14424"/>
    <cellStyle name="Calculation 2 4 4 7" xfId="14425"/>
    <cellStyle name="Calculation 2 4 4 8" xfId="14426"/>
    <cellStyle name="Calculation 2 4 4 9" xfId="14427"/>
    <cellStyle name="Calculation 2 4 5" xfId="14428"/>
    <cellStyle name="Calculation 2 4 6" xfId="14429"/>
    <cellStyle name="Calculation 2 4 7" xfId="14430"/>
    <cellStyle name="Calculation 2 4 8" xfId="14431"/>
    <cellStyle name="Calculation 2 4 9" xfId="14432"/>
    <cellStyle name="Calculation 2 5" xfId="14433"/>
    <cellStyle name="Calculation 2 5 10" xfId="14434"/>
    <cellStyle name="Calculation 2 5 11" xfId="14435"/>
    <cellStyle name="Calculation 2 5 12" xfId="14436"/>
    <cellStyle name="Calculation 2 5 13" xfId="14437"/>
    <cellStyle name="Calculation 2 5 2" xfId="14438"/>
    <cellStyle name="Calculation 2 5 2 10" xfId="14439"/>
    <cellStyle name="Calculation 2 5 2 11" xfId="14440"/>
    <cellStyle name="Calculation 2 5 2 12" xfId="14441"/>
    <cellStyle name="Calculation 2 5 2 2" xfId="14442"/>
    <cellStyle name="Calculation 2 5 2 2 10" xfId="14443"/>
    <cellStyle name="Calculation 2 5 2 2 11" xfId="14444"/>
    <cellStyle name="Calculation 2 5 2 2 2" xfId="14445"/>
    <cellStyle name="Calculation 2 5 2 2 2 10" xfId="14446"/>
    <cellStyle name="Calculation 2 5 2 2 2 11" xfId="14447"/>
    <cellStyle name="Calculation 2 5 2 2 2 2" xfId="14448"/>
    <cellStyle name="Calculation 2 5 2 2 2 3" xfId="14449"/>
    <cellStyle name="Calculation 2 5 2 2 2 4" xfId="14450"/>
    <cellStyle name="Calculation 2 5 2 2 2 5" xfId="14451"/>
    <cellStyle name="Calculation 2 5 2 2 2 6" xfId="14452"/>
    <cellStyle name="Calculation 2 5 2 2 2 7" xfId="14453"/>
    <cellStyle name="Calculation 2 5 2 2 2 8" xfId="14454"/>
    <cellStyle name="Calculation 2 5 2 2 2 9" xfId="14455"/>
    <cellStyle name="Calculation 2 5 2 2 3" xfId="14456"/>
    <cellStyle name="Calculation 2 5 2 2 4" xfId="14457"/>
    <cellStyle name="Calculation 2 5 2 2 5" xfId="14458"/>
    <cellStyle name="Calculation 2 5 2 2 6" xfId="14459"/>
    <cellStyle name="Calculation 2 5 2 2 7" xfId="14460"/>
    <cellStyle name="Calculation 2 5 2 2 8" xfId="14461"/>
    <cellStyle name="Calculation 2 5 2 2 9" xfId="14462"/>
    <cellStyle name="Calculation 2 5 2 3" xfId="14463"/>
    <cellStyle name="Calculation 2 5 2 3 10" xfId="14464"/>
    <cellStyle name="Calculation 2 5 2 3 11" xfId="14465"/>
    <cellStyle name="Calculation 2 5 2 3 2" xfId="14466"/>
    <cellStyle name="Calculation 2 5 2 3 3" xfId="14467"/>
    <cellStyle name="Calculation 2 5 2 3 4" xfId="14468"/>
    <cellStyle name="Calculation 2 5 2 3 5" xfId="14469"/>
    <cellStyle name="Calculation 2 5 2 3 6" xfId="14470"/>
    <cellStyle name="Calculation 2 5 2 3 7" xfId="14471"/>
    <cellStyle name="Calculation 2 5 2 3 8" xfId="14472"/>
    <cellStyle name="Calculation 2 5 2 3 9" xfId="14473"/>
    <cellStyle name="Calculation 2 5 2 4" xfId="14474"/>
    <cellStyle name="Calculation 2 5 2 5" xfId="14475"/>
    <cellStyle name="Calculation 2 5 2 6" xfId="14476"/>
    <cellStyle name="Calculation 2 5 2 7" xfId="14477"/>
    <cellStyle name="Calculation 2 5 2 8" xfId="14478"/>
    <cellStyle name="Calculation 2 5 2 9" xfId="14479"/>
    <cellStyle name="Calculation 2 5 3" xfId="14480"/>
    <cellStyle name="Calculation 2 5 3 10" xfId="14481"/>
    <cellStyle name="Calculation 2 5 3 11" xfId="14482"/>
    <cellStyle name="Calculation 2 5 3 2" xfId="14483"/>
    <cellStyle name="Calculation 2 5 3 2 10" xfId="14484"/>
    <cellStyle name="Calculation 2 5 3 2 11" xfId="14485"/>
    <cellStyle name="Calculation 2 5 3 2 2" xfId="14486"/>
    <cellStyle name="Calculation 2 5 3 2 3" xfId="14487"/>
    <cellStyle name="Calculation 2 5 3 2 4" xfId="14488"/>
    <cellStyle name="Calculation 2 5 3 2 5" xfId="14489"/>
    <cellStyle name="Calculation 2 5 3 2 6" xfId="14490"/>
    <cellStyle name="Calculation 2 5 3 2 7" xfId="14491"/>
    <cellStyle name="Calculation 2 5 3 2 8" xfId="14492"/>
    <cellStyle name="Calculation 2 5 3 2 9" xfId="14493"/>
    <cellStyle name="Calculation 2 5 3 3" xfId="14494"/>
    <cellStyle name="Calculation 2 5 3 4" xfId="14495"/>
    <cellStyle name="Calculation 2 5 3 5" xfId="14496"/>
    <cellStyle name="Calculation 2 5 3 6" xfId="14497"/>
    <cellStyle name="Calculation 2 5 3 7" xfId="14498"/>
    <cellStyle name="Calculation 2 5 3 8" xfId="14499"/>
    <cellStyle name="Calculation 2 5 3 9" xfId="14500"/>
    <cellStyle name="Calculation 2 5 4" xfId="14501"/>
    <cellStyle name="Calculation 2 5 4 10" xfId="14502"/>
    <cellStyle name="Calculation 2 5 4 11" xfId="14503"/>
    <cellStyle name="Calculation 2 5 4 2" xfId="14504"/>
    <cellStyle name="Calculation 2 5 4 3" xfId="14505"/>
    <cellStyle name="Calculation 2 5 4 4" xfId="14506"/>
    <cellStyle name="Calculation 2 5 4 5" xfId="14507"/>
    <cellStyle name="Calculation 2 5 4 6" xfId="14508"/>
    <cellStyle name="Calculation 2 5 4 7" xfId="14509"/>
    <cellStyle name="Calculation 2 5 4 8" xfId="14510"/>
    <cellStyle name="Calculation 2 5 4 9" xfId="14511"/>
    <cellStyle name="Calculation 2 5 5" xfId="14512"/>
    <cellStyle name="Calculation 2 5 6" xfId="14513"/>
    <cellStyle name="Calculation 2 5 7" xfId="14514"/>
    <cellStyle name="Calculation 2 5 8" xfId="14515"/>
    <cellStyle name="Calculation 2 5 9" xfId="14516"/>
    <cellStyle name="Calculation 2 6" xfId="14517"/>
    <cellStyle name="Calculation 2 6 10" xfId="14518"/>
    <cellStyle name="Calculation 2 6 11" xfId="14519"/>
    <cellStyle name="Calculation 2 6 12" xfId="14520"/>
    <cellStyle name="Calculation 2 6 13" xfId="14521"/>
    <cellStyle name="Calculation 2 6 2" xfId="14522"/>
    <cellStyle name="Calculation 2 6 2 10" xfId="14523"/>
    <cellStyle name="Calculation 2 6 2 11" xfId="14524"/>
    <cellStyle name="Calculation 2 6 2 12" xfId="14525"/>
    <cellStyle name="Calculation 2 6 2 2" xfId="14526"/>
    <cellStyle name="Calculation 2 6 2 2 10" xfId="14527"/>
    <cellStyle name="Calculation 2 6 2 2 11" xfId="14528"/>
    <cellStyle name="Calculation 2 6 2 2 2" xfId="14529"/>
    <cellStyle name="Calculation 2 6 2 2 2 10" xfId="14530"/>
    <cellStyle name="Calculation 2 6 2 2 2 11" xfId="14531"/>
    <cellStyle name="Calculation 2 6 2 2 2 2" xfId="14532"/>
    <cellStyle name="Calculation 2 6 2 2 2 3" xfId="14533"/>
    <cellStyle name="Calculation 2 6 2 2 2 4" xfId="14534"/>
    <cellStyle name="Calculation 2 6 2 2 2 5" xfId="14535"/>
    <cellStyle name="Calculation 2 6 2 2 2 6" xfId="14536"/>
    <cellStyle name="Calculation 2 6 2 2 2 7" xfId="14537"/>
    <cellStyle name="Calculation 2 6 2 2 2 8" xfId="14538"/>
    <cellStyle name="Calculation 2 6 2 2 2 9" xfId="14539"/>
    <cellStyle name="Calculation 2 6 2 2 3" xfId="14540"/>
    <cellStyle name="Calculation 2 6 2 2 4" xfId="14541"/>
    <cellStyle name="Calculation 2 6 2 2 5" xfId="14542"/>
    <cellStyle name="Calculation 2 6 2 2 6" xfId="14543"/>
    <cellStyle name="Calculation 2 6 2 2 7" xfId="14544"/>
    <cellStyle name="Calculation 2 6 2 2 8" xfId="14545"/>
    <cellStyle name="Calculation 2 6 2 2 9" xfId="14546"/>
    <cellStyle name="Calculation 2 6 2 3" xfId="14547"/>
    <cellStyle name="Calculation 2 6 2 3 10" xfId="14548"/>
    <cellStyle name="Calculation 2 6 2 3 11" xfId="14549"/>
    <cellStyle name="Calculation 2 6 2 3 2" xfId="14550"/>
    <cellStyle name="Calculation 2 6 2 3 3" xfId="14551"/>
    <cellStyle name="Calculation 2 6 2 3 4" xfId="14552"/>
    <cellStyle name="Calculation 2 6 2 3 5" xfId="14553"/>
    <cellStyle name="Calculation 2 6 2 3 6" xfId="14554"/>
    <cellStyle name="Calculation 2 6 2 3 7" xfId="14555"/>
    <cellStyle name="Calculation 2 6 2 3 8" xfId="14556"/>
    <cellStyle name="Calculation 2 6 2 3 9" xfId="14557"/>
    <cellStyle name="Calculation 2 6 2 4" xfId="14558"/>
    <cellStyle name="Calculation 2 6 2 5" xfId="14559"/>
    <cellStyle name="Calculation 2 6 2 6" xfId="14560"/>
    <cellStyle name="Calculation 2 6 2 7" xfId="14561"/>
    <cellStyle name="Calculation 2 6 2 8" xfId="14562"/>
    <cellStyle name="Calculation 2 6 2 9" xfId="14563"/>
    <cellStyle name="Calculation 2 6 3" xfId="14564"/>
    <cellStyle name="Calculation 2 6 3 10" xfId="14565"/>
    <cellStyle name="Calculation 2 6 3 11" xfId="14566"/>
    <cellStyle name="Calculation 2 6 3 2" xfId="14567"/>
    <cellStyle name="Calculation 2 6 3 2 10" xfId="14568"/>
    <cellStyle name="Calculation 2 6 3 2 11" xfId="14569"/>
    <cellStyle name="Calculation 2 6 3 2 2" xfId="14570"/>
    <cellStyle name="Calculation 2 6 3 2 3" xfId="14571"/>
    <cellStyle name="Calculation 2 6 3 2 4" xfId="14572"/>
    <cellStyle name="Calculation 2 6 3 2 5" xfId="14573"/>
    <cellStyle name="Calculation 2 6 3 2 6" xfId="14574"/>
    <cellStyle name="Calculation 2 6 3 2 7" xfId="14575"/>
    <cellStyle name="Calculation 2 6 3 2 8" xfId="14576"/>
    <cellStyle name="Calculation 2 6 3 2 9" xfId="14577"/>
    <cellStyle name="Calculation 2 6 3 3" xfId="14578"/>
    <cellStyle name="Calculation 2 6 3 4" xfId="14579"/>
    <cellStyle name="Calculation 2 6 3 5" xfId="14580"/>
    <cellStyle name="Calculation 2 6 3 6" xfId="14581"/>
    <cellStyle name="Calculation 2 6 3 7" xfId="14582"/>
    <cellStyle name="Calculation 2 6 3 8" xfId="14583"/>
    <cellStyle name="Calculation 2 6 3 9" xfId="14584"/>
    <cellStyle name="Calculation 2 6 4" xfId="14585"/>
    <cellStyle name="Calculation 2 6 4 10" xfId="14586"/>
    <cellStyle name="Calculation 2 6 4 11" xfId="14587"/>
    <cellStyle name="Calculation 2 6 4 2" xfId="14588"/>
    <cellStyle name="Calculation 2 6 4 3" xfId="14589"/>
    <cellStyle name="Calculation 2 6 4 4" xfId="14590"/>
    <cellStyle name="Calculation 2 6 4 5" xfId="14591"/>
    <cellStyle name="Calculation 2 6 4 6" xfId="14592"/>
    <cellStyle name="Calculation 2 6 4 7" xfId="14593"/>
    <cellStyle name="Calculation 2 6 4 8" xfId="14594"/>
    <cellStyle name="Calculation 2 6 4 9" xfId="14595"/>
    <cellStyle name="Calculation 2 6 5" xfId="14596"/>
    <cellStyle name="Calculation 2 6 6" xfId="14597"/>
    <cellStyle name="Calculation 2 6 7" xfId="14598"/>
    <cellStyle name="Calculation 2 6 8" xfId="14599"/>
    <cellStyle name="Calculation 2 6 9" xfId="14600"/>
    <cellStyle name="Calculation 2 7" xfId="14601"/>
    <cellStyle name="Calculation 2 7 10" xfId="14602"/>
    <cellStyle name="Calculation 2 7 11" xfId="14603"/>
    <cellStyle name="Calculation 2 7 12" xfId="14604"/>
    <cellStyle name="Calculation 2 7 13" xfId="14605"/>
    <cellStyle name="Calculation 2 7 2" xfId="14606"/>
    <cellStyle name="Calculation 2 7 2 10" xfId="14607"/>
    <cellStyle name="Calculation 2 7 2 11" xfId="14608"/>
    <cellStyle name="Calculation 2 7 2 12" xfId="14609"/>
    <cellStyle name="Calculation 2 7 2 2" xfId="14610"/>
    <cellStyle name="Calculation 2 7 2 2 10" xfId="14611"/>
    <cellStyle name="Calculation 2 7 2 2 11" xfId="14612"/>
    <cellStyle name="Calculation 2 7 2 2 2" xfId="14613"/>
    <cellStyle name="Calculation 2 7 2 2 2 10" xfId="14614"/>
    <cellStyle name="Calculation 2 7 2 2 2 11" xfId="14615"/>
    <cellStyle name="Calculation 2 7 2 2 2 2" xfId="14616"/>
    <cellStyle name="Calculation 2 7 2 2 2 3" xfId="14617"/>
    <cellStyle name="Calculation 2 7 2 2 2 4" xfId="14618"/>
    <cellStyle name="Calculation 2 7 2 2 2 5" xfId="14619"/>
    <cellStyle name="Calculation 2 7 2 2 2 6" xfId="14620"/>
    <cellStyle name="Calculation 2 7 2 2 2 7" xfId="14621"/>
    <cellStyle name="Calculation 2 7 2 2 2 8" xfId="14622"/>
    <cellStyle name="Calculation 2 7 2 2 2 9" xfId="14623"/>
    <cellStyle name="Calculation 2 7 2 2 3" xfId="14624"/>
    <cellStyle name="Calculation 2 7 2 2 4" xfId="14625"/>
    <cellStyle name="Calculation 2 7 2 2 5" xfId="14626"/>
    <cellStyle name="Calculation 2 7 2 2 6" xfId="14627"/>
    <cellStyle name="Calculation 2 7 2 2 7" xfId="14628"/>
    <cellStyle name="Calculation 2 7 2 2 8" xfId="14629"/>
    <cellStyle name="Calculation 2 7 2 2 9" xfId="14630"/>
    <cellStyle name="Calculation 2 7 2 3" xfId="14631"/>
    <cellStyle name="Calculation 2 7 2 3 10" xfId="14632"/>
    <cellStyle name="Calculation 2 7 2 3 11" xfId="14633"/>
    <cellStyle name="Calculation 2 7 2 3 2" xfId="14634"/>
    <cellStyle name="Calculation 2 7 2 3 3" xfId="14635"/>
    <cellStyle name="Calculation 2 7 2 3 4" xfId="14636"/>
    <cellStyle name="Calculation 2 7 2 3 5" xfId="14637"/>
    <cellStyle name="Calculation 2 7 2 3 6" xfId="14638"/>
    <cellStyle name="Calculation 2 7 2 3 7" xfId="14639"/>
    <cellStyle name="Calculation 2 7 2 3 8" xfId="14640"/>
    <cellStyle name="Calculation 2 7 2 3 9" xfId="14641"/>
    <cellStyle name="Calculation 2 7 2 4" xfId="14642"/>
    <cellStyle name="Calculation 2 7 2 5" xfId="14643"/>
    <cellStyle name="Calculation 2 7 2 6" xfId="14644"/>
    <cellStyle name="Calculation 2 7 2 7" xfId="14645"/>
    <cellStyle name="Calculation 2 7 2 8" xfId="14646"/>
    <cellStyle name="Calculation 2 7 2 9" xfId="14647"/>
    <cellStyle name="Calculation 2 7 3" xfId="14648"/>
    <cellStyle name="Calculation 2 7 3 10" xfId="14649"/>
    <cellStyle name="Calculation 2 7 3 11" xfId="14650"/>
    <cellStyle name="Calculation 2 7 3 2" xfId="14651"/>
    <cellStyle name="Calculation 2 7 3 2 10" xfId="14652"/>
    <cellStyle name="Calculation 2 7 3 2 11" xfId="14653"/>
    <cellStyle name="Calculation 2 7 3 2 2" xfId="14654"/>
    <cellStyle name="Calculation 2 7 3 2 3" xfId="14655"/>
    <cellStyle name="Calculation 2 7 3 2 4" xfId="14656"/>
    <cellStyle name="Calculation 2 7 3 2 5" xfId="14657"/>
    <cellStyle name="Calculation 2 7 3 2 6" xfId="14658"/>
    <cellStyle name="Calculation 2 7 3 2 7" xfId="14659"/>
    <cellStyle name="Calculation 2 7 3 2 8" xfId="14660"/>
    <cellStyle name="Calculation 2 7 3 2 9" xfId="14661"/>
    <cellStyle name="Calculation 2 7 3 3" xfId="14662"/>
    <cellStyle name="Calculation 2 7 3 4" xfId="14663"/>
    <cellStyle name="Calculation 2 7 3 5" xfId="14664"/>
    <cellStyle name="Calculation 2 7 3 6" xfId="14665"/>
    <cellStyle name="Calculation 2 7 3 7" xfId="14666"/>
    <cellStyle name="Calculation 2 7 3 8" xfId="14667"/>
    <cellStyle name="Calculation 2 7 3 9" xfId="14668"/>
    <cellStyle name="Calculation 2 7 4" xfId="14669"/>
    <cellStyle name="Calculation 2 7 4 10" xfId="14670"/>
    <cellStyle name="Calculation 2 7 4 11" xfId="14671"/>
    <cellStyle name="Calculation 2 7 4 2" xfId="14672"/>
    <cellStyle name="Calculation 2 7 4 3" xfId="14673"/>
    <cellStyle name="Calculation 2 7 4 4" xfId="14674"/>
    <cellStyle name="Calculation 2 7 4 5" xfId="14675"/>
    <cellStyle name="Calculation 2 7 4 6" xfId="14676"/>
    <cellStyle name="Calculation 2 7 4 7" xfId="14677"/>
    <cellStyle name="Calculation 2 7 4 8" xfId="14678"/>
    <cellStyle name="Calculation 2 7 4 9" xfId="14679"/>
    <cellStyle name="Calculation 2 7 5" xfId="14680"/>
    <cellStyle name="Calculation 2 7 6" xfId="14681"/>
    <cellStyle name="Calculation 2 7 7" xfId="14682"/>
    <cellStyle name="Calculation 2 7 8" xfId="14683"/>
    <cellStyle name="Calculation 2 7 9" xfId="14684"/>
    <cellStyle name="Calculation 2 8" xfId="14685"/>
    <cellStyle name="Calculation 3" xfId="14686"/>
    <cellStyle name="Calculation 3 2" xfId="14687"/>
    <cellStyle name="Calculation 3 2 10" xfId="14688"/>
    <cellStyle name="Calculation 3 2 11" xfId="14689"/>
    <cellStyle name="Calculation 3 2 12" xfId="14690"/>
    <cellStyle name="Calculation 3 2 13" xfId="14691"/>
    <cellStyle name="Calculation 3 2 2" xfId="14692"/>
    <cellStyle name="Calculation 3 2 2 10" xfId="14693"/>
    <cellStyle name="Calculation 3 2 2 11" xfId="14694"/>
    <cellStyle name="Calculation 3 2 2 12" xfId="14695"/>
    <cellStyle name="Calculation 3 2 2 2" xfId="14696"/>
    <cellStyle name="Calculation 3 2 2 2 10" xfId="14697"/>
    <cellStyle name="Calculation 3 2 2 2 11" xfId="14698"/>
    <cellStyle name="Calculation 3 2 2 2 2" xfId="14699"/>
    <cellStyle name="Calculation 3 2 2 2 2 10" xfId="14700"/>
    <cellStyle name="Calculation 3 2 2 2 2 11" xfId="14701"/>
    <cellStyle name="Calculation 3 2 2 2 2 2" xfId="14702"/>
    <cellStyle name="Calculation 3 2 2 2 2 3" xfId="14703"/>
    <cellStyle name="Calculation 3 2 2 2 2 4" xfId="14704"/>
    <cellStyle name="Calculation 3 2 2 2 2 5" xfId="14705"/>
    <cellStyle name="Calculation 3 2 2 2 2 6" xfId="14706"/>
    <cellStyle name="Calculation 3 2 2 2 2 7" xfId="14707"/>
    <cellStyle name="Calculation 3 2 2 2 2 8" xfId="14708"/>
    <cellStyle name="Calculation 3 2 2 2 2 9" xfId="14709"/>
    <cellStyle name="Calculation 3 2 2 2 3" xfId="14710"/>
    <cellStyle name="Calculation 3 2 2 2 4" xfId="14711"/>
    <cellStyle name="Calculation 3 2 2 2 5" xfId="14712"/>
    <cellStyle name="Calculation 3 2 2 2 6" xfId="14713"/>
    <cellStyle name="Calculation 3 2 2 2 7" xfId="14714"/>
    <cellStyle name="Calculation 3 2 2 2 8" xfId="14715"/>
    <cellStyle name="Calculation 3 2 2 2 9" xfId="14716"/>
    <cellStyle name="Calculation 3 2 2 3" xfId="14717"/>
    <cellStyle name="Calculation 3 2 2 3 10" xfId="14718"/>
    <cellStyle name="Calculation 3 2 2 3 11" xfId="14719"/>
    <cellStyle name="Calculation 3 2 2 3 2" xfId="14720"/>
    <cellStyle name="Calculation 3 2 2 3 3" xfId="14721"/>
    <cellStyle name="Calculation 3 2 2 3 4" xfId="14722"/>
    <cellStyle name="Calculation 3 2 2 3 5" xfId="14723"/>
    <cellStyle name="Calculation 3 2 2 3 6" xfId="14724"/>
    <cellStyle name="Calculation 3 2 2 3 7" xfId="14725"/>
    <cellStyle name="Calculation 3 2 2 3 8" xfId="14726"/>
    <cellStyle name="Calculation 3 2 2 3 9" xfId="14727"/>
    <cellStyle name="Calculation 3 2 2 4" xfId="14728"/>
    <cellStyle name="Calculation 3 2 2 5" xfId="14729"/>
    <cellStyle name="Calculation 3 2 2 6" xfId="14730"/>
    <cellStyle name="Calculation 3 2 2 7" xfId="14731"/>
    <cellStyle name="Calculation 3 2 2 8" xfId="14732"/>
    <cellStyle name="Calculation 3 2 2 9" xfId="14733"/>
    <cellStyle name="Calculation 3 2 3" xfId="14734"/>
    <cellStyle name="Calculation 3 2 3 10" xfId="14735"/>
    <cellStyle name="Calculation 3 2 3 11" xfId="14736"/>
    <cellStyle name="Calculation 3 2 3 2" xfId="14737"/>
    <cellStyle name="Calculation 3 2 3 2 10" xfId="14738"/>
    <cellStyle name="Calculation 3 2 3 2 11" xfId="14739"/>
    <cellStyle name="Calculation 3 2 3 2 2" xfId="14740"/>
    <cellStyle name="Calculation 3 2 3 2 3" xfId="14741"/>
    <cellStyle name="Calculation 3 2 3 2 4" xfId="14742"/>
    <cellStyle name="Calculation 3 2 3 2 5" xfId="14743"/>
    <cellStyle name="Calculation 3 2 3 2 6" xfId="14744"/>
    <cellStyle name="Calculation 3 2 3 2 7" xfId="14745"/>
    <cellStyle name="Calculation 3 2 3 2 8" xfId="14746"/>
    <cellStyle name="Calculation 3 2 3 2 9" xfId="14747"/>
    <cellStyle name="Calculation 3 2 3 3" xfId="14748"/>
    <cellStyle name="Calculation 3 2 3 4" xfId="14749"/>
    <cellStyle name="Calculation 3 2 3 5" xfId="14750"/>
    <cellStyle name="Calculation 3 2 3 6" xfId="14751"/>
    <cellStyle name="Calculation 3 2 3 7" xfId="14752"/>
    <cellStyle name="Calculation 3 2 3 8" xfId="14753"/>
    <cellStyle name="Calculation 3 2 3 9" xfId="14754"/>
    <cellStyle name="Calculation 3 2 4" xfId="14755"/>
    <cellStyle name="Calculation 3 2 4 10" xfId="14756"/>
    <cellStyle name="Calculation 3 2 4 11" xfId="14757"/>
    <cellStyle name="Calculation 3 2 4 2" xfId="14758"/>
    <cellStyle name="Calculation 3 2 4 3" xfId="14759"/>
    <cellStyle name="Calculation 3 2 4 4" xfId="14760"/>
    <cellStyle name="Calculation 3 2 4 5" xfId="14761"/>
    <cellStyle name="Calculation 3 2 4 6" xfId="14762"/>
    <cellStyle name="Calculation 3 2 4 7" xfId="14763"/>
    <cellStyle name="Calculation 3 2 4 8" xfId="14764"/>
    <cellStyle name="Calculation 3 2 4 9" xfId="14765"/>
    <cellStyle name="Calculation 3 2 5" xfId="14766"/>
    <cellStyle name="Calculation 3 2 6" xfId="14767"/>
    <cellStyle name="Calculation 3 2 7" xfId="14768"/>
    <cellStyle name="Calculation 3 2 8" xfId="14769"/>
    <cellStyle name="Calculation 3 2 9" xfId="14770"/>
    <cellStyle name="Calculation 3 3" xfId="14771"/>
    <cellStyle name="Calculation 3 3 10" xfId="14772"/>
    <cellStyle name="Calculation 3 3 11" xfId="14773"/>
    <cellStyle name="Calculation 3 3 12" xfId="14774"/>
    <cellStyle name="Calculation 3 3 13" xfId="14775"/>
    <cellStyle name="Calculation 3 3 2" xfId="14776"/>
    <cellStyle name="Calculation 3 3 2 10" xfId="14777"/>
    <cellStyle name="Calculation 3 3 2 11" xfId="14778"/>
    <cellStyle name="Calculation 3 3 2 12" xfId="14779"/>
    <cellStyle name="Calculation 3 3 2 2" xfId="14780"/>
    <cellStyle name="Calculation 3 3 2 2 10" xfId="14781"/>
    <cellStyle name="Calculation 3 3 2 2 11" xfId="14782"/>
    <cellStyle name="Calculation 3 3 2 2 2" xfId="14783"/>
    <cellStyle name="Calculation 3 3 2 2 2 10" xfId="14784"/>
    <cellStyle name="Calculation 3 3 2 2 2 11" xfId="14785"/>
    <cellStyle name="Calculation 3 3 2 2 2 2" xfId="14786"/>
    <cellStyle name="Calculation 3 3 2 2 2 3" xfId="14787"/>
    <cellStyle name="Calculation 3 3 2 2 2 4" xfId="14788"/>
    <cellStyle name="Calculation 3 3 2 2 2 5" xfId="14789"/>
    <cellStyle name="Calculation 3 3 2 2 2 6" xfId="14790"/>
    <cellStyle name="Calculation 3 3 2 2 2 7" xfId="14791"/>
    <cellStyle name="Calculation 3 3 2 2 2 8" xfId="14792"/>
    <cellStyle name="Calculation 3 3 2 2 2 9" xfId="14793"/>
    <cellStyle name="Calculation 3 3 2 2 3" xfId="14794"/>
    <cellStyle name="Calculation 3 3 2 2 4" xfId="14795"/>
    <cellStyle name="Calculation 3 3 2 2 5" xfId="14796"/>
    <cellStyle name="Calculation 3 3 2 2 6" xfId="14797"/>
    <cellStyle name="Calculation 3 3 2 2 7" xfId="14798"/>
    <cellStyle name="Calculation 3 3 2 2 8" xfId="14799"/>
    <cellStyle name="Calculation 3 3 2 2 9" xfId="14800"/>
    <cellStyle name="Calculation 3 3 2 3" xfId="14801"/>
    <cellStyle name="Calculation 3 3 2 3 10" xfId="14802"/>
    <cellStyle name="Calculation 3 3 2 3 11" xfId="14803"/>
    <cellStyle name="Calculation 3 3 2 3 2" xfId="14804"/>
    <cellStyle name="Calculation 3 3 2 3 3" xfId="14805"/>
    <cellStyle name="Calculation 3 3 2 3 4" xfId="14806"/>
    <cellStyle name="Calculation 3 3 2 3 5" xfId="14807"/>
    <cellStyle name="Calculation 3 3 2 3 6" xfId="14808"/>
    <cellStyle name="Calculation 3 3 2 3 7" xfId="14809"/>
    <cellStyle name="Calculation 3 3 2 3 8" xfId="14810"/>
    <cellStyle name="Calculation 3 3 2 3 9" xfId="14811"/>
    <cellStyle name="Calculation 3 3 2 4" xfId="14812"/>
    <cellStyle name="Calculation 3 3 2 5" xfId="14813"/>
    <cellStyle name="Calculation 3 3 2 6" xfId="14814"/>
    <cellStyle name="Calculation 3 3 2 7" xfId="14815"/>
    <cellStyle name="Calculation 3 3 2 8" xfId="14816"/>
    <cellStyle name="Calculation 3 3 2 9" xfId="14817"/>
    <cellStyle name="Calculation 3 3 3" xfId="14818"/>
    <cellStyle name="Calculation 3 3 3 10" xfId="14819"/>
    <cellStyle name="Calculation 3 3 3 11" xfId="14820"/>
    <cellStyle name="Calculation 3 3 3 2" xfId="14821"/>
    <cellStyle name="Calculation 3 3 3 2 10" xfId="14822"/>
    <cellStyle name="Calculation 3 3 3 2 11" xfId="14823"/>
    <cellStyle name="Calculation 3 3 3 2 2" xfId="14824"/>
    <cellStyle name="Calculation 3 3 3 2 3" xfId="14825"/>
    <cellStyle name="Calculation 3 3 3 2 4" xfId="14826"/>
    <cellStyle name="Calculation 3 3 3 2 5" xfId="14827"/>
    <cellStyle name="Calculation 3 3 3 2 6" xfId="14828"/>
    <cellStyle name="Calculation 3 3 3 2 7" xfId="14829"/>
    <cellStyle name="Calculation 3 3 3 2 8" xfId="14830"/>
    <cellStyle name="Calculation 3 3 3 2 9" xfId="14831"/>
    <cellStyle name="Calculation 3 3 3 3" xfId="14832"/>
    <cellStyle name="Calculation 3 3 3 4" xfId="14833"/>
    <cellStyle name="Calculation 3 3 3 5" xfId="14834"/>
    <cellStyle name="Calculation 3 3 3 6" xfId="14835"/>
    <cellStyle name="Calculation 3 3 3 7" xfId="14836"/>
    <cellStyle name="Calculation 3 3 3 8" xfId="14837"/>
    <cellStyle name="Calculation 3 3 3 9" xfId="14838"/>
    <cellStyle name="Calculation 3 3 4" xfId="14839"/>
    <cellStyle name="Calculation 3 3 4 10" xfId="14840"/>
    <cellStyle name="Calculation 3 3 4 11" xfId="14841"/>
    <cellStyle name="Calculation 3 3 4 2" xfId="14842"/>
    <cellStyle name="Calculation 3 3 4 3" xfId="14843"/>
    <cellStyle name="Calculation 3 3 4 4" xfId="14844"/>
    <cellStyle name="Calculation 3 3 4 5" xfId="14845"/>
    <cellStyle name="Calculation 3 3 4 6" xfId="14846"/>
    <cellStyle name="Calculation 3 3 4 7" xfId="14847"/>
    <cellStyle name="Calculation 3 3 4 8" xfId="14848"/>
    <cellStyle name="Calculation 3 3 4 9" xfId="14849"/>
    <cellStyle name="Calculation 3 3 5" xfId="14850"/>
    <cellStyle name="Calculation 3 3 6" xfId="14851"/>
    <cellStyle name="Calculation 3 3 7" xfId="14852"/>
    <cellStyle name="Calculation 3 3 8" xfId="14853"/>
    <cellStyle name="Calculation 3 3 9" xfId="14854"/>
    <cellStyle name="Calculation 3 4" xfId="14855"/>
    <cellStyle name="Calculation 3 4 10" xfId="14856"/>
    <cellStyle name="Calculation 3 4 11" xfId="14857"/>
    <cellStyle name="Calculation 3 4 12" xfId="14858"/>
    <cellStyle name="Calculation 3 4 13" xfId="14859"/>
    <cellStyle name="Calculation 3 4 2" xfId="14860"/>
    <cellStyle name="Calculation 3 4 2 10" xfId="14861"/>
    <cellStyle name="Calculation 3 4 2 11" xfId="14862"/>
    <cellStyle name="Calculation 3 4 2 12" xfId="14863"/>
    <cellStyle name="Calculation 3 4 2 2" xfId="14864"/>
    <cellStyle name="Calculation 3 4 2 2 10" xfId="14865"/>
    <cellStyle name="Calculation 3 4 2 2 11" xfId="14866"/>
    <cellStyle name="Calculation 3 4 2 2 2" xfId="14867"/>
    <cellStyle name="Calculation 3 4 2 2 2 10" xfId="14868"/>
    <cellStyle name="Calculation 3 4 2 2 2 11" xfId="14869"/>
    <cellStyle name="Calculation 3 4 2 2 2 2" xfId="14870"/>
    <cellStyle name="Calculation 3 4 2 2 2 3" xfId="14871"/>
    <cellStyle name="Calculation 3 4 2 2 2 4" xfId="14872"/>
    <cellStyle name="Calculation 3 4 2 2 2 5" xfId="14873"/>
    <cellStyle name="Calculation 3 4 2 2 2 6" xfId="14874"/>
    <cellStyle name="Calculation 3 4 2 2 2 7" xfId="14875"/>
    <cellStyle name="Calculation 3 4 2 2 2 8" xfId="14876"/>
    <cellStyle name="Calculation 3 4 2 2 2 9" xfId="14877"/>
    <cellStyle name="Calculation 3 4 2 2 3" xfId="14878"/>
    <cellStyle name="Calculation 3 4 2 2 4" xfId="14879"/>
    <cellStyle name="Calculation 3 4 2 2 5" xfId="14880"/>
    <cellStyle name="Calculation 3 4 2 2 6" xfId="14881"/>
    <cellStyle name="Calculation 3 4 2 2 7" xfId="14882"/>
    <cellStyle name="Calculation 3 4 2 2 8" xfId="14883"/>
    <cellStyle name="Calculation 3 4 2 2 9" xfId="14884"/>
    <cellStyle name="Calculation 3 4 2 3" xfId="14885"/>
    <cellStyle name="Calculation 3 4 2 3 10" xfId="14886"/>
    <cellStyle name="Calculation 3 4 2 3 11" xfId="14887"/>
    <cellStyle name="Calculation 3 4 2 3 2" xfId="14888"/>
    <cellStyle name="Calculation 3 4 2 3 3" xfId="14889"/>
    <cellStyle name="Calculation 3 4 2 3 4" xfId="14890"/>
    <cellStyle name="Calculation 3 4 2 3 5" xfId="14891"/>
    <cellStyle name="Calculation 3 4 2 3 6" xfId="14892"/>
    <cellStyle name="Calculation 3 4 2 3 7" xfId="14893"/>
    <cellStyle name="Calculation 3 4 2 3 8" xfId="14894"/>
    <cellStyle name="Calculation 3 4 2 3 9" xfId="14895"/>
    <cellStyle name="Calculation 3 4 2 4" xfId="14896"/>
    <cellStyle name="Calculation 3 4 2 5" xfId="14897"/>
    <cellStyle name="Calculation 3 4 2 6" xfId="14898"/>
    <cellStyle name="Calculation 3 4 2 7" xfId="14899"/>
    <cellStyle name="Calculation 3 4 2 8" xfId="14900"/>
    <cellStyle name="Calculation 3 4 2 9" xfId="14901"/>
    <cellStyle name="Calculation 3 4 3" xfId="14902"/>
    <cellStyle name="Calculation 3 4 3 10" xfId="14903"/>
    <cellStyle name="Calculation 3 4 3 11" xfId="14904"/>
    <cellStyle name="Calculation 3 4 3 2" xfId="14905"/>
    <cellStyle name="Calculation 3 4 3 2 10" xfId="14906"/>
    <cellStyle name="Calculation 3 4 3 2 11" xfId="14907"/>
    <cellStyle name="Calculation 3 4 3 2 2" xfId="14908"/>
    <cellStyle name="Calculation 3 4 3 2 3" xfId="14909"/>
    <cellStyle name="Calculation 3 4 3 2 4" xfId="14910"/>
    <cellStyle name="Calculation 3 4 3 2 5" xfId="14911"/>
    <cellStyle name="Calculation 3 4 3 2 6" xfId="14912"/>
    <cellStyle name="Calculation 3 4 3 2 7" xfId="14913"/>
    <cellStyle name="Calculation 3 4 3 2 8" xfId="14914"/>
    <cellStyle name="Calculation 3 4 3 2 9" xfId="14915"/>
    <cellStyle name="Calculation 3 4 3 3" xfId="14916"/>
    <cellStyle name="Calculation 3 4 3 4" xfId="14917"/>
    <cellStyle name="Calculation 3 4 3 5" xfId="14918"/>
    <cellStyle name="Calculation 3 4 3 6" xfId="14919"/>
    <cellStyle name="Calculation 3 4 3 7" xfId="14920"/>
    <cellStyle name="Calculation 3 4 3 8" xfId="14921"/>
    <cellStyle name="Calculation 3 4 3 9" xfId="14922"/>
    <cellStyle name="Calculation 3 4 4" xfId="14923"/>
    <cellStyle name="Calculation 3 4 4 10" xfId="14924"/>
    <cellStyle name="Calculation 3 4 4 11" xfId="14925"/>
    <cellStyle name="Calculation 3 4 4 2" xfId="14926"/>
    <cellStyle name="Calculation 3 4 4 3" xfId="14927"/>
    <cellStyle name="Calculation 3 4 4 4" xfId="14928"/>
    <cellStyle name="Calculation 3 4 4 5" xfId="14929"/>
    <cellStyle name="Calculation 3 4 4 6" xfId="14930"/>
    <cellStyle name="Calculation 3 4 4 7" xfId="14931"/>
    <cellStyle name="Calculation 3 4 4 8" xfId="14932"/>
    <cellStyle name="Calculation 3 4 4 9" xfId="14933"/>
    <cellStyle name="Calculation 3 4 5" xfId="14934"/>
    <cellStyle name="Calculation 3 4 6" xfId="14935"/>
    <cellStyle name="Calculation 3 4 7" xfId="14936"/>
    <cellStyle name="Calculation 3 4 8" xfId="14937"/>
    <cellStyle name="Calculation 3 4 9" xfId="14938"/>
    <cellStyle name="Calculation 3 5" xfId="14939"/>
    <cellStyle name="Calculation 3 5 10" xfId="14940"/>
    <cellStyle name="Calculation 3 5 11" xfId="14941"/>
    <cellStyle name="Calculation 3 5 12" xfId="14942"/>
    <cellStyle name="Calculation 3 5 13" xfId="14943"/>
    <cellStyle name="Calculation 3 5 2" xfId="14944"/>
    <cellStyle name="Calculation 3 5 2 10" xfId="14945"/>
    <cellStyle name="Calculation 3 5 2 11" xfId="14946"/>
    <cellStyle name="Calculation 3 5 2 12" xfId="14947"/>
    <cellStyle name="Calculation 3 5 2 2" xfId="14948"/>
    <cellStyle name="Calculation 3 5 2 2 10" xfId="14949"/>
    <cellStyle name="Calculation 3 5 2 2 11" xfId="14950"/>
    <cellStyle name="Calculation 3 5 2 2 2" xfId="14951"/>
    <cellStyle name="Calculation 3 5 2 2 2 10" xfId="14952"/>
    <cellStyle name="Calculation 3 5 2 2 2 11" xfId="14953"/>
    <cellStyle name="Calculation 3 5 2 2 2 2" xfId="14954"/>
    <cellStyle name="Calculation 3 5 2 2 2 3" xfId="14955"/>
    <cellStyle name="Calculation 3 5 2 2 2 4" xfId="14956"/>
    <cellStyle name="Calculation 3 5 2 2 2 5" xfId="14957"/>
    <cellStyle name="Calculation 3 5 2 2 2 6" xfId="14958"/>
    <cellStyle name="Calculation 3 5 2 2 2 7" xfId="14959"/>
    <cellStyle name="Calculation 3 5 2 2 2 8" xfId="14960"/>
    <cellStyle name="Calculation 3 5 2 2 2 9" xfId="14961"/>
    <cellStyle name="Calculation 3 5 2 2 3" xfId="14962"/>
    <cellStyle name="Calculation 3 5 2 2 4" xfId="14963"/>
    <cellStyle name="Calculation 3 5 2 2 5" xfId="14964"/>
    <cellStyle name="Calculation 3 5 2 2 6" xfId="14965"/>
    <cellStyle name="Calculation 3 5 2 2 7" xfId="14966"/>
    <cellStyle name="Calculation 3 5 2 2 8" xfId="14967"/>
    <cellStyle name="Calculation 3 5 2 2 9" xfId="14968"/>
    <cellStyle name="Calculation 3 5 2 3" xfId="14969"/>
    <cellStyle name="Calculation 3 5 2 3 10" xfId="14970"/>
    <cellStyle name="Calculation 3 5 2 3 11" xfId="14971"/>
    <cellStyle name="Calculation 3 5 2 3 2" xfId="14972"/>
    <cellStyle name="Calculation 3 5 2 3 3" xfId="14973"/>
    <cellStyle name="Calculation 3 5 2 3 4" xfId="14974"/>
    <cellStyle name="Calculation 3 5 2 3 5" xfId="14975"/>
    <cellStyle name="Calculation 3 5 2 3 6" xfId="14976"/>
    <cellStyle name="Calculation 3 5 2 3 7" xfId="14977"/>
    <cellStyle name="Calculation 3 5 2 3 8" xfId="14978"/>
    <cellStyle name="Calculation 3 5 2 3 9" xfId="14979"/>
    <cellStyle name="Calculation 3 5 2 4" xfId="14980"/>
    <cellStyle name="Calculation 3 5 2 5" xfId="14981"/>
    <cellStyle name="Calculation 3 5 2 6" xfId="14982"/>
    <cellStyle name="Calculation 3 5 2 7" xfId="14983"/>
    <cellStyle name="Calculation 3 5 2 8" xfId="14984"/>
    <cellStyle name="Calculation 3 5 2 9" xfId="14985"/>
    <cellStyle name="Calculation 3 5 3" xfId="14986"/>
    <cellStyle name="Calculation 3 5 3 10" xfId="14987"/>
    <cellStyle name="Calculation 3 5 3 11" xfId="14988"/>
    <cellStyle name="Calculation 3 5 3 2" xfId="14989"/>
    <cellStyle name="Calculation 3 5 3 2 10" xfId="14990"/>
    <cellStyle name="Calculation 3 5 3 2 11" xfId="14991"/>
    <cellStyle name="Calculation 3 5 3 2 2" xfId="14992"/>
    <cellStyle name="Calculation 3 5 3 2 3" xfId="14993"/>
    <cellStyle name="Calculation 3 5 3 2 4" xfId="14994"/>
    <cellStyle name="Calculation 3 5 3 2 5" xfId="14995"/>
    <cellStyle name="Calculation 3 5 3 2 6" xfId="14996"/>
    <cellStyle name="Calculation 3 5 3 2 7" xfId="14997"/>
    <cellStyle name="Calculation 3 5 3 2 8" xfId="14998"/>
    <cellStyle name="Calculation 3 5 3 2 9" xfId="14999"/>
    <cellStyle name="Calculation 3 5 3 3" xfId="15000"/>
    <cellStyle name="Calculation 3 5 3 4" xfId="15001"/>
    <cellStyle name="Calculation 3 5 3 5" xfId="15002"/>
    <cellStyle name="Calculation 3 5 3 6" xfId="15003"/>
    <cellStyle name="Calculation 3 5 3 7" xfId="15004"/>
    <cellStyle name="Calculation 3 5 3 8" xfId="15005"/>
    <cellStyle name="Calculation 3 5 3 9" xfId="15006"/>
    <cellStyle name="Calculation 3 5 4" xfId="15007"/>
    <cellStyle name="Calculation 3 5 4 10" xfId="15008"/>
    <cellStyle name="Calculation 3 5 4 11" xfId="15009"/>
    <cellStyle name="Calculation 3 5 4 2" xfId="15010"/>
    <cellStyle name="Calculation 3 5 4 3" xfId="15011"/>
    <cellStyle name="Calculation 3 5 4 4" xfId="15012"/>
    <cellStyle name="Calculation 3 5 4 5" xfId="15013"/>
    <cellStyle name="Calculation 3 5 4 6" xfId="15014"/>
    <cellStyle name="Calculation 3 5 4 7" xfId="15015"/>
    <cellStyle name="Calculation 3 5 4 8" xfId="15016"/>
    <cellStyle name="Calculation 3 5 4 9" xfId="15017"/>
    <cellStyle name="Calculation 3 5 5" xfId="15018"/>
    <cellStyle name="Calculation 3 5 6" xfId="15019"/>
    <cellStyle name="Calculation 3 5 7" xfId="15020"/>
    <cellStyle name="Calculation 3 5 8" xfId="15021"/>
    <cellStyle name="Calculation 3 5 9" xfId="15022"/>
    <cellStyle name="Calculation 3 6" xfId="15023"/>
    <cellStyle name="Calculation 3 6 10" xfId="15024"/>
    <cellStyle name="Calculation 3 6 11" xfId="15025"/>
    <cellStyle name="Calculation 3 6 12" xfId="15026"/>
    <cellStyle name="Calculation 3 6 13" xfId="15027"/>
    <cellStyle name="Calculation 3 6 2" xfId="15028"/>
    <cellStyle name="Calculation 3 6 2 10" xfId="15029"/>
    <cellStyle name="Calculation 3 6 2 11" xfId="15030"/>
    <cellStyle name="Calculation 3 6 2 12" xfId="15031"/>
    <cellStyle name="Calculation 3 6 2 2" xfId="15032"/>
    <cellStyle name="Calculation 3 6 2 2 10" xfId="15033"/>
    <cellStyle name="Calculation 3 6 2 2 11" xfId="15034"/>
    <cellStyle name="Calculation 3 6 2 2 2" xfId="15035"/>
    <cellStyle name="Calculation 3 6 2 2 2 10" xfId="15036"/>
    <cellStyle name="Calculation 3 6 2 2 2 11" xfId="15037"/>
    <cellStyle name="Calculation 3 6 2 2 2 2" xfId="15038"/>
    <cellStyle name="Calculation 3 6 2 2 2 3" xfId="15039"/>
    <cellStyle name="Calculation 3 6 2 2 2 4" xfId="15040"/>
    <cellStyle name="Calculation 3 6 2 2 2 5" xfId="15041"/>
    <cellStyle name="Calculation 3 6 2 2 2 6" xfId="15042"/>
    <cellStyle name="Calculation 3 6 2 2 2 7" xfId="15043"/>
    <cellStyle name="Calculation 3 6 2 2 2 8" xfId="15044"/>
    <cellStyle name="Calculation 3 6 2 2 2 9" xfId="15045"/>
    <cellStyle name="Calculation 3 6 2 2 3" xfId="15046"/>
    <cellStyle name="Calculation 3 6 2 2 4" xfId="15047"/>
    <cellStyle name="Calculation 3 6 2 2 5" xfId="15048"/>
    <cellStyle name="Calculation 3 6 2 2 6" xfId="15049"/>
    <cellStyle name="Calculation 3 6 2 2 7" xfId="15050"/>
    <cellStyle name="Calculation 3 6 2 2 8" xfId="15051"/>
    <cellStyle name="Calculation 3 6 2 2 9" xfId="15052"/>
    <cellStyle name="Calculation 3 6 2 3" xfId="15053"/>
    <cellStyle name="Calculation 3 6 2 3 10" xfId="15054"/>
    <cellStyle name="Calculation 3 6 2 3 11" xfId="15055"/>
    <cellStyle name="Calculation 3 6 2 3 2" xfId="15056"/>
    <cellStyle name="Calculation 3 6 2 3 3" xfId="15057"/>
    <cellStyle name="Calculation 3 6 2 3 4" xfId="15058"/>
    <cellStyle name="Calculation 3 6 2 3 5" xfId="15059"/>
    <cellStyle name="Calculation 3 6 2 3 6" xfId="15060"/>
    <cellStyle name="Calculation 3 6 2 3 7" xfId="15061"/>
    <cellStyle name="Calculation 3 6 2 3 8" xfId="15062"/>
    <cellStyle name="Calculation 3 6 2 3 9" xfId="15063"/>
    <cellStyle name="Calculation 3 6 2 4" xfId="15064"/>
    <cellStyle name="Calculation 3 6 2 5" xfId="15065"/>
    <cellStyle name="Calculation 3 6 2 6" xfId="15066"/>
    <cellStyle name="Calculation 3 6 2 7" xfId="15067"/>
    <cellStyle name="Calculation 3 6 2 8" xfId="15068"/>
    <cellStyle name="Calculation 3 6 2 9" xfId="15069"/>
    <cellStyle name="Calculation 3 6 3" xfId="15070"/>
    <cellStyle name="Calculation 3 6 3 10" xfId="15071"/>
    <cellStyle name="Calculation 3 6 3 11" xfId="15072"/>
    <cellStyle name="Calculation 3 6 3 2" xfId="15073"/>
    <cellStyle name="Calculation 3 6 3 2 10" xfId="15074"/>
    <cellStyle name="Calculation 3 6 3 2 11" xfId="15075"/>
    <cellStyle name="Calculation 3 6 3 2 2" xfId="15076"/>
    <cellStyle name="Calculation 3 6 3 2 3" xfId="15077"/>
    <cellStyle name="Calculation 3 6 3 2 4" xfId="15078"/>
    <cellStyle name="Calculation 3 6 3 2 5" xfId="15079"/>
    <cellStyle name="Calculation 3 6 3 2 6" xfId="15080"/>
    <cellStyle name="Calculation 3 6 3 2 7" xfId="15081"/>
    <cellStyle name="Calculation 3 6 3 2 8" xfId="15082"/>
    <cellStyle name="Calculation 3 6 3 2 9" xfId="15083"/>
    <cellStyle name="Calculation 3 6 3 3" xfId="15084"/>
    <cellStyle name="Calculation 3 6 3 4" xfId="15085"/>
    <cellStyle name="Calculation 3 6 3 5" xfId="15086"/>
    <cellStyle name="Calculation 3 6 3 6" xfId="15087"/>
    <cellStyle name="Calculation 3 6 3 7" xfId="15088"/>
    <cellStyle name="Calculation 3 6 3 8" xfId="15089"/>
    <cellStyle name="Calculation 3 6 3 9" xfId="15090"/>
    <cellStyle name="Calculation 3 6 4" xfId="15091"/>
    <cellStyle name="Calculation 3 6 4 10" xfId="15092"/>
    <cellStyle name="Calculation 3 6 4 11" xfId="15093"/>
    <cellStyle name="Calculation 3 6 4 2" xfId="15094"/>
    <cellStyle name="Calculation 3 6 4 3" xfId="15095"/>
    <cellStyle name="Calculation 3 6 4 4" xfId="15096"/>
    <cellStyle name="Calculation 3 6 4 5" xfId="15097"/>
    <cellStyle name="Calculation 3 6 4 6" xfId="15098"/>
    <cellStyle name="Calculation 3 6 4 7" xfId="15099"/>
    <cellStyle name="Calculation 3 6 4 8" xfId="15100"/>
    <cellStyle name="Calculation 3 6 4 9" xfId="15101"/>
    <cellStyle name="Calculation 3 6 5" xfId="15102"/>
    <cellStyle name="Calculation 3 6 6" xfId="15103"/>
    <cellStyle name="Calculation 3 6 7" xfId="15104"/>
    <cellStyle name="Calculation 3 6 8" xfId="15105"/>
    <cellStyle name="Calculation 3 6 9" xfId="15106"/>
    <cellStyle name="Calculation 3 7" xfId="15107"/>
    <cellStyle name="Calculation 3 7 10" xfId="15108"/>
    <cellStyle name="Calculation 3 7 11" xfId="15109"/>
    <cellStyle name="Calculation 3 7 12" xfId="15110"/>
    <cellStyle name="Calculation 3 7 13" xfId="15111"/>
    <cellStyle name="Calculation 3 7 2" xfId="15112"/>
    <cellStyle name="Calculation 3 7 2 10" xfId="15113"/>
    <cellStyle name="Calculation 3 7 2 11" xfId="15114"/>
    <cellStyle name="Calculation 3 7 2 12" xfId="15115"/>
    <cellStyle name="Calculation 3 7 2 2" xfId="15116"/>
    <cellStyle name="Calculation 3 7 2 2 10" xfId="15117"/>
    <cellStyle name="Calculation 3 7 2 2 11" xfId="15118"/>
    <cellStyle name="Calculation 3 7 2 2 2" xfId="15119"/>
    <cellStyle name="Calculation 3 7 2 2 2 10" xfId="15120"/>
    <cellStyle name="Calculation 3 7 2 2 2 11" xfId="15121"/>
    <cellStyle name="Calculation 3 7 2 2 2 2" xfId="15122"/>
    <cellStyle name="Calculation 3 7 2 2 2 3" xfId="15123"/>
    <cellStyle name="Calculation 3 7 2 2 2 4" xfId="15124"/>
    <cellStyle name="Calculation 3 7 2 2 2 5" xfId="15125"/>
    <cellStyle name="Calculation 3 7 2 2 2 6" xfId="15126"/>
    <cellStyle name="Calculation 3 7 2 2 2 7" xfId="15127"/>
    <cellStyle name="Calculation 3 7 2 2 2 8" xfId="15128"/>
    <cellStyle name="Calculation 3 7 2 2 2 9" xfId="15129"/>
    <cellStyle name="Calculation 3 7 2 2 3" xfId="15130"/>
    <cellStyle name="Calculation 3 7 2 2 4" xfId="15131"/>
    <cellStyle name="Calculation 3 7 2 2 5" xfId="15132"/>
    <cellStyle name="Calculation 3 7 2 2 6" xfId="15133"/>
    <cellStyle name="Calculation 3 7 2 2 7" xfId="15134"/>
    <cellStyle name="Calculation 3 7 2 2 8" xfId="15135"/>
    <cellStyle name="Calculation 3 7 2 2 9" xfId="15136"/>
    <cellStyle name="Calculation 3 7 2 3" xfId="15137"/>
    <cellStyle name="Calculation 3 7 2 3 10" xfId="15138"/>
    <cellStyle name="Calculation 3 7 2 3 11" xfId="15139"/>
    <cellStyle name="Calculation 3 7 2 3 2" xfId="15140"/>
    <cellStyle name="Calculation 3 7 2 3 3" xfId="15141"/>
    <cellStyle name="Calculation 3 7 2 3 4" xfId="15142"/>
    <cellStyle name="Calculation 3 7 2 3 5" xfId="15143"/>
    <cellStyle name="Calculation 3 7 2 3 6" xfId="15144"/>
    <cellStyle name="Calculation 3 7 2 3 7" xfId="15145"/>
    <cellStyle name="Calculation 3 7 2 3 8" xfId="15146"/>
    <cellStyle name="Calculation 3 7 2 3 9" xfId="15147"/>
    <cellStyle name="Calculation 3 7 2 4" xfId="15148"/>
    <cellStyle name="Calculation 3 7 2 5" xfId="15149"/>
    <cellStyle name="Calculation 3 7 2 6" xfId="15150"/>
    <cellStyle name="Calculation 3 7 2 7" xfId="15151"/>
    <cellStyle name="Calculation 3 7 2 8" xfId="15152"/>
    <cellStyle name="Calculation 3 7 2 9" xfId="15153"/>
    <cellStyle name="Calculation 3 7 3" xfId="15154"/>
    <cellStyle name="Calculation 3 7 3 10" xfId="15155"/>
    <cellStyle name="Calculation 3 7 3 11" xfId="15156"/>
    <cellStyle name="Calculation 3 7 3 2" xfId="15157"/>
    <cellStyle name="Calculation 3 7 3 2 10" xfId="15158"/>
    <cellStyle name="Calculation 3 7 3 2 11" xfId="15159"/>
    <cellStyle name="Calculation 3 7 3 2 2" xfId="15160"/>
    <cellStyle name="Calculation 3 7 3 2 3" xfId="15161"/>
    <cellStyle name="Calculation 3 7 3 2 4" xfId="15162"/>
    <cellStyle name="Calculation 3 7 3 2 5" xfId="15163"/>
    <cellStyle name="Calculation 3 7 3 2 6" xfId="15164"/>
    <cellStyle name="Calculation 3 7 3 2 7" xfId="15165"/>
    <cellStyle name="Calculation 3 7 3 2 8" xfId="15166"/>
    <cellStyle name="Calculation 3 7 3 2 9" xfId="15167"/>
    <cellStyle name="Calculation 3 7 3 3" xfId="15168"/>
    <cellStyle name="Calculation 3 7 3 4" xfId="15169"/>
    <cellStyle name="Calculation 3 7 3 5" xfId="15170"/>
    <cellStyle name="Calculation 3 7 3 6" xfId="15171"/>
    <cellStyle name="Calculation 3 7 3 7" xfId="15172"/>
    <cellStyle name="Calculation 3 7 3 8" xfId="15173"/>
    <cellStyle name="Calculation 3 7 3 9" xfId="15174"/>
    <cellStyle name="Calculation 3 7 4" xfId="15175"/>
    <cellStyle name="Calculation 3 7 4 10" xfId="15176"/>
    <cellStyle name="Calculation 3 7 4 11" xfId="15177"/>
    <cellStyle name="Calculation 3 7 4 2" xfId="15178"/>
    <cellStyle name="Calculation 3 7 4 3" xfId="15179"/>
    <cellStyle name="Calculation 3 7 4 4" xfId="15180"/>
    <cellStyle name="Calculation 3 7 4 5" xfId="15181"/>
    <cellStyle name="Calculation 3 7 4 6" xfId="15182"/>
    <cellStyle name="Calculation 3 7 4 7" xfId="15183"/>
    <cellStyle name="Calculation 3 7 4 8" xfId="15184"/>
    <cellStyle name="Calculation 3 7 4 9" xfId="15185"/>
    <cellStyle name="Calculation 3 7 5" xfId="15186"/>
    <cellStyle name="Calculation 3 7 6" xfId="15187"/>
    <cellStyle name="Calculation 3 7 7" xfId="15188"/>
    <cellStyle name="Calculation 3 7 8" xfId="15189"/>
    <cellStyle name="Calculation 3 7 9" xfId="15190"/>
    <cellStyle name="Calculation 3 8" xfId="15191"/>
    <cellStyle name="Calculation 4" xfId="15192"/>
    <cellStyle name="Calculation 4 2" xfId="15193"/>
    <cellStyle name="Calculation 4 2 10" xfId="15194"/>
    <cellStyle name="Calculation 4 2 11" xfId="15195"/>
    <cellStyle name="Calculation 4 2 12" xfId="15196"/>
    <cellStyle name="Calculation 4 2 13" xfId="15197"/>
    <cellStyle name="Calculation 4 2 2" xfId="15198"/>
    <cellStyle name="Calculation 4 2 2 10" xfId="15199"/>
    <cellStyle name="Calculation 4 2 2 11" xfId="15200"/>
    <cellStyle name="Calculation 4 2 2 12" xfId="15201"/>
    <cellStyle name="Calculation 4 2 2 2" xfId="15202"/>
    <cellStyle name="Calculation 4 2 2 2 10" xfId="15203"/>
    <cellStyle name="Calculation 4 2 2 2 11" xfId="15204"/>
    <cellStyle name="Calculation 4 2 2 2 2" xfId="15205"/>
    <cellStyle name="Calculation 4 2 2 2 2 10" xfId="15206"/>
    <cellStyle name="Calculation 4 2 2 2 2 11" xfId="15207"/>
    <cellStyle name="Calculation 4 2 2 2 2 2" xfId="15208"/>
    <cellStyle name="Calculation 4 2 2 2 2 3" xfId="15209"/>
    <cellStyle name="Calculation 4 2 2 2 2 4" xfId="15210"/>
    <cellStyle name="Calculation 4 2 2 2 2 5" xfId="15211"/>
    <cellStyle name="Calculation 4 2 2 2 2 6" xfId="15212"/>
    <cellStyle name="Calculation 4 2 2 2 2 7" xfId="15213"/>
    <cellStyle name="Calculation 4 2 2 2 2 8" xfId="15214"/>
    <cellStyle name="Calculation 4 2 2 2 2 9" xfId="15215"/>
    <cellStyle name="Calculation 4 2 2 2 3" xfId="15216"/>
    <cellStyle name="Calculation 4 2 2 2 4" xfId="15217"/>
    <cellStyle name="Calculation 4 2 2 2 5" xfId="15218"/>
    <cellStyle name="Calculation 4 2 2 2 6" xfId="15219"/>
    <cellStyle name="Calculation 4 2 2 2 7" xfId="15220"/>
    <cellStyle name="Calculation 4 2 2 2 8" xfId="15221"/>
    <cellStyle name="Calculation 4 2 2 2 9" xfId="15222"/>
    <cellStyle name="Calculation 4 2 2 3" xfId="15223"/>
    <cellStyle name="Calculation 4 2 2 3 10" xfId="15224"/>
    <cellStyle name="Calculation 4 2 2 3 11" xfId="15225"/>
    <cellStyle name="Calculation 4 2 2 3 2" xfId="15226"/>
    <cellStyle name="Calculation 4 2 2 3 3" xfId="15227"/>
    <cellStyle name="Calculation 4 2 2 3 4" xfId="15228"/>
    <cellStyle name="Calculation 4 2 2 3 5" xfId="15229"/>
    <cellStyle name="Calculation 4 2 2 3 6" xfId="15230"/>
    <cellStyle name="Calculation 4 2 2 3 7" xfId="15231"/>
    <cellStyle name="Calculation 4 2 2 3 8" xfId="15232"/>
    <cellStyle name="Calculation 4 2 2 3 9" xfId="15233"/>
    <cellStyle name="Calculation 4 2 2 4" xfId="15234"/>
    <cellStyle name="Calculation 4 2 2 5" xfId="15235"/>
    <cellStyle name="Calculation 4 2 2 6" xfId="15236"/>
    <cellStyle name="Calculation 4 2 2 7" xfId="15237"/>
    <cellStyle name="Calculation 4 2 2 8" xfId="15238"/>
    <cellStyle name="Calculation 4 2 2 9" xfId="15239"/>
    <cellStyle name="Calculation 4 2 3" xfId="15240"/>
    <cellStyle name="Calculation 4 2 3 10" xfId="15241"/>
    <cellStyle name="Calculation 4 2 3 11" xfId="15242"/>
    <cellStyle name="Calculation 4 2 3 2" xfId="15243"/>
    <cellStyle name="Calculation 4 2 3 2 10" xfId="15244"/>
    <cellStyle name="Calculation 4 2 3 2 11" xfId="15245"/>
    <cellStyle name="Calculation 4 2 3 2 2" xfId="15246"/>
    <cellStyle name="Calculation 4 2 3 2 3" xfId="15247"/>
    <cellStyle name="Calculation 4 2 3 2 4" xfId="15248"/>
    <cellStyle name="Calculation 4 2 3 2 5" xfId="15249"/>
    <cellStyle name="Calculation 4 2 3 2 6" xfId="15250"/>
    <cellStyle name="Calculation 4 2 3 2 7" xfId="15251"/>
    <cellStyle name="Calculation 4 2 3 2 8" xfId="15252"/>
    <cellStyle name="Calculation 4 2 3 2 9" xfId="15253"/>
    <cellStyle name="Calculation 4 2 3 3" xfId="15254"/>
    <cellStyle name="Calculation 4 2 3 4" xfId="15255"/>
    <cellStyle name="Calculation 4 2 3 5" xfId="15256"/>
    <cellStyle name="Calculation 4 2 3 6" xfId="15257"/>
    <cellStyle name="Calculation 4 2 3 7" xfId="15258"/>
    <cellStyle name="Calculation 4 2 3 8" xfId="15259"/>
    <cellStyle name="Calculation 4 2 3 9" xfId="15260"/>
    <cellStyle name="Calculation 4 2 4" xfId="15261"/>
    <cellStyle name="Calculation 4 2 4 10" xfId="15262"/>
    <cellStyle name="Calculation 4 2 4 11" xfId="15263"/>
    <cellStyle name="Calculation 4 2 4 2" xfId="15264"/>
    <cellStyle name="Calculation 4 2 4 3" xfId="15265"/>
    <cellStyle name="Calculation 4 2 4 4" xfId="15266"/>
    <cellStyle name="Calculation 4 2 4 5" xfId="15267"/>
    <cellStyle name="Calculation 4 2 4 6" xfId="15268"/>
    <cellStyle name="Calculation 4 2 4 7" xfId="15269"/>
    <cellStyle name="Calculation 4 2 4 8" xfId="15270"/>
    <cellStyle name="Calculation 4 2 4 9" xfId="15271"/>
    <cellStyle name="Calculation 4 2 5" xfId="15272"/>
    <cellStyle name="Calculation 4 2 6" xfId="15273"/>
    <cellStyle name="Calculation 4 2 7" xfId="15274"/>
    <cellStyle name="Calculation 4 2 8" xfId="15275"/>
    <cellStyle name="Calculation 4 2 9" xfId="15276"/>
    <cellStyle name="Calculation 4 3" xfId="15277"/>
    <cellStyle name="Calculation 4 3 10" xfId="15278"/>
    <cellStyle name="Calculation 4 3 11" xfId="15279"/>
    <cellStyle name="Calculation 4 3 12" xfId="15280"/>
    <cellStyle name="Calculation 4 3 13" xfId="15281"/>
    <cellStyle name="Calculation 4 3 2" xfId="15282"/>
    <cellStyle name="Calculation 4 3 2 10" xfId="15283"/>
    <cellStyle name="Calculation 4 3 2 11" xfId="15284"/>
    <cellStyle name="Calculation 4 3 2 12" xfId="15285"/>
    <cellStyle name="Calculation 4 3 2 2" xfId="15286"/>
    <cellStyle name="Calculation 4 3 2 2 10" xfId="15287"/>
    <cellStyle name="Calculation 4 3 2 2 11" xfId="15288"/>
    <cellStyle name="Calculation 4 3 2 2 2" xfId="15289"/>
    <cellStyle name="Calculation 4 3 2 2 2 10" xfId="15290"/>
    <cellStyle name="Calculation 4 3 2 2 2 11" xfId="15291"/>
    <cellStyle name="Calculation 4 3 2 2 2 2" xfId="15292"/>
    <cellStyle name="Calculation 4 3 2 2 2 3" xfId="15293"/>
    <cellStyle name="Calculation 4 3 2 2 2 4" xfId="15294"/>
    <cellStyle name="Calculation 4 3 2 2 2 5" xfId="15295"/>
    <cellStyle name="Calculation 4 3 2 2 2 6" xfId="15296"/>
    <cellStyle name="Calculation 4 3 2 2 2 7" xfId="15297"/>
    <cellStyle name="Calculation 4 3 2 2 2 8" xfId="15298"/>
    <cellStyle name="Calculation 4 3 2 2 2 9" xfId="15299"/>
    <cellStyle name="Calculation 4 3 2 2 3" xfId="15300"/>
    <cellStyle name="Calculation 4 3 2 2 4" xfId="15301"/>
    <cellStyle name="Calculation 4 3 2 2 5" xfId="15302"/>
    <cellStyle name="Calculation 4 3 2 2 6" xfId="15303"/>
    <cellStyle name="Calculation 4 3 2 2 7" xfId="15304"/>
    <cellStyle name="Calculation 4 3 2 2 8" xfId="15305"/>
    <cellStyle name="Calculation 4 3 2 2 9" xfId="15306"/>
    <cellStyle name="Calculation 4 3 2 3" xfId="15307"/>
    <cellStyle name="Calculation 4 3 2 3 10" xfId="15308"/>
    <cellStyle name="Calculation 4 3 2 3 11" xfId="15309"/>
    <cellStyle name="Calculation 4 3 2 3 2" xfId="15310"/>
    <cellStyle name="Calculation 4 3 2 3 3" xfId="15311"/>
    <cellStyle name="Calculation 4 3 2 3 4" xfId="15312"/>
    <cellStyle name="Calculation 4 3 2 3 5" xfId="15313"/>
    <cellStyle name="Calculation 4 3 2 3 6" xfId="15314"/>
    <cellStyle name="Calculation 4 3 2 3 7" xfId="15315"/>
    <cellStyle name="Calculation 4 3 2 3 8" xfId="15316"/>
    <cellStyle name="Calculation 4 3 2 3 9" xfId="15317"/>
    <cellStyle name="Calculation 4 3 2 4" xfId="15318"/>
    <cellStyle name="Calculation 4 3 2 5" xfId="15319"/>
    <cellStyle name="Calculation 4 3 2 6" xfId="15320"/>
    <cellStyle name="Calculation 4 3 2 7" xfId="15321"/>
    <cellStyle name="Calculation 4 3 2 8" xfId="15322"/>
    <cellStyle name="Calculation 4 3 2 9" xfId="15323"/>
    <cellStyle name="Calculation 4 3 3" xfId="15324"/>
    <cellStyle name="Calculation 4 3 3 10" xfId="15325"/>
    <cellStyle name="Calculation 4 3 3 11" xfId="15326"/>
    <cellStyle name="Calculation 4 3 3 2" xfId="15327"/>
    <cellStyle name="Calculation 4 3 3 2 10" xfId="15328"/>
    <cellStyle name="Calculation 4 3 3 2 11" xfId="15329"/>
    <cellStyle name="Calculation 4 3 3 2 2" xfId="15330"/>
    <cellStyle name="Calculation 4 3 3 2 3" xfId="15331"/>
    <cellStyle name="Calculation 4 3 3 2 4" xfId="15332"/>
    <cellStyle name="Calculation 4 3 3 2 5" xfId="15333"/>
    <cellStyle name="Calculation 4 3 3 2 6" xfId="15334"/>
    <cellStyle name="Calculation 4 3 3 2 7" xfId="15335"/>
    <cellStyle name="Calculation 4 3 3 2 8" xfId="15336"/>
    <cellStyle name="Calculation 4 3 3 2 9" xfId="15337"/>
    <cellStyle name="Calculation 4 3 3 3" xfId="15338"/>
    <cellStyle name="Calculation 4 3 3 4" xfId="15339"/>
    <cellStyle name="Calculation 4 3 3 5" xfId="15340"/>
    <cellStyle name="Calculation 4 3 3 6" xfId="15341"/>
    <cellStyle name="Calculation 4 3 3 7" xfId="15342"/>
    <cellStyle name="Calculation 4 3 3 8" xfId="15343"/>
    <cellStyle name="Calculation 4 3 3 9" xfId="15344"/>
    <cellStyle name="Calculation 4 3 4" xfId="15345"/>
    <cellStyle name="Calculation 4 3 4 10" xfId="15346"/>
    <cellStyle name="Calculation 4 3 4 11" xfId="15347"/>
    <cellStyle name="Calculation 4 3 4 2" xfId="15348"/>
    <cellStyle name="Calculation 4 3 4 3" xfId="15349"/>
    <cellStyle name="Calculation 4 3 4 4" xfId="15350"/>
    <cellStyle name="Calculation 4 3 4 5" xfId="15351"/>
    <cellStyle name="Calculation 4 3 4 6" xfId="15352"/>
    <cellStyle name="Calculation 4 3 4 7" xfId="15353"/>
    <cellStyle name="Calculation 4 3 4 8" xfId="15354"/>
    <cellStyle name="Calculation 4 3 4 9" xfId="15355"/>
    <cellStyle name="Calculation 4 3 5" xfId="15356"/>
    <cellStyle name="Calculation 4 3 6" xfId="15357"/>
    <cellStyle name="Calculation 4 3 7" xfId="15358"/>
    <cellStyle name="Calculation 4 3 8" xfId="15359"/>
    <cellStyle name="Calculation 4 3 9" xfId="15360"/>
    <cellStyle name="Calculation 4 4" xfId="15361"/>
    <cellStyle name="Calculation 4 4 10" xfId="15362"/>
    <cellStyle name="Calculation 4 4 11" xfId="15363"/>
    <cellStyle name="Calculation 4 4 12" xfId="15364"/>
    <cellStyle name="Calculation 4 4 13" xfId="15365"/>
    <cellStyle name="Calculation 4 4 2" xfId="15366"/>
    <cellStyle name="Calculation 4 4 2 10" xfId="15367"/>
    <cellStyle name="Calculation 4 4 2 11" xfId="15368"/>
    <cellStyle name="Calculation 4 4 2 12" xfId="15369"/>
    <cellStyle name="Calculation 4 4 2 2" xfId="15370"/>
    <cellStyle name="Calculation 4 4 2 2 10" xfId="15371"/>
    <cellStyle name="Calculation 4 4 2 2 11" xfId="15372"/>
    <cellStyle name="Calculation 4 4 2 2 2" xfId="15373"/>
    <cellStyle name="Calculation 4 4 2 2 2 10" xfId="15374"/>
    <cellStyle name="Calculation 4 4 2 2 2 11" xfId="15375"/>
    <cellStyle name="Calculation 4 4 2 2 2 2" xfId="15376"/>
    <cellStyle name="Calculation 4 4 2 2 2 3" xfId="15377"/>
    <cellStyle name="Calculation 4 4 2 2 2 4" xfId="15378"/>
    <cellStyle name="Calculation 4 4 2 2 2 5" xfId="15379"/>
    <cellStyle name="Calculation 4 4 2 2 2 6" xfId="15380"/>
    <cellStyle name="Calculation 4 4 2 2 2 7" xfId="15381"/>
    <cellStyle name="Calculation 4 4 2 2 2 8" xfId="15382"/>
    <cellStyle name="Calculation 4 4 2 2 2 9" xfId="15383"/>
    <cellStyle name="Calculation 4 4 2 2 3" xfId="15384"/>
    <cellStyle name="Calculation 4 4 2 2 4" xfId="15385"/>
    <cellStyle name="Calculation 4 4 2 2 5" xfId="15386"/>
    <cellStyle name="Calculation 4 4 2 2 6" xfId="15387"/>
    <cellStyle name="Calculation 4 4 2 2 7" xfId="15388"/>
    <cellStyle name="Calculation 4 4 2 2 8" xfId="15389"/>
    <cellStyle name="Calculation 4 4 2 2 9" xfId="15390"/>
    <cellStyle name="Calculation 4 4 2 3" xfId="15391"/>
    <cellStyle name="Calculation 4 4 2 3 10" xfId="15392"/>
    <cellStyle name="Calculation 4 4 2 3 11" xfId="15393"/>
    <cellStyle name="Calculation 4 4 2 3 2" xfId="15394"/>
    <cellStyle name="Calculation 4 4 2 3 3" xfId="15395"/>
    <cellStyle name="Calculation 4 4 2 3 4" xfId="15396"/>
    <cellStyle name="Calculation 4 4 2 3 5" xfId="15397"/>
    <cellStyle name="Calculation 4 4 2 3 6" xfId="15398"/>
    <cellStyle name="Calculation 4 4 2 3 7" xfId="15399"/>
    <cellStyle name="Calculation 4 4 2 3 8" xfId="15400"/>
    <cellStyle name="Calculation 4 4 2 3 9" xfId="15401"/>
    <cellStyle name="Calculation 4 4 2 4" xfId="15402"/>
    <cellStyle name="Calculation 4 4 2 5" xfId="15403"/>
    <cellStyle name="Calculation 4 4 2 6" xfId="15404"/>
    <cellStyle name="Calculation 4 4 2 7" xfId="15405"/>
    <cellStyle name="Calculation 4 4 2 8" xfId="15406"/>
    <cellStyle name="Calculation 4 4 2 9" xfId="15407"/>
    <cellStyle name="Calculation 4 4 3" xfId="15408"/>
    <cellStyle name="Calculation 4 4 3 10" xfId="15409"/>
    <cellStyle name="Calculation 4 4 3 11" xfId="15410"/>
    <cellStyle name="Calculation 4 4 3 2" xfId="15411"/>
    <cellStyle name="Calculation 4 4 3 2 10" xfId="15412"/>
    <cellStyle name="Calculation 4 4 3 2 11" xfId="15413"/>
    <cellStyle name="Calculation 4 4 3 2 2" xfId="15414"/>
    <cellStyle name="Calculation 4 4 3 2 3" xfId="15415"/>
    <cellStyle name="Calculation 4 4 3 2 4" xfId="15416"/>
    <cellStyle name="Calculation 4 4 3 2 5" xfId="15417"/>
    <cellStyle name="Calculation 4 4 3 2 6" xfId="15418"/>
    <cellStyle name="Calculation 4 4 3 2 7" xfId="15419"/>
    <cellStyle name="Calculation 4 4 3 2 8" xfId="15420"/>
    <cellStyle name="Calculation 4 4 3 2 9" xfId="15421"/>
    <cellStyle name="Calculation 4 4 3 3" xfId="15422"/>
    <cellStyle name="Calculation 4 4 3 4" xfId="15423"/>
    <cellStyle name="Calculation 4 4 3 5" xfId="15424"/>
    <cellStyle name="Calculation 4 4 3 6" xfId="15425"/>
    <cellStyle name="Calculation 4 4 3 7" xfId="15426"/>
    <cellStyle name="Calculation 4 4 3 8" xfId="15427"/>
    <cellStyle name="Calculation 4 4 3 9" xfId="15428"/>
    <cellStyle name="Calculation 4 4 4" xfId="15429"/>
    <cellStyle name="Calculation 4 4 4 10" xfId="15430"/>
    <cellStyle name="Calculation 4 4 4 11" xfId="15431"/>
    <cellStyle name="Calculation 4 4 4 2" xfId="15432"/>
    <cellStyle name="Calculation 4 4 4 3" xfId="15433"/>
    <cellStyle name="Calculation 4 4 4 4" xfId="15434"/>
    <cellStyle name="Calculation 4 4 4 5" xfId="15435"/>
    <cellStyle name="Calculation 4 4 4 6" xfId="15436"/>
    <cellStyle name="Calculation 4 4 4 7" xfId="15437"/>
    <cellStyle name="Calculation 4 4 4 8" xfId="15438"/>
    <cellStyle name="Calculation 4 4 4 9" xfId="15439"/>
    <cellStyle name="Calculation 4 4 5" xfId="15440"/>
    <cellStyle name="Calculation 4 4 6" xfId="15441"/>
    <cellStyle name="Calculation 4 4 7" xfId="15442"/>
    <cellStyle name="Calculation 4 4 8" xfId="15443"/>
    <cellStyle name="Calculation 4 4 9" xfId="15444"/>
    <cellStyle name="Calculation 4 5" xfId="15445"/>
    <cellStyle name="Calculation 4 5 10" xfId="15446"/>
    <cellStyle name="Calculation 4 5 11" xfId="15447"/>
    <cellStyle name="Calculation 4 5 12" xfId="15448"/>
    <cellStyle name="Calculation 4 5 13" xfId="15449"/>
    <cellStyle name="Calculation 4 5 2" xfId="15450"/>
    <cellStyle name="Calculation 4 5 2 10" xfId="15451"/>
    <cellStyle name="Calculation 4 5 2 11" xfId="15452"/>
    <cellStyle name="Calculation 4 5 2 12" xfId="15453"/>
    <cellStyle name="Calculation 4 5 2 2" xfId="15454"/>
    <cellStyle name="Calculation 4 5 2 2 10" xfId="15455"/>
    <cellStyle name="Calculation 4 5 2 2 11" xfId="15456"/>
    <cellStyle name="Calculation 4 5 2 2 2" xfId="15457"/>
    <cellStyle name="Calculation 4 5 2 2 2 10" xfId="15458"/>
    <cellStyle name="Calculation 4 5 2 2 2 11" xfId="15459"/>
    <cellStyle name="Calculation 4 5 2 2 2 2" xfId="15460"/>
    <cellStyle name="Calculation 4 5 2 2 2 3" xfId="15461"/>
    <cellStyle name="Calculation 4 5 2 2 2 4" xfId="15462"/>
    <cellStyle name="Calculation 4 5 2 2 2 5" xfId="15463"/>
    <cellStyle name="Calculation 4 5 2 2 2 6" xfId="15464"/>
    <cellStyle name="Calculation 4 5 2 2 2 7" xfId="15465"/>
    <cellStyle name="Calculation 4 5 2 2 2 8" xfId="15466"/>
    <cellStyle name="Calculation 4 5 2 2 2 9" xfId="15467"/>
    <cellStyle name="Calculation 4 5 2 2 3" xfId="15468"/>
    <cellStyle name="Calculation 4 5 2 2 4" xfId="15469"/>
    <cellStyle name="Calculation 4 5 2 2 5" xfId="15470"/>
    <cellStyle name="Calculation 4 5 2 2 6" xfId="15471"/>
    <cellStyle name="Calculation 4 5 2 2 7" xfId="15472"/>
    <cellStyle name="Calculation 4 5 2 2 8" xfId="15473"/>
    <cellStyle name="Calculation 4 5 2 2 9" xfId="15474"/>
    <cellStyle name="Calculation 4 5 2 3" xfId="15475"/>
    <cellStyle name="Calculation 4 5 2 3 10" xfId="15476"/>
    <cellStyle name="Calculation 4 5 2 3 11" xfId="15477"/>
    <cellStyle name="Calculation 4 5 2 3 2" xfId="15478"/>
    <cellStyle name="Calculation 4 5 2 3 3" xfId="15479"/>
    <cellStyle name="Calculation 4 5 2 3 4" xfId="15480"/>
    <cellStyle name="Calculation 4 5 2 3 5" xfId="15481"/>
    <cellStyle name="Calculation 4 5 2 3 6" xfId="15482"/>
    <cellStyle name="Calculation 4 5 2 3 7" xfId="15483"/>
    <cellStyle name="Calculation 4 5 2 3 8" xfId="15484"/>
    <cellStyle name="Calculation 4 5 2 3 9" xfId="15485"/>
    <cellStyle name="Calculation 4 5 2 4" xfId="15486"/>
    <cellStyle name="Calculation 4 5 2 5" xfId="15487"/>
    <cellStyle name="Calculation 4 5 2 6" xfId="15488"/>
    <cellStyle name="Calculation 4 5 2 7" xfId="15489"/>
    <cellStyle name="Calculation 4 5 2 8" xfId="15490"/>
    <cellStyle name="Calculation 4 5 2 9" xfId="15491"/>
    <cellStyle name="Calculation 4 5 3" xfId="15492"/>
    <cellStyle name="Calculation 4 5 3 10" xfId="15493"/>
    <cellStyle name="Calculation 4 5 3 11" xfId="15494"/>
    <cellStyle name="Calculation 4 5 3 2" xfId="15495"/>
    <cellStyle name="Calculation 4 5 3 2 10" xfId="15496"/>
    <cellStyle name="Calculation 4 5 3 2 11" xfId="15497"/>
    <cellStyle name="Calculation 4 5 3 2 2" xfId="15498"/>
    <cellStyle name="Calculation 4 5 3 2 3" xfId="15499"/>
    <cellStyle name="Calculation 4 5 3 2 4" xfId="15500"/>
    <cellStyle name="Calculation 4 5 3 2 5" xfId="15501"/>
    <cellStyle name="Calculation 4 5 3 2 6" xfId="15502"/>
    <cellStyle name="Calculation 4 5 3 2 7" xfId="15503"/>
    <cellStyle name="Calculation 4 5 3 2 8" xfId="15504"/>
    <cellStyle name="Calculation 4 5 3 2 9" xfId="15505"/>
    <cellStyle name="Calculation 4 5 3 3" xfId="15506"/>
    <cellStyle name="Calculation 4 5 3 4" xfId="15507"/>
    <cellStyle name="Calculation 4 5 3 5" xfId="15508"/>
    <cellStyle name="Calculation 4 5 3 6" xfId="15509"/>
    <cellStyle name="Calculation 4 5 3 7" xfId="15510"/>
    <cellStyle name="Calculation 4 5 3 8" xfId="15511"/>
    <cellStyle name="Calculation 4 5 3 9" xfId="15512"/>
    <cellStyle name="Calculation 4 5 4" xfId="15513"/>
    <cellStyle name="Calculation 4 5 4 10" xfId="15514"/>
    <cellStyle name="Calculation 4 5 4 11" xfId="15515"/>
    <cellStyle name="Calculation 4 5 4 2" xfId="15516"/>
    <cellStyle name="Calculation 4 5 4 3" xfId="15517"/>
    <cellStyle name="Calculation 4 5 4 4" xfId="15518"/>
    <cellStyle name="Calculation 4 5 4 5" xfId="15519"/>
    <cellStyle name="Calculation 4 5 4 6" xfId="15520"/>
    <cellStyle name="Calculation 4 5 4 7" xfId="15521"/>
    <cellStyle name="Calculation 4 5 4 8" xfId="15522"/>
    <cellStyle name="Calculation 4 5 4 9" xfId="15523"/>
    <cellStyle name="Calculation 4 5 5" xfId="15524"/>
    <cellStyle name="Calculation 4 5 6" xfId="15525"/>
    <cellStyle name="Calculation 4 5 7" xfId="15526"/>
    <cellStyle name="Calculation 4 5 8" xfId="15527"/>
    <cellStyle name="Calculation 4 5 9" xfId="15528"/>
    <cellStyle name="Calculation 4 6" xfId="15529"/>
    <cellStyle name="Calculation 4 6 10" xfId="15530"/>
    <cellStyle name="Calculation 4 6 11" xfId="15531"/>
    <cellStyle name="Calculation 4 6 12" xfId="15532"/>
    <cellStyle name="Calculation 4 6 13" xfId="15533"/>
    <cellStyle name="Calculation 4 6 2" xfId="15534"/>
    <cellStyle name="Calculation 4 6 2 10" xfId="15535"/>
    <cellStyle name="Calculation 4 6 2 11" xfId="15536"/>
    <cellStyle name="Calculation 4 6 2 12" xfId="15537"/>
    <cellStyle name="Calculation 4 6 2 2" xfId="15538"/>
    <cellStyle name="Calculation 4 6 2 2 10" xfId="15539"/>
    <cellStyle name="Calculation 4 6 2 2 11" xfId="15540"/>
    <cellStyle name="Calculation 4 6 2 2 2" xfId="15541"/>
    <cellStyle name="Calculation 4 6 2 2 2 10" xfId="15542"/>
    <cellStyle name="Calculation 4 6 2 2 2 11" xfId="15543"/>
    <cellStyle name="Calculation 4 6 2 2 2 2" xfId="15544"/>
    <cellStyle name="Calculation 4 6 2 2 2 3" xfId="15545"/>
    <cellStyle name="Calculation 4 6 2 2 2 4" xfId="15546"/>
    <cellStyle name="Calculation 4 6 2 2 2 5" xfId="15547"/>
    <cellStyle name="Calculation 4 6 2 2 2 6" xfId="15548"/>
    <cellStyle name="Calculation 4 6 2 2 2 7" xfId="15549"/>
    <cellStyle name="Calculation 4 6 2 2 2 8" xfId="15550"/>
    <cellStyle name="Calculation 4 6 2 2 2 9" xfId="15551"/>
    <cellStyle name="Calculation 4 6 2 2 3" xfId="15552"/>
    <cellStyle name="Calculation 4 6 2 2 4" xfId="15553"/>
    <cellStyle name="Calculation 4 6 2 2 5" xfId="15554"/>
    <cellStyle name="Calculation 4 6 2 2 6" xfId="15555"/>
    <cellStyle name="Calculation 4 6 2 2 7" xfId="15556"/>
    <cellStyle name="Calculation 4 6 2 2 8" xfId="15557"/>
    <cellStyle name="Calculation 4 6 2 2 9" xfId="15558"/>
    <cellStyle name="Calculation 4 6 2 3" xfId="15559"/>
    <cellStyle name="Calculation 4 6 2 3 10" xfId="15560"/>
    <cellStyle name="Calculation 4 6 2 3 11" xfId="15561"/>
    <cellStyle name="Calculation 4 6 2 3 2" xfId="15562"/>
    <cellStyle name="Calculation 4 6 2 3 3" xfId="15563"/>
    <cellStyle name="Calculation 4 6 2 3 4" xfId="15564"/>
    <cellStyle name="Calculation 4 6 2 3 5" xfId="15565"/>
    <cellStyle name="Calculation 4 6 2 3 6" xfId="15566"/>
    <cellStyle name="Calculation 4 6 2 3 7" xfId="15567"/>
    <cellStyle name="Calculation 4 6 2 3 8" xfId="15568"/>
    <cellStyle name="Calculation 4 6 2 3 9" xfId="15569"/>
    <cellStyle name="Calculation 4 6 2 4" xfId="15570"/>
    <cellStyle name="Calculation 4 6 2 5" xfId="15571"/>
    <cellStyle name="Calculation 4 6 2 6" xfId="15572"/>
    <cellStyle name="Calculation 4 6 2 7" xfId="15573"/>
    <cellStyle name="Calculation 4 6 2 8" xfId="15574"/>
    <cellStyle name="Calculation 4 6 2 9" xfId="15575"/>
    <cellStyle name="Calculation 4 6 3" xfId="15576"/>
    <cellStyle name="Calculation 4 6 3 10" xfId="15577"/>
    <cellStyle name="Calculation 4 6 3 11" xfId="15578"/>
    <cellStyle name="Calculation 4 6 3 2" xfId="15579"/>
    <cellStyle name="Calculation 4 6 3 2 10" xfId="15580"/>
    <cellStyle name="Calculation 4 6 3 2 11" xfId="15581"/>
    <cellStyle name="Calculation 4 6 3 2 2" xfId="15582"/>
    <cellStyle name="Calculation 4 6 3 2 3" xfId="15583"/>
    <cellStyle name="Calculation 4 6 3 2 4" xfId="15584"/>
    <cellStyle name="Calculation 4 6 3 2 5" xfId="15585"/>
    <cellStyle name="Calculation 4 6 3 2 6" xfId="15586"/>
    <cellStyle name="Calculation 4 6 3 2 7" xfId="15587"/>
    <cellStyle name="Calculation 4 6 3 2 8" xfId="15588"/>
    <cellStyle name="Calculation 4 6 3 2 9" xfId="15589"/>
    <cellStyle name="Calculation 4 6 3 3" xfId="15590"/>
    <cellStyle name="Calculation 4 6 3 4" xfId="15591"/>
    <cellStyle name="Calculation 4 6 3 5" xfId="15592"/>
    <cellStyle name="Calculation 4 6 3 6" xfId="15593"/>
    <cellStyle name="Calculation 4 6 3 7" xfId="15594"/>
    <cellStyle name="Calculation 4 6 3 8" xfId="15595"/>
    <cellStyle name="Calculation 4 6 3 9" xfId="15596"/>
    <cellStyle name="Calculation 4 6 4" xfId="15597"/>
    <cellStyle name="Calculation 4 6 4 10" xfId="15598"/>
    <cellStyle name="Calculation 4 6 4 11" xfId="15599"/>
    <cellStyle name="Calculation 4 6 4 2" xfId="15600"/>
    <cellStyle name="Calculation 4 6 4 3" xfId="15601"/>
    <cellStyle name="Calculation 4 6 4 4" xfId="15602"/>
    <cellStyle name="Calculation 4 6 4 5" xfId="15603"/>
    <cellStyle name="Calculation 4 6 4 6" xfId="15604"/>
    <cellStyle name="Calculation 4 6 4 7" xfId="15605"/>
    <cellStyle name="Calculation 4 6 4 8" xfId="15606"/>
    <cellStyle name="Calculation 4 6 4 9" xfId="15607"/>
    <cellStyle name="Calculation 4 6 5" xfId="15608"/>
    <cellStyle name="Calculation 4 6 6" xfId="15609"/>
    <cellStyle name="Calculation 4 6 7" xfId="15610"/>
    <cellStyle name="Calculation 4 6 8" xfId="15611"/>
    <cellStyle name="Calculation 4 6 9" xfId="15612"/>
    <cellStyle name="Calculation 4 7" xfId="15613"/>
    <cellStyle name="Calculation 4 7 10" xfId="15614"/>
    <cellStyle name="Calculation 4 7 11" xfId="15615"/>
    <cellStyle name="Calculation 4 7 12" xfId="15616"/>
    <cellStyle name="Calculation 4 7 13" xfId="15617"/>
    <cellStyle name="Calculation 4 7 2" xfId="15618"/>
    <cellStyle name="Calculation 4 7 2 10" xfId="15619"/>
    <cellStyle name="Calculation 4 7 2 11" xfId="15620"/>
    <cellStyle name="Calculation 4 7 2 12" xfId="15621"/>
    <cellStyle name="Calculation 4 7 2 2" xfId="15622"/>
    <cellStyle name="Calculation 4 7 2 2 10" xfId="15623"/>
    <cellStyle name="Calculation 4 7 2 2 11" xfId="15624"/>
    <cellStyle name="Calculation 4 7 2 2 2" xfId="15625"/>
    <cellStyle name="Calculation 4 7 2 2 2 10" xfId="15626"/>
    <cellStyle name="Calculation 4 7 2 2 2 11" xfId="15627"/>
    <cellStyle name="Calculation 4 7 2 2 2 2" xfId="15628"/>
    <cellStyle name="Calculation 4 7 2 2 2 3" xfId="15629"/>
    <cellStyle name="Calculation 4 7 2 2 2 4" xfId="15630"/>
    <cellStyle name="Calculation 4 7 2 2 2 5" xfId="15631"/>
    <cellStyle name="Calculation 4 7 2 2 2 6" xfId="15632"/>
    <cellStyle name="Calculation 4 7 2 2 2 7" xfId="15633"/>
    <cellStyle name="Calculation 4 7 2 2 2 8" xfId="15634"/>
    <cellStyle name="Calculation 4 7 2 2 2 9" xfId="15635"/>
    <cellStyle name="Calculation 4 7 2 2 3" xfId="15636"/>
    <cellStyle name="Calculation 4 7 2 2 4" xfId="15637"/>
    <cellStyle name="Calculation 4 7 2 2 5" xfId="15638"/>
    <cellStyle name="Calculation 4 7 2 2 6" xfId="15639"/>
    <cellStyle name="Calculation 4 7 2 2 7" xfId="15640"/>
    <cellStyle name="Calculation 4 7 2 2 8" xfId="15641"/>
    <cellStyle name="Calculation 4 7 2 2 9" xfId="15642"/>
    <cellStyle name="Calculation 4 7 2 3" xfId="15643"/>
    <cellStyle name="Calculation 4 7 2 3 10" xfId="15644"/>
    <cellStyle name="Calculation 4 7 2 3 11" xfId="15645"/>
    <cellStyle name="Calculation 4 7 2 3 2" xfId="15646"/>
    <cellStyle name="Calculation 4 7 2 3 3" xfId="15647"/>
    <cellStyle name="Calculation 4 7 2 3 4" xfId="15648"/>
    <cellStyle name="Calculation 4 7 2 3 5" xfId="15649"/>
    <cellStyle name="Calculation 4 7 2 3 6" xfId="15650"/>
    <cellStyle name="Calculation 4 7 2 3 7" xfId="15651"/>
    <cellStyle name="Calculation 4 7 2 3 8" xfId="15652"/>
    <cellStyle name="Calculation 4 7 2 3 9" xfId="15653"/>
    <cellStyle name="Calculation 4 7 2 4" xfId="15654"/>
    <cellStyle name="Calculation 4 7 2 5" xfId="15655"/>
    <cellStyle name="Calculation 4 7 2 6" xfId="15656"/>
    <cellStyle name="Calculation 4 7 2 7" xfId="15657"/>
    <cellStyle name="Calculation 4 7 2 8" xfId="15658"/>
    <cellStyle name="Calculation 4 7 2 9" xfId="15659"/>
    <cellStyle name="Calculation 4 7 3" xfId="15660"/>
    <cellStyle name="Calculation 4 7 3 10" xfId="15661"/>
    <cellStyle name="Calculation 4 7 3 11" xfId="15662"/>
    <cellStyle name="Calculation 4 7 3 2" xfId="15663"/>
    <cellStyle name="Calculation 4 7 3 2 10" xfId="15664"/>
    <cellStyle name="Calculation 4 7 3 2 11" xfId="15665"/>
    <cellStyle name="Calculation 4 7 3 2 2" xfId="15666"/>
    <cellStyle name="Calculation 4 7 3 2 3" xfId="15667"/>
    <cellStyle name="Calculation 4 7 3 2 4" xfId="15668"/>
    <cellStyle name="Calculation 4 7 3 2 5" xfId="15669"/>
    <cellStyle name="Calculation 4 7 3 2 6" xfId="15670"/>
    <cellStyle name="Calculation 4 7 3 2 7" xfId="15671"/>
    <cellStyle name="Calculation 4 7 3 2 8" xfId="15672"/>
    <cellStyle name="Calculation 4 7 3 2 9" xfId="15673"/>
    <cellStyle name="Calculation 4 7 3 3" xfId="15674"/>
    <cellStyle name="Calculation 4 7 3 4" xfId="15675"/>
    <cellStyle name="Calculation 4 7 3 5" xfId="15676"/>
    <cellStyle name="Calculation 4 7 3 6" xfId="15677"/>
    <cellStyle name="Calculation 4 7 3 7" xfId="15678"/>
    <cellStyle name="Calculation 4 7 3 8" xfId="15679"/>
    <cellStyle name="Calculation 4 7 3 9" xfId="15680"/>
    <cellStyle name="Calculation 4 7 4" xfId="15681"/>
    <cellStyle name="Calculation 4 7 4 10" xfId="15682"/>
    <cellStyle name="Calculation 4 7 4 11" xfId="15683"/>
    <cellStyle name="Calculation 4 7 4 2" xfId="15684"/>
    <cellStyle name="Calculation 4 7 4 3" xfId="15685"/>
    <cellStyle name="Calculation 4 7 4 4" xfId="15686"/>
    <cellStyle name="Calculation 4 7 4 5" xfId="15687"/>
    <cellStyle name="Calculation 4 7 4 6" xfId="15688"/>
    <cellStyle name="Calculation 4 7 4 7" xfId="15689"/>
    <cellStyle name="Calculation 4 7 4 8" xfId="15690"/>
    <cellStyle name="Calculation 4 7 4 9" xfId="15691"/>
    <cellStyle name="Calculation 4 7 5" xfId="15692"/>
    <cellStyle name="Calculation 4 7 6" xfId="15693"/>
    <cellStyle name="Calculation 4 7 7" xfId="15694"/>
    <cellStyle name="Calculation 4 7 8" xfId="15695"/>
    <cellStyle name="Calculation 4 7 9" xfId="15696"/>
    <cellStyle name="Calculation 4 8" xfId="15697"/>
    <cellStyle name="Calculation 5" xfId="15698"/>
    <cellStyle name="Calculation 5 10" xfId="15699"/>
    <cellStyle name="Calculation 5 11" xfId="15700"/>
    <cellStyle name="Calculation 5 12" xfId="15701"/>
    <cellStyle name="Calculation 5 13" xfId="15702"/>
    <cellStyle name="Calculation 5 14" xfId="15703"/>
    <cellStyle name="Calculation 5 2" xfId="15704"/>
    <cellStyle name="Calculation 5 2 10" xfId="15705"/>
    <cellStyle name="Calculation 5 2 11" xfId="15706"/>
    <cellStyle name="Calculation 5 2 12" xfId="15707"/>
    <cellStyle name="Calculation 5 2 13" xfId="15708"/>
    <cellStyle name="Calculation 5 2 2" xfId="15709"/>
    <cellStyle name="Calculation 5 2 2 10" xfId="15710"/>
    <cellStyle name="Calculation 5 2 2 11" xfId="15711"/>
    <cellStyle name="Calculation 5 2 2 12" xfId="15712"/>
    <cellStyle name="Calculation 5 2 2 2" xfId="15713"/>
    <cellStyle name="Calculation 5 2 2 2 10" xfId="15714"/>
    <cellStyle name="Calculation 5 2 2 2 11" xfId="15715"/>
    <cellStyle name="Calculation 5 2 2 2 2" xfId="15716"/>
    <cellStyle name="Calculation 5 2 2 2 2 10" xfId="15717"/>
    <cellStyle name="Calculation 5 2 2 2 2 11" xfId="15718"/>
    <cellStyle name="Calculation 5 2 2 2 2 2" xfId="15719"/>
    <cellStyle name="Calculation 5 2 2 2 2 3" xfId="15720"/>
    <cellStyle name="Calculation 5 2 2 2 2 4" xfId="15721"/>
    <cellStyle name="Calculation 5 2 2 2 2 5" xfId="15722"/>
    <cellStyle name="Calculation 5 2 2 2 2 6" xfId="15723"/>
    <cellStyle name="Calculation 5 2 2 2 2 7" xfId="15724"/>
    <cellStyle name="Calculation 5 2 2 2 2 8" xfId="15725"/>
    <cellStyle name="Calculation 5 2 2 2 2 9" xfId="15726"/>
    <cellStyle name="Calculation 5 2 2 2 3" xfId="15727"/>
    <cellStyle name="Calculation 5 2 2 2 4" xfId="15728"/>
    <cellStyle name="Calculation 5 2 2 2 5" xfId="15729"/>
    <cellStyle name="Calculation 5 2 2 2 6" xfId="15730"/>
    <cellStyle name="Calculation 5 2 2 2 7" xfId="15731"/>
    <cellStyle name="Calculation 5 2 2 2 8" xfId="15732"/>
    <cellStyle name="Calculation 5 2 2 2 9" xfId="15733"/>
    <cellStyle name="Calculation 5 2 2 3" xfId="15734"/>
    <cellStyle name="Calculation 5 2 2 3 10" xfId="15735"/>
    <cellStyle name="Calculation 5 2 2 3 11" xfId="15736"/>
    <cellStyle name="Calculation 5 2 2 3 2" xfId="15737"/>
    <cellStyle name="Calculation 5 2 2 3 3" xfId="15738"/>
    <cellStyle name="Calculation 5 2 2 3 4" xfId="15739"/>
    <cellStyle name="Calculation 5 2 2 3 5" xfId="15740"/>
    <cellStyle name="Calculation 5 2 2 3 6" xfId="15741"/>
    <cellStyle name="Calculation 5 2 2 3 7" xfId="15742"/>
    <cellStyle name="Calculation 5 2 2 3 8" xfId="15743"/>
    <cellStyle name="Calculation 5 2 2 3 9" xfId="15744"/>
    <cellStyle name="Calculation 5 2 2 4" xfId="15745"/>
    <cellStyle name="Calculation 5 2 2 5" xfId="15746"/>
    <cellStyle name="Calculation 5 2 2 6" xfId="15747"/>
    <cellStyle name="Calculation 5 2 2 7" xfId="15748"/>
    <cellStyle name="Calculation 5 2 2 8" xfId="15749"/>
    <cellStyle name="Calculation 5 2 2 9" xfId="15750"/>
    <cellStyle name="Calculation 5 2 3" xfId="15751"/>
    <cellStyle name="Calculation 5 2 3 10" xfId="15752"/>
    <cellStyle name="Calculation 5 2 3 11" xfId="15753"/>
    <cellStyle name="Calculation 5 2 3 2" xfId="15754"/>
    <cellStyle name="Calculation 5 2 3 2 10" xfId="15755"/>
    <cellStyle name="Calculation 5 2 3 2 11" xfId="15756"/>
    <cellStyle name="Calculation 5 2 3 2 2" xfId="15757"/>
    <cellStyle name="Calculation 5 2 3 2 3" xfId="15758"/>
    <cellStyle name="Calculation 5 2 3 2 4" xfId="15759"/>
    <cellStyle name="Calculation 5 2 3 2 5" xfId="15760"/>
    <cellStyle name="Calculation 5 2 3 2 6" xfId="15761"/>
    <cellStyle name="Calculation 5 2 3 2 7" xfId="15762"/>
    <cellStyle name="Calculation 5 2 3 2 8" xfId="15763"/>
    <cellStyle name="Calculation 5 2 3 2 9" xfId="15764"/>
    <cellStyle name="Calculation 5 2 3 3" xfId="15765"/>
    <cellStyle name="Calculation 5 2 3 4" xfId="15766"/>
    <cellStyle name="Calculation 5 2 3 5" xfId="15767"/>
    <cellStyle name="Calculation 5 2 3 6" xfId="15768"/>
    <cellStyle name="Calculation 5 2 3 7" xfId="15769"/>
    <cellStyle name="Calculation 5 2 3 8" xfId="15770"/>
    <cellStyle name="Calculation 5 2 3 9" xfId="15771"/>
    <cellStyle name="Calculation 5 2 4" xfId="15772"/>
    <cellStyle name="Calculation 5 2 4 10" xfId="15773"/>
    <cellStyle name="Calculation 5 2 4 11" xfId="15774"/>
    <cellStyle name="Calculation 5 2 4 2" xfId="15775"/>
    <cellStyle name="Calculation 5 2 4 3" xfId="15776"/>
    <cellStyle name="Calculation 5 2 4 4" xfId="15777"/>
    <cellStyle name="Calculation 5 2 4 5" xfId="15778"/>
    <cellStyle name="Calculation 5 2 4 6" xfId="15779"/>
    <cellStyle name="Calculation 5 2 4 7" xfId="15780"/>
    <cellStyle name="Calculation 5 2 4 8" xfId="15781"/>
    <cellStyle name="Calculation 5 2 4 9" xfId="15782"/>
    <cellStyle name="Calculation 5 2 5" xfId="15783"/>
    <cellStyle name="Calculation 5 2 6" xfId="15784"/>
    <cellStyle name="Calculation 5 2 7" xfId="15785"/>
    <cellStyle name="Calculation 5 2 8" xfId="15786"/>
    <cellStyle name="Calculation 5 2 9" xfId="15787"/>
    <cellStyle name="Calculation 5 3" xfId="15788"/>
    <cellStyle name="Calculation 5 3 10" xfId="15789"/>
    <cellStyle name="Calculation 5 3 11" xfId="15790"/>
    <cellStyle name="Calculation 5 3 12" xfId="15791"/>
    <cellStyle name="Calculation 5 3 2" xfId="15792"/>
    <cellStyle name="Calculation 5 3 2 10" xfId="15793"/>
    <cellStyle name="Calculation 5 3 2 11" xfId="15794"/>
    <cellStyle name="Calculation 5 3 2 2" xfId="15795"/>
    <cellStyle name="Calculation 5 3 2 2 10" xfId="15796"/>
    <cellStyle name="Calculation 5 3 2 2 11" xfId="15797"/>
    <cellStyle name="Calculation 5 3 2 2 2" xfId="15798"/>
    <cellStyle name="Calculation 5 3 2 2 3" xfId="15799"/>
    <cellStyle name="Calculation 5 3 2 2 4" xfId="15800"/>
    <cellStyle name="Calculation 5 3 2 2 5" xfId="15801"/>
    <cellStyle name="Calculation 5 3 2 2 6" xfId="15802"/>
    <cellStyle name="Calculation 5 3 2 2 7" xfId="15803"/>
    <cellStyle name="Calculation 5 3 2 2 8" xfId="15804"/>
    <cellStyle name="Calculation 5 3 2 2 9" xfId="15805"/>
    <cellStyle name="Calculation 5 3 2 3" xfId="15806"/>
    <cellStyle name="Calculation 5 3 2 4" xfId="15807"/>
    <cellStyle name="Calculation 5 3 2 5" xfId="15808"/>
    <cellStyle name="Calculation 5 3 2 6" xfId="15809"/>
    <cellStyle name="Calculation 5 3 2 7" xfId="15810"/>
    <cellStyle name="Calculation 5 3 2 8" xfId="15811"/>
    <cellStyle name="Calculation 5 3 2 9" xfId="15812"/>
    <cellStyle name="Calculation 5 3 3" xfId="15813"/>
    <cellStyle name="Calculation 5 3 3 10" xfId="15814"/>
    <cellStyle name="Calculation 5 3 3 11" xfId="15815"/>
    <cellStyle name="Calculation 5 3 3 2" xfId="15816"/>
    <cellStyle name="Calculation 5 3 3 3" xfId="15817"/>
    <cellStyle name="Calculation 5 3 3 4" xfId="15818"/>
    <cellStyle name="Calculation 5 3 3 5" xfId="15819"/>
    <cellStyle name="Calculation 5 3 3 6" xfId="15820"/>
    <cellStyle name="Calculation 5 3 3 7" xfId="15821"/>
    <cellStyle name="Calculation 5 3 3 8" xfId="15822"/>
    <cellStyle name="Calculation 5 3 3 9" xfId="15823"/>
    <cellStyle name="Calculation 5 3 4" xfId="15824"/>
    <cellStyle name="Calculation 5 3 5" xfId="15825"/>
    <cellStyle name="Calculation 5 3 6" xfId="15826"/>
    <cellStyle name="Calculation 5 3 7" xfId="15827"/>
    <cellStyle name="Calculation 5 3 8" xfId="15828"/>
    <cellStyle name="Calculation 5 3 9" xfId="15829"/>
    <cellStyle name="Calculation 5 4" xfId="15830"/>
    <cellStyle name="Calculation 5 4 10" xfId="15831"/>
    <cellStyle name="Calculation 5 4 11" xfId="15832"/>
    <cellStyle name="Calculation 5 4 2" xfId="15833"/>
    <cellStyle name="Calculation 5 4 2 10" xfId="15834"/>
    <cellStyle name="Calculation 5 4 2 11" xfId="15835"/>
    <cellStyle name="Calculation 5 4 2 2" xfId="15836"/>
    <cellStyle name="Calculation 5 4 2 3" xfId="15837"/>
    <cellStyle name="Calculation 5 4 2 4" xfId="15838"/>
    <cellStyle name="Calculation 5 4 2 5" xfId="15839"/>
    <cellStyle name="Calculation 5 4 2 6" xfId="15840"/>
    <cellStyle name="Calculation 5 4 2 7" xfId="15841"/>
    <cellStyle name="Calculation 5 4 2 8" xfId="15842"/>
    <cellStyle name="Calculation 5 4 2 9" xfId="15843"/>
    <cellStyle name="Calculation 5 4 3" xfId="15844"/>
    <cellStyle name="Calculation 5 4 4" xfId="15845"/>
    <cellStyle name="Calculation 5 4 5" xfId="15846"/>
    <cellStyle name="Calculation 5 4 6" xfId="15847"/>
    <cellStyle name="Calculation 5 4 7" xfId="15848"/>
    <cellStyle name="Calculation 5 4 8" xfId="15849"/>
    <cellStyle name="Calculation 5 4 9" xfId="15850"/>
    <cellStyle name="Calculation 5 5" xfId="15851"/>
    <cellStyle name="Calculation 5 5 10" xfId="15852"/>
    <cellStyle name="Calculation 5 5 11" xfId="15853"/>
    <cellStyle name="Calculation 5 5 2" xfId="15854"/>
    <cellStyle name="Calculation 5 5 3" xfId="15855"/>
    <cellStyle name="Calculation 5 5 4" xfId="15856"/>
    <cellStyle name="Calculation 5 5 5" xfId="15857"/>
    <cellStyle name="Calculation 5 5 6" xfId="15858"/>
    <cellStyle name="Calculation 5 5 7" xfId="15859"/>
    <cellStyle name="Calculation 5 5 8" xfId="15860"/>
    <cellStyle name="Calculation 5 5 9" xfId="15861"/>
    <cellStyle name="Calculation 5 6" xfId="15862"/>
    <cellStyle name="Calculation 5 7" xfId="15863"/>
    <cellStyle name="Calculation 5 8" xfId="15864"/>
    <cellStyle name="Calculation 5 9" xfId="15865"/>
    <cellStyle name="Calculation 6" xfId="15866"/>
    <cellStyle name="Calculation 6 10" xfId="15867"/>
    <cellStyle name="Calculation 6 11" xfId="15868"/>
    <cellStyle name="Calculation 6 12" xfId="15869"/>
    <cellStyle name="Calculation 6 13" xfId="15870"/>
    <cellStyle name="Calculation 6 2" xfId="15871"/>
    <cellStyle name="Calculation 6 2 10" xfId="15872"/>
    <cellStyle name="Calculation 6 2 11" xfId="15873"/>
    <cellStyle name="Calculation 6 2 12" xfId="15874"/>
    <cellStyle name="Calculation 6 2 2" xfId="15875"/>
    <cellStyle name="Calculation 6 2 2 10" xfId="15876"/>
    <cellStyle name="Calculation 6 2 2 11" xfId="15877"/>
    <cellStyle name="Calculation 6 2 2 2" xfId="15878"/>
    <cellStyle name="Calculation 6 2 2 2 10" xfId="15879"/>
    <cellStyle name="Calculation 6 2 2 2 11" xfId="15880"/>
    <cellStyle name="Calculation 6 2 2 2 2" xfId="15881"/>
    <cellStyle name="Calculation 6 2 2 2 3" xfId="15882"/>
    <cellStyle name="Calculation 6 2 2 2 4" xfId="15883"/>
    <cellStyle name="Calculation 6 2 2 2 5" xfId="15884"/>
    <cellStyle name="Calculation 6 2 2 2 6" xfId="15885"/>
    <cellStyle name="Calculation 6 2 2 2 7" xfId="15886"/>
    <cellStyle name="Calculation 6 2 2 2 8" xfId="15887"/>
    <cellStyle name="Calculation 6 2 2 2 9" xfId="15888"/>
    <cellStyle name="Calculation 6 2 2 3" xfId="15889"/>
    <cellStyle name="Calculation 6 2 2 4" xfId="15890"/>
    <cellStyle name="Calculation 6 2 2 5" xfId="15891"/>
    <cellStyle name="Calculation 6 2 2 6" xfId="15892"/>
    <cellStyle name="Calculation 6 2 2 7" xfId="15893"/>
    <cellStyle name="Calculation 6 2 2 8" xfId="15894"/>
    <cellStyle name="Calculation 6 2 2 9" xfId="15895"/>
    <cellStyle name="Calculation 6 2 3" xfId="15896"/>
    <cellStyle name="Calculation 6 2 3 10" xfId="15897"/>
    <cellStyle name="Calculation 6 2 3 11" xfId="15898"/>
    <cellStyle name="Calculation 6 2 3 2" xfId="15899"/>
    <cellStyle name="Calculation 6 2 3 3" xfId="15900"/>
    <cellStyle name="Calculation 6 2 3 4" xfId="15901"/>
    <cellStyle name="Calculation 6 2 3 5" xfId="15902"/>
    <cellStyle name="Calculation 6 2 3 6" xfId="15903"/>
    <cellStyle name="Calculation 6 2 3 7" xfId="15904"/>
    <cellStyle name="Calculation 6 2 3 8" xfId="15905"/>
    <cellStyle name="Calculation 6 2 3 9" xfId="15906"/>
    <cellStyle name="Calculation 6 2 4" xfId="15907"/>
    <cellStyle name="Calculation 6 2 5" xfId="15908"/>
    <cellStyle name="Calculation 6 2 6" xfId="15909"/>
    <cellStyle name="Calculation 6 2 7" xfId="15910"/>
    <cellStyle name="Calculation 6 2 8" xfId="15911"/>
    <cellStyle name="Calculation 6 2 9" xfId="15912"/>
    <cellStyle name="Calculation 6 3" xfId="15913"/>
    <cellStyle name="Calculation 6 3 10" xfId="15914"/>
    <cellStyle name="Calculation 6 3 11" xfId="15915"/>
    <cellStyle name="Calculation 6 3 2" xfId="15916"/>
    <cellStyle name="Calculation 6 3 2 10" xfId="15917"/>
    <cellStyle name="Calculation 6 3 2 11" xfId="15918"/>
    <cellStyle name="Calculation 6 3 2 2" xfId="15919"/>
    <cellStyle name="Calculation 6 3 2 3" xfId="15920"/>
    <cellStyle name="Calculation 6 3 2 4" xfId="15921"/>
    <cellStyle name="Calculation 6 3 2 5" xfId="15922"/>
    <cellStyle name="Calculation 6 3 2 6" xfId="15923"/>
    <cellStyle name="Calculation 6 3 2 7" xfId="15924"/>
    <cellStyle name="Calculation 6 3 2 8" xfId="15925"/>
    <cellStyle name="Calculation 6 3 2 9" xfId="15926"/>
    <cellStyle name="Calculation 6 3 3" xfId="15927"/>
    <cellStyle name="Calculation 6 3 4" xfId="15928"/>
    <cellStyle name="Calculation 6 3 5" xfId="15929"/>
    <cellStyle name="Calculation 6 3 6" xfId="15930"/>
    <cellStyle name="Calculation 6 3 7" xfId="15931"/>
    <cellStyle name="Calculation 6 3 8" xfId="15932"/>
    <cellStyle name="Calculation 6 3 9" xfId="15933"/>
    <cellStyle name="Calculation 6 4" xfId="15934"/>
    <cellStyle name="Calculation 6 4 10" xfId="15935"/>
    <cellStyle name="Calculation 6 4 11" xfId="15936"/>
    <cellStyle name="Calculation 6 4 2" xfId="15937"/>
    <cellStyle name="Calculation 6 4 3" xfId="15938"/>
    <cellStyle name="Calculation 6 4 4" xfId="15939"/>
    <cellStyle name="Calculation 6 4 5" xfId="15940"/>
    <cellStyle name="Calculation 6 4 6" xfId="15941"/>
    <cellStyle name="Calculation 6 4 7" xfId="15942"/>
    <cellStyle name="Calculation 6 4 8" xfId="15943"/>
    <cellStyle name="Calculation 6 4 9" xfId="15944"/>
    <cellStyle name="Calculation 6 5" xfId="15945"/>
    <cellStyle name="Calculation 6 6" xfId="15946"/>
    <cellStyle name="Calculation 6 7" xfId="15947"/>
    <cellStyle name="Calculation 6 8" xfId="15948"/>
    <cellStyle name="Calculation 6 9" xfId="15949"/>
    <cellStyle name="Calculation 7" xfId="15950"/>
    <cellStyle name="Calculation 7 10" xfId="15951"/>
    <cellStyle name="Calculation 7 11" xfId="15952"/>
    <cellStyle name="Calculation 7 12" xfId="15953"/>
    <cellStyle name="Calculation 7 13" xfId="15954"/>
    <cellStyle name="Calculation 7 2" xfId="15955"/>
    <cellStyle name="Calculation 7 2 10" xfId="15956"/>
    <cellStyle name="Calculation 7 2 11" xfId="15957"/>
    <cellStyle name="Calculation 7 2 12" xfId="15958"/>
    <cellStyle name="Calculation 7 2 2" xfId="15959"/>
    <cellStyle name="Calculation 7 2 2 10" xfId="15960"/>
    <cellStyle name="Calculation 7 2 2 11" xfId="15961"/>
    <cellStyle name="Calculation 7 2 2 2" xfId="15962"/>
    <cellStyle name="Calculation 7 2 2 2 10" xfId="15963"/>
    <cellStyle name="Calculation 7 2 2 2 11" xfId="15964"/>
    <cellStyle name="Calculation 7 2 2 2 2" xfId="15965"/>
    <cellStyle name="Calculation 7 2 2 2 3" xfId="15966"/>
    <cellStyle name="Calculation 7 2 2 2 4" xfId="15967"/>
    <cellStyle name="Calculation 7 2 2 2 5" xfId="15968"/>
    <cellStyle name="Calculation 7 2 2 2 6" xfId="15969"/>
    <cellStyle name="Calculation 7 2 2 2 7" xfId="15970"/>
    <cellStyle name="Calculation 7 2 2 2 8" xfId="15971"/>
    <cellStyle name="Calculation 7 2 2 2 9" xfId="15972"/>
    <cellStyle name="Calculation 7 2 2 3" xfId="15973"/>
    <cellStyle name="Calculation 7 2 2 4" xfId="15974"/>
    <cellStyle name="Calculation 7 2 2 5" xfId="15975"/>
    <cellStyle name="Calculation 7 2 2 6" xfId="15976"/>
    <cellStyle name="Calculation 7 2 2 7" xfId="15977"/>
    <cellStyle name="Calculation 7 2 2 8" xfId="15978"/>
    <cellStyle name="Calculation 7 2 2 9" xfId="15979"/>
    <cellStyle name="Calculation 7 2 3" xfId="15980"/>
    <cellStyle name="Calculation 7 2 3 10" xfId="15981"/>
    <cellStyle name="Calculation 7 2 3 11" xfId="15982"/>
    <cellStyle name="Calculation 7 2 3 2" xfId="15983"/>
    <cellStyle name="Calculation 7 2 3 3" xfId="15984"/>
    <cellStyle name="Calculation 7 2 3 4" xfId="15985"/>
    <cellStyle name="Calculation 7 2 3 5" xfId="15986"/>
    <cellStyle name="Calculation 7 2 3 6" xfId="15987"/>
    <cellStyle name="Calculation 7 2 3 7" xfId="15988"/>
    <cellStyle name="Calculation 7 2 3 8" xfId="15989"/>
    <cellStyle name="Calculation 7 2 3 9" xfId="15990"/>
    <cellStyle name="Calculation 7 2 4" xfId="15991"/>
    <cellStyle name="Calculation 7 2 5" xfId="15992"/>
    <cellStyle name="Calculation 7 2 6" xfId="15993"/>
    <cellStyle name="Calculation 7 2 7" xfId="15994"/>
    <cellStyle name="Calculation 7 2 8" xfId="15995"/>
    <cellStyle name="Calculation 7 2 9" xfId="15996"/>
    <cellStyle name="Calculation 7 3" xfId="15997"/>
    <cellStyle name="Calculation 7 3 10" xfId="15998"/>
    <cellStyle name="Calculation 7 3 11" xfId="15999"/>
    <cellStyle name="Calculation 7 3 2" xfId="16000"/>
    <cellStyle name="Calculation 7 3 2 10" xfId="16001"/>
    <cellStyle name="Calculation 7 3 2 11" xfId="16002"/>
    <cellStyle name="Calculation 7 3 2 2" xfId="16003"/>
    <cellStyle name="Calculation 7 3 2 3" xfId="16004"/>
    <cellStyle name="Calculation 7 3 2 4" xfId="16005"/>
    <cellStyle name="Calculation 7 3 2 5" xfId="16006"/>
    <cellStyle name="Calculation 7 3 2 6" xfId="16007"/>
    <cellStyle name="Calculation 7 3 2 7" xfId="16008"/>
    <cellStyle name="Calculation 7 3 2 8" xfId="16009"/>
    <cellStyle name="Calculation 7 3 2 9" xfId="16010"/>
    <cellStyle name="Calculation 7 3 3" xfId="16011"/>
    <cellStyle name="Calculation 7 3 4" xfId="16012"/>
    <cellStyle name="Calculation 7 3 5" xfId="16013"/>
    <cellStyle name="Calculation 7 3 6" xfId="16014"/>
    <cellStyle name="Calculation 7 3 7" xfId="16015"/>
    <cellStyle name="Calculation 7 3 8" xfId="16016"/>
    <cellStyle name="Calculation 7 3 9" xfId="16017"/>
    <cellStyle name="Calculation 7 4" xfId="16018"/>
    <cellStyle name="Calculation 7 4 10" xfId="16019"/>
    <cellStyle name="Calculation 7 4 11" xfId="16020"/>
    <cellStyle name="Calculation 7 4 2" xfId="16021"/>
    <cellStyle name="Calculation 7 4 3" xfId="16022"/>
    <cellStyle name="Calculation 7 4 4" xfId="16023"/>
    <cellStyle name="Calculation 7 4 5" xfId="16024"/>
    <cellStyle name="Calculation 7 4 6" xfId="16025"/>
    <cellStyle name="Calculation 7 4 7" xfId="16026"/>
    <cellStyle name="Calculation 7 4 8" xfId="16027"/>
    <cellStyle name="Calculation 7 4 9" xfId="16028"/>
    <cellStyle name="Calculation 7 5" xfId="16029"/>
    <cellStyle name="Calculation 7 6" xfId="16030"/>
    <cellStyle name="Calculation 7 7" xfId="16031"/>
    <cellStyle name="Calculation 7 8" xfId="16032"/>
    <cellStyle name="Calculation 7 9" xfId="16033"/>
    <cellStyle name="Calculation 8" xfId="16034"/>
    <cellStyle name="Calculation 8 10" xfId="16035"/>
    <cellStyle name="Calculation 8 11" xfId="16036"/>
    <cellStyle name="Calculation 8 12" xfId="16037"/>
    <cellStyle name="Calculation 8 13" xfId="16038"/>
    <cellStyle name="Calculation 8 2" xfId="16039"/>
    <cellStyle name="Calculation 8 2 10" xfId="16040"/>
    <cellStyle name="Calculation 8 2 11" xfId="16041"/>
    <cellStyle name="Calculation 8 2 12" xfId="16042"/>
    <cellStyle name="Calculation 8 2 2" xfId="16043"/>
    <cellStyle name="Calculation 8 2 2 10" xfId="16044"/>
    <cellStyle name="Calculation 8 2 2 11" xfId="16045"/>
    <cellStyle name="Calculation 8 2 2 2" xfId="16046"/>
    <cellStyle name="Calculation 8 2 2 2 10" xfId="16047"/>
    <cellStyle name="Calculation 8 2 2 2 11" xfId="16048"/>
    <cellStyle name="Calculation 8 2 2 2 2" xfId="16049"/>
    <cellStyle name="Calculation 8 2 2 2 3" xfId="16050"/>
    <cellStyle name="Calculation 8 2 2 2 4" xfId="16051"/>
    <cellStyle name="Calculation 8 2 2 2 5" xfId="16052"/>
    <cellStyle name="Calculation 8 2 2 2 6" xfId="16053"/>
    <cellStyle name="Calculation 8 2 2 2 7" xfId="16054"/>
    <cellStyle name="Calculation 8 2 2 2 8" xfId="16055"/>
    <cellStyle name="Calculation 8 2 2 2 9" xfId="16056"/>
    <cellStyle name="Calculation 8 2 2 3" xfId="16057"/>
    <cellStyle name="Calculation 8 2 2 4" xfId="16058"/>
    <cellStyle name="Calculation 8 2 2 5" xfId="16059"/>
    <cellStyle name="Calculation 8 2 2 6" xfId="16060"/>
    <cellStyle name="Calculation 8 2 2 7" xfId="16061"/>
    <cellStyle name="Calculation 8 2 2 8" xfId="16062"/>
    <cellStyle name="Calculation 8 2 2 9" xfId="16063"/>
    <cellStyle name="Calculation 8 2 3" xfId="16064"/>
    <cellStyle name="Calculation 8 2 3 10" xfId="16065"/>
    <cellStyle name="Calculation 8 2 3 11" xfId="16066"/>
    <cellStyle name="Calculation 8 2 3 2" xfId="16067"/>
    <cellStyle name="Calculation 8 2 3 3" xfId="16068"/>
    <cellStyle name="Calculation 8 2 3 4" xfId="16069"/>
    <cellStyle name="Calculation 8 2 3 5" xfId="16070"/>
    <cellStyle name="Calculation 8 2 3 6" xfId="16071"/>
    <cellStyle name="Calculation 8 2 3 7" xfId="16072"/>
    <cellStyle name="Calculation 8 2 3 8" xfId="16073"/>
    <cellStyle name="Calculation 8 2 3 9" xfId="16074"/>
    <cellStyle name="Calculation 8 2 4" xfId="16075"/>
    <cellStyle name="Calculation 8 2 5" xfId="16076"/>
    <cellStyle name="Calculation 8 2 6" xfId="16077"/>
    <cellStyle name="Calculation 8 2 7" xfId="16078"/>
    <cellStyle name="Calculation 8 2 8" xfId="16079"/>
    <cellStyle name="Calculation 8 2 9" xfId="16080"/>
    <cellStyle name="Calculation 8 3" xfId="16081"/>
    <cellStyle name="Calculation 8 3 10" xfId="16082"/>
    <cellStyle name="Calculation 8 3 11" xfId="16083"/>
    <cellStyle name="Calculation 8 3 2" xfId="16084"/>
    <cellStyle name="Calculation 8 3 2 10" xfId="16085"/>
    <cellStyle name="Calculation 8 3 2 11" xfId="16086"/>
    <cellStyle name="Calculation 8 3 2 2" xfId="16087"/>
    <cellStyle name="Calculation 8 3 2 3" xfId="16088"/>
    <cellStyle name="Calculation 8 3 2 4" xfId="16089"/>
    <cellStyle name="Calculation 8 3 2 5" xfId="16090"/>
    <cellStyle name="Calculation 8 3 2 6" xfId="16091"/>
    <cellStyle name="Calculation 8 3 2 7" xfId="16092"/>
    <cellStyle name="Calculation 8 3 2 8" xfId="16093"/>
    <cellStyle name="Calculation 8 3 2 9" xfId="16094"/>
    <cellStyle name="Calculation 8 3 3" xfId="16095"/>
    <cellStyle name="Calculation 8 3 4" xfId="16096"/>
    <cellStyle name="Calculation 8 3 5" xfId="16097"/>
    <cellStyle name="Calculation 8 3 6" xfId="16098"/>
    <cellStyle name="Calculation 8 3 7" xfId="16099"/>
    <cellStyle name="Calculation 8 3 8" xfId="16100"/>
    <cellStyle name="Calculation 8 3 9" xfId="16101"/>
    <cellStyle name="Calculation 8 4" xfId="16102"/>
    <cellStyle name="Calculation 8 4 10" xfId="16103"/>
    <cellStyle name="Calculation 8 4 11" xfId="16104"/>
    <cellStyle name="Calculation 8 4 2" xfId="16105"/>
    <cellStyle name="Calculation 8 4 3" xfId="16106"/>
    <cellStyle name="Calculation 8 4 4" xfId="16107"/>
    <cellStyle name="Calculation 8 4 5" xfId="16108"/>
    <cellStyle name="Calculation 8 4 6" xfId="16109"/>
    <cellStyle name="Calculation 8 4 7" xfId="16110"/>
    <cellStyle name="Calculation 8 4 8" xfId="16111"/>
    <cellStyle name="Calculation 8 4 9" xfId="16112"/>
    <cellStyle name="Calculation 8 5" xfId="16113"/>
    <cellStyle name="Calculation 8 6" xfId="16114"/>
    <cellStyle name="Calculation 8 7" xfId="16115"/>
    <cellStyle name="Calculation 8 8" xfId="16116"/>
    <cellStyle name="Calculation 8 9" xfId="16117"/>
    <cellStyle name="Calculation 9" xfId="16118"/>
    <cellStyle name="Calculation 9 10" xfId="16119"/>
    <cellStyle name="Calculation 9 11" xfId="16120"/>
    <cellStyle name="Calculation 9 12" xfId="16121"/>
    <cellStyle name="Calculation 9 13" xfId="16122"/>
    <cellStyle name="Calculation 9 2" xfId="16123"/>
    <cellStyle name="Calculation 9 2 10" xfId="16124"/>
    <cellStyle name="Calculation 9 2 11" xfId="16125"/>
    <cellStyle name="Calculation 9 2 12" xfId="16126"/>
    <cellStyle name="Calculation 9 2 2" xfId="16127"/>
    <cellStyle name="Calculation 9 2 2 10" xfId="16128"/>
    <cellStyle name="Calculation 9 2 2 11" xfId="16129"/>
    <cellStyle name="Calculation 9 2 2 2" xfId="16130"/>
    <cellStyle name="Calculation 9 2 2 2 10" xfId="16131"/>
    <cellStyle name="Calculation 9 2 2 2 11" xfId="16132"/>
    <cellStyle name="Calculation 9 2 2 2 2" xfId="16133"/>
    <cellStyle name="Calculation 9 2 2 2 3" xfId="16134"/>
    <cellStyle name="Calculation 9 2 2 2 4" xfId="16135"/>
    <cellStyle name="Calculation 9 2 2 2 5" xfId="16136"/>
    <cellStyle name="Calculation 9 2 2 2 6" xfId="16137"/>
    <cellStyle name="Calculation 9 2 2 2 7" xfId="16138"/>
    <cellStyle name="Calculation 9 2 2 2 8" xfId="16139"/>
    <cellStyle name="Calculation 9 2 2 2 9" xfId="16140"/>
    <cellStyle name="Calculation 9 2 2 3" xfId="16141"/>
    <cellStyle name="Calculation 9 2 2 4" xfId="16142"/>
    <cellStyle name="Calculation 9 2 2 5" xfId="16143"/>
    <cellStyle name="Calculation 9 2 2 6" xfId="16144"/>
    <cellStyle name="Calculation 9 2 2 7" xfId="16145"/>
    <cellStyle name="Calculation 9 2 2 8" xfId="16146"/>
    <cellStyle name="Calculation 9 2 2 9" xfId="16147"/>
    <cellStyle name="Calculation 9 2 3" xfId="16148"/>
    <cellStyle name="Calculation 9 2 3 10" xfId="16149"/>
    <cellStyle name="Calculation 9 2 3 11" xfId="16150"/>
    <cellStyle name="Calculation 9 2 3 2" xfId="16151"/>
    <cellStyle name="Calculation 9 2 3 3" xfId="16152"/>
    <cellStyle name="Calculation 9 2 3 4" xfId="16153"/>
    <cellStyle name="Calculation 9 2 3 5" xfId="16154"/>
    <cellStyle name="Calculation 9 2 3 6" xfId="16155"/>
    <cellStyle name="Calculation 9 2 3 7" xfId="16156"/>
    <cellStyle name="Calculation 9 2 3 8" xfId="16157"/>
    <cellStyle name="Calculation 9 2 3 9" xfId="16158"/>
    <cellStyle name="Calculation 9 2 4" xfId="16159"/>
    <cellStyle name="Calculation 9 2 5" xfId="16160"/>
    <cellStyle name="Calculation 9 2 6" xfId="16161"/>
    <cellStyle name="Calculation 9 2 7" xfId="16162"/>
    <cellStyle name="Calculation 9 2 8" xfId="16163"/>
    <cellStyle name="Calculation 9 2 9" xfId="16164"/>
    <cellStyle name="Calculation 9 3" xfId="16165"/>
    <cellStyle name="Calculation 9 3 10" xfId="16166"/>
    <cellStyle name="Calculation 9 3 11" xfId="16167"/>
    <cellStyle name="Calculation 9 3 2" xfId="16168"/>
    <cellStyle name="Calculation 9 3 2 10" xfId="16169"/>
    <cellStyle name="Calculation 9 3 2 11" xfId="16170"/>
    <cellStyle name="Calculation 9 3 2 2" xfId="16171"/>
    <cellStyle name="Calculation 9 3 2 3" xfId="16172"/>
    <cellStyle name="Calculation 9 3 2 4" xfId="16173"/>
    <cellStyle name="Calculation 9 3 2 5" xfId="16174"/>
    <cellStyle name="Calculation 9 3 2 6" xfId="16175"/>
    <cellStyle name="Calculation 9 3 2 7" xfId="16176"/>
    <cellStyle name="Calculation 9 3 2 8" xfId="16177"/>
    <cellStyle name="Calculation 9 3 2 9" xfId="16178"/>
    <cellStyle name="Calculation 9 3 3" xfId="16179"/>
    <cellStyle name="Calculation 9 3 4" xfId="16180"/>
    <cellStyle name="Calculation 9 3 5" xfId="16181"/>
    <cellStyle name="Calculation 9 3 6" xfId="16182"/>
    <cellStyle name="Calculation 9 3 7" xfId="16183"/>
    <cellStyle name="Calculation 9 3 8" xfId="16184"/>
    <cellStyle name="Calculation 9 3 9" xfId="16185"/>
    <cellStyle name="Calculation 9 4" xfId="16186"/>
    <cellStyle name="Calculation 9 4 10" xfId="16187"/>
    <cellStyle name="Calculation 9 4 11" xfId="16188"/>
    <cellStyle name="Calculation 9 4 2" xfId="16189"/>
    <cellStyle name="Calculation 9 4 3" xfId="16190"/>
    <cellStyle name="Calculation 9 4 4" xfId="16191"/>
    <cellStyle name="Calculation 9 4 5" xfId="16192"/>
    <cellStyle name="Calculation 9 4 6" xfId="16193"/>
    <cellStyle name="Calculation 9 4 7" xfId="16194"/>
    <cellStyle name="Calculation 9 4 8" xfId="16195"/>
    <cellStyle name="Calculation 9 4 9" xfId="16196"/>
    <cellStyle name="Calculation 9 5" xfId="16197"/>
    <cellStyle name="Calculation 9 6" xfId="16198"/>
    <cellStyle name="Calculation 9 7" xfId="16199"/>
    <cellStyle name="Calculation 9 8" xfId="16200"/>
    <cellStyle name="Calculation 9 9" xfId="16201"/>
    <cellStyle name="Cell Link" xfId="16202"/>
    <cellStyle name="Cell Link." xfId="16203"/>
    <cellStyle name="Center Currency" xfId="16204"/>
    <cellStyle name="Center Currency 2" xfId="16205"/>
    <cellStyle name="Center Currency 3" xfId="16206"/>
    <cellStyle name="Center Currency 4" xfId="16207"/>
    <cellStyle name="Center Date" xfId="16208"/>
    <cellStyle name="Center Date 2" xfId="16209"/>
    <cellStyle name="Center Date 3" xfId="16210"/>
    <cellStyle name="Center Date 4" xfId="16211"/>
    <cellStyle name="Center Multiple" xfId="16212"/>
    <cellStyle name="Center Multiple 2" xfId="16213"/>
    <cellStyle name="Center Multiple 3" xfId="16214"/>
    <cellStyle name="Center Multiple 4" xfId="16215"/>
    <cellStyle name="Center Number" xfId="16216"/>
    <cellStyle name="Center Number 2" xfId="16217"/>
    <cellStyle name="Center Number 3" xfId="16218"/>
    <cellStyle name="Center Number 4" xfId="16219"/>
    <cellStyle name="Center Number 5" xfId="16220"/>
    <cellStyle name="Center Percentage" xfId="16221"/>
    <cellStyle name="Center Percentage 2" xfId="16222"/>
    <cellStyle name="Center Percentage 3" xfId="16223"/>
    <cellStyle name="Center Percentage 4" xfId="16224"/>
    <cellStyle name="Center Year" xfId="16225"/>
    <cellStyle name="Center Year 2" xfId="16226"/>
    <cellStyle name="Center Year 3" xfId="16227"/>
    <cellStyle name="Center Year 4" xfId="16228"/>
    <cellStyle name="Check Cell 2" xfId="16229"/>
    <cellStyle name="Check Cell 3" xfId="16230"/>
    <cellStyle name="Check Cell 4" xfId="16231"/>
    <cellStyle name="Check Cell 5" xfId="16232"/>
    <cellStyle name="Comma" xfId="10" builtinId="3"/>
    <cellStyle name="Comma [0]7Z_87C" xfId="16233"/>
    <cellStyle name="Comma 0" xfId="16234"/>
    <cellStyle name="Comma 0 2" xfId="16235"/>
    <cellStyle name="Comma 0 3" xfId="16236"/>
    <cellStyle name="Comma 1" xfId="16237"/>
    <cellStyle name="Comma 1 2" xfId="16238"/>
    <cellStyle name="Comma 10" xfId="16239"/>
    <cellStyle name="Comma 10 2" xfId="16240"/>
    <cellStyle name="Comma 10 3" xfId="16241"/>
    <cellStyle name="Comma 10 3 10" xfId="16242"/>
    <cellStyle name="Comma 10 3 2" xfId="16243"/>
    <cellStyle name="Comma 10 3 2 2" xfId="16244"/>
    <cellStyle name="Comma 10 3 2 2 2" xfId="16245"/>
    <cellStyle name="Comma 10 3 2 2 2 2" xfId="16246"/>
    <cellStyle name="Comma 10 3 2 2 2 2 2" xfId="16247"/>
    <cellStyle name="Comma 10 3 2 2 2 2 3" xfId="16248"/>
    <cellStyle name="Comma 10 3 2 2 2 2 4" xfId="16249"/>
    <cellStyle name="Comma 10 3 2 2 2 2 5" xfId="16250"/>
    <cellStyle name="Comma 10 3 2 2 2 2 6" xfId="16251"/>
    <cellStyle name="Comma 10 3 2 2 2 3" xfId="16252"/>
    <cellStyle name="Comma 10 3 2 2 2 4" xfId="16253"/>
    <cellStyle name="Comma 10 3 2 2 2 5" xfId="16254"/>
    <cellStyle name="Comma 10 3 2 2 2 6" xfId="16255"/>
    <cellStyle name="Comma 10 3 2 2 2 7" xfId="16256"/>
    <cellStyle name="Comma 10 3 2 2 3" xfId="16257"/>
    <cellStyle name="Comma 10 3 2 2 3 2" xfId="16258"/>
    <cellStyle name="Comma 10 3 2 2 3 3" xfId="16259"/>
    <cellStyle name="Comma 10 3 2 2 3 4" xfId="16260"/>
    <cellStyle name="Comma 10 3 2 2 3 5" xfId="16261"/>
    <cellStyle name="Comma 10 3 2 2 3 6" xfId="16262"/>
    <cellStyle name="Comma 10 3 2 2 4" xfId="16263"/>
    <cellStyle name="Comma 10 3 2 2 5" xfId="16264"/>
    <cellStyle name="Comma 10 3 2 2 6" xfId="16265"/>
    <cellStyle name="Comma 10 3 2 2 7" xfId="16266"/>
    <cellStyle name="Comma 10 3 2 2 8" xfId="16267"/>
    <cellStyle name="Comma 10 3 2 3" xfId="16268"/>
    <cellStyle name="Comma 10 3 2 3 2" xfId="16269"/>
    <cellStyle name="Comma 10 3 2 3 2 2" xfId="16270"/>
    <cellStyle name="Comma 10 3 2 3 2 3" xfId="16271"/>
    <cellStyle name="Comma 10 3 2 3 2 4" xfId="16272"/>
    <cellStyle name="Comma 10 3 2 3 2 5" xfId="16273"/>
    <cellStyle name="Comma 10 3 2 3 2 6" xfId="16274"/>
    <cellStyle name="Comma 10 3 2 3 3" xfId="16275"/>
    <cellStyle name="Comma 10 3 2 3 4" xfId="16276"/>
    <cellStyle name="Comma 10 3 2 3 5" xfId="16277"/>
    <cellStyle name="Comma 10 3 2 3 6" xfId="16278"/>
    <cellStyle name="Comma 10 3 2 3 7" xfId="16279"/>
    <cellStyle name="Comma 10 3 2 4" xfId="16280"/>
    <cellStyle name="Comma 10 3 2 4 2" xfId="16281"/>
    <cellStyle name="Comma 10 3 2 4 3" xfId="16282"/>
    <cellStyle name="Comma 10 3 2 4 4" xfId="16283"/>
    <cellStyle name="Comma 10 3 2 4 5" xfId="16284"/>
    <cellStyle name="Comma 10 3 2 4 6" xfId="16285"/>
    <cellStyle name="Comma 10 3 2 5" xfId="16286"/>
    <cellStyle name="Comma 10 3 2 6" xfId="16287"/>
    <cellStyle name="Comma 10 3 2 7" xfId="16288"/>
    <cellStyle name="Comma 10 3 2 8" xfId="16289"/>
    <cellStyle name="Comma 10 3 2 9" xfId="16290"/>
    <cellStyle name="Comma 10 3 3" xfId="16291"/>
    <cellStyle name="Comma 10 3 3 2" xfId="16292"/>
    <cellStyle name="Comma 10 3 3 2 2" xfId="16293"/>
    <cellStyle name="Comma 10 3 3 2 2 2" xfId="16294"/>
    <cellStyle name="Comma 10 3 3 2 2 3" xfId="16295"/>
    <cellStyle name="Comma 10 3 3 2 2 4" xfId="16296"/>
    <cellStyle name="Comma 10 3 3 2 2 5" xfId="16297"/>
    <cellStyle name="Comma 10 3 3 2 2 6" xfId="16298"/>
    <cellStyle name="Comma 10 3 3 2 3" xfId="16299"/>
    <cellStyle name="Comma 10 3 3 2 4" xfId="16300"/>
    <cellStyle name="Comma 10 3 3 2 5" xfId="16301"/>
    <cellStyle name="Comma 10 3 3 2 6" xfId="16302"/>
    <cellStyle name="Comma 10 3 3 2 7" xfId="16303"/>
    <cellStyle name="Comma 10 3 3 3" xfId="16304"/>
    <cellStyle name="Comma 10 3 3 3 2" xfId="16305"/>
    <cellStyle name="Comma 10 3 3 3 3" xfId="16306"/>
    <cellStyle name="Comma 10 3 3 3 4" xfId="16307"/>
    <cellStyle name="Comma 10 3 3 3 5" xfId="16308"/>
    <cellStyle name="Comma 10 3 3 3 6" xfId="16309"/>
    <cellStyle name="Comma 10 3 3 4" xfId="16310"/>
    <cellStyle name="Comma 10 3 3 5" xfId="16311"/>
    <cellStyle name="Comma 10 3 3 6" xfId="16312"/>
    <cellStyle name="Comma 10 3 3 7" xfId="16313"/>
    <cellStyle name="Comma 10 3 3 8" xfId="16314"/>
    <cellStyle name="Comma 10 3 4" xfId="16315"/>
    <cellStyle name="Comma 10 3 4 2" xfId="16316"/>
    <cellStyle name="Comma 10 3 4 2 2" xfId="16317"/>
    <cellStyle name="Comma 10 3 4 2 3" xfId="16318"/>
    <cellStyle name="Comma 10 3 4 2 4" xfId="16319"/>
    <cellStyle name="Comma 10 3 4 2 5" xfId="16320"/>
    <cellStyle name="Comma 10 3 4 2 6" xfId="16321"/>
    <cellStyle name="Comma 10 3 4 3" xfId="16322"/>
    <cellStyle name="Comma 10 3 4 4" xfId="16323"/>
    <cellStyle name="Comma 10 3 4 5" xfId="16324"/>
    <cellStyle name="Comma 10 3 4 6" xfId="16325"/>
    <cellStyle name="Comma 10 3 4 7" xfId="16326"/>
    <cellStyle name="Comma 10 3 5" xfId="16327"/>
    <cellStyle name="Comma 10 3 5 2" xfId="16328"/>
    <cellStyle name="Comma 10 3 5 3" xfId="16329"/>
    <cellStyle name="Comma 10 3 5 4" xfId="16330"/>
    <cellStyle name="Comma 10 3 5 5" xfId="16331"/>
    <cellStyle name="Comma 10 3 5 6" xfId="16332"/>
    <cellStyle name="Comma 10 3 6" xfId="16333"/>
    <cellStyle name="Comma 10 3 7" xfId="16334"/>
    <cellStyle name="Comma 10 3 8" xfId="16335"/>
    <cellStyle name="Comma 10 3 9" xfId="16336"/>
    <cellStyle name="Comma 10 4" xfId="16337"/>
    <cellStyle name="Comma 10 4 10" xfId="16338"/>
    <cellStyle name="Comma 10 4 2" xfId="16339"/>
    <cellStyle name="Comma 10 4 2 2" xfId="16340"/>
    <cellStyle name="Comma 10 4 2 2 2" xfId="16341"/>
    <cellStyle name="Comma 10 4 2 2 2 2" xfId="16342"/>
    <cellStyle name="Comma 10 4 2 2 2 2 2" xfId="16343"/>
    <cellStyle name="Comma 10 4 2 2 2 2 3" xfId="16344"/>
    <cellStyle name="Comma 10 4 2 2 2 2 4" xfId="16345"/>
    <cellStyle name="Comma 10 4 2 2 2 2 5" xfId="16346"/>
    <cellStyle name="Comma 10 4 2 2 2 2 6" xfId="16347"/>
    <cellStyle name="Comma 10 4 2 2 2 3" xfId="16348"/>
    <cellStyle name="Comma 10 4 2 2 2 4" xfId="16349"/>
    <cellStyle name="Comma 10 4 2 2 2 5" xfId="16350"/>
    <cellStyle name="Comma 10 4 2 2 2 6" xfId="16351"/>
    <cellStyle name="Comma 10 4 2 2 2 7" xfId="16352"/>
    <cellStyle name="Comma 10 4 2 2 3" xfId="16353"/>
    <cellStyle name="Comma 10 4 2 2 3 2" xfId="16354"/>
    <cellStyle name="Comma 10 4 2 2 3 3" xfId="16355"/>
    <cellStyle name="Comma 10 4 2 2 3 4" xfId="16356"/>
    <cellStyle name="Comma 10 4 2 2 3 5" xfId="16357"/>
    <cellStyle name="Comma 10 4 2 2 3 6" xfId="16358"/>
    <cellStyle name="Comma 10 4 2 2 4" xfId="16359"/>
    <cellStyle name="Comma 10 4 2 2 5" xfId="16360"/>
    <cellStyle name="Comma 10 4 2 2 6" xfId="16361"/>
    <cellStyle name="Comma 10 4 2 2 7" xfId="16362"/>
    <cellStyle name="Comma 10 4 2 2 8" xfId="16363"/>
    <cellStyle name="Comma 10 4 2 3" xfId="16364"/>
    <cellStyle name="Comma 10 4 2 3 2" xfId="16365"/>
    <cellStyle name="Comma 10 4 2 3 2 2" xfId="16366"/>
    <cellStyle name="Comma 10 4 2 3 2 3" xfId="16367"/>
    <cellStyle name="Comma 10 4 2 3 2 4" xfId="16368"/>
    <cellStyle name="Comma 10 4 2 3 2 5" xfId="16369"/>
    <cellStyle name="Comma 10 4 2 3 2 6" xfId="16370"/>
    <cellStyle name="Comma 10 4 2 3 3" xfId="16371"/>
    <cellStyle name="Comma 10 4 2 3 4" xfId="16372"/>
    <cellStyle name="Comma 10 4 2 3 5" xfId="16373"/>
    <cellStyle name="Comma 10 4 2 3 6" xfId="16374"/>
    <cellStyle name="Comma 10 4 2 3 7" xfId="16375"/>
    <cellStyle name="Comma 10 4 2 4" xfId="16376"/>
    <cellStyle name="Comma 10 4 2 4 2" xfId="16377"/>
    <cellStyle name="Comma 10 4 2 4 3" xfId="16378"/>
    <cellStyle name="Comma 10 4 2 4 4" xfId="16379"/>
    <cellStyle name="Comma 10 4 2 4 5" xfId="16380"/>
    <cellStyle name="Comma 10 4 2 4 6" xfId="16381"/>
    <cellStyle name="Comma 10 4 2 5" xfId="16382"/>
    <cellStyle name="Comma 10 4 2 6" xfId="16383"/>
    <cellStyle name="Comma 10 4 2 7" xfId="16384"/>
    <cellStyle name="Comma 10 4 2 8" xfId="16385"/>
    <cellStyle name="Comma 10 4 2 9" xfId="16386"/>
    <cellStyle name="Comma 10 4 3" xfId="16387"/>
    <cellStyle name="Comma 10 4 3 2" xfId="16388"/>
    <cellStyle name="Comma 10 4 3 2 2" xfId="16389"/>
    <cellStyle name="Comma 10 4 3 2 2 2" xfId="16390"/>
    <cellStyle name="Comma 10 4 3 2 2 3" xfId="16391"/>
    <cellStyle name="Comma 10 4 3 2 2 4" xfId="16392"/>
    <cellStyle name="Comma 10 4 3 2 2 5" xfId="16393"/>
    <cellStyle name="Comma 10 4 3 2 2 6" xfId="16394"/>
    <cellStyle name="Comma 10 4 3 2 3" xfId="16395"/>
    <cellStyle name="Comma 10 4 3 2 4" xfId="16396"/>
    <cellStyle name="Comma 10 4 3 2 5" xfId="16397"/>
    <cellStyle name="Comma 10 4 3 2 6" xfId="16398"/>
    <cellStyle name="Comma 10 4 3 2 7" xfId="16399"/>
    <cellStyle name="Comma 10 4 3 3" xfId="16400"/>
    <cellStyle name="Comma 10 4 3 3 2" xfId="16401"/>
    <cellStyle name="Comma 10 4 3 3 3" xfId="16402"/>
    <cellStyle name="Comma 10 4 3 3 4" xfId="16403"/>
    <cellStyle name="Comma 10 4 3 3 5" xfId="16404"/>
    <cellStyle name="Comma 10 4 3 3 6" xfId="16405"/>
    <cellStyle name="Comma 10 4 3 4" xfId="16406"/>
    <cellStyle name="Comma 10 4 3 5" xfId="16407"/>
    <cellStyle name="Comma 10 4 3 6" xfId="16408"/>
    <cellStyle name="Comma 10 4 3 7" xfId="16409"/>
    <cellStyle name="Comma 10 4 3 8" xfId="16410"/>
    <cellStyle name="Comma 10 4 4" xfId="16411"/>
    <cellStyle name="Comma 10 4 4 2" xfId="16412"/>
    <cellStyle name="Comma 10 4 4 2 2" xfId="16413"/>
    <cellStyle name="Comma 10 4 4 2 3" xfId="16414"/>
    <cellStyle name="Comma 10 4 4 2 4" xfId="16415"/>
    <cellStyle name="Comma 10 4 4 2 5" xfId="16416"/>
    <cellStyle name="Comma 10 4 4 2 6" xfId="16417"/>
    <cellStyle name="Comma 10 4 4 3" xfId="16418"/>
    <cellStyle name="Comma 10 4 4 4" xfId="16419"/>
    <cellStyle name="Comma 10 4 4 5" xfId="16420"/>
    <cellStyle name="Comma 10 4 4 6" xfId="16421"/>
    <cellStyle name="Comma 10 4 4 7" xfId="16422"/>
    <cellStyle name="Comma 10 4 5" xfId="16423"/>
    <cellStyle name="Comma 10 4 5 2" xfId="16424"/>
    <cellStyle name="Comma 10 4 5 3" xfId="16425"/>
    <cellStyle name="Comma 10 4 5 4" xfId="16426"/>
    <cellStyle name="Comma 10 4 5 5" xfId="16427"/>
    <cellStyle name="Comma 10 4 5 6" xfId="16428"/>
    <cellStyle name="Comma 10 4 6" xfId="16429"/>
    <cellStyle name="Comma 10 4 7" xfId="16430"/>
    <cellStyle name="Comma 10 4 8" xfId="16431"/>
    <cellStyle name="Comma 10 4 9" xfId="16432"/>
    <cellStyle name="Comma 10 5" xfId="16433"/>
    <cellStyle name="Comma 10 5 2" xfId="16434"/>
    <cellStyle name="Comma 10 5 2 2" xfId="16435"/>
    <cellStyle name="Comma 10 5 2 2 2" xfId="16436"/>
    <cellStyle name="Comma 10 5 2 2 2 2" xfId="16437"/>
    <cellStyle name="Comma 10 5 2 2 2 3" xfId="16438"/>
    <cellStyle name="Comma 10 5 2 2 2 4" xfId="16439"/>
    <cellStyle name="Comma 10 5 2 2 2 5" xfId="16440"/>
    <cellStyle name="Comma 10 5 2 2 2 6" xfId="16441"/>
    <cellStyle name="Comma 10 5 2 2 3" xfId="16442"/>
    <cellStyle name="Comma 10 5 2 2 4" xfId="16443"/>
    <cellStyle name="Comma 10 5 2 2 5" xfId="16444"/>
    <cellStyle name="Comma 10 5 2 2 6" xfId="16445"/>
    <cellStyle name="Comma 10 5 2 2 7" xfId="16446"/>
    <cellStyle name="Comma 10 5 2 3" xfId="16447"/>
    <cellStyle name="Comma 10 5 2 3 2" xfId="16448"/>
    <cellStyle name="Comma 10 5 2 3 3" xfId="16449"/>
    <cellStyle name="Comma 10 5 2 3 4" xfId="16450"/>
    <cellStyle name="Comma 10 5 2 3 5" xfId="16451"/>
    <cellStyle name="Comma 10 5 2 3 6" xfId="16452"/>
    <cellStyle name="Comma 10 5 2 4" xfId="16453"/>
    <cellStyle name="Comma 10 5 2 5" xfId="16454"/>
    <cellStyle name="Comma 10 5 2 6" xfId="16455"/>
    <cellStyle name="Comma 10 5 2 7" xfId="16456"/>
    <cellStyle name="Comma 10 5 2 8" xfId="16457"/>
    <cellStyle name="Comma 10 5 3" xfId="16458"/>
    <cellStyle name="Comma 10 5 3 2" xfId="16459"/>
    <cellStyle name="Comma 10 5 3 2 2" xfId="16460"/>
    <cellStyle name="Comma 10 5 3 2 3" xfId="16461"/>
    <cellStyle name="Comma 10 5 3 2 4" xfId="16462"/>
    <cellStyle name="Comma 10 5 3 2 5" xfId="16463"/>
    <cellStyle name="Comma 10 5 3 2 6" xfId="16464"/>
    <cellStyle name="Comma 10 5 3 3" xfId="16465"/>
    <cellStyle name="Comma 10 5 3 4" xfId="16466"/>
    <cellStyle name="Comma 10 5 3 5" xfId="16467"/>
    <cellStyle name="Comma 10 5 3 6" xfId="16468"/>
    <cellStyle name="Comma 10 5 3 7" xfId="16469"/>
    <cellStyle name="Comma 10 5 4" xfId="16470"/>
    <cellStyle name="Comma 10 5 4 2" xfId="16471"/>
    <cellStyle name="Comma 10 5 4 3" xfId="16472"/>
    <cellStyle name="Comma 10 5 4 4" xfId="16473"/>
    <cellStyle name="Comma 10 5 4 5" xfId="16474"/>
    <cellStyle name="Comma 10 5 4 6" xfId="16475"/>
    <cellStyle name="Comma 10 5 5" xfId="16476"/>
    <cellStyle name="Comma 10 5 6" xfId="16477"/>
    <cellStyle name="Comma 10 5 7" xfId="16478"/>
    <cellStyle name="Comma 10 5 8" xfId="16479"/>
    <cellStyle name="Comma 10 5 9" xfId="16480"/>
    <cellStyle name="Comma 100" xfId="16481"/>
    <cellStyle name="Comma 100 2" xfId="16482"/>
    <cellStyle name="Comma 100 2 2" xfId="16483"/>
    <cellStyle name="Comma 100 2 2 2" xfId="16484"/>
    <cellStyle name="Comma 100 2 2 2 2" xfId="16485"/>
    <cellStyle name="Comma 100 2 2 2 3" xfId="16486"/>
    <cellStyle name="Comma 100 2 2 2 4" xfId="16487"/>
    <cellStyle name="Comma 100 2 2 2 5" xfId="16488"/>
    <cellStyle name="Comma 100 2 2 2 6" xfId="16489"/>
    <cellStyle name="Comma 100 2 2 3" xfId="16490"/>
    <cellStyle name="Comma 100 2 2 4" xfId="16491"/>
    <cellStyle name="Comma 100 2 2 5" xfId="16492"/>
    <cellStyle name="Comma 100 2 2 6" xfId="16493"/>
    <cellStyle name="Comma 100 2 2 7" xfId="16494"/>
    <cellStyle name="Comma 100 2 3" xfId="16495"/>
    <cellStyle name="Comma 100 2 3 2" xfId="16496"/>
    <cellStyle name="Comma 100 2 3 3" xfId="16497"/>
    <cellStyle name="Comma 100 2 3 4" xfId="16498"/>
    <cellStyle name="Comma 100 2 3 5" xfId="16499"/>
    <cellStyle name="Comma 100 2 3 6" xfId="16500"/>
    <cellStyle name="Comma 100 2 4" xfId="16501"/>
    <cellStyle name="Comma 100 2 5" xfId="16502"/>
    <cellStyle name="Comma 100 2 6" xfId="16503"/>
    <cellStyle name="Comma 100 2 7" xfId="16504"/>
    <cellStyle name="Comma 100 2 8" xfId="16505"/>
    <cellStyle name="Comma 100 3" xfId="16506"/>
    <cellStyle name="Comma 100 3 2" xfId="16507"/>
    <cellStyle name="Comma 100 3 2 2" xfId="16508"/>
    <cellStyle name="Comma 100 3 2 3" xfId="16509"/>
    <cellStyle name="Comma 100 3 2 4" xfId="16510"/>
    <cellStyle name="Comma 100 3 2 5" xfId="16511"/>
    <cellStyle name="Comma 100 3 2 6" xfId="16512"/>
    <cellStyle name="Comma 100 3 3" xfId="16513"/>
    <cellStyle name="Comma 100 3 4" xfId="16514"/>
    <cellStyle name="Comma 100 3 5" xfId="16515"/>
    <cellStyle name="Comma 100 3 6" xfId="16516"/>
    <cellStyle name="Comma 100 3 7" xfId="16517"/>
    <cellStyle name="Comma 100 4" xfId="16518"/>
    <cellStyle name="Comma 100 4 2" xfId="16519"/>
    <cellStyle name="Comma 100 4 3" xfId="16520"/>
    <cellStyle name="Comma 100 4 4" xfId="16521"/>
    <cellStyle name="Comma 100 4 5" xfId="16522"/>
    <cellStyle name="Comma 100 4 6" xfId="16523"/>
    <cellStyle name="Comma 100 5" xfId="16524"/>
    <cellStyle name="Comma 100 6" xfId="16525"/>
    <cellStyle name="Comma 100 7" xfId="16526"/>
    <cellStyle name="Comma 100 8" xfId="16527"/>
    <cellStyle name="Comma 100 9" xfId="16528"/>
    <cellStyle name="Comma 101" xfId="16529"/>
    <cellStyle name="Comma 101 2" xfId="16530"/>
    <cellStyle name="Comma 101 2 2" xfId="16531"/>
    <cellStyle name="Comma 101 2 2 2" xfId="16532"/>
    <cellStyle name="Comma 101 2 2 2 2" xfId="16533"/>
    <cellStyle name="Comma 101 2 2 2 3" xfId="16534"/>
    <cellStyle name="Comma 101 2 2 2 4" xfId="16535"/>
    <cellStyle name="Comma 101 2 2 2 5" xfId="16536"/>
    <cellStyle name="Comma 101 2 2 2 6" xfId="16537"/>
    <cellStyle name="Comma 101 2 2 3" xfId="16538"/>
    <cellStyle name="Comma 101 2 2 4" xfId="16539"/>
    <cellStyle name="Comma 101 2 2 5" xfId="16540"/>
    <cellStyle name="Comma 101 2 2 6" xfId="16541"/>
    <cellStyle name="Comma 101 2 2 7" xfId="16542"/>
    <cellStyle name="Comma 101 2 3" xfId="16543"/>
    <cellStyle name="Comma 101 2 3 2" xfId="16544"/>
    <cellStyle name="Comma 101 2 3 3" xfId="16545"/>
    <cellStyle name="Comma 101 2 3 4" xfId="16546"/>
    <cellStyle name="Comma 101 2 3 5" xfId="16547"/>
    <cellStyle name="Comma 101 2 3 6" xfId="16548"/>
    <cellStyle name="Comma 101 2 4" xfId="16549"/>
    <cellStyle name="Comma 101 2 5" xfId="16550"/>
    <cellStyle name="Comma 101 2 6" xfId="16551"/>
    <cellStyle name="Comma 101 2 7" xfId="16552"/>
    <cellStyle name="Comma 101 2 8" xfId="16553"/>
    <cellStyle name="Comma 101 3" xfId="16554"/>
    <cellStyle name="Comma 101 3 2" xfId="16555"/>
    <cellStyle name="Comma 101 3 2 2" xfId="16556"/>
    <cellStyle name="Comma 101 3 2 3" xfId="16557"/>
    <cellStyle name="Comma 101 3 2 4" xfId="16558"/>
    <cellStyle name="Comma 101 3 2 5" xfId="16559"/>
    <cellStyle name="Comma 101 3 2 6" xfId="16560"/>
    <cellStyle name="Comma 101 3 3" xfId="16561"/>
    <cellStyle name="Comma 101 3 4" xfId="16562"/>
    <cellStyle name="Comma 101 3 5" xfId="16563"/>
    <cellStyle name="Comma 101 3 6" xfId="16564"/>
    <cellStyle name="Comma 101 3 7" xfId="16565"/>
    <cellStyle name="Comma 101 4" xfId="16566"/>
    <cellStyle name="Comma 101 4 2" xfId="16567"/>
    <cellStyle name="Comma 101 4 3" xfId="16568"/>
    <cellStyle name="Comma 101 4 4" xfId="16569"/>
    <cellStyle name="Comma 101 4 5" xfId="16570"/>
    <cellStyle name="Comma 101 4 6" xfId="16571"/>
    <cellStyle name="Comma 101 5" xfId="16572"/>
    <cellStyle name="Comma 101 6" xfId="16573"/>
    <cellStyle name="Comma 101 7" xfId="16574"/>
    <cellStyle name="Comma 101 8" xfId="16575"/>
    <cellStyle name="Comma 101 9" xfId="16576"/>
    <cellStyle name="Comma 102" xfId="16577"/>
    <cellStyle name="Comma 102 2" xfId="16578"/>
    <cellStyle name="Comma 102 2 2" xfId="16579"/>
    <cellStyle name="Comma 102 2 2 2" xfId="16580"/>
    <cellStyle name="Comma 102 2 2 2 2" xfId="16581"/>
    <cellStyle name="Comma 102 2 2 2 3" xfId="16582"/>
    <cellStyle name="Comma 102 2 2 2 4" xfId="16583"/>
    <cellStyle name="Comma 102 2 2 2 5" xfId="16584"/>
    <cellStyle name="Comma 102 2 2 2 6" xfId="16585"/>
    <cellStyle name="Comma 102 2 2 3" xfId="16586"/>
    <cellStyle name="Comma 102 2 2 4" xfId="16587"/>
    <cellStyle name="Comma 102 2 2 5" xfId="16588"/>
    <cellStyle name="Comma 102 2 2 6" xfId="16589"/>
    <cellStyle name="Comma 102 2 2 7" xfId="16590"/>
    <cellStyle name="Comma 102 2 3" xfId="16591"/>
    <cellStyle name="Comma 102 2 3 2" xfId="16592"/>
    <cellStyle name="Comma 102 2 3 3" xfId="16593"/>
    <cellStyle name="Comma 102 2 3 4" xfId="16594"/>
    <cellStyle name="Comma 102 2 3 5" xfId="16595"/>
    <cellStyle name="Comma 102 2 3 6" xfId="16596"/>
    <cellStyle name="Comma 102 2 4" xfId="16597"/>
    <cellStyle name="Comma 102 2 5" xfId="16598"/>
    <cellStyle name="Comma 102 2 6" xfId="16599"/>
    <cellStyle name="Comma 102 2 7" xfId="16600"/>
    <cellStyle name="Comma 102 2 8" xfId="16601"/>
    <cellStyle name="Comma 102 3" xfId="16602"/>
    <cellStyle name="Comma 102 3 2" xfId="16603"/>
    <cellStyle name="Comma 102 3 2 2" xfId="16604"/>
    <cellStyle name="Comma 102 3 2 3" xfId="16605"/>
    <cellStyle name="Comma 102 3 2 4" xfId="16606"/>
    <cellStyle name="Comma 102 3 2 5" xfId="16607"/>
    <cellStyle name="Comma 102 3 2 6" xfId="16608"/>
    <cellStyle name="Comma 102 3 3" xfId="16609"/>
    <cellStyle name="Comma 102 3 4" xfId="16610"/>
    <cellStyle name="Comma 102 3 5" xfId="16611"/>
    <cellStyle name="Comma 102 3 6" xfId="16612"/>
    <cellStyle name="Comma 102 3 7" xfId="16613"/>
    <cellStyle name="Comma 102 4" xfId="16614"/>
    <cellStyle name="Comma 102 4 2" xfId="16615"/>
    <cellStyle name="Comma 102 4 3" xfId="16616"/>
    <cellStyle name="Comma 102 4 4" xfId="16617"/>
    <cellStyle name="Comma 102 4 5" xfId="16618"/>
    <cellStyle name="Comma 102 4 6" xfId="16619"/>
    <cellStyle name="Comma 102 5" xfId="16620"/>
    <cellStyle name="Comma 102 6" xfId="16621"/>
    <cellStyle name="Comma 102 7" xfId="16622"/>
    <cellStyle name="Comma 102 8" xfId="16623"/>
    <cellStyle name="Comma 102 9" xfId="16624"/>
    <cellStyle name="Comma 103" xfId="16625"/>
    <cellStyle name="Comma 103 2" xfId="16626"/>
    <cellStyle name="Comma 103 2 2" xfId="16627"/>
    <cellStyle name="Comma 103 2 2 2" xfId="16628"/>
    <cellStyle name="Comma 103 2 2 2 2" xfId="16629"/>
    <cellStyle name="Comma 103 2 2 2 3" xfId="16630"/>
    <cellStyle name="Comma 103 2 2 2 4" xfId="16631"/>
    <cellStyle name="Comma 103 2 2 2 5" xfId="16632"/>
    <cellStyle name="Comma 103 2 2 2 6" xfId="16633"/>
    <cellStyle name="Comma 103 2 2 3" xfId="16634"/>
    <cellStyle name="Comma 103 2 2 4" xfId="16635"/>
    <cellStyle name="Comma 103 2 2 5" xfId="16636"/>
    <cellStyle name="Comma 103 2 2 6" xfId="16637"/>
    <cellStyle name="Comma 103 2 2 7" xfId="16638"/>
    <cellStyle name="Comma 103 2 3" xfId="16639"/>
    <cellStyle name="Comma 103 2 3 2" xfId="16640"/>
    <cellStyle name="Comma 103 2 3 3" xfId="16641"/>
    <cellStyle name="Comma 103 2 3 4" xfId="16642"/>
    <cellStyle name="Comma 103 2 3 5" xfId="16643"/>
    <cellStyle name="Comma 103 2 3 6" xfId="16644"/>
    <cellStyle name="Comma 103 2 4" xfId="16645"/>
    <cellStyle name="Comma 103 2 5" xfId="16646"/>
    <cellStyle name="Comma 103 2 6" xfId="16647"/>
    <cellStyle name="Comma 103 2 7" xfId="16648"/>
    <cellStyle name="Comma 103 2 8" xfId="16649"/>
    <cellStyle name="Comma 103 3" xfId="16650"/>
    <cellStyle name="Comma 103 3 2" xfId="16651"/>
    <cellStyle name="Comma 103 3 2 2" xfId="16652"/>
    <cellStyle name="Comma 103 3 2 3" xfId="16653"/>
    <cellStyle name="Comma 103 3 2 4" xfId="16654"/>
    <cellStyle name="Comma 103 3 2 5" xfId="16655"/>
    <cellStyle name="Comma 103 3 2 6" xfId="16656"/>
    <cellStyle name="Comma 103 3 3" xfId="16657"/>
    <cellStyle name="Comma 103 3 4" xfId="16658"/>
    <cellStyle name="Comma 103 3 5" xfId="16659"/>
    <cellStyle name="Comma 103 3 6" xfId="16660"/>
    <cellStyle name="Comma 103 3 7" xfId="16661"/>
    <cellStyle name="Comma 103 4" xfId="16662"/>
    <cellStyle name="Comma 103 4 2" xfId="16663"/>
    <cellStyle name="Comma 103 4 3" xfId="16664"/>
    <cellStyle name="Comma 103 4 4" xfId="16665"/>
    <cellStyle name="Comma 103 4 5" xfId="16666"/>
    <cellStyle name="Comma 103 4 6" xfId="16667"/>
    <cellStyle name="Comma 103 5" xfId="16668"/>
    <cellStyle name="Comma 103 6" xfId="16669"/>
    <cellStyle name="Comma 103 7" xfId="16670"/>
    <cellStyle name="Comma 103 8" xfId="16671"/>
    <cellStyle name="Comma 103 9" xfId="16672"/>
    <cellStyle name="Comma 104" xfId="16673"/>
    <cellStyle name="Comma 104 2" xfId="16674"/>
    <cellStyle name="Comma 104 2 2" xfId="16675"/>
    <cellStyle name="Comma 104 2 2 2" xfId="16676"/>
    <cellStyle name="Comma 104 2 2 2 2" xfId="16677"/>
    <cellStyle name="Comma 104 2 2 2 3" xfId="16678"/>
    <cellStyle name="Comma 104 2 2 2 4" xfId="16679"/>
    <cellStyle name="Comma 104 2 2 2 5" xfId="16680"/>
    <cellStyle name="Comma 104 2 2 2 6" xfId="16681"/>
    <cellStyle name="Comma 104 2 2 3" xfId="16682"/>
    <cellStyle name="Comma 104 2 2 4" xfId="16683"/>
    <cellStyle name="Comma 104 2 2 5" xfId="16684"/>
    <cellStyle name="Comma 104 2 2 6" xfId="16685"/>
    <cellStyle name="Comma 104 2 2 7" xfId="16686"/>
    <cellStyle name="Comma 104 2 3" xfId="16687"/>
    <cellStyle name="Comma 104 2 3 2" xfId="16688"/>
    <cellStyle name="Comma 104 2 3 3" xfId="16689"/>
    <cellStyle name="Comma 104 2 3 4" xfId="16690"/>
    <cellStyle name="Comma 104 2 3 5" xfId="16691"/>
    <cellStyle name="Comma 104 2 3 6" xfId="16692"/>
    <cellStyle name="Comma 104 2 4" xfId="16693"/>
    <cellStyle name="Comma 104 2 5" xfId="16694"/>
    <cellStyle name="Comma 104 2 6" xfId="16695"/>
    <cellStyle name="Comma 104 2 7" xfId="16696"/>
    <cellStyle name="Comma 104 2 8" xfId="16697"/>
    <cellStyle name="Comma 104 3" xfId="16698"/>
    <cellStyle name="Comma 104 3 2" xfId="16699"/>
    <cellStyle name="Comma 104 3 2 2" xfId="16700"/>
    <cellStyle name="Comma 104 3 2 3" xfId="16701"/>
    <cellStyle name="Comma 104 3 2 4" xfId="16702"/>
    <cellStyle name="Comma 104 3 2 5" xfId="16703"/>
    <cellStyle name="Comma 104 3 2 6" xfId="16704"/>
    <cellStyle name="Comma 104 3 3" xfId="16705"/>
    <cellStyle name="Comma 104 3 4" xfId="16706"/>
    <cellStyle name="Comma 104 3 5" xfId="16707"/>
    <cellStyle name="Comma 104 3 6" xfId="16708"/>
    <cellStyle name="Comma 104 3 7" xfId="16709"/>
    <cellStyle name="Comma 104 4" xfId="16710"/>
    <cellStyle name="Comma 104 4 2" xfId="16711"/>
    <cellStyle name="Comma 104 4 3" xfId="16712"/>
    <cellStyle name="Comma 104 4 4" xfId="16713"/>
    <cellStyle name="Comma 104 4 5" xfId="16714"/>
    <cellStyle name="Comma 104 4 6" xfId="16715"/>
    <cellStyle name="Comma 104 5" xfId="16716"/>
    <cellStyle name="Comma 104 6" xfId="16717"/>
    <cellStyle name="Comma 104 7" xfId="16718"/>
    <cellStyle name="Comma 104 8" xfId="16719"/>
    <cellStyle name="Comma 104 9" xfId="16720"/>
    <cellStyle name="Comma 105" xfId="16721"/>
    <cellStyle name="Comma 105 2" xfId="16722"/>
    <cellStyle name="Comma 105 2 2" xfId="16723"/>
    <cellStyle name="Comma 105 2 2 2" xfId="16724"/>
    <cellStyle name="Comma 105 2 2 2 2" xfId="16725"/>
    <cellStyle name="Comma 105 2 2 2 3" xfId="16726"/>
    <cellStyle name="Comma 105 2 2 2 4" xfId="16727"/>
    <cellStyle name="Comma 105 2 2 2 5" xfId="16728"/>
    <cellStyle name="Comma 105 2 2 2 6" xfId="16729"/>
    <cellStyle name="Comma 105 2 2 3" xfId="16730"/>
    <cellStyle name="Comma 105 2 2 4" xfId="16731"/>
    <cellStyle name="Comma 105 2 2 5" xfId="16732"/>
    <cellStyle name="Comma 105 2 2 6" xfId="16733"/>
    <cellStyle name="Comma 105 2 2 7" xfId="16734"/>
    <cellStyle name="Comma 105 2 3" xfId="16735"/>
    <cellStyle name="Comma 105 2 3 2" xfId="16736"/>
    <cellStyle name="Comma 105 2 3 3" xfId="16737"/>
    <cellStyle name="Comma 105 2 3 4" xfId="16738"/>
    <cellStyle name="Comma 105 2 3 5" xfId="16739"/>
    <cellStyle name="Comma 105 2 3 6" xfId="16740"/>
    <cellStyle name="Comma 105 2 4" xfId="16741"/>
    <cellStyle name="Comma 105 2 5" xfId="16742"/>
    <cellStyle name="Comma 105 2 6" xfId="16743"/>
    <cellStyle name="Comma 105 2 7" xfId="16744"/>
    <cellStyle name="Comma 105 2 8" xfId="16745"/>
    <cellStyle name="Comma 105 3" xfId="16746"/>
    <cellStyle name="Comma 105 3 2" xfId="16747"/>
    <cellStyle name="Comma 105 3 2 2" xfId="16748"/>
    <cellStyle name="Comma 105 3 2 3" xfId="16749"/>
    <cellStyle name="Comma 105 3 2 4" xfId="16750"/>
    <cellStyle name="Comma 105 3 2 5" xfId="16751"/>
    <cellStyle name="Comma 105 3 2 6" xfId="16752"/>
    <cellStyle name="Comma 105 3 3" xfId="16753"/>
    <cellStyle name="Comma 105 3 4" xfId="16754"/>
    <cellStyle name="Comma 105 3 5" xfId="16755"/>
    <cellStyle name="Comma 105 3 6" xfId="16756"/>
    <cellStyle name="Comma 105 3 7" xfId="16757"/>
    <cellStyle name="Comma 105 4" xfId="16758"/>
    <cellStyle name="Comma 105 4 2" xfId="16759"/>
    <cellStyle name="Comma 105 4 3" xfId="16760"/>
    <cellStyle name="Comma 105 4 4" xfId="16761"/>
    <cellStyle name="Comma 105 4 5" xfId="16762"/>
    <cellStyle name="Comma 105 4 6" xfId="16763"/>
    <cellStyle name="Comma 105 5" xfId="16764"/>
    <cellStyle name="Comma 105 6" xfId="16765"/>
    <cellStyle name="Comma 105 7" xfId="16766"/>
    <cellStyle name="Comma 105 8" xfId="16767"/>
    <cellStyle name="Comma 105 9" xfId="16768"/>
    <cellStyle name="Comma 106" xfId="16769"/>
    <cellStyle name="Comma 106 2" xfId="16770"/>
    <cellStyle name="Comma 106 2 2" xfId="16771"/>
    <cellStyle name="Comma 106 2 2 2" xfId="16772"/>
    <cellStyle name="Comma 106 2 2 2 2" xfId="16773"/>
    <cellStyle name="Comma 106 2 2 2 3" xfId="16774"/>
    <cellStyle name="Comma 106 2 2 2 4" xfId="16775"/>
    <cellStyle name="Comma 106 2 2 2 5" xfId="16776"/>
    <cellStyle name="Comma 106 2 2 2 6" xfId="16777"/>
    <cellStyle name="Comma 106 2 2 3" xfId="16778"/>
    <cellStyle name="Comma 106 2 2 4" xfId="16779"/>
    <cellStyle name="Comma 106 2 2 5" xfId="16780"/>
    <cellStyle name="Comma 106 2 2 6" xfId="16781"/>
    <cellStyle name="Comma 106 2 2 7" xfId="16782"/>
    <cellStyle name="Comma 106 2 3" xfId="16783"/>
    <cellStyle name="Comma 106 2 3 2" xfId="16784"/>
    <cellStyle name="Comma 106 2 3 3" xfId="16785"/>
    <cellStyle name="Comma 106 2 3 4" xfId="16786"/>
    <cellStyle name="Comma 106 2 3 5" xfId="16787"/>
    <cellStyle name="Comma 106 2 3 6" xfId="16788"/>
    <cellStyle name="Comma 106 2 4" xfId="16789"/>
    <cellStyle name="Comma 106 2 5" xfId="16790"/>
    <cellStyle name="Comma 106 2 6" xfId="16791"/>
    <cellStyle name="Comma 106 2 7" xfId="16792"/>
    <cellStyle name="Comma 106 2 8" xfId="16793"/>
    <cellStyle name="Comma 106 3" xfId="16794"/>
    <cellStyle name="Comma 106 3 2" xfId="16795"/>
    <cellStyle name="Comma 106 3 2 2" xfId="16796"/>
    <cellStyle name="Comma 106 3 2 3" xfId="16797"/>
    <cellStyle name="Comma 106 3 2 4" xfId="16798"/>
    <cellStyle name="Comma 106 3 2 5" xfId="16799"/>
    <cellStyle name="Comma 106 3 2 6" xfId="16800"/>
    <cellStyle name="Comma 106 3 3" xfId="16801"/>
    <cellStyle name="Comma 106 3 4" xfId="16802"/>
    <cellStyle name="Comma 106 3 5" xfId="16803"/>
    <cellStyle name="Comma 106 3 6" xfId="16804"/>
    <cellStyle name="Comma 106 3 7" xfId="16805"/>
    <cellStyle name="Comma 106 4" xfId="16806"/>
    <cellStyle name="Comma 106 4 2" xfId="16807"/>
    <cellStyle name="Comma 106 4 3" xfId="16808"/>
    <cellStyle name="Comma 106 4 4" xfId="16809"/>
    <cellStyle name="Comma 106 4 5" xfId="16810"/>
    <cellStyle name="Comma 106 4 6" xfId="16811"/>
    <cellStyle name="Comma 106 5" xfId="16812"/>
    <cellStyle name="Comma 106 6" xfId="16813"/>
    <cellStyle name="Comma 106 7" xfId="16814"/>
    <cellStyle name="Comma 106 8" xfId="16815"/>
    <cellStyle name="Comma 106 9" xfId="16816"/>
    <cellStyle name="Comma 107" xfId="16817"/>
    <cellStyle name="Comma 107 2" xfId="16818"/>
    <cellStyle name="Comma 107 2 2" xfId="16819"/>
    <cellStyle name="Comma 107 2 2 2" xfId="16820"/>
    <cellStyle name="Comma 107 2 2 2 2" xfId="16821"/>
    <cellStyle name="Comma 107 2 2 2 3" xfId="16822"/>
    <cellStyle name="Comma 107 2 2 2 4" xfId="16823"/>
    <cellStyle name="Comma 107 2 2 2 5" xfId="16824"/>
    <cellStyle name="Comma 107 2 2 2 6" xfId="16825"/>
    <cellStyle name="Comma 107 2 2 3" xfId="16826"/>
    <cellStyle name="Comma 107 2 2 4" xfId="16827"/>
    <cellStyle name="Comma 107 2 2 5" xfId="16828"/>
    <cellStyle name="Comma 107 2 2 6" xfId="16829"/>
    <cellStyle name="Comma 107 2 2 7" xfId="16830"/>
    <cellStyle name="Comma 107 2 3" xfId="16831"/>
    <cellStyle name="Comma 107 2 3 2" xfId="16832"/>
    <cellStyle name="Comma 107 2 3 3" xfId="16833"/>
    <cellStyle name="Comma 107 2 3 4" xfId="16834"/>
    <cellStyle name="Comma 107 2 3 5" xfId="16835"/>
    <cellStyle name="Comma 107 2 3 6" xfId="16836"/>
    <cellStyle name="Comma 107 2 4" xfId="16837"/>
    <cellStyle name="Comma 107 2 5" xfId="16838"/>
    <cellStyle name="Comma 107 2 6" xfId="16839"/>
    <cellStyle name="Comma 107 2 7" xfId="16840"/>
    <cellStyle name="Comma 107 2 8" xfId="16841"/>
    <cellStyle name="Comma 107 3" xfId="16842"/>
    <cellStyle name="Comma 107 3 2" xfId="16843"/>
    <cellStyle name="Comma 107 3 2 2" xfId="16844"/>
    <cellStyle name="Comma 107 3 2 3" xfId="16845"/>
    <cellStyle name="Comma 107 3 2 4" xfId="16846"/>
    <cellStyle name="Comma 107 3 2 5" xfId="16847"/>
    <cellStyle name="Comma 107 3 2 6" xfId="16848"/>
    <cellStyle name="Comma 107 3 3" xfId="16849"/>
    <cellStyle name="Comma 107 3 4" xfId="16850"/>
    <cellStyle name="Comma 107 3 5" xfId="16851"/>
    <cellStyle name="Comma 107 3 6" xfId="16852"/>
    <cellStyle name="Comma 107 3 7" xfId="16853"/>
    <cellStyle name="Comma 107 4" xfId="16854"/>
    <cellStyle name="Comma 107 4 2" xfId="16855"/>
    <cellStyle name="Comma 107 4 3" xfId="16856"/>
    <cellStyle name="Comma 107 4 4" xfId="16857"/>
    <cellStyle name="Comma 107 4 5" xfId="16858"/>
    <cellStyle name="Comma 107 4 6" xfId="16859"/>
    <cellStyle name="Comma 107 5" xfId="16860"/>
    <cellStyle name="Comma 107 6" xfId="16861"/>
    <cellStyle name="Comma 107 7" xfId="16862"/>
    <cellStyle name="Comma 107 8" xfId="16863"/>
    <cellStyle name="Comma 107 9" xfId="16864"/>
    <cellStyle name="Comma 108" xfId="16865"/>
    <cellStyle name="Comma 108 2" xfId="16866"/>
    <cellStyle name="Comma 108 2 2" xfId="16867"/>
    <cellStyle name="Comma 108 2 2 2" xfId="16868"/>
    <cellStyle name="Comma 108 2 2 2 2" xfId="16869"/>
    <cellStyle name="Comma 108 2 2 2 3" xfId="16870"/>
    <cellStyle name="Comma 108 2 2 2 4" xfId="16871"/>
    <cellStyle name="Comma 108 2 2 2 5" xfId="16872"/>
    <cellStyle name="Comma 108 2 2 2 6" xfId="16873"/>
    <cellStyle name="Comma 108 2 2 3" xfId="16874"/>
    <cellStyle name="Comma 108 2 2 4" xfId="16875"/>
    <cellStyle name="Comma 108 2 2 5" xfId="16876"/>
    <cellStyle name="Comma 108 2 2 6" xfId="16877"/>
    <cellStyle name="Comma 108 2 2 7" xfId="16878"/>
    <cellStyle name="Comma 108 2 3" xfId="16879"/>
    <cellStyle name="Comma 108 2 3 2" xfId="16880"/>
    <cellStyle name="Comma 108 2 3 3" xfId="16881"/>
    <cellStyle name="Comma 108 2 3 4" xfId="16882"/>
    <cellStyle name="Comma 108 2 3 5" xfId="16883"/>
    <cellStyle name="Comma 108 2 3 6" xfId="16884"/>
    <cellStyle name="Comma 108 2 4" xfId="16885"/>
    <cellStyle name="Comma 108 2 5" xfId="16886"/>
    <cellStyle name="Comma 108 2 6" xfId="16887"/>
    <cellStyle name="Comma 108 2 7" xfId="16888"/>
    <cellStyle name="Comma 108 2 8" xfId="16889"/>
    <cellStyle name="Comma 108 3" xfId="16890"/>
    <cellStyle name="Comma 108 3 2" xfId="16891"/>
    <cellStyle name="Comma 108 3 2 2" xfId="16892"/>
    <cellStyle name="Comma 108 3 2 3" xfId="16893"/>
    <cellStyle name="Comma 108 3 2 4" xfId="16894"/>
    <cellStyle name="Comma 108 3 2 5" xfId="16895"/>
    <cellStyle name="Comma 108 3 2 6" xfId="16896"/>
    <cellStyle name="Comma 108 3 3" xfId="16897"/>
    <cellStyle name="Comma 108 3 4" xfId="16898"/>
    <cellStyle name="Comma 108 3 5" xfId="16899"/>
    <cellStyle name="Comma 108 3 6" xfId="16900"/>
    <cellStyle name="Comma 108 3 7" xfId="16901"/>
    <cellStyle name="Comma 108 4" xfId="16902"/>
    <cellStyle name="Comma 108 4 2" xfId="16903"/>
    <cellStyle name="Comma 108 4 3" xfId="16904"/>
    <cellStyle name="Comma 108 4 4" xfId="16905"/>
    <cellStyle name="Comma 108 4 5" xfId="16906"/>
    <cellStyle name="Comma 108 4 6" xfId="16907"/>
    <cellStyle name="Comma 108 5" xfId="16908"/>
    <cellStyle name="Comma 108 6" xfId="16909"/>
    <cellStyle name="Comma 108 7" xfId="16910"/>
    <cellStyle name="Comma 108 8" xfId="16911"/>
    <cellStyle name="Comma 108 9" xfId="16912"/>
    <cellStyle name="Comma 109" xfId="16913"/>
    <cellStyle name="Comma 109 2" xfId="16914"/>
    <cellStyle name="Comma 109 2 2" xfId="16915"/>
    <cellStyle name="Comma 109 2 2 2" xfId="16916"/>
    <cellStyle name="Comma 109 2 2 2 2" xfId="16917"/>
    <cellStyle name="Comma 109 2 2 2 3" xfId="16918"/>
    <cellStyle name="Comma 109 2 2 2 4" xfId="16919"/>
    <cellStyle name="Comma 109 2 2 2 5" xfId="16920"/>
    <cellStyle name="Comma 109 2 2 2 6" xfId="16921"/>
    <cellStyle name="Comma 109 2 2 3" xfId="16922"/>
    <cellStyle name="Comma 109 2 2 4" xfId="16923"/>
    <cellStyle name="Comma 109 2 2 5" xfId="16924"/>
    <cellStyle name="Comma 109 2 2 6" xfId="16925"/>
    <cellStyle name="Comma 109 2 2 7" xfId="16926"/>
    <cellStyle name="Comma 109 2 3" xfId="16927"/>
    <cellStyle name="Comma 109 2 3 2" xfId="16928"/>
    <cellStyle name="Comma 109 2 3 3" xfId="16929"/>
    <cellStyle name="Comma 109 2 3 4" xfId="16930"/>
    <cellStyle name="Comma 109 2 3 5" xfId="16931"/>
    <cellStyle name="Comma 109 2 3 6" xfId="16932"/>
    <cellStyle name="Comma 109 2 4" xfId="16933"/>
    <cellStyle name="Comma 109 2 5" xfId="16934"/>
    <cellStyle name="Comma 109 2 6" xfId="16935"/>
    <cellStyle name="Comma 109 2 7" xfId="16936"/>
    <cellStyle name="Comma 109 2 8" xfId="16937"/>
    <cellStyle name="Comma 109 3" xfId="16938"/>
    <cellStyle name="Comma 109 3 2" xfId="16939"/>
    <cellStyle name="Comma 109 3 2 2" xfId="16940"/>
    <cellStyle name="Comma 109 3 2 3" xfId="16941"/>
    <cellStyle name="Comma 109 3 2 4" xfId="16942"/>
    <cellStyle name="Comma 109 3 2 5" xfId="16943"/>
    <cellStyle name="Comma 109 3 2 6" xfId="16944"/>
    <cellStyle name="Comma 109 3 3" xfId="16945"/>
    <cellStyle name="Comma 109 3 4" xfId="16946"/>
    <cellStyle name="Comma 109 3 5" xfId="16947"/>
    <cellStyle name="Comma 109 3 6" xfId="16948"/>
    <cellStyle name="Comma 109 3 7" xfId="16949"/>
    <cellStyle name="Comma 109 4" xfId="16950"/>
    <cellStyle name="Comma 109 4 2" xfId="16951"/>
    <cellStyle name="Comma 109 4 3" xfId="16952"/>
    <cellStyle name="Comma 109 4 4" xfId="16953"/>
    <cellStyle name="Comma 109 4 5" xfId="16954"/>
    <cellStyle name="Comma 109 4 6" xfId="16955"/>
    <cellStyle name="Comma 109 5" xfId="16956"/>
    <cellStyle name="Comma 109 6" xfId="16957"/>
    <cellStyle name="Comma 109 7" xfId="16958"/>
    <cellStyle name="Comma 109 8" xfId="16959"/>
    <cellStyle name="Comma 109 9" xfId="16960"/>
    <cellStyle name="Comma 11" xfId="16961"/>
    <cellStyle name="Comma 110" xfId="16962"/>
    <cellStyle name="Comma 111" xfId="16963"/>
    <cellStyle name="Comma 112" xfId="16964"/>
    <cellStyle name="Comma 113" xfId="16965"/>
    <cellStyle name="Comma 113 2" xfId="16966"/>
    <cellStyle name="Comma 113 2 2" xfId="16967"/>
    <cellStyle name="Comma 113 2 2 2" xfId="16968"/>
    <cellStyle name="Comma 113 2 2 2 2" xfId="16969"/>
    <cellStyle name="Comma 113 2 2 2 3" xfId="16970"/>
    <cellStyle name="Comma 113 2 2 2 4" xfId="16971"/>
    <cellStyle name="Comma 113 2 2 2 5" xfId="16972"/>
    <cellStyle name="Comma 113 2 2 2 6" xfId="16973"/>
    <cellStyle name="Comma 113 2 2 3" xfId="16974"/>
    <cellStyle name="Comma 113 2 2 4" xfId="16975"/>
    <cellStyle name="Comma 113 2 2 5" xfId="16976"/>
    <cellStyle name="Comma 113 2 2 6" xfId="16977"/>
    <cellStyle name="Comma 113 2 2 7" xfId="16978"/>
    <cellStyle name="Comma 113 2 3" xfId="16979"/>
    <cellStyle name="Comma 113 2 3 2" xfId="16980"/>
    <cellStyle name="Comma 113 2 3 3" xfId="16981"/>
    <cellStyle name="Comma 113 2 3 4" xfId="16982"/>
    <cellStyle name="Comma 113 2 3 5" xfId="16983"/>
    <cellStyle name="Comma 113 2 3 6" xfId="16984"/>
    <cellStyle name="Comma 113 2 4" xfId="16985"/>
    <cellStyle name="Comma 113 2 5" xfId="16986"/>
    <cellStyle name="Comma 113 2 6" xfId="16987"/>
    <cellStyle name="Comma 113 2 7" xfId="16988"/>
    <cellStyle name="Comma 113 2 8" xfId="16989"/>
    <cellStyle name="Comma 113 3" xfId="16990"/>
    <cellStyle name="Comma 113 3 2" xfId="16991"/>
    <cellStyle name="Comma 113 3 2 2" xfId="16992"/>
    <cellStyle name="Comma 113 3 2 3" xfId="16993"/>
    <cellStyle name="Comma 113 3 2 4" xfId="16994"/>
    <cellStyle name="Comma 113 3 2 5" xfId="16995"/>
    <cellStyle name="Comma 113 3 2 6" xfId="16996"/>
    <cellStyle name="Comma 113 3 3" xfId="16997"/>
    <cellStyle name="Comma 113 3 4" xfId="16998"/>
    <cellStyle name="Comma 113 3 5" xfId="16999"/>
    <cellStyle name="Comma 113 3 6" xfId="17000"/>
    <cellStyle name="Comma 113 3 7" xfId="17001"/>
    <cellStyle name="Comma 113 4" xfId="17002"/>
    <cellStyle name="Comma 113 4 2" xfId="17003"/>
    <cellStyle name="Comma 113 4 3" xfId="17004"/>
    <cellStyle name="Comma 113 4 4" xfId="17005"/>
    <cellStyle name="Comma 113 4 5" xfId="17006"/>
    <cellStyle name="Comma 113 4 6" xfId="17007"/>
    <cellStyle name="Comma 113 5" xfId="17008"/>
    <cellStyle name="Comma 113 6" xfId="17009"/>
    <cellStyle name="Comma 113 7" xfId="17010"/>
    <cellStyle name="Comma 113 8" xfId="17011"/>
    <cellStyle name="Comma 113 9" xfId="17012"/>
    <cellStyle name="Comma 114" xfId="17013"/>
    <cellStyle name="Comma 114 2" xfId="17014"/>
    <cellStyle name="Comma 114 2 2" xfId="17015"/>
    <cellStyle name="Comma 114 2 2 2" xfId="17016"/>
    <cellStyle name="Comma 114 2 2 2 2" xfId="17017"/>
    <cellStyle name="Comma 114 2 2 2 3" xfId="17018"/>
    <cellStyle name="Comma 114 2 2 2 4" xfId="17019"/>
    <cellStyle name="Comma 114 2 2 2 5" xfId="17020"/>
    <cellStyle name="Comma 114 2 2 2 6" xfId="17021"/>
    <cellStyle name="Comma 114 2 2 3" xfId="17022"/>
    <cellStyle name="Comma 114 2 2 4" xfId="17023"/>
    <cellStyle name="Comma 114 2 2 5" xfId="17024"/>
    <cellStyle name="Comma 114 2 2 6" xfId="17025"/>
    <cellStyle name="Comma 114 2 2 7" xfId="17026"/>
    <cellStyle name="Comma 114 2 3" xfId="17027"/>
    <cellStyle name="Comma 114 2 3 2" xfId="17028"/>
    <cellStyle name="Comma 114 2 3 3" xfId="17029"/>
    <cellStyle name="Comma 114 2 3 4" xfId="17030"/>
    <cellStyle name="Comma 114 2 3 5" xfId="17031"/>
    <cellStyle name="Comma 114 2 3 6" xfId="17032"/>
    <cellStyle name="Comma 114 2 4" xfId="17033"/>
    <cellStyle name="Comma 114 2 5" xfId="17034"/>
    <cellStyle name="Comma 114 2 6" xfId="17035"/>
    <cellStyle name="Comma 114 2 7" xfId="17036"/>
    <cellStyle name="Comma 114 2 8" xfId="17037"/>
    <cellStyle name="Comma 114 3" xfId="17038"/>
    <cellStyle name="Comma 114 3 2" xfId="17039"/>
    <cellStyle name="Comma 114 3 2 2" xfId="17040"/>
    <cellStyle name="Comma 114 3 2 3" xfId="17041"/>
    <cellStyle name="Comma 114 3 2 4" xfId="17042"/>
    <cellStyle name="Comma 114 3 2 5" xfId="17043"/>
    <cellStyle name="Comma 114 3 2 6" xfId="17044"/>
    <cellStyle name="Comma 114 3 3" xfId="17045"/>
    <cellStyle name="Comma 114 3 4" xfId="17046"/>
    <cellStyle name="Comma 114 3 5" xfId="17047"/>
    <cellStyle name="Comma 114 3 6" xfId="17048"/>
    <cellStyle name="Comma 114 3 7" xfId="17049"/>
    <cellStyle name="Comma 114 4" xfId="17050"/>
    <cellStyle name="Comma 114 4 2" xfId="17051"/>
    <cellStyle name="Comma 114 4 3" xfId="17052"/>
    <cellStyle name="Comma 114 4 4" xfId="17053"/>
    <cellStyle name="Comma 114 4 5" xfId="17054"/>
    <cellStyle name="Comma 114 4 6" xfId="17055"/>
    <cellStyle name="Comma 114 5" xfId="17056"/>
    <cellStyle name="Comma 114 6" xfId="17057"/>
    <cellStyle name="Comma 114 7" xfId="17058"/>
    <cellStyle name="Comma 114 8" xfId="17059"/>
    <cellStyle name="Comma 114 9" xfId="17060"/>
    <cellStyle name="Comma 115" xfId="17061"/>
    <cellStyle name="Comma 115 2" xfId="17062"/>
    <cellStyle name="Comma 115 2 2" xfId="17063"/>
    <cellStyle name="Comma 115 2 2 2" xfId="17064"/>
    <cellStyle name="Comma 115 2 2 2 2" xfId="17065"/>
    <cellStyle name="Comma 115 2 2 2 3" xfId="17066"/>
    <cellStyle name="Comma 115 2 2 2 4" xfId="17067"/>
    <cellStyle name="Comma 115 2 2 2 5" xfId="17068"/>
    <cellStyle name="Comma 115 2 2 2 6" xfId="17069"/>
    <cellStyle name="Comma 115 2 2 3" xfId="17070"/>
    <cellStyle name="Comma 115 2 2 4" xfId="17071"/>
    <cellStyle name="Comma 115 2 2 5" xfId="17072"/>
    <cellStyle name="Comma 115 2 2 6" xfId="17073"/>
    <cellStyle name="Comma 115 2 2 7" xfId="17074"/>
    <cellStyle name="Comma 115 2 3" xfId="17075"/>
    <cellStyle name="Comma 115 2 3 2" xfId="17076"/>
    <cellStyle name="Comma 115 2 3 3" xfId="17077"/>
    <cellStyle name="Comma 115 2 3 4" xfId="17078"/>
    <cellStyle name="Comma 115 2 3 5" xfId="17079"/>
    <cellStyle name="Comma 115 2 3 6" xfId="17080"/>
    <cellStyle name="Comma 115 2 4" xfId="17081"/>
    <cellStyle name="Comma 115 2 5" xfId="17082"/>
    <cellStyle name="Comma 115 2 6" xfId="17083"/>
    <cellStyle name="Comma 115 2 7" xfId="17084"/>
    <cellStyle name="Comma 115 2 8" xfId="17085"/>
    <cellStyle name="Comma 115 3" xfId="17086"/>
    <cellStyle name="Comma 115 3 2" xfId="17087"/>
    <cellStyle name="Comma 115 3 2 2" xfId="17088"/>
    <cellStyle name="Comma 115 3 2 3" xfId="17089"/>
    <cellStyle name="Comma 115 3 2 4" xfId="17090"/>
    <cellStyle name="Comma 115 3 2 5" xfId="17091"/>
    <cellStyle name="Comma 115 3 2 6" xfId="17092"/>
    <cellStyle name="Comma 115 3 3" xfId="17093"/>
    <cellStyle name="Comma 115 3 4" xfId="17094"/>
    <cellStyle name="Comma 115 3 5" xfId="17095"/>
    <cellStyle name="Comma 115 3 6" xfId="17096"/>
    <cellStyle name="Comma 115 3 7" xfId="17097"/>
    <cellStyle name="Comma 115 4" xfId="17098"/>
    <cellStyle name="Comma 115 4 2" xfId="17099"/>
    <cellStyle name="Comma 115 4 3" xfId="17100"/>
    <cellStyle name="Comma 115 4 4" xfId="17101"/>
    <cellStyle name="Comma 115 4 5" xfId="17102"/>
    <cellStyle name="Comma 115 4 6" xfId="17103"/>
    <cellStyle name="Comma 115 5" xfId="17104"/>
    <cellStyle name="Comma 115 6" xfId="17105"/>
    <cellStyle name="Comma 115 7" xfId="17106"/>
    <cellStyle name="Comma 115 8" xfId="17107"/>
    <cellStyle name="Comma 115 9" xfId="17108"/>
    <cellStyle name="Comma 116" xfId="17109"/>
    <cellStyle name="Comma 116 2" xfId="17110"/>
    <cellStyle name="Comma 116 2 2" xfId="17111"/>
    <cellStyle name="Comma 116 2 2 2" xfId="17112"/>
    <cellStyle name="Comma 116 2 2 3" xfId="17113"/>
    <cellStyle name="Comma 116 2 2 4" xfId="17114"/>
    <cellStyle name="Comma 116 2 2 5" xfId="17115"/>
    <cellStyle name="Comma 116 2 2 6" xfId="17116"/>
    <cellStyle name="Comma 116 2 3" xfId="17117"/>
    <cellStyle name="Comma 116 2 4" xfId="17118"/>
    <cellStyle name="Comma 116 2 5" xfId="17119"/>
    <cellStyle name="Comma 116 2 6" xfId="17120"/>
    <cellStyle name="Comma 116 2 7" xfId="17121"/>
    <cellStyle name="Comma 116 3" xfId="17122"/>
    <cellStyle name="Comma 116 3 2" xfId="17123"/>
    <cellStyle name="Comma 116 3 3" xfId="17124"/>
    <cellStyle name="Comma 116 3 4" xfId="17125"/>
    <cellStyle name="Comma 116 3 5" xfId="17126"/>
    <cellStyle name="Comma 116 3 6" xfId="17127"/>
    <cellStyle name="Comma 116 4" xfId="17128"/>
    <cellStyle name="Comma 116 5" xfId="17129"/>
    <cellStyle name="Comma 116 6" xfId="17130"/>
    <cellStyle name="Comma 116 7" xfId="17131"/>
    <cellStyle name="Comma 116 8" xfId="17132"/>
    <cellStyle name="Comma 117" xfId="17133"/>
    <cellStyle name="Comma 117 2" xfId="17134"/>
    <cellStyle name="Comma 117 2 2" xfId="17135"/>
    <cellStyle name="Comma 117 2 2 2" xfId="17136"/>
    <cellStyle name="Comma 117 2 2 3" xfId="17137"/>
    <cellStyle name="Comma 117 2 2 4" xfId="17138"/>
    <cellStyle name="Comma 117 2 2 5" xfId="17139"/>
    <cellStyle name="Comma 117 2 2 6" xfId="17140"/>
    <cellStyle name="Comma 117 2 3" xfId="17141"/>
    <cellStyle name="Comma 117 2 4" xfId="17142"/>
    <cellStyle name="Comma 117 2 5" xfId="17143"/>
    <cellStyle name="Comma 117 2 6" xfId="17144"/>
    <cellStyle name="Comma 117 2 7" xfId="17145"/>
    <cellStyle name="Comma 117 3" xfId="17146"/>
    <cellStyle name="Comma 117 3 2" xfId="17147"/>
    <cellStyle name="Comma 117 3 3" xfId="17148"/>
    <cellStyle name="Comma 117 3 4" xfId="17149"/>
    <cellStyle name="Comma 117 3 5" xfId="17150"/>
    <cellStyle name="Comma 117 3 6" xfId="17151"/>
    <cellStyle name="Comma 117 4" xfId="17152"/>
    <cellStyle name="Comma 117 5" xfId="17153"/>
    <cellStyle name="Comma 117 6" xfId="17154"/>
    <cellStyle name="Comma 117 7" xfId="17155"/>
    <cellStyle name="Comma 117 8" xfId="17156"/>
    <cellStyle name="Comma 118" xfId="17157"/>
    <cellStyle name="Comma 118 2" xfId="17158"/>
    <cellStyle name="Comma 118 2 2" xfId="17159"/>
    <cellStyle name="Comma 118 2 2 2" xfId="17160"/>
    <cellStyle name="Comma 118 2 2 3" xfId="17161"/>
    <cellStyle name="Comma 118 2 2 4" xfId="17162"/>
    <cellStyle name="Comma 118 2 2 5" xfId="17163"/>
    <cellStyle name="Comma 118 2 2 6" xfId="17164"/>
    <cellStyle name="Comma 118 2 3" xfId="17165"/>
    <cellStyle name="Comma 118 2 4" xfId="17166"/>
    <cellStyle name="Comma 118 2 5" xfId="17167"/>
    <cellStyle name="Comma 118 2 6" xfId="17168"/>
    <cellStyle name="Comma 118 2 7" xfId="17169"/>
    <cellStyle name="Comma 118 3" xfId="17170"/>
    <cellStyle name="Comma 118 3 2" xfId="17171"/>
    <cellStyle name="Comma 118 3 3" xfId="17172"/>
    <cellStyle name="Comma 118 3 4" xfId="17173"/>
    <cellStyle name="Comma 118 3 5" xfId="17174"/>
    <cellStyle name="Comma 118 3 6" xfId="17175"/>
    <cellStyle name="Comma 118 4" xfId="17176"/>
    <cellStyle name="Comma 118 5" xfId="17177"/>
    <cellStyle name="Comma 118 6" xfId="17178"/>
    <cellStyle name="Comma 118 7" xfId="17179"/>
    <cellStyle name="Comma 118 8" xfId="17180"/>
    <cellStyle name="Comma 119" xfId="17181"/>
    <cellStyle name="Comma 12" xfId="17182"/>
    <cellStyle name="Comma 120" xfId="17183"/>
    <cellStyle name="Comma 121" xfId="17184"/>
    <cellStyle name="Comma 122" xfId="17185"/>
    <cellStyle name="Comma 123" xfId="17186"/>
    <cellStyle name="Comma 124" xfId="17187"/>
    <cellStyle name="Comma 125" xfId="17188"/>
    <cellStyle name="Comma 126" xfId="17189"/>
    <cellStyle name="Comma 127" xfId="17190"/>
    <cellStyle name="Comma 128" xfId="17191"/>
    <cellStyle name="Comma 129" xfId="17192"/>
    <cellStyle name="Comma 13" xfId="17193"/>
    <cellStyle name="Comma 13 2" xfId="17194"/>
    <cellStyle name="Comma 130" xfId="17195"/>
    <cellStyle name="Comma 14" xfId="17196"/>
    <cellStyle name="Comma 14 2" xfId="17197"/>
    <cellStyle name="Comma 15" xfId="17198"/>
    <cellStyle name="Comma 15 2" xfId="17199"/>
    <cellStyle name="Comma 16" xfId="17200"/>
    <cellStyle name="Comma 16 2" xfId="17201"/>
    <cellStyle name="Comma 17" xfId="17202"/>
    <cellStyle name="Comma 17 2" xfId="17203"/>
    <cellStyle name="Comma 18" xfId="17204"/>
    <cellStyle name="Comma 18 2" xfId="17205"/>
    <cellStyle name="Comma 19" xfId="17206"/>
    <cellStyle name="Comma 19 2" xfId="17207"/>
    <cellStyle name="Comma 2" xfId="4"/>
    <cellStyle name="Comma 2 2" xfId="53"/>
    <cellStyle name="Comma 2 2 2" xfId="17208"/>
    <cellStyle name="Comma 2 3" xfId="17209"/>
    <cellStyle name="Comma 2 3 2" xfId="63"/>
    <cellStyle name="Comma 2 3 3" xfId="17210"/>
    <cellStyle name="Comma 2 4" xfId="17211"/>
    <cellStyle name="Comma 2 4 2" xfId="17212"/>
    <cellStyle name="Comma 2 4 3" xfId="17213"/>
    <cellStyle name="Comma 2 4 3 10" xfId="17214"/>
    <cellStyle name="Comma 2 4 3 2" xfId="17215"/>
    <cellStyle name="Comma 2 4 3 2 2" xfId="17216"/>
    <cellStyle name="Comma 2 4 3 2 2 2" xfId="17217"/>
    <cellStyle name="Comma 2 4 3 2 2 2 2" xfId="17218"/>
    <cellStyle name="Comma 2 4 3 2 2 2 2 2" xfId="17219"/>
    <cellStyle name="Comma 2 4 3 2 2 2 2 3" xfId="17220"/>
    <cellStyle name="Comma 2 4 3 2 2 2 2 4" xfId="17221"/>
    <cellStyle name="Comma 2 4 3 2 2 2 2 5" xfId="17222"/>
    <cellStyle name="Comma 2 4 3 2 2 2 2 6" xfId="17223"/>
    <cellStyle name="Comma 2 4 3 2 2 2 3" xfId="17224"/>
    <cellStyle name="Comma 2 4 3 2 2 2 4" xfId="17225"/>
    <cellStyle name="Comma 2 4 3 2 2 2 5" xfId="17226"/>
    <cellStyle name="Comma 2 4 3 2 2 2 6" xfId="17227"/>
    <cellStyle name="Comma 2 4 3 2 2 2 7" xfId="17228"/>
    <cellStyle name="Comma 2 4 3 2 2 3" xfId="17229"/>
    <cellStyle name="Comma 2 4 3 2 2 3 2" xfId="17230"/>
    <cellStyle name="Comma 2 4 3 2 2 3 3" xfId="17231"/>
    <cellStyle name="Comma 2 4 3 2 2 3 4" xfId="17232"/>
    <cellStyle name="Comma 2 4 3 2 2 3 5" xfId="17233"/>
    <cellStyle name="Comma 2 4 3 2 2 3 6" xfId="17234"/>
    <cellStyle name="Comma 2 4 3 2 2 4" xfId="17235"/>
    <cellStyle name="Comma 2 4 3 2 2 5" xfId="17236"/>
    <cellStyle name="Comma 2 4 3 2 2 6" xfId="17237"/>
    <cellStyle name="Comma 2 4 3 2 2 7" xfId="17238"/>
    <cellStyle name="Comma 2 4 3 2 2 8" xfId="17239"/>
    <cellStyle name="Comma 2 4 3 2 3" xfId="17240"/>
    <cellStyle name="Comma 2 4 3 2 3 2" xfId="17241"/>
    <cellStyle name="Comma 2 4 3 2 3 2 2" xfId="17242"/>
    <cellStyle name="Comma 2 4 3 2 3 2 3" xfId="17243"/>
    <cellStyle name="Comma 2 4 3 2 3 2 4" xfId="17244"/>
    <cellStyle name="Comma 2 4 3 2 3 2 5" xfId="17245"/>
    <cellStyle name="Comma 2 4 3 2 3 2 6" xfId="17246"/>
    <cellStyle name="Comma 2 4 3 2 3 3" xfId="17247"/>
    <cellStyle name="Comma 2 4 3 2 3 4" xfId="17248"/>
    <cellStyle name="Comma 2 4 3 2 3 5" xfId="17249"/>
    <cellStyle name="Comma 2 4 3 2 3 6" xfId="17250"/>
    <cellStyle name="Comma 2 4 3 2 3 7" xfId="17251"/>
    <cellStyle name="Comma 2 4 3 2 4" xfId="17252"/>
    <cellStyle name="Comma 2 4 3 2 4 2" xfId="17253"/>
    <cellStyle name="Comma 2 4 3 2 4 3" xfId="17254"/>
    <cellStyle name="Comma 2 4 3 2 4 4" xfId="17255"/>
    <cellStyle name="Comma 2 4 3 2 4 5" xfId="17256"/>
    <cellStyle name="Comma 2 4 3 2 4 6" xfId="17257"/>
    <cellStyle name="Comma 2 4 3 2 5" xfId="17258"/>
    <cellStyle name="Comma 2 4 3 2 6" xfId="17259"/>
    <cellStyle name="Comma 2 4 3 2 7" xfId="17260"/>
    <cellStyle name="Comma 2 4 3 2 8" xfId="17261"/>
    <cellStyle name="Comma 2 4 3 2 9" xfId="17262"/>
    <cellStyle name="Comma 2 4 3 3" xfId="17263"/>
    <cellStyle name="Comma 2 4 3 3 2" xfId="17264"/>
    <cellStyle name="Comma 2 4 3 3 2 2" xfId="17265"/>
    <cellStyle name="Comma 2 4 3 3 2 2 2" xfId="17266"/>
    <cellStyle name="Comma 2 4 3 3 2 2 3" xfId="17267"/>
    <cellStyle name="Comma 2 4 3 3 2 2 4" xfId="17268"/>
    <cellStyle name="Comma 2 4 3 3 2 2 5" xfId="17269"/>
    <cellStyle name="Comma 2 4 3 3 2 2 6" xfId="17270"/>
    <cellStyle name="Comma 2 4 3 3 2 3" xfId="17271"/>
    <cellStyle name="Comma 2 4 3 3 2 4" xfId="17272"/>
    <cellStyle name="Comma 2 4 3 3 2 5" xfId="17273"/>
    <cellStyle name="Comma 2 4 3 3 2 6" xfId="17274"/>
    <cellStyle name="Comma 2 4 3 3 2 7" xfId="17275"/>
    <cellStyle name="Comma 2 4 3 3 3" xfId="17276"/>
    <cellStyle name="Comma 2 4 3 3 3 2" xfId="17277"/>
    <cellStyle name="Comma 2 4 3 3 3 3" xfId="17278"/>
    <cellStyle name="Comma 2 4 3 3 3 4" xfId="17279"/>
    <cellStyle name="Comma 2 4 3 3 3 5" xfId="17280"/>
    <cellStyle name="Comma 2 4 3 3 3 6" xfId="17281"/>
    <cellStyle name="Comma 2 4 3 3 4" xfId="17282"/>
    <cellStyle name="Comma 2 4 3 3 5" xfId="17283"/>
    <cellStyle name="Comma 2 4 3 3 6" xfId="17284"/>
    <cellStyle name="Comma 2 4 3 3 7" xfId="17285"/>
    <cellStyle name="Comma 2 4 3 3 8" xfId="17286"/>
    <cellStyle name="Comma 2 4 3 4" xfId="17287"/>
    <cellStyle name="Comma 2 4 3 4 2" xfId="17288"/>
    <cellStyle name="Comma 2 4 3 4 2 2" xfId="17289"/>
    <cellStyle name="Comma 2 4 3 4 2 3" xfId="17290"/>
    <cellStyle name="Comma 2 4 3 4 2 4" xfId="17291"/>
    <cellStyle name="Comma 2 4 3 4 2 5" xfId="17292"/>
    <cellStyle name="Comma 2 4 3 4 2 6" xfId="17293"/>
    <cellStyle name="Comma 2 4 3 4 3" xfId="17294"/>
    <cellStyle name="Comma 2 4 3 4 4" xfId="17295"/>
    <cellStyle name="Comma 2 4 3 4 5" xfId="17296"/>
    <cellStyle name="Comma 2 4 3 4 6" xfId="17297"/>
    <cellStyle name="Comma 2 4 3 4 7" xfId="17298"/>
    <cellStyle name="Comma 2 4 3 5" xfId="17299"/>
    <cellStyle name="Comma 2 4 3 5 2" xfId="17300"/>
    <cellStyle name="Comma 2 4 3 5 3" xfId="17301"/>
    <cellStyle name="Comma 2 4 3 5 4" xfId="17302"/>
    <cellStyle name="Comma 2 4 3 5 5" xfId="17303"/>
    <cellStyle name="Comma 2 4 3 5 6" xfId="17304"/>
    <cellStyle name="Comma 2 4 3 6" xfId="17305"/>
    <cellStyle name="Comma 2 4 3 7" xfId="17306"/>
    <cellStyle name="Comma 2 4 3 8" xfId="17307"/>
    <cellStyle name="Comma 2 4 3 9" xfId="17308"/>
    <cellStyle name="Comma 2 4 4" xfId="17309"/>
    <cellStyle name="Comma 2 4 4 10" xfId="17310"/>
    <cellStyle name="Comma 2 4 4 2" xfId="17311"/>
    <cellStyle name="Comma 2 4 4 2 2" xfId="17312"/>
    <cellStyle name="Comma 2 4 4 2 2 2" xfId="17313"/>
    <cellStyle name="Comma 2 4 4 2 2 2 2" xfId="17314"/>
    <cellStyle name="Comma 2 4 4 2 2 2 2 2" xfId="17315"/>
    <cellStyle name="Comma 2 4 4 2 2 2 2 3" xfId="17316"/>
    <cellStyle name="Comma 2 4 4 2 2 2 2 4" xfId="17317"/>
    <cellStyle name="Comma 2 4 4 2 2 2 2 5" xfId="17318"/>
    <cellStyle name="Comma 2 4 4 2 2 2 2 6" xfId="17319"/>
    <cellStyle name="Comma 2 4 4 2 2 2 3" xfId="17320"/>
    <cellStyle name="Comma 2 4 4 2 2 2 4" xfId="17321"/>
    <cellStyle name="Comma 2 4 4 2 2 2 5" xfId="17322"/>
    <cellStyle name="Comma 2 4 4 2 2 2 6" xfId="17323"/>
    <cellStyle name="Comma 2 4 4 2 2 2 7" xfId="17324"/>
    <cellStyle name="Comma 2 4 4 2 2 3" xfId="17325"/>
    <cellStyle name="Comma 2 4 4 2 2 3 2" xfId="17326"/>
    <cellStyle name="Comma 2 4 4 2 2 3 3" xfId="17327"/>
    <cellStyle name="Comma 2 4 4 2 2 3 4" xfId="17328"/>
    <cellStyle name="Comma 2 4 4 2 2 3 5" xfId="17329"/>
    <cellStyle name="Comma 2 4 4 2 2 3 6" xfId="17330"/>
    <cellStyle name="Comma 2 4 4 2 2 4" xfId="17331"/>
    <cellStyle name="Comma 2 4 4 2 2 5" xfId="17332"/>
    <cellStyle name="Comma 2 4 4 2 2 6" xfId="17333"/>
    <cellStyle name="Comma 2 4 4 2 2 7" xfId="17334"/>
    <cellStyle name="Comma 2 4 4 2 2 8" xfId="17335"/>
    <cellStyle name="Comma 2 4 4 2 3" xfId="17336"/>
    <cellStyle name="Comma 2 4 4 2 3 2" xfId="17337"/>
    <cellStyle name="Comma 2 4 4 2 3 2 2" xfId="17338"/>
    <cellStyle name="Comma 2 4 4 2 3 2 3" xfId="17339"/>
    <cellStyle name="Comma 2 4 4 2 3 2 4" xfId="17340"/>
    <cellStyle name="Comma 2 4 4 2 3 2 5" xfId="17341"/>
    <cellStyle name="Comma 2 4 4 2 3 2 6" xfId="17342"/>
    <cellStyle name="Comma 2 4 4 2 3 3" xfId="17343"/>
    <cellStyle name="Comma 2 4 4 2 3 4" xfId="17344"/>
    <cellStyle name="Comma 2 4 4 2 3 5" xfId="17345"/>
    <cellStyle name="Comma 2 4 4 2 3 6" xfId="17346"/>
    <cellStyle name="Comma 2 4 4 2 3 7" xfId="17347"/>
    <cellStyle name="Comma 2 4 4 2 4" xfId="17348"/>
    <cellStyle name="Comma 2 4 4 2 4 2" xfId="17349"/>
    <cellStyle name="Comma 2 4 4 2 4 3" xfId="17350"/>
    <cellStyle name="Comma 2 4 4 2 4 4" xfId="17351"/>
    <cellStyle name="Comma 2 4 4 2 4 5" xfId="17352"/>
    <cellStyle name="Comma 2 4 4 2 4 6" xfId="17353"/>
    <cellStyle name="Comma 2 4 4 2 5" xfId="17354"/>
    <cellStyle name="Comma 2 4 4 2 6" xfId="17355"/>
    <cellStyle name="Comma 2 4 4 2 7" xfId="17356"/>
    <cellStyle name="Comma 2 4 4 2 8" xfId="17357"/>
    <cellStyle name="Comma 2 4 4 2 9" xfId="17358"/>
    <cellStyle name="Comma 2 4 4 3" xfId="17359"/>
    <cellStyle name="Comma 2 4 4 3 2" xfId="17360"/>
    <cellStyle name="Comma 2 4 4 3 2 2" xfId="17361"/>
    <cellStyle name="Comma 2 4 4 3 2 2 2" xfId="17362"/>
    <cellStyle name="Comma 2 4 4 3 2 2 3" xfId="17363"/>
    <cellStyle name="Comma 2 4 4 3 2 2 4" xfId="17364"/>
    <cellStyle name="Comma 2 4 4 3 2 2 5" xfId="17365"/>
    <cellStyle name="Comma 2 4 4 3 2 2 6" xfId="17366"/>
    <cellStyle name="Comma 2 4 4 3 2 3" xfId="17367"/>
    <cellStyle name="Comma 2 4 4 3 2 4" xfId="17368"/>
    <cellStyle name="Comma 2 4 4 3 2 5" xfId="17369"/>
    <cellStyle name="Comma 2 4 4 3 2 6" xfId="17370"/>
    <cellStyle name="Comma 2 4 4 3 2 7" xfId="17371"/>
    <cellStyle name="Comma 2 4 4 3 3" xfId="17372"/>
    <cellStyle name="Comma 2 4 4 3 3 2" xfId="17373"/>
    <cellStyle name="Comma 2 4 4 3 3 3" xfId="17374"/>
    <cellStyle name="Comma 2 4 4 3 3 4" xfId="17375"/>
    <cellStyle name="Comma 2 4 4 3 3 5" xfId="17376"/>
    <cellStyle name="Comma 2 4 4 3 3 6" xfId="17377"/>
    <cellStyle name="Comma 2 4 4 3 4" xfId="17378"/>
    <cellStyle name="Comma 2 4 4 3 5" xfId="17379"/>
    <cellStyle name="Comma 2 4 4 3 6" xfId="17380"/>
    <cellStyle name="Comma 2 4 4 3 7" xfId="17381"/>
    <cellStyle name="Comma 2 4 4 3 8" xfId="17382"/>
    <cellStyle name="Comma 2 4 4 4" xfId="17383"/>
    <cellStyle name="Comma 2 4 4 4 2" xfId="17384"/>
    <cellStyle name="Comma 2 4 4 4 2 2" xfId="17385"/>
    <cellStyle name="Comma 2 4 4 4 2 3" xfId="17386"/>
    <cellStyle name="Comma 2 4 4 4 2 4" xfId="17387"/>
    <cellStyle name="Comma 2 4 4 4 2 5" xfId="17388"/>
    <cellStyle name="Comma 2 4 4 4 2 6" xfId="17389"/>
    <cellStyle name="Comma 2 4 4 4 3" xfId="17390"/>
    <cellStyle name="Comma 2 4 4 4 4" xfId="17391"/>
    <cellStyle name="Comma 2 4 4 4 5" xfId="17392"/>
    <cellStyle name="Comma 2 4 4 4 6" xfId="17393"/>
    <cellStyle name="Comma 2 4 4 4 7" xfId="17394"/>
    <cellStyle name="Comma 2 4 4 5" xfId="17395"/>
    <cellStyle name="Comma 2 4 4 5 2" xfId="17396"/>
    <cellStyle name="Comma 2 4 4 5 3" xfId="17397"/>
    <cellStyle name="Comma 2 4 4 5 4" xfId="17398"/>
    <cellStyle name="Comma 2 4 4 5 5" xfId="17399"/>
    <cellStyle name="Comma 2 4 4 5 6" xfId="17400"/>
    <cellStyle name="Comma 2 4 4 6" xfId="17401"/>
    <cellStyle name="Comma 2 4 4 7" xfId="17402"/>
    <cellStyle name="Comma 2 4 4 8" xfId="17403"/>
    <cellStyle name="Comma 2 4 4 9" xfId="17404"/>
    <cellStyle name="Comma 2 4 5" xfId="17405"/>
    <cellStyle name="Comma 2 4 5 2" xfId="17406"/>
    <cellStyle name="Comma 2 4 5 2 2" xfId="17407"/>
    <cellStyle name="Comma 2 4 5 2 2 2" xfId="17408"/>
    <cellStyle name="Comma 2 4 5 2 2 2 2" xfId="17409"/>
    <cellStyle name="Comma 2 4 5 2 2 2 3" xfId="17410"/>
    <cellStyle name="Comma 2 4 5 2 2 2 4" xfId="17411"/>
    <cellStyle name="Comma 2 4 5 2 2 2 5" xfId="17412"/>
    <cellStyle name="Comma 2 4 5 2 2 2 6" xfId="17413"/>
    <cellStyle name="Comma 2 4 5 2 2 3" xfId="17414"/>
    <cellStyle name="Comma 2 4 5 2 2 4" xfId="17415"/>
    <cellStyle name="Comma 2 4 5 2 2 5" xfId="17416"/>
    <cellStyle name="Comma 2 4 5 2 2 6" xfId="17417"/>
    <cellStyle name="Comma 2 4 5 2 2 7" xfId="17418"/>
    <cellStyle name="Comma 2 4 5 2 3" xfId="17419"/>
    <cellStyle name="Comma 2 4 5 2 3 2" xfId="17420"/>
    <cellStyle name="Comma 2 4 5 2 3 3" xfId="17421"/>
    <cellStyle name="Comma 2 4 5 2 3 4" xfId="17422"/>
    <cellStyle name="Comma 2 4 5 2 3 5" xfId="17423"/>
    <cellStyle name="Comma 2 4 5 2 3 6" xfId="17424"/>
    <cellStyle name="Comma 2 4 5 2 4" xfId="17425"/>
    <cellStyle name="Comma 2 4 5 2 5" xfId="17426"/>
    <cellStyle name="Comma 2 4 5 2 6" xfId="17427"/>
    <cellStyle name="Comma 2 4 5 2 7" xfId="17428"/>
    <cellStyle name="Comma 2 4 5 2 8" xfId="17429"/>
    <cellStyle name="Comma 2 4 5 3" xfId="17430"/>
    <cellStyle name="Comma 2 4 5 3 2" xfId="17431"/>
    <cellStyle name="Comma 2 4 5 3 2 2" xfId="17432"/>
    <cellStyle name="Comma 2 4 5 3 2 3" xfId="17433"/>
    <cellStyle name="Comma 2 4 5 3 2 4" xfId="17434"/>
    <cellStyle name="Comma 2 4 5 3 2 5" xfId="17435"/>
    <cellStyle name="Comma 2 4 5 3 2 6" xfId="17436"/>
    <cellStyle name="Comma 2 4 5 3 3" xfId="17437"/>
    <cellStyle name="Comma 2 4 5 3 4" xfId="17438"/>
    <cellStyle name="Comma 2 4 5 3 5" xfId="17439"/>
    <cellStyle name="Comma 2 4 5 3 6" xfId="17440"/>
    <cellStyle name="Comma 2 4 5 3 7" xfId="17441"/>
    <cellStyle name="Comma 2 4 5 4" xfId="17442"/>
    <cellStyle name="Comma 2 4 5 4 2" xfId="17443"/>
    <cellStyle name="Comma 2 4 5 4 3" xfId="17444"/>
    <cellStyle name="Comma 2 4 5 4 4" xfId="17445"/>
    <cellStyle name="Comma 2 4 5 4 5" xfId="17446"/>
    <cellStyle name="Comma 2 4 5 4 6" xfId="17447"/>
    <cellStyle name="Comma 2 4 5 5" xfId="17448"/>
    <cellStyle name="Comma 2 4 5 6" xfId="17449"/>
    <cellStyle name="Comma 2 4 5 7" xfId="17450"/>
    <cellStyle name="Comma 2 4 5 8" xfId="17451"/>
    <cellStyle name="Comma 2 4 5 9" xfId="17452"/>
    <cellStyle name="Comma 2 5" xfId="17453"/>
    <cellStyle name="Comma 2 6" xfId="17454"/>
    <cellStyle name="Comma 2 7" xfId="17455"/>
    <cellStyle name="Comma 2 8" xfId="17456"/>
    <cellStyle name="Comma 2 9" xfId="17457"/>
    <cellStyle name="Comma 20" xfId="17458"/>
    <cellStyle name="Comma 20 2" xfId="17459"/>
    <cellStyle name="Comma 20 2 2" xfId="17460"/>
    <cellStyle name="Comma 21" xfId="17461"/>
    <cellStyle name="Comma 21 2" xfId="17462"/>
    <cellStyle name="Comma 21 2 2" xfId="17463"/>
    <cellStyle name="Comma 22" xfId="17464"/>
    <cellStyle name="Comma 22 2" xfId="17465"/>
    <cellStyle name="Comma 22 2 2" xfId="17466"/>
    <cellStyle name="Comma 23" xfId="17467"/>
    <cellStyle name="Comma 23 2" xfId="17468"/>
    <cellStyle name="Comma 23 2 2" xfId="17469"/>
    <cellStyle name="Comma 24" xfId="17470"/>
    <cellStyle name="Comma 24 2" xfId="17471"/>
    <cellStyle name="Comma 25" xfId="17472"/>
    <cellStyle name="Comma 25 2" xfId="17473"/>
    <cellStyle name="Comma 26" xfId="17474"/>
    <cellStyle name="Comma 26 10" xfId="17475"/>
    <cellStyle name="Comma 26 10 2" xfId="17476"/>
    <cellStyle name="Comma 26 10 2 2" xfId="17477"/>
    <cellStyle name="Comma 26 10 2 2 2" xfId="17478"/>
    <cellStyle name="Comma 26 10 2 2 2 2" xfId="17479"/>
    <cellStyle name="Comma 26 10 2 2 2 3" xfId="17480"/>
    <cellStyle name="Comma 26 10 2 2 2 4" xfId="17481"/>
    <cellStyle name="Comma 26 10 2 2 2 5" xfId="17482"/>
    <cellStyle name="Comma 26 10 2 2 2 6" xfId="17483"/>
    <cellStyle name="Comma 26 10 2 2 3" xfId="17484"/>
    <cellStyle name="Comma 26 10 2 2 4" xfId="17485"/>
    <cellStyle name="Comma 26 10 2 2 5" xfId="17486"/>
    <cellStyle name="Comma 26 10 2 2 6" xfId="17487"/>
    <cellStyle name="Comma 26 10 2 2 7" xfId="17488"/>
    <cellStyle name="Comma 26 10 2 3" xfId="17489"/>
    <cellStyle name="Comma 26 10 2 3 2" xfId="17490"/>
    <cellStyle name="Comma 26 10 2 3 3" xfId="17491"/>
    <cellStyle name="Comma 26 10 2 3 4" xfId="17492"/>
    <cellStyle name="Comma 26 10 2 3 5" xfId="17493"/>
    <cellStyle name="Comma 26 10 2 3 6" xfId="17494"/>
    <cellStyle name="Comma 26 10 2 4" xfId="17495"/>
    <cellStyle name="Comma 26 10 2 5" xfId="17496"/>
    <cellStyle name="Comma 26 10 2 6" xfId="17497"/>
    <cellStyle name="Comma 26 10 2 7" xfId="17498"/>
    <cellStyle name="Comma 26 10 2 8" xfId="17499"/>
    <cellStyle name="Comma 26 10 3" xfId="17500"/>
    <cellStyle name="Comma 26 10 3 2" xfId="17501"/>
    <cellStyle name="Comma 26 10 3 2 2" xfId="17502"/>
    <cellStyle name="Comma 26 10 3 2 3" xfId="17503"/>
    <cellStyle name="Comma 26 10 3 2 4" xfId="17504"/>
    <cellStyle name="Comma 26 10 3 2 5" xfId="17505"/>
    <cellStyle name="Comma 26 10 3 2 6" xfId="17506"/>
    <cellStyle name="Comma 26 10 3 3" xfId="17507"/>
    <cellStyle name="Comma 26 10 3 4" xfId="17508"/>
    <cellStyle name="Comma 26 10 3 5" xfId="17509"/>
    <cellStyle name="Comma 26 10 3 6" xfId="17510"/>
    <cellStyle name="Comma 26 10 3 7" xfId="17511"/>
    <cellStyle name="Comma 26 10 4" xfId="17512"/>
    <cellStyle name="Comma 26 10 4 2" xfId="17513"/>
    <cellStyle name="Comma 26 10 4 3" xfId="17514"/>
    <cellStyle name="Comma 26 10 4 4" xfId="17515"/>
    <cellStyle name="Comma 26 10 4 5" xfId="17516"/>
    <cellStyle name="Comma 26 10 4 6" xfId="17517"/>
    <cellStyle name="Comma 26 10 5" xfId="17518"/>
    <cellStyle name="Comma 26 10 6" xfId="17519"/>
    <cellStyle name="Comma 26 10 7" xfId="17520"/>
    <cellStyle name="Comma 26 10 8" xfId="17521"/>
    <cellStyle name="Comma 26 10 9" xfId="17522"/>
    <cellStyle name="Comma 26 11" xfId="17523"/>
    <cellStyle name="Comma 26 11 2" xfId="17524"/>
    <cellStyle name="Comma 26 11 2 2" xfId="17525"/>
    <cellStyle name="Comma 26 11 2 2 2" xfId="17526"/>
    <cellStyle name="Comma 26 11 2 2 2 2" xfId="17527"/>
    <cellStyle name="Comma 26 11 2 2 2 3" xfId="17528"/>
    <cellStyle name="Comma 26 11 2 2 2 4" xfId="17529"/>
    <cellStyle name="Comma 26 11 2 2 2 5" xfId="17530"/>
    <cellStyle name="Comma 26 11 2 2 2 6" xfId="17531"/>
    <cellStyle name="Comma 26 11 2 2 3" xfId="17532"/>
    <cellStyle name="Comma 26 11 2 2 4" xfId="17533"/>
    <cellStyle name="Comma 26 11 2 2 5" xfId="17534"/>
    <cellStyle name="Comma 26 11 2 2 6" xfId="17535"/>
    <cellStyle name="Comma 26 11 2 2 7" xfId="17536"/>
    <cellStyle name="Comma 26 11 2 3" xfId="17537"/>
    <cellStyle name="Comma 26 11 2 3 2" xfId="17538"/>
    <cellStyle name="Comma 26 11 2 3 3" xfId="17539"/>
    <cellStyle name="Comma 26 11 2 3 4" xfId="17540"/>
    <cellStyle name="Comma 26 11 2 3 5" xfId="17541"/>
    <cellStyle name="Comma 26 11 2 3 6" xfId="17542"/>
    <cellStyle name="Comma 26 11 2 4" xfId="17543"/>
    <cellStyle name="Comma 26 11 2 5" xfId="17544"/>
    <cellStyle name="Comma 26 11 2 6" xfId="17545"/>
    <cellStyle name="Comma 26 11 2 7" xfId="17546"/>
    <cellStyle name="Comma 26 11 2 8" xfId="17547"/>
    <cellStyle name="Comma 26 11 3" xfId="17548"/>
    <cellStyle name="Comma 26 11 3 2" xfId="17549"/>
    <cellStyle name="Comma 26 11 3 2 2" xfId="17550"/>
    <cellStyle name="Comma 26 11 3 2 3" xfId="17551"/>
    <cellStyle name="Comma 26 11 3 2 4" xfId="17552"/>
    <cellStyle name="Comma 26 11 3 2 5" xfId="17553"/>
    <cellStyle name="Comma 26 11 3 2 6" xfId="17554"/>
    <cellStyle name="Comma 26 11 3 3" xfId="17555"/>
    <cellStyle name="Comma 26 11 3 4" xfId="17556"/>
    <cellStyle name="Comma 26 11 3 5" xfId="17557"/>
    <cellStyle name="Comma 26 11 3 6" xfId="17558"/>
    <cellStyle name="Comma 26 11 3 7" xfId="17559"/>
    <cellStyle name="Comma 26 11 4" xfId="17560"/>
    <cellStyle name="Comma 26 11 4 2" xfId="17561"/>
    <cellStyle name="Comma 26 11 4 3" xfId="17562"/>
    <cellStyle name="Comma 26 11 4 4" xfId="17563"/>
    <cellStyle name="Comma 26 11 4 5" xfId="17564"/>
    <cellStyle name="Comma 26 11 4 6" xfId="17565"/>
    <cellStyle name="Comma 26 11 5" xfId="17566"/>
    <cellStyle name="Comma 26 11 6" xfId="17567"/>
    <cellStyle name="Comma 26 11 7" xfId="17568"/>
    <cellStyle name="Comma 26 11 8" xfId="17569"/>
    <cellStyle name="Comma 26 11 9" xfId="17570"/>
    <cellStyle name="Comma 26 12" xfId="17571"/>
    <cellStyle name="Comma 26 12 2" xfId="17572"/>
    <cellStyle name="Comma 26 12 2 2" xfId="17573"/>
    <cellStyle name="Comma 26 12 2 2 2" xfId="17574"/>
    <cellStyle name="Comma 26 12 2 2 3" xfId="17575"/>
    <cellStyle name="Comma 26 12 2 2 4" xfId="17576"/>
    <cellStyle name="Comma 26 12 2 2 5" xfId="17577"/>
    <cellStyle name="Comma 26 12 2 2 6" xfId="17578"/>
    <cellStyle name="Comma 26 12 2 3" xfId="17579"/>
    <cellStyle name="Comma 26 12 2 4" xfId="17580"/>
    <cellStyle name="Comma 26 12 2 5" xfId="17581"/>
    <cellStyle name="Comma 26 12 2 6" xfId="17582"/>
    <cellStyle name="Comma 26 12 2 7" xfId="17583"/>
    <cellStyle name="Comma 26 12 3" xfId="17584"/>
    <cellStyle name="Comma 26 12 3 2" xfId="17585"/>
    <cellStyle name="Comma 26 12 3 3" xfId="17586"/>
    <cellStyle name="Comma 26 12 3 4" xfId="17587"/>
    <cellStyle name="Comma 26 12 3 5" xfId="17588"/>
    <cellStyle name="Comma 26 12 3 6" xfId="17589"/>
    <cellStyle name="Comma 26 12 4" xfId="17590"/>
    <cellStyle name="Comma 26 12 5" xfId="17591"/>
    <cellStyle name="Comma 26 12 6" xfId="17592"/>
    <cellStyle name="Comma 26 12 7" xfId="17593"/>
    <cellStyle name="Comma 26 12 8" xfId="17594"/>
    <cellStyle name="Comma 26 13" xfId="17595"/>
    <cellStyle name="Comma 26 13 2" xfId="17596"/>
    <cellStyle name="Comma 26 13 2 2" xfId="17597"/>
    <cellStyle name="Comma 26 13 2 3" xfId="17598"/>
    <cellStyle name="Comma 26 13 2 4" xfId="17599"/>
    <cellStyle name="Comma 26 13 2 5" xfId="17600"/>
    <cellStyle name="Comma 26 13 2 6" xfId="17601"/>
    <cellStyle name="Comma 26 13 3" xfId="17602"/>
    <cellStyle name="Comma 26 13 4" xfId="17603"/>
    <cellStyle name="Comma 26 13 5" xfId="17604"/>
    <cellStyle name="Comma 26 13 6" xfId="17605"/>
    <cellStyle name="Comma 26 13 7" xfId="17606"/>
    <cellStyle name="Comma 26 14" xfId="17607"/>
    <cellStyle name="Comma 26 14 2" xfId="17608"/>
    <cellStyle name="Comma 26 14 3" xfId="17609"/>
    <cellStyle name="Comma 26 14 4" xfId="17610"/>
    <cellStyle name="Comma 26 14 5" xfId="17611"/>
    <cellStyle name="Comma 26 14 6" xfId="17612"/>
    <cellStyle name="Comma 26 15" xfId="17613"/>
    <cellStyle name="Comma 26 16" xfId="17614"/>
    <cellStyle name="Comma 26 17" xfId="17615"/>
    <cellStyle name="Comma 26 18" xfId="17616"/>
    <cellStyle name="Comma 26 19" xfId="17617"/>
    <cellStyle name="Comma 26 2" xfId="17618"/>
    <cellStyle name="Comma 26 2 10" xfId="17619"/>
    <cellStyle name="Comma 26 2 10 2" xfId="17620"/>
    <cellStyle name="Comma 26 2 10 2 2" xfId="17621"/>
    <cellStyle name="Comma 26 2 10 2 2 2" xfId="17622"/>
    <cellStyle name="Comma 26 2 10 2 2 2 2" xfId="17623"/>
    <cellStyle name="Comma 26 2 10 2 2 2 3" xfId="17624"/>
    <cellStyle name="Comma 26 2 10 2 2 2 4" xfId="17625"/>
    <cellStyle name="Comma 26 2 10 2 2 2 5" xfId="17626"/>
    <cellStyle name="Comma 26 2 10 2 2 2 6" xfId="17627"/>
    <cellStyle name="Comma 26 2 10 2 2 3" xfId="17628"/>
    <cellStyle name="Comma 26 2 10 2 2 4" xfId="17629"/>
    <cellStyle name="Comma 26 2 10 2 2 5" xfId="17630"/>
    <cellStyle name="Comma 26 2 10 2 2 6" xfId="17631"/>
    <cellStyle name="Comma 26 2 10 2 2 7" xfId="17632"/>
    <cellStyle name="Comma 26 2 10 2 3" xfId="17633"/>
    <cellStyle name="Comma 26 2 10 2 3 2" xfId="17634"/>
    <cellStyle name="Comma 26 2 10 2 3 3" xfId="17635"/>
    <cellStyle name="Comma 26 2 10 2 3 4" xfId="17636"/>
    <cellStyle name="Comma 26 2 10 2 3 5" xfId="17637"/>
    <cellStyle name="Comma 26 2 10 2 3 6" xfId="17638"/>
    <cellStyle name="Comma 26 2 10 2 4" xfId="17639"/>
    <cellStyle name="Comma 26 2 10 2 5" xfId="17640"/>
    <cellStyle name="Comma 26 2 10 2 6" xfId="17641"/>
    <cellStyle name="Comma 26 2 10 2 7" xfId="17642"/>
    <cellStyle name="Comma 26 2 10 2 8" xfId="17643"/>
    <cellStyle name="Comma 26 2 10 3" xfId="17644"/>
    <cellStyle name="Comma 26 2 10 3 2" xfId="17645"/>
    <cellStyle name="Comma 26 2 10 3 2 2" xfId="17646"/>
    <cellStyle name="Comma 26 2 10 3 2 3" xfId="17647"/>
    <cellStyle name="Comma 26 2 10 3 2 4" xfId="17648"/>
    <cellStyle name="Comma 26 2 10 3 2 5" xfId="17649"/>
    <cellStyle name="Comma 26 2 10 3 2 6" xfId="17650"/>
    <cellStyle name="Comma 26 2 10 3 3" xfId="17651"/>
    <cellStyle name="Comma 26 2 10 3 4" xfId="17652"/>
    <cellStyle name="Comma 26 2 10 3 5" xfId="17653"/>
    <cellStyle name="Comma 26 2 10 3 6" xfId="17654"/>
    <cellStyle name="Comma 26 2 10 3 7" xfId="17655"/>
    <cellStyle name="Comma 26 2 10 4" xfId="17656"/>
    <cellStyle name="Comma 26 2 10 4 2" xfId="17657"/>
    <cellStyle name="Comma 26 2 10 4 3" xfId="17658"/>
    <cellStyle name="Comma 26 2 10 4 4" xfId="17659"/>
    <cellStyle name="Comma 26 2 10 4 5" xfId="17660"/>
    <cellStyle name="Comma 26 2 10 4 6" xfId="17661"/>
    <cellStyle name="Comma 26 2 10 5" xfId="17662"/>
    <cellStyle name="Comma 26 2 10 6" xfId="17663"/>
    <cellStyle name="Comma 26 2 10 7" xfId="17664"/>
    <cellStyle name="Comma 26 2 10 8" xfId="17665"/>
    <cellStyle name="Comma 26 2 10 9" xfId="17666"/>
    <cellStyle name="Comma 26 2 11" xfId="17667"/>
    <cellStyle name="Comma 26 2 11 2" xfId="17668"/>
    <cellStyle name="Comma 26 2 11 2 2" xfId="17669"/>
    <cellStyle name="Comma 26 2 11 2 2 2" xfId="17670"/>
    <cellStyle name="Comma 26 2 11 2 2 3" xfId="17671"/>
    <cellStyle name="Comma 26 2 11 2 2 4" xfId="17672"/>
    <cellStyle name="Comma 26 2 11 2 2 5" xfId="17673"/>
    <cellStyle name="Comma 26 2 11 2 2 6" xfId="17674"/>
    <cellStyle name="Comma 26 2 11 2 3" xfId="17675"/>
    <cellStyle name="Comma 26 2 11 2 4" xfId="17676"/>
    <cellStyle name="Comma 26 2 11 2 5" xfId="17677"/>
    <cellStyle name="Comma 26 2 11 2 6" xfId="17678"/>
    <cellStyle name="Comma 26 2 11 2 7" xfId="17679"/>
    <cellStyle name="Comma 26 2 11 3" xfId="17680"/>
    <cellStyle name="Comma 26 2 11 3 2" xfId="17681"/>
    <cellStyle name="Comma 26 2 11 3 3" xfId="17682"/>
    <cellStyle name="Comma 26 2 11 3 4" xfId="17683"/>
    <cellStyle name="Comma 26 2 11 3 5" xfId="17684"/>
    <cellStyle name="Comma 26 2 11 3 6" xfId="17685"/>
    <cellStyle name="Comma 26 2 11 4" xfId="17686"/>
    <cellStyle name="Comma 26 2 11 5" xfId="17687"/>
    <cellStyle name="Comma 26 2 11 6" xfId="17688"/>
    <cellStyle name="Comma 26 2 11 7" xfId="17689"/>
    <cellStyle name="Comma 26 2 11 8" xfId="17690"/>
    <cellStyle name="Comma 26 2 12" xfId="17691"/>
    <cellStyle name="Comma 26 2 12 2" xfId="17692"/>
    <cellStyle name="Comma 26 2 12 2 2" xfId="17693"/>
    <cellStyle name="Comma 26 2 12 2 3" xfId="17694"/>
    <cellStyle name="Comma 26 2 12 2 4" xfId="17695"/>
    <cellStyle name="Comma 26 2 12 2 5" xfId="17696"/>
    <cellStyle name="Comma 26 2 12 2 6" xfId="17697"/>
    <cellStyle name="Comma 26 2 12 3" xfId="17698"/>
    <cellStyle name="Comma 26 2 12 4" xfId="17699"/>
    <cellStyle name="Comma 26 2 12 5" xfId="17700"/>
    <cellStyle name="Comma 26 2 12 6" xfId="17701"/>
    <cellStyle name="Comma 26 2 12 7" xfId="17702"/>
    <cellStyle name="Comma 26 2 13" xfId="17703"/>
    <cellStyle name="Comma 26 2 13 2" xfId="17704"/>
    <cellStyle name="Comma 26 2 13 3" xfId="17705"/>
    <cellStyle name="Comma 26 2 13 4" xfId="17706"/>
    <cellStyle name="Comma 26 2 13 5" xfId="17707"/>
    <cellStyle name="Comma 26 2 13 6" xfId="17708"/>
    <cellStyle name="Comma 26 2 14" xfId="17709"/>
    <cellStyle name="Comma 26 2 15" xfId="17710"/>
    <cellStyle name="Comma 26 2 16" xfId="17711"/>
    <cellStyle name="Comma 26 2 17" xfId="17712"/>
    <cellStyle name="Comma 26 2 18" xfId="17713"/>
    <cellStyle name="Comma 26 2 2" xfId="17714"/>
    <cellStyle name="Comma 26 2 2 10" xfId="17715"/>
    <cellStyle name="Comma 26 2 2 10 2" xfId="17716"/>
    <cellStyle name="Comma 26 2 2 10 3" xfId="17717"/>
    <cellStyle name="Comma 26 2 2 10 4" xfId="17718"/>
    <cellStyle name="Comma 26 2 2 10 5" xfId="17719"/>
    <cellStyle name="Comma 26 2 2 10 6" xfId="17720"/>
    <cellStyle name="Comma 26 2 2 11" xfId="17721"/>
    <cellStyle name="Comma 26 2 2 12" xfId="17722"/>
    <cellStyle name="Comma 26 2 2 13" xfId="17723"/>
    <cellStyle name="Comma 26 2 2 14" xfId="17724"/>
    <cellStyle name="Comma 26 2 2 15" xfId="17725"/>
    <cellStyle name="Comma 26 2 2 2" xfId="17726"/>
    <cellStyle name="Comma 26 2 2 2 10" xfId="17727"/>
    <cellStyle name="Comma 26 2 2 2 11" xfId="17728"/>
    <cellStyle name="Comma 26 2 2 2 12" xfId="17729"/>
    <cellStyle name="Comma 26 2 2 2 13" xfId="17730"/>
    <cellStyle name="Comma 26 2 2 2 14" xfId="17731"/>
    <cellStyle name="Comma 26 2 2 2 2" xfId="17732"/>
    <cellStyle name="Comma 26 2 2 2 2 2" xfId="17733"/>
    <cellStyle name="Comma 26 2 2 2 2 2 2" xfId="17734"/>
    <cellStyle name="Comma 26 2 2 2 2 2 2 2" xfId="17735"/>
    <cellStyle name="Comma 26 2 2 2 2 2 2 2 2" xfId="17736"/>
    <cellStyle name="Comma 26 2 2 2 2 2 2 2 3" xfId="17737"/>
    <cellStyle name="Comma 26 2 2 2 2 2 2 2 4" xfId="17738"/>
    <cellStyle name="Comma 26 2 2 2 2 2 2 2 5" xfId="17739"/>
    <cellStyle name="Comma 26 2 2 2 2 2 2 2 6" xfId="17740"/>
    <cellStyle name="Comma 26 2 2 2 2 2 2 3" xfId="17741"/>
    <cellStyle name="Comma 26 2 2 2 2 2 2 4" xfId="17742"/>
    <cellStyle name="Comma 26 2 2 2 2 2 2 5" xfId="17743"/>
    <cellStyle name="Comma 26 2 2 2 2 2 2 6" xfId="17744"/>
    <cellStyle name="Comma 26 2 2 2 2 2 2 7" xfId="17745"/>
    <cellStyle name="Comma 26 2 2 2 2 2 3" xfId="17746"/>
    <cellStyle name="Comma 26 2 2 2 2 2 3 2" xfId="17747"/>
    <cellStyle name="Comma 26 2 2 2 2 2 3 3" xfId="17748"/>
    <cellStyle name="Comma 26 2 2 2 2 2 3 4" xfId="17749"/>
    <cellStyle name="Comma 26 2 2 2 2 2 3 5" xfId="17750"/>
    <cellStyle name="Comma 26 2 2 2 2 2 3 6" xfId="17751"/>
    <cellStyle name="Comma 26 2 2 2 2 2 4" xfId="17752"/>
    <cellStyle name="Comma 26 2 2 2 2 2 5" xfId="17753"/>
    <cellStyle name="Comma 26 2 2 2 2 2 6" xfId="17754"/>
    <cellStyle name="Comma 26 2 2 2 2 2 7" xfId="17755"/>
    <cellStyle name="Comma 26 2 2 2 2 2 8" xfId="17756"/>
    <cellStyle name="Comma 26 2 2 2 2 3" xfId="17757"/>
    <cellStyle name="Comma 26 2 2 2 2 3 2" xfId="17758"/>
    <cellStyle name="Comma 26 2 2 2 2 3 2 2" xfId="17759"/>
    <cellStyle name="Comma 26 2 2 2 2 3 2 3" xfId="17760"/>
    <cellStyle name="Comma 26 2 2 2 2 3 2 4" xfId="17761"/>
    <cellStyle name="Comma 26 2 2 2 2 3 2 5" xfId="17762"/>
    <cellStyle name="Comma 26 2 2 2 2 3 2 6" xfId="17763"/>
    <cellStyle name="Comma 26 2 2 2 2 3 3" xfId="17764"/>
    <cellStyle name="Comma 26 2 2 2 2 3 4" xfId="17765"/>
    <cellStyle name="Comma 26 2 2 2 2 3 5" xfId="17766"/>
    <cellStyle name="Comma 26 2 2 2 2 3 6" xfId="17767"/>
    <cellStyle name="Comma 26 2 2 2 2 3 7" xfId="17768"/>
    <cellStyle name="Comma 26 2 2 2 2 4" xfId="17769"/>
    <cellStyle name="Comma 26 2 2 2 2 4 2" xfId="17770"/>
    <cellStyle name="Comma 26 2 2 2 2 4 3" xfId="17771"/>
    <cellStyle name="Comma 26 2 2 2 2 4 4" xfId="17772"/>
    <cellStyle name="Comma 26 2 2 2 2 4 5" xfId="17773"/>
    <cellStyle name="Comma 26 2 2 2 2 4 6" xfId="17774"/>
    <cellStyle name="Comma 26 2 2 2 2 5" xfId="17775"/>
    <cellStyle name="Comma 26 2 2 2 2 6" xfId="17776"/>
    <cellStyle name="Comma 26 2 2 2 2 7" xfId="17777"/>
    <cellStyle name="Comma 26 2 2 2 2 8" xfId="17778"/>
    <cellStyle name="Comma 26 2 2 2 2 9" xfId="17779"/>
    <cellStyle name="Comma 26 2 2 2 3" xfId="17780"/>
    <cellStyle name="Comma 26 2 2 2 3 2" xfId="17781"/>
    <cellStyle name="Comma 26 2 2 2 3 2 2" xfId="17782"/>
    <cellStyle name="Comma 26 2 2 2 3 2 2 2" xfId="17783"/>
    <cellStyle name="Comma 26 2 2 2 3 2 2 2 2" xfId="17784"/>
    <cellStyle name="Comma 26 2 2 2 3 2 2 2 3" xfId="17785"/>
    <cellStyle name="Comma 26 2 2 2 3 2 2 2 4" xfId="17786"/>
    <cellStyle name="Comma 26 2 2 2 3 2 2 2 5" xfId="17787"/>
    <cellStyle name="Comma 26 2 2 2 3 2 2 2 6" xfId="17788"/>
    <cellStyle name="Comma 26 2 2 2 3 2 2 3" xfId="17789"/>
    <cellStyle name="Comma 26 2 2 2 3 2 2 4" xfId="17790"/>
    <cellStyle name="Comma 26 2 2 2 3 2 2 5" xfId="17791"/>
    <cellStyle name="Comma 26 2 2 2 3 2 2 6" xfId="17792"/>
    <cellStyle name="Comma 26 2 2 2 3 2 2 7" xfId="17793"/>
    <cellStyle name="Comma 26 2 2 2 3 2 3" xfId="17794"/>
    <cellStyle name="Comma 26 2 2 2 3 2 3 2" xfId="17795"/>
    <cellStyle name="Comma 26 2 2 2 3 2 3 3" xfId="17796"/>
    <cellStyle name="Comma 26 2 2 2 3 2 3 4" xfId="17797"/>
    <cellStyle name="Comma 26 2 2 2 3 2 3 5" xfId="17798"/>
    <cellStyle name="Comma 26 2 2 2 3 2 3 6" xfId="17799"/>
    <cellStyle name="Comma 26 2 2 2 3 2 4" xfId="17800"/>
    <cellStyle name="Comma 26 2 2 2 3 2 5" xfId="17801"/>
    <cellStyle name="Comma 26 2 2 2 3 2 6" xfId="17802"/>
    <cellStyle name="Comma 26 2 2 2 3 2 7" xfId="17803"/>
    <cellStyle name="Comma 26 2 2 2 3 2 8" xfId="17804"/>
    <cellStyle name="Comma 26 2 2 2 3 3" xfId="17805"/>
    <cellStyle name="Comma 26 2 2 2 3 3 2" xfId="17806"/>
    <cellStyle name="Comma 26 2 2 2 3 3 2 2" xfId="17807"/>
    <cellStyle name="Comma 26 2 2 2 3 3 2 3" xfId="17808"/>
    <cellStyle name="Comma 26 2 2 2 3 3 2 4" xfId="17809"/>
    <cellStyle name="Comma 26 2 2 2 3 3 2 5" xfId="17810"/>
    <cellStyle name="Comma 26 2 2 2 3 3 2 6" xfId="17811"/>
    <cellStyle name="Comma 26 2 2 2 3 3 3" xfId="17812"/>
    <cellStyle name="Comma 26 2 2 2 3 3 4" xfId="17813"/>
    <cellStyle name="Comma 26 2 2 2 3 3 5" xfId="17814"/>
    <cellStyle name="Comma 26 2 2 2 3 3 6" xfId="17815"/>
    <cellStyle name="Comma 26 2 2 2 3 3 7" xfId="17816"/>
    <cellStyle name="Comma 26 2 2 2 3 4" xfId="17817"/>
    <cellStyle name="Comma 26 2 2 2 3 4 2" xfId="17818"/>
    <cellStyle name="Comma 26 2 2 2 3 4 3" xfId="17819"/>
    <cellStyle name="Comma 26 2 2 2 3 4 4" xfId="17820"/>
    <cellStyle name="Comma 26 2 2 2 3 4 5" xfId="17821"/>
    <cellStyle name="Comma 26 2 2 2 3 4 6" xfId="17822"/>
    <cellStyle name="Comma 26 2 2 2 3 5" xfId="17823"/>
    <cellStyle name="Comma 26 2 2 2 3 6" xfId="17824"/>
    <cellStyle name="Comma 26 2 2 2 3 7" xfId="17825"/>
    <cellStyle name="Comma 26 2 2 2 3 8" xfId="17826"/>
    <cellStyle name="Comma 26 2 2 2 3 9" xfId="17827"/>
    <cellStyle name="Comma 26 2 2 2 4" xfId="17828"/>
    <cellStyle name="Comma 26 2 2 2 4 2" xfId="17829"/>
    <cellStyle name="Comma 26 2 2 2 4 2 2" xfId="17830"/>
    <cellStyle name="Comma 26 2 2 2 4 2 2 2" xfId="17831"/>
    <cellStyle name="Comma 26 2 2 2 4 2 2 2 2" xfId="17832"/>
    <cellStyle name="Comma 26 2 2 2 4 2 2 2 3" xfId="17833"/>
    <cellStyle name="Comma 26 2 2 2 4 2 2 2 4" xfId="17834"/>
    <cellStyle name="Comma 26 2 2 2 4 2 2 2 5" xfId="17835"/>
    <cellStyle name="Comma 26 2 2 2 4 2 2 2 6" xfId="17836"/>
    <cellStyle name="Comma 26 2 2 2 4 2 2 3" xfId="17837"/>
    <cellStyle name="Comma 26 2 2 2 4 2 2 4" xfId="17838"/>
    <cellStyle name="Comma 26 2 2 2 4 2 2 5" xfId="17839"/>
    <cellStyle name="Comma 26 2 2 2 4 2 2 6" xfId="17840"/>
    <cellStyle name="Comma 26 2 2 2 4 2 2 7" xfId="17841"/>
    <cellStyle name="Comma 26 2 2 2 4 2 3" xfId="17842"/>
    <cellStyle name="Comma 26 2 2 2 4 2 3 2" xfId="17843"/>
    <cellStyle name="Comma 26 2 2 2 4 2 3 3" xfId="17844"/>
    <cellStyle name="Comma 26 2 2 2 4 2 3 4" xfId="17845"/>
    <cellStyle name="Comma 26 2 2 2 4 2 3 5" xfId="17846"/>
    <cellStyle name="Comma 26 2 2 2 4 2 3 6" xfId="17847"/>
    <cellStyle name="Comma 26 2 2 2 4 2 4" xfId="17848"/>
    <cellStyle name="Comma 26 2 2 2 4 2 5" xfId="17849"/>
    <cellStyle name="Comma 26 2 2 2 4 2 6" xfId="17850"/>
    <cellStyle name="Comma 26 2 2 2 4 2 7" xfId="17851"/>
    <cellStyle name="Comma 26 2 2 2 4 2 8" xfId="17852"/>
    <cellStyle name="Comma 26 2 2 2 4 3" xfId="17853"/>
    <cellStyle name="Comma 26 2 2 2 4 3 2" xfId="17854"/>
    <cellStyle name="Comma 26 2 2 2 4 3 2 2" xfId="17855"/>
    <cellStyle name="Comma 26 2 2 2 4 3 2 3" xfId="17856"/>
    <cellStyle name="Comma 26 2 2 2 4 3 2 4" xfId="17857"/>
    <cellStyle name="Comma 26 2 2 2 4 3 2 5" xfId="17858"/>
    <cellStyle name="Comma 26 2 2 2 4 3 2 6" xfId="17859"/>
    <cellStyle name="Comma 26 2 2 2 4 3 3" xfId="17860"/>
    <cellStyle name="Comma 26 2 2 2 4 3 4" xfId="17861"/>
    <cellStyle name="Comma 26 2 2 2 4 3 5" xfId="17862"/>
    <cellStyle name="Comma 26 2 2 2 4 3 6" xfId="17863"/>
    <cellStyle name="Comma 26 2 2 2 4 3 7" xfId="17864"/>
    <cellStyle name="Comma 26 2 2 2 4 4" xfId="17865"/>
    <cellStyle name="Comma 26 2 2 2 4 4 2" xfId="17866"/>
    <cellStyle name="Comma 26 2 2 2 4 4 3" xfId="17867"/>
    <cellStyle name="Comma 26 2 2 2 4 4 4" xfId="17868"/>
    <cellStyle name="Comma 26 2 2 2 4 4 5" xfId="17869"/>
    <cellStyle name="Comma 26 2 2 2 4 4 6" xfId="17870"/>
    <cellStyle name="Comma 26 2 2 2 4 5" xfId="17871"/>
    <cellStyle name="Comma 26 2 2 2 4 6" xfId="17872"/>
    <cellStyle name="Comma 26 2 2 2 4 7" xfId="17873"/>
    <cellStyle name="Comma 26 2 2 2 4 8" xfId="17874"/>
    <cellStyle name="Comma 26 2 2 2 4 9" xfId="17875"/>
    <cellStyle name="Comma 26 2 2 2 5" xfId="17876"/>
    <cellStyle name="Comma 26 2 2 2 5 2" xfId="17877"/>
    <cellStyle name="Comma 26 2 2 2 5 2 2" xfId="17878"/>
    <cellStyle name="Comma 26 2 2 2 5 2 2 2" xfId="17879"/>
    <cellStyle name="Comma 26 2 2 2 5 2 2 2 2" xfId="17880"/>
    <cellStyle name="Comma 26 2 2 2 5 2 2 2 3" xfId="17881"/>
    <cellStyle name="Comma 26 2 2 2 5 2 2 2 4" xfId="17882"/>
    <cellStyle name="Comma 26 2 2 2 5 2 2 2 5" xfId="17883"/>
    <cellStyle name="Comma 26 2 2 2 5 2 2 2 6" xfId="17884"/>
    <cellStyle name="Comma 26 2 2 2 5 2 2 3" xfId="17885"/>
    <cellStyle name="Comma 26 2 2 2 5 2 2 4" xfId="17886"/>
    <cellStyle name="Comma 26 2 2 2 5 2 2 5" xfId="17887"/>
    <cellStyle name="Comma 26 2 2 2 5 2 2 6" xfId="17888"/>
    <cellStyle name="Comma 26 2 2 2 5 2 2 7" xfId="17889"/>
    <cellStyle name="Comma 26 2 2 2 5 2 3" xfId="17890"/>
    <cellStyle name="Comma 26 2 2 2 5 2 3 2" xfId="17891"/>
    <cellStyle name="Comma 26 2 2 2 5 2 3 3" xfId="17892"/>
    <cellStyle name="Comma 26 2 2 2 5 2 3 4" xfId="17893"/>
    <cellStyle name="Comma 26 2 2 2 5 2 3 5" xfId="17894"/>
    <cellStyle name="Comma 26 2 2 2 5 2 3 6" xfId="17895"/>
    <cellStyle name="Comma 26 2 2 2 5 2 4" xfId="17896"/>
    <cellStyle name="Comma 26 2 2 2 5 2 5" xfId="17897"/>
    <cellStyle name="Comma 26 2 2 2 5 2 6" xfId="17898"/>
    <cellStyle name="Comma 26 2 2 2 5 2 7" xfId="17899"/>
    <cellStyle name="Comma 26 2 2 2 5 2 8" xfId="17900"/>
    <cellStyle name="Comma 26 2 2 2 5 3" xfId="17901"/>
    <cellStyle name="Comma 26 2 2 2 5 3 2" xfId="17902"/>
    <cellStyle name="Comma 26 2 2 2 5 3 2 2" xfId="17903"/>
    <cellStyle name="Comma 26 2 2 2 5 3 2 3" xfId="17904"/>
    <cellStyle name="Comma 26 2 2 2 5 3 2 4" xfId="17905"/>
    <cellStyle name="Comma 26 2 2 2 5 3 2 5" xfId="17906"/>
    <cellStyle name="Comma 26 2 2 2 5 3 2 6" xfId="17907"/>
    <cellStyle name="Comma 26 2 2 2 5 3 3" xfId="17908"/>
    <cellStyle name="Comma 26 2 2 2 5 3 4" xfId="17909"/>
    <cellStyle name="Comma 26 2 2 2 5 3 5" xfId="17910"/>
    <cellStyle name="Comma 26 2 2 2 5 3 6" xfId="17911"/>
    <cellStyle name="Comma 26 2 2 2 5 3 7" xfId="17912"/>
    <cellStyle name="Comma 26 2 2 2 5 4" xfId="17913"/>
    <cellStyle name="Comma 26 2 2 2 5 4 2" xfId="17914"/>
    <cellStyle name="Comma 26 2 2 2 5 4 3" xfId="17915"/>
    <cellStyle name="Comma 26 2 2 2 5 4 4" xfId="17916"/>
    <cellStyle name="Comma 26 2 2 2 5 4 5" xfId="17917"/>
    <cellStyle name="Comma 26 2 2 2 5 4 6" xfId="17918"/>
    <cellStyle name="Comma 26 2 2 2 5 5" xfId="17919"/>
    <cellStyle name="Comma 26 2 2 2 5 6" xfId="17920"/>
    <cellStyle name="Comma 26 2 2 2 5 7" xfId="17921"/>
    <cellStyle name="Comma 26 2 2 2 5 8" xfId="17922"/>
    <cellStyle name="Comma 26 2 2 2 5 9" xfId="17923"/>
    <cellStyle name="Comma 26 2 2 2 6" xfId="17924"/>
    <cellStyle name="Comma 26 2 2 2 6 2" xfId="17925"/>
    <cellStyle name="Comma 26 2 2 2 6 2 2" xfId="17926"/>
    <cellStyle name="Comma 26 2 2 2 6 2 2 2" xfId="17927"/>
    <cellStyle name="Comma 26 2 2 2 6 2 2 2 2" xfId="17928"/>
    <cellStyle name="Comma 26 2 2 2 6 2 2 2 3" xfId="17929"/>
    <cellStyle name="Comma 26 2 2 2 6 2 2 2 4" xfId="17930"/>
    <cellStyle name="Comma 26 2 2 2 6 2 2 2 5" xfId="17931"/>
    <cellStyle name="Comma 26 2 2 2 6 2 2 2 6" xfId="17932"/>
    <cellStyle name="Comma 26 2 2 2 6 2 2 3" xfId="17933"/>
    <cellStyle name="Comma 26 2 2 2 6 2 2 4" xfId="17934"/>
    <cellStyle name="Comma 26 2 2 2 6 2 2 5" xfId="17935"/>
    <cellStyle name="Comma 26 2 2 2 6 2 2 6" xfId="17936"/>
    <cellStyle name="Comma 26 2 2 2 6 2 2 7" xfId="17937"/>
    <cellStyle name="Comma 26 2 2 2 6 2 3" xfId="17938"/>
    <cellStyle name="Comma 26 2 2 2 6 2 3 2" xfId="17939"/>
    <cellStyle name="Comma 26 2 2 2 6 2 3 3" xfId="17940"/>
    <cellStyle name="Comma 26 2 2 2 6 2 3 4" xfId="17941"/>
    <cellStyle name="Comma 26 2 2 2 6 2 3 5" xfId="17942"/>
    <cellStyle name="Comma 26 2 2 2 6 2 3 6" xfId="17943"/>
    <cellStyle name="Comma 26 2 2 2 6 2 4" xfId="17944"/>
    <cellStyle name="Comma 26 2 2 2 6 2 5" xfId="17945"/>
    <cellStyle name="Comma 26 2 2 2 6 2 6" xfId="17946"/>
    <cellStyle name="Comma 26 2 2 2 6 2 7" xfId="17947"/>
    <cellStyle name="Comma 26 2 2 2 6 2 8" xfId="17948"/>
    <cellStyle name="Comma 26 2 2 2 6 3" xfId="17949"/>
    <cellStyle name="Comma 26 2 2 2 6 3 2" xfId="17950"/>
    <cellStyle name="Comma 26 2 2 2 6 3 2 2" xfId="17951"/>
    <cellStyle name="Comma 26 2 2 2 6 3 2 3" xfId="17952"/>
    <cellStyle name="Comma 26 2 2 2 6 3 2 4" xfId="17953"/>
    <cellStyle name="Comma 26 2 2 2 6 3 2 5" xfId="17954"/>
    <cellStyle name="Comma 26 2 2 2 6 3 2 6" xfId="17955"/>
    <cellStyle name="Comma 26 2 2 2 6 3 3" xfId="17956"/>
    <cellStyle name="Comma 26 2 2 2 6 3 4" xfId="17957"/>
    <cellStyle name="Comma 26 2 2 2 6 3 5" xfId="17958"/>
    <cellStyle name="Comma 26 2 2 2 6 3 6" xfId="17959"/>
    <cellStyle name="Comma 26 2 2 2 6 3 7" xfId="17960"/>
    <cellStyle name="Comma 26 2 2 2 6 4" xfId="17961"/>
    <cellStyle name="Comma 26 2 2 2 6 4 2" xfId="17962"/>
    <cellStyle name="Comma 26 2 2 2 6 4 3" xfId="17963"/>
    <cellStyle name="Comma 26 2 2 2 6 4 4" xfId="17964"/>
    <cellStyle name="Comma 26 2 2 2 6 4 5" xfId="17965"/>
    <cellStyle name="Comma 26 2 2 2 6 4 6" xfId="17966"/>
    <cellStyle name="Comma 26 2 2 2 6 5" xfId="17967"/>
    <cellStyle name="Comma 26 2 2 2 6 6" xfId="17968"/>
    <cellStyle name="Comma 26 2 2 2 6 7" xfId="17969"/>
    <cellStyle name="Comma 26 2 2 2 6 8" xfId="17970"/>
    <cellStyle name="Comma 26 2 2 2 6 9" xfId="17971"/>
    <cellStyle name="Comma 26 2 2 2 7" xfId="17972"/>
    <cellStyle name="Comma 26 2 2 2 7 2" xfId="17973"/>
    <cellStyle name="Comma 26 2 2 2 7 2 2" xfId="17974"/>
    <cellStyle name="Comma 26 2 2 2 7 2 2 2" xfId="17975"/>
    <cellStyle name="Comma 26 2 2 2 7 2 2 3" xfId="17976"/>
    <cellStyle name="Comma 26 2 2 2 7 2 2 4" xfId="17977"/>
    <cellStyle name="Comma 26 2 2 2 7 2 2 5" xfId="17978"/>
    <cellStyle name="Comma 26 2 2 2 7 2 2 6" xfId="17979"/>
    <cellStyle name="Comma 26 2 2 2 7 2 3" xfId="17980"/>
    <cellStyle name="Comma 26 2 2 2 7 2 4" xfId="17981"/>
    <cellStyle name="Comma 26 2 2 2 7 2 5" xfId="17982"/>
    <cellStyle name="Comma 26 2 2 2 7 2 6" xfId="17983"/>
    <cellStyle name="Comma 26 2 2 2 7 2 7" xfId="17984"/>
    <cellStyle name="Comma 26 2 2 2 7 3" xfId="17985"/>
    <cellStyle name="Comma 26 2 2 2 7 3 2" xfId="17986"/>
    <cellStyle name="Comma 26 2 2 2 7 3 3" xfId="17987"/>
    <cellStyle name="Comma 26 2 2 2 7 3 4" xfId="17988"/>
    <cellStyle name="Comma 26 2 2 2 7 3 5" xfId="17989"/>
    <cellStyle name="Comma 26 2 2 2 7 3 6" xfId="17990"/>
    <cellStyle name="Comma 26 2 2 2 7 4" xfId="17991"/>
    <cellStyle name="Comma 26 2 2 2 7 5" xfId="17992"/>
    <cellStyle name="Comma 26 2 2 2 7 6" xfId="17993"/>
    <cellStyle name="Comma 26 2 2 2 7 7" xfId="17994"/>
    <cellStyle name="Comma 26 2 2 2 7 8" xfId="17995"/>
    <cellStyle name="Comma 26 2 2 2 8" xfId="17996"/>
    <cellStyle name="Comma 26 2 2 2 8 2" xfId="17997"/>
    <cellStyle name="Comma 26 2 2 2 8 2 2" xfId="17998"/>
    <cellStyle name="Comma 26 2 2 2 8 2 3" xfId="17999"/>
    <cellStyle name="Comma 26 2 2 2 8 2 4" xfId="18000"/>
    <cellStyle name="Comma 26 2 2 2 8 2 5" xfId="18001"/>
    <cellStyle name="Comma 26 2 2 2 8 2 6" xfId="18002"/>
    <cellStyle name="Comma 26 2 2 2 8 3" xfId="18003"/>
    <cellStyle name="Comma 26 2 2 2 8 4" xfId="18004"/>
    <cellStyle name="Comma 26 2 2 2 8 5" xfId="18005"/>
    <cellStyle name="Comma 26 2 2 2 8 6" xfId="18006"/>
    <cellStyle name="Comma 26 2 2 2 8 7" xfId="18007"/>
    <cellStyle name="Comma 26 2 2 2 9" xfId="18008"/>
    <cellStyle name="Comma 26 2 2 2 9 2" xfId="18009"/>
    <cellStyle name="Comma 26 2 2 2 9 3" xfId="18010"/>
    <cellStyle name="Comma 26 2 2 2 9 4" xfId="18011"/>
    <cellStyle name="Comma 26 2 2 2 9 5" xfId="18012"/>
    <cellStyle name="Comma 26 2 2 2 9 6" xfId="18013"/>
    <cellStyle name="Comma 26 2 2 3" xfId="18014"/>
    <cellStyle name="Comma 26 2 2 3 2" xfId="18015"/>
    <cellStyle name="Comma 26 2 2 3 2 2" xfId="18016"/>
    <cellStyle name="Comma 26 2 2 3 2 2 2" xfId="18017"/>
    <cellStyle name="Comma 26 2 2 3 2 2 2 2" xfId="18018"/>
    <cellStyle name="Comma 26 2 2 3 2 2 2 3" xfId="18019"/>
    <cellStyle name="Comma 26 2 2 3 2 2 2 4" xfId="18020"/>
    <cellStyle name="Comma 26 2 2 3 2 2 2 5" xfId="18021"/>
    <cellStyle name="Comma 26 2 2 3 2 2 2 6" xfId="18022"/>
    <cellStyle name="Comma 26 2 2 3 2 2 3" xfId="18023"/>
    <cellStyle name="Comma 26 2 2 3 2 2 4" xfId="18024"/>
    <cellStyle name="Comma 26 2 2 3 2 2 5" xfId="18025"/>
    <cellStyle name="Comma 26 2 2 3 2 2 6" xfId="18026"/>
    <cellStyle name="Comma 26 2 2 3 2 2 7" xfId="18027"/>
    <cellStyle name="Comma 26 2 2 3 2 3" xfId="18028"/>
    <cellStyle name="Comma 26 2 2 3 2 3 2" xfId="18029"/>
    <cellStyle name="Comma 26 2 2 3 2 3 3" xfId="18030"/>
    <cellStyle name="Comma 26 2 2 3 2 3 4" xfId="18031"/>
    <cellStyle name="Comma 26 2 2 3 2 3 5" xfId="18032"/>
    <cellStyle name="Comma 26 2 2 3 2 3 6" xfId="18033"/>
    <cellStyle name="Comma 26 2 2 3 2 4" xfId="18034"/>
    <cellStyle name="Comma 26 2 2 3 2 5" xfId="18035"/>
    <cellStyle name="Comma 26 2 2 3 2 6" xfId="18036"/>
    <cellStyle name="Comma 26 2 2 3 2 7" xfId="18037"/>
    <cellStyle name="Comma 26 2 2 3 2 8" xfId="18038"/>
    <cellStyle name="Comma 26 2 2 3 3" xfId="18039"/>
    <cellStyle name="Comma 26 2 2 3 3 2" xfId="18040"/>
    <cellStyle name="Comma 26 2 2 3 3 2 2" xfId="18041"/>
    <cellStyle name="Comma 26 2 2 3 3 2 3" xfId="18042"/>
    <cellStyle name="Comma 26 2 2 3 3 2 4" xfId="18043"/>
    <cellStyle name="Comma 26 2 2 3 3 2 5" xfId="18044"/>
    <cellStyle name="Comma 26 2 2 3 3 2 6" xfId="18045"/>
    <cellStyle name="Comma 26 2 2 3 3 3" xfId="18046"/>
    <cellStyle name="Comma 26 2 2 3 3 4" xfId="18047"/>
    <cellStyle name="Comma 26 2 2 3 3 5" xfId="18048"/>
    <cellStyle name="Comma 26 2 2 3 3 6" xfId="18049"/>
    <cellStyle name="Comma 26 2 2 3 3 7" xfId="18050"/>
    <cellStyle name="Comma 26 2 2 3 4" xfId="18051"/>
    <cellStyle name="Comma 26 2 2 3 4 2" xfId="18052"/>
    <cellStyle name="Comma 26 2 2 3 4 3" xfId="18053"/>
    <cellStyle name="Comma 26 2 2 3 4 4" xfId="18054"/>
    <cellStyle name="Comma 26 2 2 3 4 5" xfId="18055"/>
    <cellStyle name="Comma 26 2 2 3 4 6" xfId="18056"/>
    <cellStyle name="Comma 26 2 2 3 5" xfId="18057"/>
    <cellStyle name="Comma 26 2 2 3 6" xfId="18058"/>
    <cellStyle name="Comma 26 2 2 3 7" xfId="18059"/>
    <cellStyle name="Comma 26 2 2 3 8" xfId="18060"/>
    <cellStyle name="Comma 26 2 2 3 9" xfId="18061"/>
    <cellStyle name="Comma 26 2 2 4" xfId="18062"/>
    <cellStyle name="Comma 26 2 2 4 2" xfId="18063"/>
    <cellStyle name="Comma 26 2 2 4 2 2" xfId="18064"/>
    <cellStyle name="Comma 26 2 2 4 2 2 2" xfId="18065"/>
    <cellStyle name="Comma 26 2 2 4 2 2 2 2" xfId="18066"/>
    <cellStyle name="Comma 26 2 2 4 2 2 2 3" xfId="18067"/>
    <cellStyle name="Comma 26 2 2 4 2 2 2 4" xfId="18068"/>
    <cellStyle name="Comma 26 2 2 4 2 2 2 5" xfId="18069"/>
    <cellStyle name="Comma 26 2 2 4 2 2 2 6" xfId="18070"/>
    <cellStyle name="Comma 26 2 2 4 2 2 3" xfId="18071"/>
    <cellStyle name="Comma 26 2 2 4 2 2 4" xfId="18072"/>
    <cellStyle name="Comma 26 2 2 4 2 2 5" xfId="18073"/>
    <cellStyle name="Comma 26 2 2 4 2 2 6" xfId="18074"/>
    <cellStyle name="Comma 26 2 2 4 2 2 7" xfId="18075"/>
    <cellStyle name="Comma 26 2 2 4 2 3" xfId="18076"/>
    <cellStyle name="Comma 26 2 2 4 2 3 2" xfId="18077"/>
    <cellStyle name="Comma 26 2 2 4 2 3 3" xfId="18078"/>
    <cellStyle name="Comma 26 2 2 4 2 3 4" xfId="18079"/>
    <cellStyle name="Comma 26 2 2 4 2 3 5" xfId="18080"/>
    <cellStyle name="Comma 26 2 2 4 2 3 6" xfId="18081"/>
    <cellStyle name="Comma 26 2 2 4 2 4" xfId="18082"/>
    <cellStyle name="Comma 26 2 2 4 2 5" xfId="18083"/>
    <cellStyle name="Comma 26 2 2 4 2 6" xfId="18084"/>
    <cellStyle name="Comma 26 2 2 4 2 7" xfId="18085"/>
    <cellStyle name="Comma 26 2 2 4 2 8" xfId="18086"/>
    <cellStyle name="Comma 26 2 2 4 3" xfId="18087"/>
    <cellStyle name="Comma 26 2 2 4 3 2" xfId="18088"/>
    <cellStyle name="Comma 26 2 2 4 3 2 2" xfId="18089"/>
    <cellStyle name="Comma 26 2 2 4 3 2 3" xfId="18090"/>
    <cellStyle name="Comma 26 2 2 4 3 2 4" xfId="18091"/>
    <cellStyle name="Comma 26 2 2 4 3 2 5" xfId="18092"/>
    <cellStyle name="Comma 26 2 2 4 3 2 6" xfId="18093"/>
    <cellStyle name="Comma 26 2 2 4 3 3" xfId="18094"/>
    <cellStyle name="Comma 26 2 2 4 3 4" xfId="18095"/>
    <cellStyle name="Comma 26 2 2 4 3 5" xfId="18096"/>
    <cellStyle name="Comma 26 2 2 4 3 6" xfId="18097"/>
    <cellStyle name="Comma 26 2 2 4 3 7" xfId="18098"/>
    <cellStyle name="Comma 26 2 2 4 4" xfId="18099"/>
    <cellStyle name="Comma 26 2 2 4 4 2" xfId="18100"/>
    <cellStyle name="Comma 26 2 2 4 4 3" xfId="18101"/>
    <cellStyle name="Comma 26 2 2 4 4 4" xfId="18102"/>
    <cellStyle name="Comma 26 2 2 4 4 5" xfId="18103"/>
    <cellStyle name="Comma 26 2 2 4 4 6" xfId="18104"/>
    <cellStyle name="Comma 26 2 2 4 5" xfId="18105"/>
    <cellStyle name="Comma 26 2 2 4 6" xfId="18106"/>
    <cellStyle name="Comma 26 2 2 4 7" xfId="18107"/>
    <cellStyle name="Comma 26 2 2 4 8" xfId="18108"/>
    <cellStyle name="Comma 26 2 2 4 9" xfId="18109"/>
    <cellStyle name="Comma 26 2 2 5" xfId="18110"/>
    <cellStyle name="Comma 26 2 2 5 2" xfId="18111"/>
    <cellStyle name="Comma 26 2 2 5 2 2" xfId="18112"/>
    <cellStyle name="Comma 26 2 2 5 2 2 2" xfId="18113"/>
    <cellStyle name="Comma 26 2 2 5 2 2 2 2" xfId="18114"/>
    <cellStyle name="Comma 26 2 2 5 2 2 2 3" xfId="18115"/>
    <cellStyle name="Comma 26 2 2 5 2 2 2 4" xfId="18116"/>
    <cellStyle name="Comma 26 2 2 5 2 2 2 5" xfId="18117"/>
    <cellStyle name="Comma 26 2 2 5 2 2 2 6" xfId="18118"/>
    <cellStyle name="Comma 26 2 2 5 2 2 3" xfId="18119"/>
    <cellStyle name="Comma 26 2 2 5 2 2 4" xfId="18120"/>
    <cellStyle name="Comma 26 2 2 5 2 2 5" xfId="18121"/>
    <cellStyle name="Comma 26 2 2 5 2 2 6" xfId="18122"/>
    <cellStyle name="Comma 26 2 2 5 2 2 7" xfId="18123"/>
    <cellStyle name="Comma 26 2 2 5 2 3" xfId="18124"/>
    <cellStyle name="Comma 26 2 2 5 2 3 2" xfId="18125"/>
    <cellStyle name="Comma 26 2 2 5 2 3 3" xfId="18126"/>
    <cellStyle name="Comma 26 2 2 5 2 3 4" xfId="18127"/>
    <cellStyle name="Comma 26 2 2 5 2 3 5" xfId="18128"/>
    <cellStyle name="Comma 26 2 2 5 2 3 6" xfId="18129"/>
    <cellStyle name="Comma 26 2 2 5 2 4" xfId="18130"/>
    <cellStyle name="Comma 26 2 2 5 2 5" xfId="18131"/>
    <cellStyle name="Comma 26 2 2 5 2 6" xfId="18132"/>
    <cellStyle name="Comma 26 2 2 5 2 7" xfId="18133"/>
    <cellStyle name="Comma 26 2 2 5 2 8" xfId="18134"/>
    <cellStyle name="Comma 26 2 2 5 3" xfId="18135"/>
    <cellStyle name="Comma 26 2 2 5 3 2" xfId="18136"/>
    <cellStyle name="Comma 26 2 2 5 3 2 2" xfId="18137"/>
    <cellStyle name="Comma 26 2 2 5 3 2 3" xfId="18138"/>
    <cellStyle name="Comma 26 2 2 5 3 2 4" xfId="18139"/>
    <cellStyle name="Comma 26 2 2 5 3 2 5" xfId="18140"/>
    <cellStyle name="Comma 26 2 2 5 3 2 6" xfId="18141"/>
    <cellStyle name="Comma 26 2 2 5 3 3" xfId="18142"/>
    <cellStyle name="Comma 26 2 2 5 3 4" xfId="18143"/>
    <cellStyle name="Comma 26 2 2 5 3 5" xfId="18144"/>
    <cellStyle name="Comma 26 2 2 5 3 6" xfId="18145"/>
    <cellStyle name="Comma 26 2 2 5 3 7" xfId="18146"/>
    <cellStyle name="Comma 26 2 2 5 4" xfId="18147"/>
    <cellStyle name="Comma 26 2 2 5 4 2" xfId="18148"/>
    <cellStyle name="Comma 26 2 2 5 4 3" xfId="18149"/>
    <cellStyle name="Comma 26 2 2 5 4 4" xfId="18150"/>
    <cellStyle name="Comma 26 2 2 5 4 5" xfId="18151"/>
    <cellStyle name="Comma 26 2 2 5 4 6" xfId="18152"/>
    <cellStyle name="Comma 26 2 2 5 5" xfId="18153"/>
    <cellStyle name="Comma 26 2 2 5 6" xfId="18154"/>
    <cellStyle name="Comma 26 2 2 5 7" xfId="18155"/>
    <cellStyle name="Comma 26 2 2 5 8" xfId="18156"/>
    <cellStyle name="Comma 26 2 2 5 9" xfId="18157"/>
    <cellStyle name="Comma 26 2 2 6" xfId="18158"/>
    <cellStyle name="Comma 26 2 2 6 2" xfId="18159"/>
    <cellStyle name="Comma 26 2 2 6 2 2" xfId="18160"/>
    <cellStyle name="Comma 26 2 2 6 2 2 2" xfId="18161"/>
    <cellStyle name="Comma 26 2 2 6 2 2 2 2" xfId="18162"/>
    <cellStyle name="Comma 26 2 2 6 2 2 2 3" xfId="18163"/>
    <cellStyle name="Comma 26 2 2 6 2 2 2 4" xfId="18164"/>
    <cellStyle name="Comma 26 2 2 6 2 2 2 5" xfId="18165"/>
    <cellStyle name="Comma 26 2 2 6 2 2 2 6" xfId="18166"/>
    <cellStyle name="Comma 26 2 2 6 2 2 3" xfId="18167"/>
    <cellStyle name="Comma 26 2 2 6 2 2 4" xfId="18168"/>
    <cellStyle name="Comma 26 2 2 6 2 2 5" xfId="18169"/>
    <cellStyle name="Comma 26 2 2 6 2 2 6" xfId="18170"/>
    <cellStyle name="Comma 26 2 2 6 2 2 7" xfId="18171"/>
    <cellStyle name="Comma 26 2 2 6 2 3" xfId="18172"/>
    <cellStyle name="Comma 26 2 2 6 2 3 2" xfId="18173"/>
    <cellStyle name="Comma 26 2 2 6 2 3 3" xfId="18174"/>
    <cellStyle name="Comma 26 2 2 6 2 3 4" xfId="18175"/>
    <cellStyle name="Comma 26 2 2 6 2 3 5" xfId="18176"/>
    <cellStyle name="Comma 26 2 2 6 2 3 6" xfId="18177"/>
    <cellStyle name="Comma 26 2 2 6 2 4" xfId="18178"/>
    <cellStyle name="Comma 26 2 2 6 2 5" xfId="18179"/>
    <cellStyle name="Comma 26 2 2 6 2 6" xfId="18180"/>
    <cellStyle name="Comma 26 2 2 6 2 7" xfId="18181"/>
    <cellStyle name="Comma 26 2 2 6 2 8" xfId="18182"/>
    <cellStyle name="Comma 26 2 2 6 3" xfId="18183"/>
    <cellStyle name="Comma 26 2 2 6 3 2" xfId="18184"/>
    <cellStyle name="Comma 26 2 2 6 3 2 2" xfId="18185"/>
    <cellStyle name="Comma 26 2 2 6 3 2 3" xfId="18186"/>
    <cellStyle name="Comma 26 2 2 6 3 2 4" xfId="18187"/>
    <cellStyle name="Comma 26 2 2 6 3 2 5" xfId="18188"/>
    <cellStyle name="Comma 26 2 2 6 3 2 6" xfId="18189"/>
    <cellStyle name="Comma 26 2 2 6 3 3" xfId="18190"/>
    <cellStyle name="Comma 26 2 2 6 3 4" xfId="18191"/>
    <cellStyle name="Comma 26 2 2 6 3 5" xfId="18192"/>
    <cellStyle name="Comma 26 2 2 6 3 6" xfId="18193"/>
    <cellStyle name="Comma 26 2 2 6 3 7" xfId="18194"/>
    <cellStyle name="Comma 26 2 2 6 4" xfId="18195"/>
    <cellStyle name="Comma 26 2 2 6 4 2" xfId="18196"/>
    <cellStyle name="Comma 26 2 2 6 4 3" xfId="18197"/>
    <cellStyle name="Comma 26 2 2 6 4 4" xfId="18198"/>
    <cellStyle name="Comma 26 2 2 6 4 5" xfId="18199"/>
    <cellStyle name="Comma 26 2 2 6 4 6" xfId="18200"/>
    <cellStyle name="Comma 26 2 2 6 5" xfId="18201"/>
    <cellStyle name="Comma 26 2 2 6 6" xfId="18202"/>
    <cellStyle name="Comma 26 2 2 6 7" xfId="18203"/>
    <cellStyle name="Comma 26 2 2 6 8" xfId="18204"/>
    <cellStyle name="Comma 26 2 2 6 9" xfId="18205"/>
    <cellStyle name="Comma 26 2 2 7" xfId="18206"/>
    <cellStyle name="Comma 26 2 2 7 2" xfId="18207"/>
    <cellStyle name="Comma 26 2 2 7 2 2" xfId="18208"/>
    <cellStyle name="Comma 26 2 2 7 2 2 2" xfId="18209"/>
    <cellStyle name="Comma 26 2 2 7 2 2 2 2" xfId="18210"/>
    <cellStyle name="Comma 26 2 2 7 2 2 2 3" xfId="18211"/>
    <cellStyle name="Comma 26 2 2 7 2 2 2 4" xfId="18212"/>
    <cellStyle name="Comma 26 2 2 7 2 2 2 5" xfId="18213"/>
    <cellStyle name="Comma 26 2 2 7 2 2 2 6" xfId="18214"/>
    <cellStyle name="Comma 26 2 2 7 2 2 3" xfId="18215"/>
    <cellStyle name="Comma 26 2 2 7 2 2 4" xfId="18216"/>
    <cellStyle name="Comma 26 2 2 7 2 2 5" xfId="18217"/>
    <cellStyle name="Comma 26 2 2 7 2 2 6" xfId="18218"/>
    <cellStyle name="Comma 26 2 2 7 2 2 7" xfId="18219"/>
    <cellStyle name="Comma 26 2 2 7 2 3" xfId="18220"/>
    <cellStyle name="Comma 26 2 2 7 2 3 2" xfId="18221"/>
    <cellStyle name="Comma 26 2 2 7 2 3 3" xfId="18222"/>
    <cellStyle name="Comma 26 2 2 7 2 3 4" xfId="18223"/>
    <cellStyle name="Comma 26 2 2 7 2 3 5" xfId="18224"/>
    <cellStyle name="Comma 26 2 2 7 2 3 6" xfId="18225"/>
    <cellStyle name="Comma 26 2 2 7 2 4" xfId="18226"/>
    <cellStyle name="Comma 26 2 2 7 2 5" xfId="18227"/>
    <cellStyle name="Comma 26 2 2 7 2 6" xfId="18228"/>
    <cellStyle name="Comma 26 2 2 7 2 7" xfId="18229"/>
    <cellStyle name="Comma 26 2 2 7 2 8" xfId="18230"/>
    <cellStyle name="Comma 26 2 2 7 3" xfId="18231"/>
    <cellStyle name="Comma 26 2 2 7 3 2" xfId="18232"/>
    <cellStyle name="Comma 26 2 2 7 3 2 2" xfId="18233"/>
    <cellStyle name="Comma 26 2 2 7 3 2 3" xfId="18234"/>
    <cellStyle name="Comma 26 2 2 7 3 2 4" xfId="18235"/>
    <cellStyle name="Comma 26 2 2 7 3 2 5" xfId="18236"/>
    <cellStyle name="Comma 26 2 2 7 3 2 6" xfId="18237"/>
    <cellStyle name="Comma 26 2 2 7 3 3" xfId="18238"/>
    <cellStyle name="Comma 26 2 2 7 3 4" xfId="18239"/>
    <cellStyle name="Comma 26 2 2 7 3 5" xfId="18240"/>
    <cellStyle name="Comma 26 2 2 7 3 6" xfId="18241"/>
    <cellStyle name="Comma 26 2 2 7 3 7" xfId="18242"/>
    <cellStyle name="Comma 26 2 2 7 4" xfId="18243"/>
    <cellStyle name="Comma 26 2 2 7 4 2" xfId="18244"/>
    <cellStyle name="Comma 26 2 2 7 4 3" xfId="18245"/>
    <cellStyle name="Comma 26 2 2 7 4 4" xfId="18246"/>
    <cellStyle name="Comma 26 2 2 7 4 5" xfId="18247"/>
    <cellStyle name="Comma 26 2 2 7 4 6" xfId="18248"/>
    <cellStyle name="Comma 26 2 2 7 5" xfId="18249"/>
    <cellStyle name="Comma 26 2 2 7 6" xfId="18250"/>
    <cellStyle name="Comma 26 2 2 7 7" xfId="18251"/>
    <cellStyle name="Comma 26 2 2 7 8" xfId="18252"/>
    <cellStyle name="Comma 26 2 2 7 9" xfId="18253"/>
    <cellStyle name="Comma 26 2 2 8" xfId="18254"/>
    <cellStyle name="Comma 26 2 2 8 2" xfId="18255"/>
    <cellStyle name="Comma 26 2 2 8 2 2" xfId="18256"/>
    <cellStyle name="Comma 26 2 2 8 2 2 2" xfId="18257"/>
    <cellStyle name="Comma 26 2 2 8 2 2 3" xfId="18258"/>
    <cellStyle name="Comma 26 2 2 8 2 2 4" xfId="18259"/>
    <cellStyle name="Comma 26 2 2 8 2 2 5" xfId="18260"/>
    <cellStyle name="Comma 26 2 2 8 2 2 6" xfId="18261"/>
    <cellStyle name="Comma 26 2 2 8 2 3" xfId="18262"/>
    <cellStyle name="Comma 26 2 2 8 2 4" xfId="18263"/>
    <cellStyle name="Comma 26 2 2 8 2 5" xfId="18264"/>
    <cellStyle name="Comma 26 2 2 8 2 6" xfId="18265"/>
    <cellStyle name="Comma 26 2 2 8 2 7" xfId="18266"/>
    <cellStyle name="Comma 26 2 2 8 3" xfId="18267"/>
    <cellStyle name="Comma 26 2 2 8 3 2" xfId="18268"/>
    <cellStyle name="Comma 26 2 2 8 3 3" xfId="18269"/>
    <cellStyle name="Comma 26 2 2 8 3 4" xfId="18270"/>
    <cellStyle name="Comma 26 2 2 8 3 5" xfId="18271"/>
    <cellStyle name="Comma 26 2 2 8 3 6" xfId="18272"/>
    <cellStyle name="Comma 26 2 2 8 4" xfId="18273"/>
    <cellStyle name="Comma 26 2 2 8 5" xfId="18274"/>
    <cellStyle name="Comma 26 2 2 8 6" xfId="18275"/>
    <cellStyle name="Comma 26 2 2 8 7" xfId="18276"/>
    <cellStyle name="Comma 26 2 2 8 8" xfId="18277"/>
    <cellStyle name="Comma 26 2 2 9" xfId="18278"/>
    <cellStyle name="Comma 26 2 2 9 2" xfId="18279"/>
    <cellStyle name="Comma 26 2 2 9 2 2" xfId="18280"/>
    <cellStyle name="Comma 26 2 2 9 2 3" xfId="18281"/>
    <cellStyle name="Comma 26 2 2 9 2 4" xfId="18282"/>
    <cellStyle name="Comma 26 2 2 9 2 5" xfId="18283"/>
    <cellStyle name="Comma 26 2 2 9 2 6" xfId="18284"/>
    <cellStyle name="Comma 26 2 2 9 3" xfId="18285"/>
    <cellStyle name="Comma 26 2 2 9 4" xfId="18286"/>
    <cellStyle name="Comma 26 2 2 9 5" xfId="18287"/>
    <cellStyle name="Comma 26 2 2 9 6" xfId="18288"/>
    <cellStyle name="Comma 26 2 2 9 7" xfId="18289"/>
    <cellStyle name="Comma 26 2 3" xfId="18290"/>
    <cellStyle name="Comma 26 2 3 10" xfId="18291"/>
    <cellStyle name="Comma 26 2 3 10 2" xfId="18292"/>
    <cellStyle name="Comma 26 2 3 10 3" xfId="18293"/>
    <cellStyle name="Comma 26 2 3 10 4" xfId="18294"/>
    <cellStyle name="Comma 26 2 3 10 5" xfId="18295"/>
    <cellStyle name="Comma 26 2 3 10 6" xfId="18296"/>
    <cellStyle name="Comma 26 2 3 11" xfId="18297"/>
    <cellStyle name="Comma 26 2 3 12" xfId="18298"/>
    <cellStyle name="Comma 26 2 3 13" xfId="18299"/>
    <cellStyle name="Comma 26 2 3 14" xfId="18300"/>
    <cellStyle name="Comma 26 2 3 15" xfId="18301"/>
    <cellStyle name="Comma 26 2 3 2" xfId="18302"/>
    <cellStyle name="Comma 26 2 3 2 10" xfId="18303"/>
    <cellStyle name="Comma 26 2 3 2 11" xfId="18304"/>
    <cellStyle name="Comma 26 2 3 2 12" xfId="18305"/>
    <cellStyle name="Comma 26 2 3 2 13" xfId="18306"/>
    <cellStyle name="Comma 26 2 3 2 14" xfId="18307"/>
    <cellStyle name="Comma 26 2 3 2 2" xfId="18308"/>
    <cellStyle name="Comma 26 2 3 2 2 2" xfId="18309"/>
    <cellStyle name="Comma 26 2 3 2 2 2 2" xfId="18310"/>
    <cellStyle name="Comma 26 2 3 2 2 2 2 2" xfId="18311"/>
    <cellStyle name="Comma 26 2 3 2 2 2 2 2 2" xfId="18312"/>
    <cellStyle name="Comma 26 2 3 2 2 2 2 2 3" xfId="18313"/>
    <cellStyle name="Comma 26 2 3 2 2 2 2 2 4" xfId="18314"/>
    <cellStyle name="Comma 26 2 3 2 2 2 2 2 5" xfId="18315"/>
    <cellStyle name="Comma 26 2 3 2 2 2 2 2 6" xfId="18316"/>
    <cellStyle name="Comma 26 2 3 2 2 2 2 3" xfId="18317"/>
    <cellStyle name="Comma 26 2 3 2 2 2 2 4" xfId="18318"/>
    <cellStyle name="Comma 26 2 3 2 2 2 2 5" xfId="18319"/>
    <cellStyle name="Comma 26 2 3 2 2 2 2 6" xfId="18320"/>
    <cellStyle name="Comma 26 2 3 2 2 2 2 7" xfId="18321"/>
    <cellStyle name="Comma 26 2 3 2 2 2 3" xfId="18322"/>
    <cellStyle name="Comma 26 2 3 2 2 2 3 2" xfId="18323"/>
    <cellStyle name="Comma 26 2 3 2 2 2 3 3" xfId="18324"/>
    <cellStyle name="Comma 26 2 3 2 2 2 3 4" xfId="18325"/>
    <cellStyle name="Comma 26 2 3 2 2 2 3 5" xfId="18326"/>
    <cellStyle name="Comma 26 2 3 2 2 2 3 6" xfId="18327"/>
    <cellStyle name="Comma 26 2 3 2 2 2 4" xfId="18328"/>
    <cellStyle name="Comma 26 2 3 2 2 2 5" xfId="18329"/>
    <cellStyle name="Comma 26 2 3 2 2 2 6" xfId="18330"/>
    <cellStyle name="Comma 26 2 3 2 2 2 7" xfId="18331"/>
    <cellStyle name="Comma 26 2 3 2 2 2 8" xfId="18332"/>
    <cellStyle name="Comma 26 2 3 2 2 3" xfId="18333"/>
    <cellStyle name="Comma 26 2 3 2 2 3 2" xfId="18334"/>
    <cellStyle name="Comma 26 2 3 2 2 3 2 2" xfId="18335"/>
    <cellStyle name="Comma 26 2 3 2 2 3 2 3" xfId="18336"/>
    <cellStyle name="Comma 26 2 3 2 2 3 2 4" xfId="18337"/>
    <cellStyle name="Comma 26 2 3 2 2 3 2 5" xfId="18338"/>
    <cellStyle name="Comma 26 2 3 2 2 3 2 6" xfId="18339"/>
    <cellStyle name="Comma 26 2 3 2 2 3 3" xfId="18340"/>
    <cellStyle name="Comma 26 2 3 2 2 3 4" xfId="18341"/>
    <cellStyle name="Comma 26 2 3 2 2 3 5" xfId="18342"/>
    <cellStyle name="Comma 26 2 3 2 2 3 6" xfId="18343"/>
    <cellStyle name="Comma 26 2 3 2 2 3 7" xfId="18344"/>
    <cellStyle name="Comma 26 2 3 2 2 4" xfId="18345"/>
    <cellStyle name="Comma 26 2 3 2 2 4 2" xfId="18346"/>
    <cellStyle name="Comma 26 2 3 2 2 4 3" xfId="18347"/>
    <cellStyle name="Comma 26 2 3 2 2 4 4" xfId="18348"/>
    <cellStyle name="Comma 26 2 3 2 2 4 5" xfId="18349"/>
    <cellStyle name="Comma 26 2 3 2 2 4 6" xfId="18350"/>
    <cellStyle name="Comma 26 2 3 2 2 5" xfId="18351"/>
    <cellStyle name="Comma 26 2 3 2 2 6" xfId="18352"/>
    <cellStyle name="Comma 26 2 3 2 2 7" xfId="18353"/>
    <cellStyle name="Comma 26 2 3 2 2 8" xfId="18354"/>
    <cellStyle name="Comma 26 2 3 2 2 9" xfId="18355"/>
    <cellStyle name="Comma 26 2 3 2 3" xfId="18356"/>
    <cellStyle name="Comma 26 2 3 2 3 2" xfId="18357"/>
    <cellStyle name="Comma 26 2 3 2 3 2 2" xfId="18358"/>
    <cellStyle name="Comma 26 2 3 2 3 2 2 2" xfId="18359"/>
    <cellStyle name="Comma 26 2 3 2 3 2 2 2 2" xfId="18360"/>
    <cellStyle name="Comma 26 2 3 2 3 2 2 2 3" xfId="18361"/>
    <cellStyle name="Comma 26 2 3 2 3 2 2 2 4" xfId="18362"/>
    <cellStyle name="Comma 26 2 3 2 3 2 2 2 5" xfId="18363"/>
    <cellStyle name="Comma 26 2 3 2 3 2 2 2 6" xfId="18364"/>
    <cellStyle name="Comma 26 2 3 2 3 2 2 3" xfId="18365"/>
    <cellStyle name="Comma 26 2 3 2 3 2 2 4" xfId="18366"/>
    <cellStyle name="Comma 26 2 3 2 3 2 2 5" xfId="18367"/>
    <cellStyle name="Comma 26 2 3 2 3 2 2 6" xfId="18368"/>
    <cellStyle name="Comma 26 2 3 2 3 2 2 7" xfId="18369"/>
    <cellStyle name="Comma 26 2 3 2 3 2 3" xfId="18370"/>
    <cellStyle name="Comma 26 2 3 2 3 2 3 2" xfId="18371"/>
    <cellStyle name="Comma 26 2 3 2 3 2 3 3" xfId="18372"/>
    <cellStyle name="Comma 26 2 3 2 3 2 3 4" xfId="18373"/>
    <cellStyle name="Comma 26 2 3 2 3 2 3 5" xfId="18374"/>
    <cellStyle name="Comma 26 2 3 2 3 2 3 6" xfId="18375"/>
    <cellStyle name="Comma 26 2 3 2 3 2 4" xfId="18376"/>
    <cellStyle name="Comma 26 2 3 2 3 2 5" xfId="18377"/>
    <cellStyle name="Comma 26 2 3 2 3 2 6" xfId="18378"/>
    <cellStyle name="Comma 26 2 3 2 3 2 7" xfId="18379"/>
    <cellStyle name="Comma 26 2 3 2 3 2 8" xfId="18380"/>
    <cellStyle name="Comma 26 2 3 2 3 3" xfId="18381"/>
    <cellStyle name="Comma 26 2 3 2 3 3 2" xfId="18382"/>
    <cellStyle name="Comma 26 2 3 2 3 3 2 2" xfId="18383"/>
    <cellStyle name="Comma 26 2 3 2 3 3 2 3" xfId="18384"/>
    <cellStyle name="Comma 26 2 3 2 3 3 2 4" xfId="18385"/>
    <cellStyle name="Comma 26 2 3 2 3 3 2 5" xfId="18386"/>
    <cellStyle name="Comma 26 2 3 2 3 3 2 6" xfId="18387"/>
    <cellStyle name="Comma 26 2 3 2 3 3 3" xfId="18388"/>
    <cellStyle name="Comma 26 2 3 2 3 3 4" xfId="18389"/>
    <cellStyle name="Comma 26 2 3 2 3 3 5" xfId="18390"/>
    <cellStyle name="Comma 26 2 3 2 3 3 6" xfId="18391"/>
    <cellStyle name="Comma 26 2 3 2 3 3 7" xfId="18392"/>
    <cellStyle name="Comma 26 2 3 2 3 4" xfId="18393"/>
    <cellStyle name="Comma 26 2 3 2 3 4 2" xfId="18394"/>
    <cellStyle name="Comma 26 2 3 2 3 4 3" xfId="18395"/>
    <cellStyle name="Comma 26 2 3 2 3 4 4" xfId="18396"/>
    <cellStyle name="Comma 26 2 3 2 3 4 5" xfId="18397"/>
    <cellStyle name="Comma 26 2 3 2 3 4 6" xfId="18398"/>
    <cellStyle name="Comma 26 2 3 2 3 5" xfId="18399"/>
    <cellStyle name="Comma 26 2 3 2 3 6" xfId="18400"/>
    <cellStyle name="Comma 26 2 3 2 3 7" xfId="18401"/>
    <cellStyle name="Comma 26 2 3 2 3 8" xfId="18402"/>
    <cellStyle name="Comma 26 2 3 2 3 9" xfId="18403"/>
    <cellStyle name="Comma 26 2 3 2 4" xfId="18404"/>
    <cellStyle name="Comma 26 2 3 2 4 2" xfId="18405"/>
    <cellStyle name="Comma 26 2 3 2 4 2 2" xfId="18406"/>
    <cellStyle name="Comma 26 2 3 2 4 2 2 2" xfId="18407"/>
    <cellStyle name="Comma 26 2 3 2 4 2 2 2 2" xfId="18408"/>
    <cellStyle name="Comma 26 2 3 2 4 2 2 2 3" xfId="18409"/>
    <cellStyle name="Comma 26 2 3 2 4 2 2 2 4" xfId="18410"/>
    <cellStyle name="Comma 26 2 3 2 4 2 2 2 5" xfId="18411"/>
    <cellStyle name="Comma 26 2 3 2 4 2 2 2 6" xfId="18412"/>
    <cellStyle name="Comma 26 2 3 2 4 2 2 3" xfId="18413"/>
    <cellStyle name="Comma 26 2 3 2 4 2 2 4" xfId="18414"/>
    <cellStyle name="Comma 26 2 3 2 4 2 2 5" xfId="18415"/>
    <cellStyle name="Comma 26 2 3 2 4 2 2 6" xfId="18416"/>
    <cellStyle name="Comma 26 2 3 2 4 2 2 7" xfId="18417"/>
    <cellStyle name="Comma 26 2 3 2 4 2 3" xfId="18418"/>
    <cellStyle name="Comma 26 2 3 2 4 2 3 2" xfId="18419"/>
    <cellStyle name="Comma 26 2 3 2 4 2 3 3" xfId="18420"/>
    <cellStyle name="Comma 26 2 3 2 4 2 3 4" xfId="18421"/>
    <cellStyle name="Comma 26 2 3 2 4 2 3 5" xfId="18422"/>
    <cellStyle name="Comma 26 2 3 2 4 2 3 6" xfId="18423"/>
    <cellStyle name="Comma 26 2 3 2 4 2 4" xfId="18424"/>
    <cellStyle name="Comma 26 2 3 2 4 2 5" xfId="18425"/>
    <cellStyle name="Comma 26 2 3 2 4 2 6" xfId="18426"/>
    <cellStyle name="Comma 26 2 3 2 4 2 7" xfId="18427"/>
    <cellStyle name="Comma 26 2 3 2 4 2 8" xfId="18428"/>
    <cellStyle name="Comma 26 2 3 2 4 3" xfId="18429"/>
    <cellStyle name="Comma 26 2 3 2 4 3 2" xfId="18430"/>
    <cellStyle name="Comma 26 2 3 2 4 3 2 2" xfId="18431"/>
    <cellStyle name="Comma 26 2 3 2 4 3 2 3" xfId="18432"/>
    <cellStyle name="Comma 26 2 3 2 4 3 2 4" xfId="18433"/>
    <cellStyle name="Comma 26 2 3 2 4 3 2 5" xfId="18434"/>
    <cellStyle name="Comma 26 2 3 2 4 3 2 6" xfId="18435"/>
    <cellStyle name="Comma 26 2 3 2 4 3 3" xfId="18436"/>
    <cellStyle name="Comma 26 2 3 2 4 3 4" xfId="18437"/>
    <cellStyle name="Comma 26 2 3 2 4 3 5" xfId="18438"/>
    <cellStyle name="Comma 26 2 3 2 4 3 6" xfId="18439"/>
    <cellStyle name="Comma 26 2 3 2 4 3 7" xfId="18440"/>
    <cellStyle name="Comma 26 2 3 2 4 4" xfId="18441"/>
    <cellStyle name="Comma 26 2 3 2 4 4 2" xfId="18442"/>
    <cellStyle name="Comma 26 2 3 2 4 4 3" xfId="18443"/>
    <cellStyle name="Comma 26 2 3 2 4 4 4" xfId="18444"/>
    <cellStyle name="Comma 26 2 3 2 4 4 5" xfId="18445"/>
    <cellStyle name="Comma 26 2 3 2 4 4 6" xfId="18446"/>
    <cellStyle name="Comma 26 2 3 2 4 5" xfId="18447"/>
    <cellStyle name="Comma 26 2 3 2 4 6" xfId="18448"/>
    <cellStyle name="Comma 26 2 3 2 4 7" xfId="18449"/>
    <cellStyle name="Comma 26 2 3 2 4 8" xfId="18450"/>
    <cellStyle name="Comma 26 2 3 2 4 9" xfId="18451"/>
    <cellStyle name="Comma 26 2 3 2 5" xfId="18452"/>
    <cellStyle name="Comma 26 2 3 2 5 2" xfId="18453"/>
    <cellStyle name="Comma 26 2 3 2 5 2 2" xfId="18454"/>
    <cellStyle name="Comma 26 2 3 2 5 2 2 2" xfId="18455"/>
    <cellStyle name="Comma 26 2 3 2 5 2 2 2 2" xfId="18456"/>
    <cellStyle name="Comma 26 2 3 2 5 2 2 2 3" xfId="18457"/>
    <cellStyle name="Comma 26 2 3 2 5 2 2 2 4" xfId="18458"/>
    <cellStyle name="Comma 26 2 3 2 5 2 2 2 5" xfId="18459"/>
    <cellStyle name="Comma 26 2 3 2 5 2 2 2 6" xfId="18460"/>
    <cellStyle name="Comma 26 2 3 2 5 2 2 3" xfId="18461"/>
    <cellStyle name="Comma 26 2 3 2 5 2 2 4" xfId="18462"/>
    <cellStyle name="Comma 26 2 3 2 5 2 2 5" xfId="18463"/>
    <cellStyle name="Comma 26 2 3 2 5 2 2 6" xfId="18464"/>
    <cellStyle name="Comma 26 2 3 2 5 2 2 7" xfId="18465"/>
    <cellStyle name="Comma 26 2 3 2 5 2 3" xfId="18466"/>
    <cellStyle name="Comma 26 2 3 2 5 2 3 2" xfId="18467"/>
    <cellStyle name="Comma 26 2 3 2 5 2 3 3" xfId="18468"/>
    <cellStyle name="Comma 26 2 3 2 5 2 3 4" xfId="18469"/>
    <cellStyle name="Comma 26 2 3 2 5 2 3 5" xfId="18470"/>
    <cellStyle name="Comma 26 2 3 2 5 2 3 6" xfId="18471"/>
    <cellStyle name="Comma 26 2 3 2 5 2 4" xfId="18472"/>
    <cellStyle name="Comma 26 2 3 2 5 2 5" xfId="18473"/>
    <cellStyle name="Comma 26 2 3 2 5 2 6" xfId="18474"/>
    <cellStyle name="Comma 26 2 3 2 5 2 7" xfId="18475"/>
    <cellStyle name="Comma 26 2 3 2 5 2 8" xfId="18476"/>
    <cellStyle name="Comma 26 2 3 2 5 3" xfId="18477"/>
    <cellStyle name="Comma 26 2 3 2 5 3 2" xfId="18478"/>
    <cellStyle name="Comma 26 2 3 2 5 3 2 2" xfId="18479"/>
    <cellStyle name="Comma 26 2 3 2 5 3 2 3" xfId="18480"/>
    <cellStyle name="Comma 26 2 3 2 5 3 2 4" xfId="18481"/>
    <cellStyle name="Comma 26 2 3 2 5 3 2 5" xfId="18482"/>
    <cellStyle name="Comma 26 2 3 2 5 3 2 6" xfId="18483"/>
    <cellStyle name="Comma 26 2 3 2 5 3 3" xfId="18484"/>
    <cellStyle name="Comma 26 2 3 2 5 3 4" xfId="18485"/>
    <cellStyle name="Comma 26 2 3 2 5 3 5" xfId="18486"/>
    <cellStyle name="Comma 26 2 3 2 5 3 6" xfId="18487"/>
    <cellStyle name="Comma 26 2 3 2 5 3 7" xfId="18488"/>
    <cellStyle name="Comma 26 2 3 2 5 4" xfId="18489"/>
    <cellStyle name="Comma 26 2 3 2 5 4 2" xfId="18490"/>
    <cellStyle name="Comma 26 2 3 2 5 4 3" xfId="18491"/>
    <cellStyle name="Comma 26 2 3 2 5 4 4" xfId="18492"/>
    <cellStyle name="Comma 26 2 3 2 5 4 5" xfId="18493"/>
    <cellStyle name="Comma 26 2 3 2 5 4 6" xfId="18494"/>
    <cellStyle name="Comma 26 2 3 2 5 5" xfId="18495"/>
    <cellStyle name="Comma 26 2 3 2 5 6" xfId="18496"/>
    <cellStyle name="Comma 26 2 3 2 5 7" xfId="18497"/>
    <cellStyle name="Comma 26 2 3 2 5 8" xfId="18498"/>
    <cellStyle name="Comma 26 2 3 2 5 9" xfId="18499"/>
    <cellStyle name="Comma 26 2 3 2 6" xfId="18500"/>
    <cellStyle name="Comma 26 2 3 2 6 2" xfId="18501"/>
    <cellStyle name="Comma 26 2 3 2 6 2 2" xfId="18502"/>
    <cellStyle name="Comma 26 2 3 2 6 2 2 2" xfId="18503"/>
    <cellStyle name="Comma 26 2 3 2 6 2 2 2 2" xfId="18504"/>
    <cellStyle name="Comma 26 2 3 2 6 2 2 2 3" xfId="18505"/>
    <cellStyle name="Comma 26 2 3 2 6 2 2 2 4" xfId="18506"/>
    <cellStyle name="Comma 26 2 3 2 6 2 2 2 5" xfId="18507"/>
    <cellStyle name="Comma 26 2 3 2 6 2 2 2 6" xfId="18508"/>
    <cellStyle name="Comma 26 2 3 2 6 2 2 3" xfId="18509"/>
    <cellStyle name="Comma 26 2 3 2 6 2 2 4" xfId="18510"/>
    <cellStyle name="Comma 26 2 3 2 6 2 2 5" xfId="18511"/>
    <cellStyle name="Comma 26 2 3 2 6 2 2 6" xfId="18512"/>
    <cellStyle name="Comma 26 2 3 2 6 2 2 7" xfId="18513"/>
    <cellStyle name="Comma 26 2 3 2 6 2 3" xfId="18514"/>
    <cellStyle name="Comma 26 2 3 2 6 2 3 2" xfId="18515"/>
    <cellStyle name="Comma 26 2 3 2 6 2 3 3" xfId="18516"/>
    <cellStyle name="Comma 26 2 3 2 6 2 3 4" xfId="18517"/>
    <cellStyle name="Comma 26 2 3 2 6 2 3 5" xfId="18518"/>
    <cellStyle name="Comma 26 2 3 2 6 2 3 6" xfId="18519"/>
    <cellStyle name="Comma 26 2 3 2 6 2 4" xfId="18520"/>
    <cellStyle name="Comma 26 2 3 2 6 2 5" xfId="18521"/>
    <cellStyle name="Comma 26 2 3 2 6 2 6" xfId="18522"/>
    <cellStyle name="Comma 26 2 3 2 6 2 7" xfId="18523"/>
    <cellStyle name="Comma 26 2 3 2 6 2 8" xfId="18524"/>
    <cellStyle name="Comma 26 2 3 2 6 3" xfId="18525"/>
    <cellStyle name="Comma 26 2 3 2 6 3 2" xfId="18526"/>
    <cellStyle name="Comma 26 2 3 2 6 3 2 2" xfId="18527"/>
    <cellStyle name="Comma 26 2 3 2 6 3 2 3" xfId="18528"/>
    <cellStyle name="Comma 26 2 3 2 6 3 2 4" xfId="18529"/>
    <cellStyle name="Comma 26 2 3 2 6 3 2 5" xfId="18530"/>
    <cellStyle name="Comma 26 2 3 2 6 3 2 6" xfId="18531"/>
    <cellStyle name="Comma 26 2 3 2 6 3 3" xfId="18532"/>
    <cellStyle name="Comma 26 2 3 2 6 3 4" xfId="18533"/>
    <cellStyle name="Comma 26 2 3 2 6 3 5" xfId="18534"/>
    <cellStyle name="Comma 26 2 3 2 6 3 6" xfId="18535"/>
    <cellStyle name="Comma 26 2 3 2 6 3 7" xfId="18536"/>
    <cellStyle name="Comma 26 2 3 2 6 4" xfId="18537"/>
    <cellStyle name="Comma 26 2 3 2 6 4 2" xfId="18538"/>
    <cellStyle name="Comma 26 2 3 2 6 4 3" xfId="18539"/>
    <cellStyle name="Comma 26 2 3 2 6 4 4" xfId="18540"/>
    <cellStyle name="Comma 26 2 3 2 6 4 5" xfId="18541"/>
    <cellStyle name="Comma 26 2 3 2 6 4 6" xfId="18542"/>
    <cellStyle name="Comma 26 2 3 2 6 5" xfId="18543"/>
    <cellStyle name="Comma 26 2 3 2 6 6" xfId="18544"/>
    <cellStyle name="Comma 26 2 3 2 6 7" xfId="18545"/>
    <cellStyle name="Comma 26 2 3 2 6 8" xfId="18546"/>
    <cellStyle name="Comma 26 2 3 2 6 9" xfId="18547"/>
    <cellStyle name="Comma 26 2 3 2 7" xfId="18548"/>
    <cellStyle name="Comma 26 2 3 2 7 2" xfId="18549"/>
    <cellStyle name="Comma 26 2 3 2 7 2 2" xfId="18550"/>
    <cellStyle name="Comma 26 2 3 2 7 2 2 2" xfId="18551"/>
    <cellStyle name="Comma 26 2 3 2 7 2 2 3" xfId="18552"/>
    <cellStyle name="Comma 26 2 3 2 7 2 2 4" xfId="18553"/>
    <cellStyle name="Comma 26 2 3 2 7 2 2 5" xfId="18554"/>
    <cellStyle name="Comma 26 2 3 2 7 2 2 6" xfId="18555"/>
    <cellStyle name="Comma 26 2 3 2 7 2 3" xfId="18556"/>
    <cellStyle name="Comma 26 2 3 2 7 2 4" xfId="18557"/>
    <cellStyle name="Comma 26 2 3 2 7 2 5" xfId="18558"/>
    <cellStyle name="Comma 26 2 3 2 7 2 6" xfId="18559"/>
    <cellStyle name="Comma 26 2 3 2 7 2 7" xfId="18560"/>
    <cellStyle name="Comma 26 2 3 2 7 3" xfId="18561"/>
    <cellStyle name="Comma 26 2 3 2 7 3 2" xfId="18562"/>
    <cellStyle name="Comma 26 2 3 2 7 3 3" xfId="18563"/>
    <cellStyle name="Comma 26 2 3 2 7 3 4" xfId="18564"/>
    <cellStyle name="Comma 26 2 3 2 7 3 5" xfId="18565"/>
    <cellStyle name="Comma 26 2 3 2 7 3 6" xfId="18566"/>
    <cellStyle name="Comma 26 2 3 2 7 4" xfId="18567"/>
    <cellStyle name="Comma 26 2 3 2 7 5" xfId="18568"/>
    <cellStyle name="Comma 26 2 3 2 7 6" xfId="18569"/>
    <cellStyle name="Comma 26 2 3 2 7 7" xfId="18570"/>
    <cellStyle name="Comma 26 2 3 2 7 8" xfId="18571"/>
    <cellStyle name="Comma 26 2 3 2 8" xfId="18572"/>
    <cellStyle name="Comma 26 2 3 2 8 2" xfId="18573"/>
    <cellStyle name="Comma 26 2 3 2 8 2 2" xfId="18574"/>
    <cellStyle name="Comma 26 2 3 2 8 2 3" xfId="18575"/>
    <cellStyle name="Comma 26 2 3 2 8 2 4" xfId="18576"/>
    <cellStyle name="Comma 26 2 3 2 8 2 5" xfId="18577"/>
    <cellStyle name="Comma 26 2 3 2 8 2 6" xfId="18578"/>
    <cellStyle name="Comma 26 2 3 2 8 3" xfId="18579"/>
    <cellStyle name="Comma 26 2 3 2 8 4" xfId="18580"/>
    <cellStyle name="Comma 26 2 3 2 8 5" xfId="18581"/>
    <cellStyle name="Comma 26 2 3 2 8 6" xfId="18582"/>
    <cellStyle name="Comma 26 2 3 2 8 7" xfId="18583"/>
    <cellStyle name="Comma 26 2 3 2 9" xfId="18584"/>
    <cellStyle name="Comma 26 2 3 2 9 2" xfId="18585"/>
    <cellStyle name="Comma 26 2 3 2 9 3" xfId="18586"/>
    <cellStyle name="Comma 26 2 3 2 9 4" xfId="18587"/>
    <cellStyle name="Comma 26 2 3 2 9 5" xfId="18588"/>
    <cellStyle name="Comma 26 2 3 2 9 6" xfId="18589"/>
    <cellStyle name="Comma 26 2 3 3" xfId="18590"/>
    <cellStyle name="Comma 26 2 3 3 2" xfId="18591"/>
    <cellStyle name="Comma 26 2 3 3 2 2" xfId="18592"/>
    <cellStyle name="Comma 26 2 3 3 2 2 2" xfId="18593"/>
    <cellStyle name="Comma 26 2 3 3 2 2 2 2" xfId="18594"/>
    <cellStyle name="Comma 26 2 3 3 2 2 2 3" xfId="18595"/>
    <cellStyle name="Comma 26 2 3 3 2 2 2 4" xfId="18596"/>
    <cellStyle name="Comma 26 2 3 3 2 2 2 5" xfId="18597"/>
    <cellStyle name="Comma 26 2 3 3 2 2 2 6" xfId="18598"/>
    <cellStyle name="Comma 26 2 3 3 2 2 3" xfId="18599"/>
    <cellStyle name="Comma 26 2 3 3 2 2 4" xfId="18600"/>
    <cellStyle name="Comma 26 2 3 3 2 2 5" xfId="18601"/>
    <cellStyle name="Comma 26 2 3 3 2 2 6" xfId="18602"/>
    <cellStyle name="Comma 26 2 3 3 2 2 7" xfId="18603"/>
    <cellStyle name="Comma 26 2 3 3 2 3" xfId="18604"/>
    <cellStyle name="Comma 26 2 3 3 2 3 2" xfId="18605"/>
    <cellStyle name="Comma 26 2 3 3 2 3 3" xfId="18606"/>
    <cellStyle name="Comma 26 2 3 3 2 3 4" xfId="18607"/>
    <cellStyle name="Comma 26 2 3 3 2 3 5" xfId="18608"/>
    <cellStyle name="Comma 26 2 3 3 2 3 6" xfId="18609"/>
    <cellStyle name="Comma 26 2 3 3 2 4" xfId="18610"/>
    <cellStyle name="Comma 26 2 3 3 2 5" xfId="18611"/>
    <cellStyle name="Comma 26 2 3 3 2 6" xfId="18612"/>
    <cellStyle name="Comma 26 2 3 3 2 7" xfId="18613"/>
    <cellStyle name="Comma 26 2 3 3 2 8" xfId="18614"/>
    <cellStyle name="Comma 26 2 3 3 3" xfId="18615"/>
    <cellStyle name="Comma 26 2 3 3 3 2" xfId="18616"/>
    <cellStyle name="Comma 26 2 3 3 3 2 2" xfId="18617"/>
    <cellStyle name="Comma 26 2 3 3 3 2 3" xfId="18618"/>
    <cellStyle name="Comma 26 2 3 3 3 2 4" xfId="18619"/>
    <cellStyle name="Comma 26 2 3 3 3 2 5" xfId="18620"/>
    <cellStyle name="Comma 26 2 3 3 3 2 6" xfId="18621"/>
    <cellStyle name="Comma 26 2 3 3 3 3" xfId="18622"/>
    <cellStyle name="Comma 26 2 3 3 3 4" xfId="18623"/>
    <cellStyle name="Comma 26 2 3 3 3 5" xfId="18624"/>
    <cellStyle name="Comma 26 2 3 3 3 6" xfId="18625"/>
    <cellStyle name="Comma 26 2 3 3 3 7" xfId="18626"/>
    <cellStyle name="Comma 26 2 3 3 4" xfId="18627"/>
    <cellStyle name="Comma 26 2 3 3 4 2" xfId="18628"/>
    <cellStyle name="Comma 26 2 3 3 4 3" xfId="18629"/>
    <cellStyle name="Comma 26 2 3 3 4 4" xfId="18630"/>
    <cellStyle name="Comma 26 2 3 3 4 5" xfId="18631"/>
    <cellStyle name="Comma 26 2 3 3 4 6" xfId="18632"/>
    <cellStyle name="Comma 26 2 3 3 5" xfId="18633"/>
    <cellStyle name="Comma 26 2 3 3 6" xfId="18634"/>
    <cellStyle name="Comma 26 2 3 3 7" xfId="18635"/>
    <cellStyle name="Comma 26 2 3 3 8" xfId="18636"/>
    <cellStyle name="Comma 26 2 3 3 9" xfId="18637"/>
    <cellStyle name="Comma 26 2 3 4" xfId="18638"/>
    <cellStyle name="Comma 26 2 3 4 2" xfId="18639"/>
    <cellStyle name="Comma 26 2 3 4 2 2" xfId="18640"/>
    <cellStyle name="Comma 26 2 3 4 2 2 2" xfId="18641"/>
    <cellStyle name="Comma 26 2 3 4 2 2 2 2" xfId="18642"/>
    <cellStyle name="Comma 26 2 3 4 2 2 2 3" xfId="18643"/>
    <cellStyle name="Comma 26 2 3 4 2 2 2 4" xfId="18644"/>
    <cellStyle name="Comma 26 2 3 4 2 2 2 5" xfId="18645"/>
    <cellStyle name="Comma 26 2 3 4 2 2 2 6" xfId="18646"/>
    <cellStyle name="Comma 26 2 3 4 2 2 3" xfId="18647"/>
    <cellStyle name="Comma 26 2 3 4 2 2 4" xfId="18648"/>
    <cellStyle name="Comma 26 2 3 4 2 2 5" xfId="18649"/>
    <cellStyle name="Comma 26 2 3 4 2 2 6" xfId="18650"/>
    <cellStyle name="Comma 26 2 3 4 2 2 7" xfId="18651"/>
    <cellStyle name="Comma 26 2 3 4 2 3" xfId="18652"/>
    <cellStyle name="Comma 26 2 3 4 2 3 2" xfId="18653"/>
    <cellStyle name="Comma 26 2 3 4 2 3 3" xfId="18654"/>
    <cellStyle name="Comma 26 2 3 4 2 3 4" xfId="18655"/>
    <cellStyle name="Comma 26 2 3 4 2 3 5" xfId="18656"/>
    <cellStyle name="Comma 26 2 3 4 2 3 6" xfId="18657"/>
    <cellStyle name="Comma 26 2 3 4 2 4" xfId="18658"/>
    <cellStyle name="Comma 26 2 3 4 2 5" xfId="18659"/>
    <cellStyle name="Comma 26 2 3 4 2 6" xfId="18660"/>
    <cellStyle name="Comma 26 2 3 4 2 7" xfId="18661"/>
    <cellStyle name="Comma 26 2 3 4 2 8" xfId="18662"/>
    <cellStyle name="Comma 26 2 3 4 3" xfId="18663"/>
    <cellStyle name="Comma 26 2 3 4 3 2" xfId="18664"/>
    <cellStyle name="Comma 26 2 3 4 3 2 2" xfId="18665"/>
    <cellStyle name="Comma 26 2 3 4 3 2 3" xfId="18666"/>
    <cellStyle name="Comma 26 2 3 4 3 2 4" xfId="18667"/>
    <cellStyle name="Comma 26 2 3 4 3 2 5" xfId="18668"/>
    <cellStyle name="Comma 26 2 3 4 3 2 6" xfId="18669"/>
    <cellStyle name="Comma 26 2 3 4 3 3" xfId="18670"/>
    <cellStyle name="Comma 26 2 3 4 3 4" xfId="18671"/>
    <cellStyle name="Comma 26 2 3 4 3 5" xfId="18672"/>
    <cellStyle name="Comma 26 2 3 4 3 6" xfId="18673"/>
    <cellStyle name="Comma 26 2 3 4 3 7" xfId="18674"/>
    <cellStyle name="Comma 26 2 3 4 4" xfId="18675"/>
    <cellStyle name="Comma 26 2 3 4 4 2" xfId="18676"/>
    <cellStyle name="Comma 26 2 3 4 4 3" xfId="18677"/>
    <cellStyle name="Comma 26 2 3 4 4 4" xfId="18678"/>
    <cellStyle name="Comma 26 2 3 4 4 5" xfId="18679"/>
    <cellStyle name="Comma 26 2 3 4 4 6" xfId="18680"/>
    <cellStyle name="Comma 26 2 3 4 5" xfId="18681"/>
    <cellStyle name="Comma 26 2 3 4 6" xfId="18682"/>
    <cellStyle name="Comma 26 2 3 4 7" xfId="18683"/>
    <cellStyle name="Comma 26 2 3 4 8" xfId="18684"/>
    <cellStyle name="Comma 26 2 3 4 9" xfId="18685"/>
    <cellStyle name="Comma 26 2 3 5" xfId="18686"/>
    <cellStyle name="Comma 26 2 3 5 2" xfId="18687"/>
    <cellStyle name="Comma 26 2 3 5 2 2" xfId="18688"/>
    <cellStyle name="Comma 26 2 3 5 2 2 2" xfId="18689"/>
    <cellStyle name="Comma 26 2 3 5 2 2 2 2" xfId="18690"/>
    <cellStyle name="Comma 26 2 3 5 2 2 2 3" xfId="18691"/>
    <cellStyle name="Comma 26 2 3 5 2 2 2 4" xfId="18692"/>
    <cellStyle name="Comma 26 2 3 5 2 2 2 5" xfId="18693"/>
    <cellStyle name="Comma 26 2 3 5 2 2 2 6" xfId="18694"/>
    <cellStyle name="Comma 26 2 3 5 2 2 3" xfId="18695"/>
    <cellStyle name="Comma 26 2 3 5 2 2 4" xfId="18696"/>
    <cellStyle name="Comma 26 2 3 5 2 2 5" xfId="18697"/>
    <cellStyle name="Comma 26 2 3 5 2 2 6" xfId="18698"/>
    <cellStyle name="Comma 26 2 3 5 2 2 7" xfId="18699"/>
    <cellStyle name="Comma 26 2 3 5 2 3" xfId="18700"/>
    <cellStyle name="Comma 26 2 3 5 2 3 2" xfId="18701"/>
    <cellStyle name="Comma 26 2 3 5 2 3 3" xfId="18702"/>
    <cellStyle name="Comma 26 2 3 5 2 3 4" xfId="18703"/>
    <cellStyle name="Comma 26 2 3 5 2 3 5" xfId="18704"/>
    <cellStyle name="Comma 26 2 3 5 2 3 6" xfId="18705"/>
    <cellStyle name="Comma 26 2 3 5 2 4" xfId="18706"/>
    <cellStyle name="Comma 26 2 3 5 2 5" xfId="18707"/>
    <cellStyle name="Comma 26 2 3 5 2 6" xfId="18708"/>
    <cellStyle name="Comma 26 2 3 5 2 7" xfId="18709"/>
    <cellStyle name="Comma 26 2 3 5 2 8" xfId="18710"/>
    <cellStyle name="Comma 26 2 3 5 3" xfId="18711"/>
    <cellStyle name="Comma 26 2 3 5 3 2" xfId="18712"/>
    <cellStyle name="Comma 26 2 3 5 3 2 2" xfId="18713"/>
    <cellStyle name="Comma 26 2 3 5 3 2 3" xfId="18714"/>
    <cellStyle name="Comma 26 2 3 5 3 2 4" xfId="18715"/>
    <cellStyle name="Comma 26 2 3 5 3 2 5" xfId="18716"/>
    <cellStyle name="Comma 26 2 3 5 3 2 6" xfId="18717"/>
    <cellStyle name="Comma 26 2 3 5 3 3" xfId="18718"/>
    <cellStyle name="Comma 26 2 3 5 3 4" xfId="18719"/>
    <cellStyle name="Comma 26 2 3 5 3 5" xfId="18720"/>
    <cellStyle name="Comma 26 2 3 5 3 6" xfId="18721"/>
    <cellStyle name="Comma 26 2 3 5 3 7" xfId="18722"/>
    <cellStyle name="Comma 26 2 3 5 4" xfId="18723"/>
    <cellStyle name="Comma 26 2 3 5 4 2" xfId="18724"/>
    <cellStyle name="Comma 26 2 3 5 4 3" xfId="18725"/>
    <cellStyle name="Comma 26 2 3 5 4 4" xfId="18726"/>
    <cellStyle name="Comma 26 2 3 5 4 5" xfId="18727"/>
    <cellStyle name="Comma 26 2 3 5 4 6" xfId="18728"/>
    <cellStyle name="Comma 26 2 3 5 5" xfId="18729"/>
    <cellStyle name="Comma 26 2 3 5 6" xfId="18730"/>
    <cellStyle name="Comma 26 2 3 5 7" xfId="18731"/>
    <cellStyle name="Comma 26 2 3 5 8" xfId="18732"/>
    <cellStyle name="Comma 26 2 3 5 9" xfId="18733"/>
    <cellStyle name="Comma 26 2 3 6" xfId="18734"/>
    <cellStyle name="Comma 26 2 3 6 2" xfId="18735"/>
    <cellStyle name="Comma 26 2 3 6 2 2" xfId="18736"/>
    <cellStyle name="Comma 26 2 3 6 2 2 2" xfId="18737"/>
    <cellStyle name="Comma 26 2 3 6 2 2 2 2" xfId="18738"/>
    <cellStyle name="Comma 26 2 3 6 2 2 2 3" xfId="18739"/>
    <cellStyle name="Comma 26 2 3 6 2 2 2 4" xfId="18740"/>
    <cellStyle name="Comma 26 2 3 6 2 2 2 5" xfId="18741"/>
    <cellStyle name="Comma 26 2 3 6 2 2 2 6" xfId="18742"/>
    <cellStyle name="Comma 26 2 3 6 2 2 3" xfId="18743"/>
    <cellStyle name="Comma 26 2 3 6 2 2 4" xfId="18744"/>
    <cellStyle name="Comma 26 2 3 6 2 2 5" xfId="18745"/>
    <cellStyle name="Comma 26 2 3 6 2 2 6" xfId="18746"/>
    <cellStyle name="Comma 26 2 3 6 2 2 7" xfId="18747"/>
    <cellStyle name="Comma 26 2 3 6 2 3" xfId="18748"/>
    <cellStyle name="Comma 26 2 3 6 2 3 2" xfId="18749"/>
    <cellStyle name="Comma 26 2 3 6 2 3 3" xfId="18750"/>
    <cellStyle name="Comma 26 2 3 6 2 3 4" xfId="18751"/>
    <cellStyle name="Comma 26 2 3 6 2 3 5" xfId="18752"/>
    <cellStyle name="Comma 26 2 3 6 2 3 6" xfId="18753"/>
    <cellStyle name="Comma 26 2 3 6 2 4" xfId="18754"/>
    <cellStyle name="Comma 26 2 3 6 2 5" xfId="18755"/>
    <cellStyle name="Comma 26 2 3 6 2 6" xfId="18756"/>
    <cellStyle name="Comma 26 2 3 6 2 7" xfId="18757"/>
    <cellStyle name="Comma 26 2 3 6 2 8" xfId="18758"/>
    <cellStyle name="Comma 26 2 3 6 3" xfId="18759"/>
    <cellStyle name="Comma 26 2 3 6 3 2" xfId="18760"/>
    <cellStyle name="Comma 26 2 3 6 3 2 2" xfId="18761"/>
    <cellStyle name="Comma 26 2 3 6 3 2 3" xfId="18762"/>
    <cellStyle name="Comma 26 2 3 6 3 2 4" xfId="18763"/>
    <cellStyle name="Comma 26 2 3 6 3 2 5" xfId="18764"/>
    <cellStyle name="Comma 26 2 3 6 3 2 6" xfId="18765"/>
    <cellStyle name="Comma 26 2 3 6 3 3" xfId="18766"/>
    <cellStyle name="Comma 26 2 3 6 3 4" xfId="18767"/>
    <cellStyle name="Comma 26 2 3 6 3 5" xfId="18768"/>
    <cellStyle name="Comma 26 2 3 6 3 6" xfId="18769"/>
    <cellStyle name="Comma 26 2 3 6 3 7" xfId="18770"/>
    <cellStyle name="Comma 26 2 3 6 4" xfId="18771"/>
    <cellStyle name="Comma 26 2 3 6 4 2" xfId="18772"/>
    <cellStyle name="Comma 26 2 3 6 4 3" xfId="18773"/>
    <cellStyle name="Comma 26 2 3 6 4 4" xfId="18774"/>
    <cellStyle name="Comma 26 2 3 6 4 5" xfId="18775"/>
    <cellStyle name="Comma 26 2 3 6 4 6" xfId="18776"/>
    <cellStyle name="Comma 26 2 3 6 5" xfId="18777"/>
    <cellStyle name="Comma 26 2 3 6 6" xfId="18778"/>
    <cellStyle name="Comma 26 2 3 6 7" xfId="18779"/>
    <cellStyle name="Comma 26 2 3 6 8" xfId="18780"/>
    <cellStyle name="Comma 26 2 3 6 9" xfId="18781"/>
    <cellStyle name="Comma 26 2 3 7" xfId="18782"/>
    <cellStyle name="Comma 26 2 3 7 2" xfId="18783"/>
    <cellStyle name="Comma 26 2 3 7 2 2" xfId="18784"/>
    <cellStyle name="Comma 26 2 3 7 2 2 2" xfId="18785"/>
    <cellStyle name="Comma 26 2 3 7 2 2 2 2" xfId="18786"/>
    <cellStyle name="Comma 26 2 3 7 2 2 2 3" xfId="18787"/>
    <cellStyle name="Comma 26 2 3 7 2 2 2 4" xfId="18788"/>
    <cellStyle name="Comma 26 2 3 7 2 2 2 5" xfId="18789"/>
    <cellStyle name="Comma 26 2 3 7 2 2 2 6" xfId="18790"/>
    <cellStyle name="Comma 26 2 3 7 2 2 3" xfId="18791"/>
    <cellStyle name="Comma 26 2 3 7 2 2 4" xfId="18792"/>
    <cellStyle name="Comma 26 2 3 7 2 2 5" xfId="18793"/>
    <cellStyle name="Comma 26 2 3 7 2 2 6" xfId="18794"/>
    <cellStyle name="Comma 26 2 3 7 2 2 7" xfId="18795"/>
    <cellStyle name="Comma 26 2 3 7 2 3" xfId="18796"/>
    <cellStyle name="Comma 26 2 3 7 2 3 2" xfId="18797"/>
    <cellStyle name="Comma 26 2 3 7 2 3 3" xfId="18798"/>
    <cellStyle name="Comma 26 2 3 7 2 3 4" xfId="18799"/>
    <cellStyle name="Comma 26 2 3 7 2 3 5" xfId="18800"/>
    <cellStyle name="Comma 26 2 3 7 2 3 6" xfId="18801"/>
    <cellStyle name="Comma 26 2 3 7 2 4" xfId="18802"/>
    <cellStyle name="Comma 26 2 3 7 2 5" xfId="18803"/>
    <cellStyle name="Comma 26 2 3 7 2 6" xfId="18804"/>
    <cellStyle name="Comma 26 2 3 7 2 7" xfId="18805"/>
    <cellStyle name="Comma 26 2 3 7 2 8" xfId="18806"/>
    <cellStyle name="Comma 26 2 3 7 3" xfId="18807"/>
    <cellStyle name="Comma 26 2 3 7 3 2" xfId="18808"/>
    <cellStyle name="Comma 26 2 3 7 3 2 2" xfId="18809"/>
    <cellStyle name="Comma 26 2 3 7 3 2 3" xfId="18810"/>
    <cellStyle name="Comma 26 2 3 7 3 2 4" xfId="18811"/>
    <cellStyle name="Comma 26 2 3 7 3 2 5" xfId="18812"/>
    <cellStyle name="Comma 26 2 3 7 3 2 6" xfId="18813"/>
    <cellStyle name="Comma 26 2 3 7 3 3" xfId="18814"/>
    <cellStyle name="Comma 26 2 3 7 3 4" xfId="18815"/>
    <cellStyle name="Comma 26 2 3 7 3 5" xfId="18816"/>
    <cellStyle name="Comma 26 2 3 7 3 6" xfId="18817"/>
    <cellStyle name="Comma 26 2 3 7 3 7" xfId="18818"/>
    <cellStyle name="Comma 26 2 3 7 4" xfId="18819"/>
    <cellStyle name="Comma 26 2 3 7 4 2" xfId="18820"/>
    <cellStyle name="Comma 26 2 3 7 4 3" xfId="18821"/>
    <cellStyle name="Comma 26 2 3 7 4 4" xfId="18822"/>
    <cellStyle name="Comma 26 2 3 7 4 5" xfId="18823"/>
    <cellStyle name="Comma 26 2 3 7 4 6" xfId="18824"/>
    <cellStyle name="Comma 26 2 3 7 5" xfId="18825"/>
    <cellStyle name="Comma 26 2 3 7 6" xfId="18826"/>
    <cellStyle name="Comma 26 2 3 7 7" xfId="18827"/>
    <cellStyle name="Comma 26 2 3 7 8" xfId="18828"/>
    <cellStyle name="Comma 26 2 3 7 9" xfId="18829"/>
    <cellStyle name="Comma 26 2 3 8" xfId="18830"/>
    <cellStyle name="Comma 26 2 3 8 2" xfId="18831"/>
    <cellStyle name="Comma 26 2 3 8 2 2" xfId="18832"/>
    <cellStyle name="Comma 26 2 3 8 2 2 2" xfId="18833"/>
    <cellStyle name="Comma 26 2 3 8 2 2 3" xfId="18834"/>
    <cellStyle name="Comma 26 2 3 8 2 2 4" xfId="18835"/>
    <cellStyle name="Comma 26 2 3 8 2 2 5" xfId="18836"/>
    <cellStyle name="Comma 26 2 3 8 2 2 6" xfId="18837"/>
    <cellStyle name="Comma 26 2 3 8 2 3" xfId="18838"/>
    <cellStyle name="Comma 26 2 3 8 2 4" xfId="18839"/>
    <cellStyle name="Comma 26 2 3 8 2 5" xfId="18840"/>
    <cellStyle name="Comma 26 2 3 8 2 6" xfId="18841"/>
    <cellStyle name="Comma 26 2 3 8 2 7" xfId="18842"/>
    <cellStyle name="Comma 26 2 3 8 3" xfId="18843"/>
    <cellStyle name="Comma 26 2 3 8 3 2" xfId="18844"/>
    <cellStyle name="Comma 26 2 3 8 3 3" xfId="18845"/>
    <cellStyle name="Comma 26 2 3 8 3 4" xfId="18846"/>
    <cellStyle name="Comma 26 2 3 8 3 5" xfId="18847"/>
    <cellStyle name="Comma 26 2 3 8 3 6" xfId="18848"/>
    <cellStyle name="Comma 26 2 3 8 4" xfId="18849"/>
    <cellStyle name="Comma 26 2 3 8 5" xfId="18850"/>
    <cellStyle name="Comma 26 2 3 8 6" xfId="18851"/>
    <cellStyle name="Comma 26 2 3 8 7" xfId="18852"/>
    <cellStyle name="Comma 26 2 3 8 8" xfId="18853"/>
    <cellStyle name="Comma 26 2 3 9" xfId="18854"/>
    <cellStyle name="Comma 26 2 3 9 2" xfId="18855"/>
    <cellStyle name="Comma 26 2 3 9 2 2" xfId="18856"/>
    <cellStyle name="Comma 26 2 3 9 2 3" xfId="18857"/>
    <cellStyle name="Comma 26 2 3 9 2 4" xfId="18858"/>
    <cellStyle name="Comma 26 2 3 9 2 5" xfId="18859"/>
    <cellStyle name="Comma 26 2 3 9 2 6" xfId="18860"/>
    <cellStyle name="Comma 26 2 3 9 3" xfId="18861"/>
    <cellStyle name="Comma 26 2 3 9 4" xfId="18862"/>
    <cellStyle name="Comma 26 2 3 9 5" xfId="18863"/>
    <cellStyle name="Comma 26 2 3 9 6" xfId="18864"/>
    <cellStyle name="Comma 26 2 3 9 7" xfId="18865"/>
    <cellStyle name="Comma 26 2 4" xfId="18866"/>
    <cellStyle name="Comma 26 2 4 10" xfId="18867"/>
    <cellStyle name="Comma 26 2 4 11" xfId="18868"/>
    <cellStyle name="Comma 26 2 4 12" xfId="18869"/>
    <cellStyle name="Comma 26 2 4 13" xfId="18870"/>
    <cellStyle name="Comma 26 2 4 14" xfId="18871"/>
    <cellStyle name="Comma 26 2 4 2" xfId="18872"/>
    <cellStyle name="Comma 26 2 4 2 2" xfId="18873"/>
    <cellStyle name="Comma 26 2 4 2 2 2" xfId="18874"/>
    <cellStyle name="Comma 26 2 4 2 2 2 2" xfId="18875"/>
    <cellStyle name="Comma 26 2 4 2 2 2 2 2" xfId="18876"/>
    <cellStyle name="Comma 26 2 4 2 2 2 2 3" xfId="18877"/>
    <cellStyle name="Comma 26 2 4 2 2 2 2 4" xfId="18878"/>
    <cellStyle name="Comma 26 2 4 2 2 2 2 5" xfId="18879"/>
    <cellStyle name="Comma 26 2 4 2 2 2 2 6" xfId="18880"/>
    <cellStyle name="Comma 26 2 4 2 2 2 3" xfId="18881"/>
    <cellStyle name="Comma 26 2 4 2 2 2 4" xfId="18882"/>
    <cellStyle name="Comma 26 2 4 2 2 2 5" xfId="18883"/>
    <cellStyle name="Comma 26 2 4 2 2 2 6" xfId="18884"/>
    <cellStyle name="Comma 26 2 4 2 2 2 7" xfId="18885"/>
    <cellStyle name="Comma 26 2 4 2 2 3" xfId="18886"/>
    <cellStyle name="Comma 26 2 4 2 2 3 2" xfId="18887"/>
    <cellStyle name="Comma 26 2 4 2 2 3 3" xfId="18888"/>
    <cellStyle name="Comma 26 2 4 2 2 3 4" xfId="18889"/>
    <cellStyle name="Comma 26 2 4 2 2 3 5" xfId="18890"/>
    <cellStyle name="Comma 26 2 4 2 2 3 6" xfId="18891"/>
    <cellStyle name="Comma 26 2 4 2 2 4" xfId="18892"/>
    <cellStyle name="Comma 26 2 4 2 2 5" xfId="18893"/>
    <cellStyle name="Comma 26 2 4 2 2 6" xfId="18894"/>
    <cellStyle name="Comma 26 2 4 2 2 7" xfId="18895"/>
    <cellStyle name="Comma 26 2 4 2 2 8" xfId="18896"/>
    <cellStyle name="Comma 26 2 4 2 3" xfId="18897"/>
    <cellStyle name="Comma 26 2 4 2 3 2" xfId="18898"/>
    <cellStyle name="Comma 26 2 4 2 3 2 2" xfId="18899"/>
    <cellStyle name="Comma 26 2 4 2 3 2 3" xfId="18900"/>
    <cellStyle name="Comma 26 2 4 2 3 2 4" xfId="18901"/>
    <cellStyle name="Comma 26 2 4 2 3 2 5" xfId="18902"/>
    <cellStyle name="Comma 26 2 4 2 3 2 6" xfId="18903"/>
    <cellStyle name="Comma 26 2 4 2 3 3" xfId="18904"/>
    <cellStyle name="Comma 26 2 4 2 3 4" xfId="18905"/>
    <cellStyle name="Comma 26 2 4 2 3 5" xfId="18906"/>
    <cellStyle name="Comma 26 2 4 2 3 6" xfId="18907"/>
    <cellStyle name="Comma 26 2 4 2 3 7" xfId="18908"/>
    <cellStyle name="Comma 26 2 4 2 4" xfId="18909"/>
    <cellStyle name="Comma 26 2 4 2 4 2" xfId="18910"/>
    <cellStyle name="Comma 26 2 4 2 4 3" xfId="18911"/>
    <cellStyle name="Comma 26 2 4 2 4 4" xfId="18912"/>
    <cellStyle name="Comma 26 2 4 2 4 5" xfId="18913"/>
    <cellStyle name="Comma 26 2 4 2 4 6" xfId="18914"/>
    <cellStyle name="Comma 26 2 4 2 5" xfId="18915"/>
    <cellStyle name="Comma 26 2 4 2 6" xfId="18916"/>
    <cellStyle name="Comma 26 2 4 2 7" xfId="18917"/>
    <cellStyle name="Comma 26 2 4 2 8" xfId="18918"/>
    <cellStyle name="Comma 26 2 4 2 9" xfId="18919"/>
    <cellStyle name="Comma 26 2 4 3" xfId="18920"/>
    <cellStyle name="Comma 26 2 4 3 2" xfId="18921"/>
    <cellStyle name="Comma 26 2 4 3 2 2" xfId="18922"/>
    <cellStyle name="Comma 26 2 4 3 2 2 2" xfId="18923"/>
    <cellStyle name="Comma 26 2 4 3 2 2 2 2" xfId="18924"/>
    <cellStyle name="Comma 26 2 4 3 2 2 2 3" xfId="18925"/>
    <cellStyle name="Comma 26 2 4 3 2 2 2 4" xfId="18926"/>
    <cellStyle name="Comma 26 2 4 3 2 2 2 5" xfId="18927"/>
    <cellStyle name="Comma 26 2 4 3 2 2 2 6" xfId="18928"/>
    <cellStyle name="Comma 26 2 4 3 2 2 3" xfId="18929"/>
    <cellStyle name="Comma 26 2 4 3 2 2 4" xfId="18930"/>
    <cellStyle name="Comma 26 2 4 3 2 2 5" xfId="18931"/>
    <cellStyle name="Comma 26 2 4 3 2 2 6" xfId="18932"/>
    <cellStyle name="Comma 26 2 4 3 2 2 7" xfId="18933"/>
    <cellStyle name="Comma 26 2 4 3 2 3" xfId="18934"/>
    <cellStyle name="Comma 26 2 4 3 2 3 2" xfId="18935"/>
    <cellStyle name="Comma 26 2 4 3 2 3 3" xfId="18936"/>
    <cellStyle name="Comma 26 2 4 3 2 3 4" xfId="18937"/>
    <cellStyle name="Comma 26 2 4 3 2 3 5" xfId="18938"/>
    <cellStyle name="Comma 26 2 4 3 2 3 6" xfId="18939"/>
    <cellStyle name="Comma 26 2 4 3 2 4" xfId="18940"/>
    <cellStyle name="Comma 26 2 4 3 2 5" xfId="18941"/>
    <cellStyle name="Comma 26 2 4 3 2 6" xfId="18942"/>
    <cellStyle name="Comma 26 2 4 3 2 7" xfId="18943"/>
    <cellStyle name="Comma 26 2 4 3 2 8" xfId="18944"/>
    <cellStyle name="Comma 26 2 4 3 3" xfId="18945"/>
    <cellStyle name="Comma 26 2 4 3 3 2" xfId="18946"/>
    <cellStyle name="Comma 26 2 4 3 3 2 2" xfId="18947"/>
    <cellStyle name="Comma 26 2 4 3 3 2 3" xfId="18948"/>
    <cellStyle name="Comma 26 2 4 3 3 2 4" xfId="18949"/>
    <cellStyle name="Comma 26 2 4 3 3 2 5" xfId="18950"/>
    <cellStyle name="Comma 26 2 4 3 3 2 6" xfId="18951"/>
    <cellStyle name="Comma 26 2 4 3 3 3" xfId="18952"/>
    <cellStyle name="Comma 26 2 4 3 3 4" xfId="18953"/>
    <cellStyle name="Comma 26 2 4 3 3 5" xfId="18954"/>
    <cellStyle name="Comma 26 2 4 3 3 6" xfId="18955"/>
    <cellStyle name="Comma 26 2 4 3 3 7" xfId="18956"/>
    <cellStyle name="Comma 26 2 4 3 4" xfId="18957"/>
    <cellStyle name="Comma 26 2 4 3 4 2" xfId="18958"/>
    <cellStyle name="Comma 26 2 4 3 4 3" xfId="18959"/>
    <cellStyle name="Comma 26 2 4 3 4 4" xfId="18960"/>
    <cellStyle name="Comma 26 2 4 3 4 5" xfId="18961"/>
    <cellStyle name="Comma 26 2 4 3 4 6" xfId="18962"/>
    <cellStyle name="Comma 26 2 4 3 5" xfId="18963"/>
    <cellStyle name="Comma 26 2 4 3 6" xfId="18964"/>
    <cellStyle name="Comma 26 2 4 3 7" xfId="18965"/>
    <cellStyle name="Comma 26 2 4 3 8" xfId="18966"/>
    <cellStyle name="Comma 26 2 4 3 9" xfId="18967"/>
    <cellStyle name="Comma 26 2 4 4" xfId="18968"/>
    <cellStyle name="Comma 26 2 4 4 2" xfId="18969"/>
    <cellStyle name="Comma 26 2 4 4 2 2" xfId="18970"/>
    <cellStyle name="Comma 26 2 4 4 2 2 2" xfId="18971"/>
    <cellStyle name="Comma 26 2 4 4 2 2 2 2" xfId="18972"/>
    <cellStyle name="Comma 26 2 4 4 2 2 2 3" xfId="18973"/>
    <cellStyle name="Comma 26 2 4 4 2 2 2 4" xfId="18974"/>
    <cellStyle name="Comma 26 2 4 4 2 2 2 5" xfId="18975"/>
    <cellStyle name="Comma 26 2 4 4 2 2 2 6" xfId="18976"/>
    <cellStyle name="Comma 26 2 4 4 2 2 3" xfId="18977"/>
    <cellStyle name="Comma 26 2 4 4 2 2 4" xfId="18978"/>
    <cellStyle name="Comma 26 2 4 4 2 2 5" xfId="18979"/>
    <cellStyle name="Comma 26 2 4 4 2 2 6" xfId="18980"/>
    <cellStyle name="Comma 26 2 4 4 2 2 7" xfId="18981"/>
    <cellStyle name="Comma 26 2 4 4 2 3" xfId="18982"/>
    <cellStyle name="Comma 26 2 4 4 2 3 2" xfId="18983"/>
    <cellStyle name="Comma 26 2 4 4 2 3 3" xfId="18984"/>
    <cellStyle name="Comma 26 2 4 4 2 3 4" xfId="18985"/>
    <cellStyle name="Comma 26 2 4 4 2 3 5" xfId="18986"/>
    <cellStyle name="Comma 26 2 4 4 2 3 6" xfId="18987"/>
    <cellStyle name="Comma 26 2 4 4 2 4" xfId="18988"/>
    <cellStyle name="Comma 26 2 4 4 2 5" xfId="18989"/>
    <cellStyle name="Comma 26 2 4 4 2 6" xfId="18990"/>
    <cellStyle name="Comma 26 2 4 4 2 7" xfId="18991"/>
    <cellStyle name="Comma 26 2 4 4 2 8" xfId="18992"/>
    <cellStyle name="Comma 26 2 4 4 3" xfId="18993"/>
    <cellStyle name="Comma 26 2 4 4 3 2" xfId="18994"/>
    <cellStyle name="Comma 26 2 4 4 3 2 2" xfId="18995"/>
    <cellStyle name="Comma 26 2 4 4 3 2 3" xfId="18996"/>
    <cellStyle name="Comma 26 2 4 4 3 2 4" xfId="18997"/>
    <cellStyle name="Comma 26 2 4 4 3 2 5" xfId="18998"/>
    <cellStyle name="Comma 26 2 4 4 3 2 6" xfId="18999"/>
    <cellStyle name="Comma 26 2 4 4 3 3" xfId="19000"/>
    <cellStyle name="Comma 26 2 4 4 3 4" xfId="19001"/>
    <cellStyle name="Comma 26 2 4 4 3 5" xfId="19002"/>
    <cellStyle name="Comma 26 2 4 4 3 6" xfId="19003"/>
    <cellStyle name="Comma 26 2 4 4 3 7" xfId="19004"/>
    <cellStyle name="Comma 26 2 4 4 4" xfId="19005"/>
    <cellStyle name="Comma 26 2 4 4 4 2" xfId="19006"/>
    <cellStyle name="Comma 26 2 4 4 4 3" xfId="19007"/>
    <cellStyle name="Comma 26 2 4 4 4 4" xfId="19008"/>
    <cellStyle name="Comma 26 2 4 4 4 5" xfId="19009"/>
    <cellStyle name="Comma 26 2 4 4 4 6" xfId="19010"/>
    <cellStyle name="Comma 26 2 4 4 5" xfId="19011"/>
    <cellStyle name="Comma 26 2 4 4 6" xfId="19012"/>
    <cellStyle name="Comma 26 2 4 4 7" xfId="19013"/>
    <cellStyle name="Comma 26 2 4 4 8" xfId="19014"/>
    <cellStyle name="Comma 26 2 4 4 9" xfId="19015"/>
    <cellStyle name="Comma 26 2 4 5" xfId="19016"/>
    <cellStyle name="Comma 26 2 4 5 2" xfId="19017"/>
    <cellStyle name="Comma 26 2 4 5 2 2" xfId="19018"/>
    <cellStyle name="Comma 26 2 4 5 2 2 2" xfId="19019"/>
    <cellStyle name="Comma 26 2 4 5 2 2 2 2" xfId="19020"/>
    <cellStyle name="Comma 26 2 4 5 2 2 2 3" xfId="19021"/>
    <cellStyle name="Comma 26 2 4 5 2 2 2 4" xfId="19022"/>
    <cellStyle name="Comma 26 2 4 5 2 2 2 5" xfId="19023"/>
    <cellStyle name="Comma 26 2 4 5 2 2 2 6" xfId="19024"/>
    <cellStyle name="Comma 26 2 4 5 2 2 3" xfId="19025"/>
    <cellStyle name="Comma 26 2 4 5 2 2 4" xfId="19026"/>
    <cellStyle name="Comma 26 2 4 5 2 2 5" xfId="19027"/>
    <cellStyle name="Comma 26 2 4 5 2 2 6" xfId="19028"/>
    <cellStyle name="Comma 26 2 4 5 2 2 7" xfId="19029"/>
    <cellStyle name="Comma 26 2 4 5 2 3" xfId="19030"/>
    <cellStyle name="Comma 26 2 4 5 2 3 2" xfId="19031"/>
    <cellStyle name="Comma 26 2 4 5 2 3 3" xfId="19032"/>
    <cellStyle name="Comma 26 2 4 5 2 3 4" xfId="19033"/>
    <cellStyle name="Comma 26 2 4 5 2 3 5" xfId="19034"/>
    <cellStyle name="Comma 26 2 4 5 2 3 6" xfId="19035"/>
    <cellStyle name="Comma 26 2 4 5 2 4" xfId="19036"/>
    <cellStyle name="Comma 26 2 4 5 2 5" xfId="19037"/>
    <cellStyle name="Comma 26 2 4 5 2 6" xfId="19038"/>
    <cellStyle name="Comma 26 2 4 5 2 7" xfId="19039"/>
    <cellStyle name="Comma 26 2 4 5 2 8" xfId="19040"/>
    <cellStyle name="Comma 26 2 4 5 3" xfId="19041"/>
    <cellStyle name="Comma 26 2 4 5 3 2" xfId="19042"/>
    <cellStyle name="Comma 26 2 4 5 3 2 2" xfId="19043"/>
    <cellStyle name="Comma 26 2 4 5 3 2 3" xfId="19044"/>
    <cellStyle name="Comma 26 2 4 5 3 2 4" xfId="19045"/>
    <cellStyle name="Comma 26 2 4 5 3 2 5" xfId="19046"/>
    <cellStyle name="Comma 26 2 4 5 3 2 6" xfId="19047"/>
    <cellStyle name="Comma 26 2 4 5 3 3" xfId="19048"/>
    <cellStyle name="Comma 26 2 4 5 3 4" xfId="19049"/>
    <cellStyle name="Comma 26 2 4 5 3 5" xfId="19050"/>
    <cellStyle name="Comma 26 2 4 5 3 6" xfId="19051"/>
    <cellStyle name="Comma 26 2 4 5 3 7" xfId="19052"/>
    <cellStyle name="Comma 26 2 4 5 4" xfId="19053"/>
    <cellStyle name="Comma 26 2 4 5 4 2" xfId="19054"/>
    <cellStyle name="Comma 26 2 4 5 4 3" xfId="19055"/>
    <cellStyle name="Comma 26 2 4 5 4 4" xfId="19056"/>
    <cellStyle name="Comma 26 2 4 5 4 5" xfId="19057"/>
    <cellStyle name="Comma 26 2 4 5 4 6" xfId="19058"/>
    <cellStyle name="Comma 26 2 4 5 5" xfId="19059"/>
    <cellStyle name="Comma 26 2 4 5 6" xfId="19060"/>
    <cellStyle name="Comma 26 2 4 5 7" xfId="19061"/>
    <cellStyle name="Comma 26 2 4 5 8" xfId="19062"/>
    <cellStyle name="Comma 26 2 4 5 9" xfId="19063"/>
    <cellStyle name="Comma 26 2 4 6" xfId="19064"/>
    <cellStyle name="Comma 26 2 4 6 2" xfId="19065"/>
    <cellStyle name="Comma 26 2 4 6 2 2" xfId="19066"/>
    <cellStyle name="Comma 26 2 4 6 2 2 2" xfId="19067"/>
    <cellStyle name="Comma 26 2 4 6 2 2 2 2" xfId="19068"/>
    <cellStyle name="Comma 26 2 4 6 2 2 2 3" xfId="19069"/>
    <cellStyle name="Comma 26 2 4 6 2 2 2 4" xfId="19070"/>
    <cellStyle name="Comma 26 2 4 6 2 2 2 5" xfId="19071"/>
    <cellStyle name="Comma 26 2 4 6 2 2 2 6" xfId="19072"/>
    <cellStyle name="Comma 26 2 4 6 2 2 3" xfId="19073"/>
    <cellStyle name="Comma 26 2 4 6 2 2 4" xfId="19074"/>
    <cellStyle name="Comma 26 2 4 6 2 2 5" xfId="19075"/>
    <cellStyle name="Comma 26 2 4 6 2 2 6" xfId="19076"/>
    <cellStyle name="Comma 26 2 4 6 2 2 7" xfId="19077"/>
    <cellStyle name="Comma 26 2 4 6 2 3" xfId="19078"/>
    <cellStyle name="Comma 26 2 4 6 2 3 2" xfId="19079"/>
    <cellStyle name="Comma 26 2 4 6 2 3 3" xfId="19080"/>
    <cellStyle name="Comma 26 2 4 6 2 3 4" xfId="19081"/>
    <cellStyle name="Comma 26 2 4 6 2 3 5" xfId="19082"/>
    <cellStyle name="Comma 26 2 4 6 2 3 6" xfId="19083"/>
    <cellStyle name="Comma 26 2 4 6 2 4" xfId="19084"/>
    <cellStyle name="Comma 26 2 4 6 2 5" xfId="19085"/>
    <cellStyle name="Comma 26 2 4 6 2 6" xfId="19086"/>
    <cellStyle name="Comma 26 2 4 6 2 7" xfId="19087"/>
    <cellStyle name="Comma 26 2 4 6 2 8" xfId="19088"/>
    <cellStyle name="Comma 26 2 4 6 3" xfId="19089"/>
    <cellStyle name="Comma 26 2 4 6 3 2" xfId="19090"/>
    <cellStyle name="Comma 26 2 4 6 3 2 2" xfId="19091"/>
    <cellStyle name="Comma 26 2 4 6 3 2 3" xfId="19092"/>
    <cellStyle name="Comma 26 2 4 6 3 2 4" xfId="19093"/>
    <cellStyle name="Comma 26 2 4 6 3 2 5" xfId="19094"/>
    <cellStyle name="Comma 26 2 4 6 3 2 6" xfId="19095"/>
    <cellStyle name="Comma 26 2 4 6 3 3" xfId="19096"/>
    <cellStyle name="Comma 26 2 4 6 3 4" xfId="19097"/>
    <cellStyle name="Comma 26 2 4 6 3 5" xfId="19098"/>
    <cellStyle name="Comma 26 2 4 6 3 6" xfId="19099"/>
    <cellStyle name="Comma 26 2 4 6 3 7" xfId="19100"/>
    <cellStyle name="Comma 26 2 4 6 4" xfId="19101"/>
    <cellStyle name="Comma 26 2 4 6 4 2" xfId="19102"/>
    <cellStyle name="Comma 26 2 4 6 4 3" xfId="19103"/>
    <cellStyle name="Comma 26 2 4 6 4 4" xfId="19104"/>
    <cellStyle name="Comma 26 2 4 6 4 5" xfId="19105"/>
    <cellStyle name="Comma 26 2 4 6 4 6" xfId="19106"/>
    <cellStyle name="Comma 26 2 4 6 5" xfId="19107"/>
    <cellStyle name="Comma 26 2 4 6 6" xfId="19108"/>
    <cellStyle name="Comma 26 2 4 6 7" xfId="19109"/>
    <cellStyle name="Comma 26 2 4 6 8" xfId="19110"/>
    <cellStyle name="Comma 26 2 4 6 9" xfId="19111"/>
    <cellStyle name="Comma 26 2 4 7" xfId="19112"/>
    <cellStyle name="Comma 26 2 4 7 2" xfId="19113"/>
    <cellStyle name="Comma 26 2 4 7 2 2" xfId="19114"/>
    <cellStyle name="Comma 26 2 4 7 2 2 2" xfId="19115"/>
    <cellStyle name="Comma 26 2 4 7 2 2 3" xfId="19116"/>
    <cellStyle name="Comma 26 2 4 7 2 2 4" xfId="19117"/>
    <cellStyle name="Comma 26 2 4 7 2 2 5" xfId="19118"/>
    <cellStyle name="Comma 26 2 4 7 2 2 6" xfId="19119"/>
    <cellStyle name="Comma 26 2 4 7 2 3" xfId="19120"/>
    <cellStyle name="Comma 26 2 4 7 2 4" xfId="19121"/>
    <cellStyle name="Comma 26 2 4 7 2 5" xfId="19122"/>
    <cellStyle name="Comma 26 2 4 7 2 6" xfId="19123"/>
    <cellStyle name="Comma 26 2 4 7 2 7" xfId="19124"/>
    <cellStyle name="Comma 26 2 4 7 3" xfId="19125"/>
    <cellStyle name="Comma 26 2 4 7 3 2" xfId="19126"/>
    <cellStyle name="Comma 26 2 4 7 3 3" xfId="19127"/>
    <cellStyle name="Comma 26 2 4 7 3 4" xfId="19128"/>
    <cellStyle name="Comma 26 2 4 7 3 5" xfId="19129"/>
    <cellStyle name="Comma 26 2 4 7 3 6" xfId="19130"/>
    <cellStyle name="Comma 26 2 4 7 4" xfId="19131"/>
    <cellStyle name="Comma 26 2 4 7 5" xfId="19132"/>
    <cellStyle name="Comma 26 2 4 7 6" xfId="19133"/>
    <cellStyle name="Comma 26 2 4 7 7" xfId="19134"/>
    <cellStyle name="Comma 26 2 4 7 8" xfId="19135"/>
    <cellStyle name="Comma 26 2 4 8" xfId="19136"/>
    <cellStyle name="Comma 26 2 4 8 2" xfId="19137"/>
    <cellStyle name="Comma 26 2 4 8 2 2" xfId="19138"/>
    <cellStyle name="Comma 26 2 4 8 2 3" xfId="19139"/>
    <cellStyle name="Comma 26 2 4 8 2 4" xfId="19140"/>
    <cellStyle name="Comma 26 2 4 8 2 5" xfId="19141"/>
    <cellStyle name="Comma 26 2 4 8 2 6" xfId="19142"/>
    <cellStyle name="Comma 26 2 4 8 3" xfId="19143"/>
    <cellStyle name="Comma 26 2 4 8 4" xfId="19144"/>
    <cellStyle name="Comma 26 2 4 8 5" xfId="19145"/>
    <cellStyle name="Comma 26 2 4 8 6" xfId="19146"/>
    <cellStyle name="Comma 26 2 4 8 7" xfId="19147"/>
    <cellStyle name="Comma 26 2 4 9" xfId="19148"/>
    <cellStyle name="Comma 26 2 4 9 2" xfId="19149"/>
    <cellStyle name="Comma 26 2 4 9 3" xfId="19150"/>
    <cellStyle name="Comma 26 2 4 9 4" xfId="19151"/>
    <cellStyle name="Comma 26 2 4 9 5" xfId="19152"/>
    <cellStyle name="Comma 26 2 4 9 6" xfId="19153"/>
    <cellStyle name="Comma 26 2 5" xfId="19154"/>
    <cellStyle name="Comma 26 2 5 10" xfId="19155"/>
    <cellStyle name="Comma 26 2 5 11" xfId="19156"/>
    <cellStyle name="Comma 26 2 5 12" xfId="19157"/>
    <cellStyle name="Comma 26 2 5 13" xfId="19158"/>
    <cellStyle name="Comma 26 2 5 14" xfId="19159"/>
    <cellStyle name="Comma 26 2 5 2" xfId="19160"/>
    <cellStyle name="Comma 26 2 5 2 2" xfId="19161"/>
    <cellStyle name="Comma 26 2 5 2 2 2" xfId="19162"/>
    <cellStyle name="Comma 26 2 5 2 2 2 2" xfId="19163"/>
    <cellStyle name="Comma 26 2 5 2 2 2 2 2" xfId="19164"/>
    <cellStyle name="Comma 26 2 5 2 2 2 2 3" xfId="19165"/>
    <cellStyle name="Comma 26 2 5 2 2 2 2 4" xfId="19166"/>
    <cellStyle name="Comma 26 2 5 2 2 2 2 5" xfId="19167"/>
    <cellStyle name="Comma 26 2 5 2 2 2 2 6" xfId="19168"/>
    <cellStyle name="Comma 26 2 5 2 2 2 3" xfId="19169"/>
    <cellStyle name="Comma 26 2 5 2 2 2 4" xfId="19170"/>
    <cellStyle name="Comma 26 2 5 2 2 2 5" xfId="19171"/>
    <cellStyle name="Comma 26 2 5 2 2 2 6" xfId="19172"/>
    <cellStyle name="Comma 26 2 5 2 2 2 7" xfId="19173"/>
    <cellStyle name="Comma 26 2 5 2 2 3" xfId="19174"/>
    <cellStyle name="Comma 26 2 5 2 2 3 2" xfId="19175"/>
    <cellStyle name="Comma 26 2 5 2 2 3 3" xfId="19176"/>
    <cellStyle name="Comma 26 2 5 2 2 3 4" xfId="19177"/>
    <cellStyle name="Comma 26 2 5 2 2 3 5" xfId="19178"/>
    <cellStyle name="Comma 26 2 5 2 2 3 6" xfId="19179"/>
    <cellStyle name="Comma 26 2 5 2 2 4" xfId="19180"/>
    <cellStyle name="Comma 26 2 5 2 2 5" xfId="19181"/>
    <cellStyle name="Comma 26 2 5 2 2 6" xfId="19182"/>
    <cellStyle name="Comma 26 2 5 2 2 7" xfId="19183"/>
    <cellStyle name="Comma 26 2 5 2 2 8" xfId="19184"/>
    <cellStyle name="Comma 26 2 5 2 3" xfId="19185"/>
    <cellStyle name="Comma 26 2 5 2 3 2" xfId="19186"/>
    <cellStyle name="Comma 26 2 5 2 3 2 2" xfId="19187"/>
    <cellStyle name="Comma 26 2 5 2 3 2 3" xfId="19188"/>
    <cellStyle name="Comma 26 2 5 2 3 2 4" xfId="19189"/>
    <cellStyle name="Comma 26 2 5 2 3 2 5" xfId="19190"/>
    <cellStyle name="Comma 26 2 5 2 3 2 6" xfId="19191"/>
    <cellStyle name="Comma 26 2 5 2 3 3" xfId="19192"/>
    <cellStyle name="Comma 26 2 5 2 3 4" xfId="19193"/>
    <cellStyle name="Comma 26 2 5 2 3 5" xfId="19194"/>
    <cellStyle name="Comma 26 2 5 2 3 6" xfId="19195"/>
    <cellStyle name="Comma 26 2 5 2 3 7" xfId="19196"/>
    <cellStyle name="Comma 26 2 5 2 4" xfId="19197"/>
    <cellStyle name="Comma 26 2 5 2 4 2" xfId="19198"/>
    <cellStyle name="Comma 26 2 5 2 4 3" xfId="19199"/>
    <cellStyle name="Comma 26 2 5 2 4 4" xfId="19200"/>
    <cellStyle name="Comma 26 2 5 2 4 5" xfId="19201"/>
    <cellStyle name="Comma 26 2 5 2 4 6" xfId="19202"/>
    <cellStyle name="Comma 26 2 5 2 5" xfId="19203"/>
    <cellStyle name="Comma 26 2 5 2 6" xfId="19204"/>
    <cellStyle name="Comma 26 2 5 2 7" xfId="19205"/>
    <cellStyle name="Comma 26 2 5 2 8" xfId="19206"/>
    <cellStyle name="Comma 26 2 5 2 9" xfId="19207"/>
    <cellStyle name="Comma 26 2 5 3" xfId="19208"/>
    <cellStyle name="Comma 26 2 5 3 2" xfId="19209"/>
    <cellStyle name="Comma 26 2 5 3 2 2" xfId="19210"/>
    <cellStyle name="Comma 26 2 5 3 2 2 2" xfId="19211"/>
    <cellStyle name="Comma 26 2 5 3 2 2 2 2" xfId="19212"/>
    <cellStyle name="Comma 26 2 5 3 2 2 2 3" xfId="19213"/>
    <cellStyle name="Comma 26 2 5 3 2 2 2 4" xfId="19214"/>
    <cellStyle name="Comma 26 2 5 3 2 2 2 5" xfId="19215"/>
    <cellStyle name="Comma 26 2 5 3 2 2 2 6" xfId="19216"/>
    <cellStyle name="Comma 26 2 5 3 2 2 3" xfId="19217"/>
    <cellStyle name="Comma 26 2 5 3 2 2 4" xfId="19218"/>
    <cellStyle name="Comma 26 2 5 3 2 2 5" xfId="19219"/>
    <cellStyle name="Comma 26 2 5 3 2 2 6" xfId="19220"/>
    <cellStyle name="Comma 26 2 5 3 2 2 7" xfId="19221"/>
    <cellStyle name="Comma 26 2 5 3 2 3" xfId="19222"/>
    <cellStyle name="Comma 26 2 5 3 2 3 2" xfId="19223"/>
    <cellStyle name="Comma 26 2 5 3 2 3 3" xfId="19224"/>
    <cellStyle name="Comma 26 2 5 3 2 3 4" xfId="19225"/>
    <cellStyle name="Comma 26 2 5 3 2 3 5" xfId="19226"/>
    <cellStyle name="Comma 26 2 5 3 2 3 6" xfId="19227"/>
    <cellStyle name="Comma 26 2 5 3 2 4" xfId="19228"/>
    <cellStyle name="Comma 26 2 5 3 2 5" xfId="19229"/>
    <cellStyle name="Comma 26 2 5 3 2 6" xfId="19230"/>
    <cellStyle name="Comma 26 2 5 3 2 7" xfId="19231"/>
    <cellStyle name="Comma 26 2 5 3 2 8" xfId="19232"/>
    <cellStyle name="Comma 26 2 5 3 3" xfId="19233"/>
    <cellStyle name="Comma 26 2 5 3 3 2" xfId="19234"/>
    <cellStyle name="Comma 26 2 5 3 3 2 2" xfId="19235"/>
    <cellStyle name="Comma 26 2 5 3 3 2 3" xfId="19236"/>
    <cellStyle name="Comma 26 2 5 3 3 2 4" xfId="19237"/>
    <cellStyle name="Comma 26 2 5 3 3 2 5" xfId="19238"/>
    <cellStyle name="Comma 26 2 5 3 3 2 6" xfId="19239"/>
    <cellStyle name="Comma 26 2 5 3 3 3" xfId="19240"/>
    <cellStyle name="Comma 26 2 5 3 3 4" xfId="19241"/>
    <cellStyle name="Comma 26 2 5 3 3 5" xfId="19242"/>
    <cellStyle name="Comma 26 2 5 3 3 6" xfId="19243"/>
    <cellStyle name="Comma 26 2 5 3 3 7" xfId="19244"/>
    <cellStyle name="Comma 26 2 5 3 4" xfId="19245"/>
    <cellStyle name="Comma 26 2 5 3 4 2" xfId="19246"/>
    <cellStyle name="Comma 26 2 5 3 4 3" xfId="19247"/>
    <cellStyle name="Comma 26 2 5 3 4 4" xfId="19248"/>
    <cellStyle name="Comma 26 2 5 3 4 5" xfId="19249"/>
    <cellStyle name="Comma 26 2 5 3 4 6" xfId="19250"/>
    <cellStyle name="Comma 26 2 5 3 5" xfId="19251"/>
    <cellStyle name="Comma 26 2 5 3 6" xfId="19252"/>
    <cellStyle name="Comma 26 2 5 3 7" xfId="19253"/>
    <cellStyle name="Comma 26 2 5 3 8" xfId="19254"/>
    <cellStyle name="Comma 26 2 5 3 9" xfId="19255"/>
    <cellStyle name="Comma 26 2 5 4" xfId="19256"/>
    <cellStyle name="Comma 26 2 5 4 2" xfId="19257"/>
    <cellStyle name="Comma 26 2 5 4 2 2" xfId="19258"/>
    <cellStyle name="Comma 26 2 5 4 2 2 2" xfId="19259"/>
    <cellStyle name="Comma 26 2 5 4 2 2 2 2" xfId="19260"/>
    <cellStyle name="Comma 26 2 5 4 2 2 2 3" xfId="19261"/>
    <cellStyle name="Comma 26 2 5 4 2 2 2 4" xfId="19262"/>
    <cellStyle name="Comma 26 2 5 4 2 2 2 5" xfId="19263"/>
    <cellStyle name="Comma 26 2 5 4 2 2 2 6" xfId="19264"/>
    <cellStyle name="Comma 26 2 5 4 2 2 3" xfId="19265"/>
    <cellStyle name="Comma 26 2 5 4 2 2 4" xfId="19266"/>
    <cellStyle name="Comma 26 2 5 4 2 2 5" xfId="19267"/>
    <cellStyle name="Comma 26 2 5 4 2 2 6" xfId="19268"/>
    <cellStyle name="Comma 26 2 5 4 2 2 7" xfId="19269"/>
    <cellStyle name="Comma 26 2 5 4 2 3" xfId="19270"/>
    <cellStyle name="Comma 26 2 5 4 2 3 2" xfId="19271"/>
    <cellStyle name="Comma 26 2 5 4 2 3 3" xfId="19272"/>
    <cellStyle name="Comma 26 2 5 4 2 3 4" xfId="19273"/>
    <cellStyle name="Comma 26 2 5 4 2 3 5" xfId="19274"/>
    <cellStyle name="Comma 26 2 5 4 2 3 6" xfId="19275"/>
    <cellStyle name="Comma 26 2 5 4 2 4" xfId="19276"/>
    <cellStyle name="Comma 26 2 5 4 2 5" xfId="19277"/>
    <cellStyle name="Comma 26 2 5 4 2 6" xfId="19278"/>
    <cellStyle name="Comma 26 2 5 4 2 7" xfId="19279"/>
    <cellStyle name="Comma 26 2 5 4 2 8" xfId="19280"/>
    <cellStyle name="Comma 26 2 5 4 3" xfId="19281"/>
    <cellStyle name="Comma 26 2 5 4 3 2" xfId="19282"/>
    <cellStyle name="Comma 26 2 5 4 3 2 2" xfId="19283"/>
    <cellStyle name="Comma 26 2 5 4 3 2 3" xfId="19284"/>
    <cellStyle name="Comma 26 2 5 4 3 2 4" xfId="19285"/>
    <cellStyle name="Comma 26 2 5 4 3 2 5" xfId="19286"/>
    <cellStyle name="Comma 26 2 5 4 3 2 6" xfId="19287"/>
    <cellStyle name="Comma 26 2 5 4 3 3" xfId="19288"/>
    <cellStyle name="Comma 26 2 5 4 3 4" xfId="19289"/>
    <cellStyle name="Comma 26 2 5 4 3 5" xfId="19290"/>
    <cellStyle name="Comma 26 2 5 4 3 6" xfId="19291"/>
    <cellStyle name="Comma 26 2 5 4 3 7" xfId="19292"/>
    <cellStyle name="Comma 26 2 5 4 4" xfId="19293"/>
    <cellStyle name="Comma 26 2 5 4 4 2" xfId="19294"/>
    <cellStyle name="Comma 26 2 5 4 4 3" xfId="19295"/>
    <cellStyle name="Comma 26 2 5 4 4 4" xfId="19296"/>
    <cellStyle name="Comma 26 2 5 4 4 5" xfId="19297"/>
    <cellStyle name="Comma 26 2 5 4 4 6" xfId="19298"/>
    <cellStyle name="Comma 26 2 5 4 5" xfId="19299"/>
    <cellStyle name="Comma 26 2 5 4 6" xfId="19300"/>
    <cellStyle name="Comma 26 2 5 4 7" xfId="19301"/>
    <cellStyle name="Comma 26 2 5 4 8" xfId="19302"/>
    <cellStyle name="Comma 26 2 5 4 9" xfId="19303"/>
    <cellStyle name="Comma 26 2 5 5" xfId="19304"/>
    <cellStyle name="Comma 26 2 5 5 2" xfId="19305"/>
    <cellStyle name="Comma 26 2 5 5 2 2" xfId="19306"/>
    <cellStyle name="Comma 26 2 5 5 2 2 2" xfId="19307"/>
    <cellStyle name="Comma 26 2 5 5 2 2 2 2" xfId="19308"/>
    <cellStyle name="Comma 26 2 5 5 2 2 2 3" xfId="19309"/>
    <cellStyle name="Comma 26 2 5 5 2 2 2 4" xfId="19310"/>
    <cellStyle name="Comma 26 2 5 5 2 2 2 5" xfId="19311"/>
    <cellStyle name="Comma 26 2 5 5 2 2 2 6" xfId="19312"/>
    <cellStyle name="Comma 26 2 5 5 2 2 3" xfId="19313"/>
    <cellStyle name="Comma 26 2 5 5 2 2 4" xfId="19314"/>
    <cellStyle name="Comma 26 2 5 5 2 2 5" xfId="19315"/>
    <cellStyle name="Comma 26 2 5 5 2 2 6" xfId="19316"/>
    <cellStyle name="Comma 26 2 5 5 2 2 7" xfId="19317"/>
    <cellStyle name="Comma 26 2 5 5 2 3" xfId="19318"/>
    <cellStyle name="Comma 26 2 5 5 2 3 2" xfId="19319"/>
    <cellStyle name="Comma 26 2 5 5 2 3 3" xfId="19320"/>
    <cellStyle name="Comma 26 2 5 5 2 3 4" xfId="19321"/>
    <cellStyle name="Comma 26 2 5 5 2 3 5" xfId="19322"/>
    <cellStyle name="Comma 26 2 5 5 2 3 6" xfId="19323"/>
    <cellStyle name="Comma 26 2 5 5 2 4" xfId="19324"/>
    <cellStyle name="Comma 26 2 5 5 2 5" xfId="19325"/>
    <cellStyle name="Comma 26 2 5 5 2 6" xfId="19326"/>
    <cellStyle name="Comma 26 2 5 5 2 7" xfId="19327"/>
    <cellStyle name="Comma 26 2 5 5 2 8" xfId="19328"/>
    <cellStyle name="Comma 26 2 5 5 3" xfId="19329"/>
    <cellStyle name="Comma 26 2 5 5 3 2" xfId="19330"/>
    <cellStyle name="Comma 26 2 5 5 3 2 2" xfId="19331"/>
    <cellStyle name="Comma 26 2 5 5 3 2 3" xfId="19332"/>
    <cellStyle name="Comma 26 2 5 5 3 2 4" xfId="19333"/>
    <cellStyle name="Comma 26 2 5 5 3 2 5" xfId="19334"/>
    <cellStyle name="Comma 26 2 5 5 3 2 6" xfId="19335"/>
    <cellStyle name="Comma 26 2 5 5 3 3" xfId="19336"/>
    <cellStyle name="Comma 26 2 5 5 3 4" xfId="19337"/>
    <cellStyle name="Comma 26 2 5 5 3 5" xfId="19338"/>
    <cellStyle name="Comma 26 2 5 5 3 6" xfId="19339"/>
    <cellStyle name="Comma 26 2 5 5 3 7" xfId="19340"/>
    <cellStyle name="Comma 26 2 5 5 4" xfId="19341"/>
    <cellStyle name="Comma 26 2 5 5 4 2" xfId="19342"/>
    <cellStyle name="Comma 26 2 5 5 4 3" xfId="19343"/>
    <cellStyle name="Comma 26 2 5 5 4 4" xfId="19344"/>
    <cellStyle name="Comma 26 2 5 5 4 5" xfId="19345"/>
    <cellStyle name="Comma 26 2 5 5 4 6" xfId="19346"/>
    <cellStyle name="Comma 26 2 5 5 5" xfId="19347"/>
    <cellStyle name="Comma 26 2 5 5 6" xfId="19348"/>
    <cellStyle name="Comma 26 2 5 5 7" xfId="19349"/>
    <cellStyle name="Comma 26 2 5 5 8" xfId="19350"/>
    <cellStyle name="Comma 26 2 5 5 9" xfId="19351"/>
    <cellStyle name="Comma 26 2 5 6" xfId="19352"/>
    <cellStyle name="Comma 26 2 5 6 2" xfId="19353"/>
    <cellStyle name="Comma 26 2 5 6 2 2" xfId="19354"/>
    <cellStyle name="Comma 26 2 5 6 2 2 2" xfId="19355"/>
    <cellStyle name="Comma 26 2 5 6 2 2 2 2" xfId="19356"/>
    <cellStyle name="Comma 26 2 5 6 2 2 2 3" xfId="19357"/>
    <cellStyle name="Comma 26 2 5 6 2 2 2 4" xfId="19358"/>
    <cellStyle name="Comma 26 2 5 6 2 2 2 5" xfId="19359"/>
    <cellStyle name="Comma 26 2 5 6 2 2 2 6" xfId="19360"/>
    <cellStyle name="Comma 26 2 5 6 2 2 3" xfId="19361"/>
    <cellStyle name="Comma 26 2 5 6 2 2 4" xfId="19362"/>
    <cellStyle name="Comma 26 2 5 6 2 2 5" xfId="19363"/>
    <cellStyle name="Comma 26 2 5 6 2 2 6" xfId="19364"/>
    <cellStyle name="Comma 26 2 5 6 2 2 7" xfId="19365"/>
    <cellStyle name="Comma 26 2 5 6 2 3" xfId="19366"/>
    <cellStyle name="Comma 26 2 5 6 2 3 2" xfId="19367"/>
    <cellStyle name="Comma 26 2 5 6 2 3 3" xfId="19368"/>
    <cellStyle name="Comma 26 2 5 6 2 3 4" xfId="19369"/>
    <cellStyle name="Comma 26 2 5 6 2 3 5" xfId="19370"/>
    <cellStyle name="Comma 26 2 5 6 2 3 6" xfId="19371"/>
    <cellStyle name="Comma 26 2 5 6 2 4" xfId="19372"/>
    <cellStyle name="Comma 26 2 5 6 2 5" xfId="19373"/>
    <cellStyle name="Comma 26 2 5 6 2 6" xfId="19374"/>
    <cellStyle name="Comma 26 2 5 6 2 7" xfId="19375"/>
    <cellStyle name="Comma 26 2 5 6 2 8" xfId="19376"/>
    <cellStyle name="Comma 26 2 5 6 3" xfId="19377"/>
    <cellStyle name="Comma 26 2 5 6 3 2" xfId="19378"/>
    <cellStyle name="Comma 26 2 5 6 3 2 2" xfId="19379"/>
    <cellStyle name="Comma 26 2 5 6 3 2 3" xfId="19380"/>
    <cellStyle name="Comma 26 2 5 6 3 2 4" xfId="19381"/>
    <cellStyle name="Comma 26 2 5 6 3 2 5" xfId="19382"/>
    <cellStyle name="Comma 26 2 5 6 3 2 6" xfId="19383"/>
    <cellStyle name="Comma 26 2 5 6 3 3" xfId="19384"/>
    <cellStyle name="Comma 26 2 5 6 3 4" xfId="19385"/>
    <cellStyle name="Comma 26 2 5 6 3 5" xfId="19386"/>
    <cellStyle name="Comma 26 2 5 6 3 6" xfId="19387"/>
    <cellStyle name="Comma 26 2 5 6 3 7" xfId="19388"/>
    <cellStyle name="Comma 26 2 5 6 4" xfId="19389"/>
    <cellStyle name="Comma 26 2 5 6 4 2" xfId="19390"/>
    <cellStyle name="Comma 26 2 5 6 4 3" xfId="19391"/>
    <cellStyle name="Comma 26 2 5 6 4 4" xfId="19392"/>
    <cellStyle name="Comma 26 2 5 6 4 5" xfId="19393"/>
    <cellStyle name="Comma 26 2 5 6 4 6" xfId="19394"/>
    <cellStyle name="Comma 26 2 5 6 5" xfId="19395"/>
    <cellStyle name="Comma 26 2 5 6 6" xfId="19396"/>
    <cellStyle name="Comma 26 2 5 6 7" xfId="19397"/>
    <cellStyle name="Comma 26 2 5 6 8" xfId="19398"/>
    <cellStyle name="Comma 26 2 5 6 9" xfId="19399"/>
    <cellStyle name="Comma 26 2 5 7" xfId="19400"/>
    <cellStyle name="Comma 26 2 5 7 2" xfId="19401"/>
    <cellStyle name="Comma 26 2 5 7 2 2" xfId="19402"/>
    <cellStyle name="Comma 26 2 5 7 2 2 2" xfId="19403"/>
    <cellStyle name="Comma 26 2 5 7 2 2 3" xfId="19404"/>
    <cellStyle name="Comma 26 2 5 7 2 2 4" xfId="19405"/>
    <cellStyle name="Comma 26 2 5 7 2 2 5" xfId="19406"/>
    <cellStyle name="Comma 26 2 5 7 2 2 6" xfId="19407"/>
    <cellStyle name="Comma 26 2 5 7 2 3" xfId="19408"/>
    <cellStyle name="Comma 26 2 5 7 2 4" xfId="19409"/>
    <cellStyle name="Comma 26 2 5 7 2 5" xfId="19410"/>
    <cellStyle name="Comma 26 2 5 7 2 6" xfId="19411"/>
    <cellStyle name="Comma 26 2 5 7 2 7" xfId="19412"/>
    <cellStyle name="Comma 26 2 5 7 3" xfId="19413"/>
    <cellStyle name="Comma 26 2 5 7 3 2" xfId="19414"/>
    <cellStyle name="Comma 26 2 5 7 3 3" xfId="19415"/>
    <cellStyle name="Comma 26 2 5 7 3 4" xfId="19416"/>
    <cellStyle name="Comma 26 2 5 7 3 5" xfId="19417"/>
    <cellStyle name="Comma 26 2 5 7 3 6" xfId="19418"/>
    <cellStyle name="Comma 26 2 5 7 4" xfId="19419"/>
    <cellStyle name="Comma 26 2 5 7 5" xfId="19420"/>
    <cellStyle name="Comma 26 2 5 7 6" xfId="19421"/>
    <cellStyle name="Comma 26 2 5 7 7" xfId="19422"/>
    <cellStyle name="Comma 26 2 5 7 8" xfId="19423"/>
    <cellStyle name="Comma 26 2 5 8" xfId="19424"/>
    <cellStyle name="Comma 26 2 5 8 2" xfId="19425"/>
    <cellStyle name="Comma 26 2 5 8 2 2" xfId="19426"/>
    <cellStyle name="Comma 26 2 5 8 2 3" xfId="19427"/>
    <cellStyle name="Comma 26 2 5 8 2 4" xfId="19428"/>
    <cellStyle name="Comma 26 2 5 8 2 5" xfId="19429"/>
    <cellStyle name="Comma 26 2 5 8 2 6" xfId="19430"/>
    <cellStyle name="Comma 26 2 5 8 3" xfId="19431"/>
    <cellStyle name="Comma 26 2 5 8 4" xfId="19432"/>
    <cellStyle name="Comma 26 2 5 8 5" xfId="19433"/>
    <cellStyle name="Comma 26 2 5 8 6" xfId="19434"/>
    <cellStyle name="Comma 26 2 5 8 7" xfId="19435"/>
    <cellStyle name="Comma 26 2 5 9" xfId="19436"/>
    <cellStyle name="Comma 26 2 5 9 2" xfId="19437"/>
    <cellStyle name="Comma 26 2 5 9 3" xfId="19438"/>
    <cellStyle name="Comma 26 2 5 9 4" xfId="19439"/>
    <cellStyle name="Comma 26 2 5 9 5" xfId="19440"/>
    <cellStyle name="Comma 26 2 5 9 6" xfId="19441"/>
    <cellStyle name="Comma 26 2 6" xfId="19442"/>
    <cellStyle name="Comma 26 2 6 2" xfId="19443"/>
    <cellStyle name="Comma 26 2 6 2 2" xfId="19444"/>
    <cellStyle name="Comma 26 2 6 2 2 2" xfId="19445"/>
    <cellStyle name="Comma 26 2 6 2 2 2 2" xfId="19446"/>
    <cellStyle name="Comma 26 2 6 2 2 2 3" xfId="19447"/>
    <cellStyle name="Comma 26 2 6 2 2 2 4" xfId="19448"/>
    <cellStyle name="Comma 26 2 6 2 2 2 5" xfId="19449"/>
    <cellStyle name="Comma 26 2 6 2 2 2 6" xfId="19450"/>
    <cellStyle name="Comma 26 2 6 2 2 3" xfId="19451"/>
    <cellStyle name="Comma 26 2 6 2 2 4" xfId="19452"/>
    <cellStyle name="Comma 26 2 6 2 2 5" xfId="19453"/>
    <cellStyle name="Comma 26 2 6 2 2 6" xfId="19454"/>
    <cellStyle name="Comma 26 2 6 2 2 7" xfId="19455"/>
    <cellStyle name="Comma 26 2 6 2 3" xfId="19456"/>
    <cellStyle name="Comma 26 2 6 2 3 2" xfId="19457"/>
    <cellStyle name="Comma 26 2 6 2 3 3" xfId="19458"/>
    <cellStyle name="Comma 26 2 6 2 3 4" xfId="19459"/>
    <cellStyle name="Comma 26 2 6 2 3 5" xfId="19460"/>
    <cellStyle name="Comma 26 2 6 2 3 6" xfId="19461"/>
    <cellStyle name="Comma 26 2 6 2 4" xfId="19462"/>
    <cellStyle name="Comma 26 2 6 2 5" xfId="19463"/>
    <cellStyle name="Comma 26 2 6 2 6" xfId="19464"/>
    <cellStyle name="Comma 26 2 6 2 7" xfId="19465"/>
    <cellStyle name="Comma 26 2 6 2 8" xfId="19466"/>
    <cellStyle name="Comma 26 2 6 3" xfId="19467"/>
    <cellStyle name="Comma 26 2 6 3 2" xfId="19468"/>
    <cellStyle name="Comma 26 2 6 3 2 2" xfId="19469"/>
    <cellStyle name="Comma 26 2 6 3 2 3" xfId="19470"/>
    <cellStyle name="Comma 26 2 6 3 2 4" xfId="19471"/>
    <cellStyle name="Comma 26 2 6 3 2 5" xfId="19472"/>
    <cellStyle name="Comma 26 2 6 3 2 6" xfId="19473"/>
    <cellStyle name="Comma 26 2 6 3 3" xfId="19474"/>
    <cellStyle name="Comma 26 2 6 3 4" xfId="19475"/>
    <cellStyle name="Comma 26 2 6 3 5" xfId="19476"/>
    <cellStyle name="Comma 26 2 6 3 6" xfId="19477"/>
    <cellStyle name="Comma 26 2 6 3 7" xfId="19478"/>
    <cellStyle name="Comma 26 2 6 4" xfId="19479"/>
    <cellStyle name="Comma 26 2 6 4 2" xfId="19480"/>
    <cellStyle name="Comma 26 2 6 4 3" xfId="19481"/>
    <cellStyle name="Comma 26 2 6 4 4" xfId="19482"/>
    <cellStyle name="Comma 26 2 6 4 5" xfId="19483"/>
    <cellStyle name="Comma 26 2 6 4 6" xfId="19484"/>
    <cellStyle name="Comma 26 2 6 5" xfId="19485"/>
    <cellStyle name="Comma 26 2 6 6" xfId="19486"/>
    <cellStyle name="Comma 26 2 6 7" xfId="19487"/>
    <cellStyle name="Comma 26 2 6 8" xfId="19488"/>
    <cellStyle name="Comma 26 2 6 9" xfId="19489"/>
    <cellStyle name="Comma 26 2 7" xfId="19490"/>
    <cellStyle name="Comma 26 2 7 2" xfId="19491"/>
    <cellStyle name="Comma 26 2 7 2 2" xfId="19492"/>
    <cellStyle name="Comma 26 2 7 2 2 2" xfId="19493"/>
    <cellStyle name="Comma 26 2 7 2 2 2 2" xfId="19494"/>
    <cellStyle name="Comma 26 2 7 2 2 2 3" xfId="19495"/>
    <cellStyle name="Comma 26 2 7 2 2 2 4" xfId="19496"/>
    <cellStyle name="Comma 26 2 7 2 2 2 5" xfId="19497"/>
    <cellStyle name="Comma 26 2 7 2 2 2 6" xfId="19498"/>
    <cellStyle name="Comma 26 2 7 2 2 3" xfId="19499"/>
    <cellStyle name="Comma 26 2 7 2 2 4" xfId="19500"/>
    <cellStyle name="Comma 26 2 7 2 2 5" xfId="19501"/>
    <cellStyle name="Comma 26 2 7 2 2 6" xfId="19502"/>
    <cellStyle name="Comma 26 2 7 2 2 7" xfId="19503"/>
    <cellStyle name="Comma 26 2 7 2 3" xfId="19504"/>
    <cellStyle name="Comma 26 2 7 2 3 2" xfId="19505"/>
    <cellStyle name="Comma 26 2 7 2 3 3" xfId="19506"/>
    <cellStyle name="Comma 26 2 7 2 3 4" xfId="19507"/>
    <cellStyle name="Comma 26 2 7 2 3 5" xfId="19508"/>
    <cellStyle name="Comma 26 2 7 2 3 6" xfId="19509"/>
    <cellStyle name="Comma 26 2 7 2 4" xfId="19510"/>
    <cellStyle name="Comma 26 2 7 2 5" xfId="19511"/>
    <cellStyle name="Comma 26 2 7 2 6" xfId="19512"/>
    <cellStyle name="Comma 26 2 7 2 7" xfId="19513"/>
    <cellStyle name="Comma 26 2 7 2 8" xfId="19514"/>
    <cellStyle name="Comma 26 2 7 3" xfId="19515"/>
    <cellStyle name="Comma 26 2 7 3 2" xfId="19516"/>
    <cellStyle name="Comma 26 2 7 3 2 2" xfId="19517"/>
    <cellStyle name="Comma 26 2 7 3 2 3" xfId="19518"/>
    <cellStyle name="Comma 26 2 7 3 2 4" xfId="19519"/>
    <cellStyle name="Comma 26 2 7 3 2 5" xfId="19520"/>
    <cellStyle name="Comma 26 2 7 3 2 6" xfId="19521"/>
    <cellStyle name="Comma 26 2 7 3 3" xfId="19522"/>
    <cellStyle name="Comma 26 2 7 3 4" xfId="19523"/>
    <cellStyle name="Comma 26 2 7 3 5" xfId="19524"/>
    <cellStyle name="Comma 26 2 7 3 6" xfId="19525"/>
    <cellStyle name="Comma 26 2 7 3 7" xfId="19526"/>
    <cellStyle name="Comma 26 2 7 4" xfId="19527"/>
    <cellStyle name="Comma 26 2 7 4 2" xfId="19528"/>
    <cellStyle name="Comma 26 2 7 4 3" xfId="19529"/>
    <cellStyle name="Comma 26 2 7 4 4" xfId="19530"/>
    <cellStyle name="Comma 26 2 7 4 5" xfId="19531"/>
    <cellStyle name="Comma 26 2 7 4 6" xfId="19532"/>
    <cellStyle name="Comma 26 2 7 5" xfId="19533"/>
    <cellStyle name="Comma 26 2 7 6" xfId="19534"/>
    <cellStyle name="Comma 26 2 7 7" xfId="19535"/>
    <cellStyle name="Comma 26 2 7 8" xfId="19536"/>
    <cellStyle name="Comma 26 2 7 9" xfId="19537"/>
    <cellStyle name="Comma 26 2 8" xfId="19538"/>
    <cellStyle name="Comma 26 2 8 2" xfId="19539"/>
    <cellStyle name="Comma 26 2 8 2 2" xfId="19540"/>
    <cellStyle name="Comma 26 2 8 2 2 2" xfId="19541"/>
    <cellStyle name="Comma 26 2 8 2 2 2 2" xfId="19542"/>
    <cellStyle name="Comma 26 2 8 2 2 2 3" xfId="19543"/>
    <cellStyle name="Comma 26 2 8 2 2 2 4" xfId="19544"/>
    <cellStyle name="Comma 26 2 8 2 2 2 5" xfId="19545"/>
    <cellStyle name="Comma 26 2 8 2 2 2 6" xfId="19546"/>
    <cellStyle name="Comma 26 2 8 2 2 3" xfId="19547"/>
    <cellStyle name="Comma 26 2 8 2 2 4" xfId="19548"/>
    <cellStyle name="Comma 26 2 8 2 2 5" xfId="19549"/>
    <cellStyle name="Comma 26 2 8 2 2 6" xfId="19550"/>
    <cellStyle name="Comma 26 2 8 2 2 7" xfId="19551"/>
    <cellStyle name="Comma 26 2 8 2 3" xfId="19552"/>
    <cellStyle name="Comma 26 2 8 2 3 2" xfId="19553"/>
    <cellStyle name="Comma 26 2 8 2 3 3" xfId="19554"/>
    <cellStyle name="Comma 26 2 8 2 3 4" xfId="19555"/>
    <cellStyle name="Comma 26 2 8 2 3 5" xfId="19556"/>
    <cellStyle name="Comma 26 2 8 2 3 6" xfId="19557"/>
    <cellStyle name="Comma 26 2 8 2 4" xfId="19558"/>
    <cellStyle name="Comma 26 2 8 2 5" xfId="19559"/>
    <cellStyle name="Comma 26 2 8 2 6" xfId="19560"/>
    <cellStyle name="Comma 26 2 8 2 7" xfId="19561"/>
    <cellStyle name="Comma 26 2 8 2 8" xfId="19562"/>
    <cellStyle name="Comma 26 2 8 3" xfId="19563"/>
    <cellStyle name="Comma 26 2 8 3 2" xfId="19564"/>
    <cellStyle name="Comma 26 2 8 3 2 2" xfId="19565"/>
    <cellStyle name="Comma 26 2 8 3 2 3" xfId="19566"/>
    <cellStyle name="Comma 26 2 8 3 2 4" xfId="19567"/>
    <cellStyle name="Comma 26 2 8 3 2 5" xfId="19568"/>
    <cellStyle name="Comma 26 2 8 3 2 6" xfId="19569"/>
    <cellStyle name="Comma 26 2 8 3 3" xfId="19570"/>
    <cellStyle name="Comma 26 2 8 3 4" xfId="19571"/>
    <cellStyle name="Comma 26 2 8 3 5" xfId="19572"/>
    <cellStyle name="Comma 26 2 8 3 6" xfId="19573"/>
    <cellStyle name="Comma 26 2 8 3 7" xfId="19574"/>
    <cellStyle name="Comma 26 2 8 4" xfId="19575"/>
    <cellStyle name="Comma 26 2 8 4 2" xfId="19576"/>
    <cellStyle name="Comma 26 2 8 4 3" xfId="19577"/>
    <cellStyle name="Comma 26 2 8 4 4" xfId="19578"/>
    <cellStyle name="Comma 26 2 8 4 5" xfId="19579"/>
    <cellStyle name="Comma 26 2 8 4 6" xfId="19580"/>
    <cellStyle name="Comma 26 2 8 5" xfId="19581"/>
    <cellStyle name="Comma 26 2 8 6" xfId="19582"/>
    <cellStyle name="Comma 26 2 8 7" xfId="19583"/>
    <cellStyle name="Comma 26 2 8 8" xfId="19584"/>
    <cellStyle name="Comma 26 2 8 9" xfId="19585"/>
    <cellStyle name="Comma 26 2 9" xfId="19586"/>
    <cellStyle name="Comma 26 2 9 2" xfId="19587"/>
    <cellStyle name="Comma 26 2 9 2 2" xfId="19588"/>
    <cellStyle name="Comma 26 2 9 2 2 2" xfId="19589"/>
    <cellStyle name="Comma 26 2 9 2 2 2 2" xfId="19590"/>
    <cellStyle name="Comma 26 2 9 2 2 2 3" xfId="19591"/>
    <cellStyle name="Comma 26 2 9 2 2 2 4" xfId="19592"/>
    <cellStyle name="Comma 26 2 9 2 2 2 5" xfId="19593"/>
    <cellStyle name="Comma 26 2 9 2 2 2 6" xfId="19594"/>
    <cellStyle name="Comma 26 2 9 2 2 3" xfId="19595"/>
    <cellStyle name="Comma 26 2 9 2 2 4" xfId="19596"/>
    <cellStyle name="Comma 26 2 9 2 2 5" xfId="19597"/>
    <cellStyle name="Comma 26 2 9 2 2 6" xfId="19598"/>
    <cellStyle name="Comma 26 2 9 2 2 7" xfId="19599"/>
    <cellStyle name="Comma 26 2 9 2 3" xfId="19600"/>
    <cellStyle name="Comma 26 2 9 2 3 2" xfId="19601"/>
    <cellStyle name="Comma 26 2 9 2 3 3" xfId="19602"/>
    <cellStyle name="Comma 26 2 9 2 3 4" xfId="19603"/>
    <cellStyle name="Comma 26 2 9 2 3 5" xfId="19604"/>
    <cellStyle name="Comma 26 2 9 2 3 6" xfId="19605"/>
    <cellStyle name="Comma 26 2 9 2 4" xfId="19606"/>
    <cellStyle name="Comma 26 2 9 2 5" xfId="19607"/>
    <cellStyle name="Comma 26 2 9 2 6" xfId="19608"/>
    <cellStyle name="Comma 26 2 9 2 7" xfId="19609"/>
    <cellStyle name="Comma 26 2 9 2 8" xfId="19610"/>
    <cellStyle name="Comma 26 2 9 3" xfId="19611"/>
    <cellStyle name="Comma 26 2 9 3 2" xfId="19612"/>
    <cellStyle name="Comma 26 2 9 3 2 2" xfId="19613"/>
    <cellStyle name="Comma 26 2 9 3 2 3" xfId="19614"/>
    <cellStyle name="Comma 26 2 9 3 2 4" xfId="19615"/>
    <cellStyle name="Comma 26 2 9 3 2 5" xfId="19616"/>
    <cellStyle name="Comma 26 2 9 3 2 6" xfId="19617"/>
    <cellStyle name="Comma 26 2 9 3 3" xfId="19618"/>
    <cellStyle name="Comma 26 2 9 3 4" xfId="19619"/>
    <cellStyle name="Comma 26 2 9 3 5" xfId="19620"/>
    <cellStyle name="Comma 26 2 9 3 6" xfId="19621"/>
    <cellStyle name="Comma 26 2 9 3 7" xfId="19622"/>
    <cellStyle name="Comma 26 2 9 4" xfId="19623"/>
    <cellStyle name="Comma 26 2 9 4 2" xfId="19624"/>
    <cellStyle name="Comma 26 2 9 4 3" xfId="19625"/>
    <cellStyle name="Comma 26 2 9 4 4" xfId="19626"/>
    <cellStyle name="Comma 26 2 9 4 5" xfId="19627"/>
    <cellStyle name="Comma 26 2 9 4 6" xfId="19628"/>
    <cellStyle name="Comma 26 2 9 5" xfId="19629"/>
    <cellStyle name="Comma 26 2 9 6" xfId="19630"/>
    <cellStyle name="Comma 26 2 9 7" xfId="19631"/>
    <cellStyle name="Comma 26 2 9 8" xfId="19632"/>
    <cellStyle name="Comma 26 2 9 9" xfId="19633"/>
    <cellStyle name="Comma 26 3" xfId="19634"/>
    <cellStyle name="Comma 26 3 10" xfId="19635"/>
    <cellStyle name="Comma 26 3 10 2" xfId="19636"/>
    <cellStyle name="Comma 26 3 10 3" xfId="19637"/>
    <cellStyle name="Comma 26 3 10 4" xfId="19638"/>
    <cellStyle name="Comma 26 3 10 5" xfId="19639"/>
    <cellStyle name="Comma 26 3 10 6" xfId="19640"/>
    <cellStyle name="Comma 26 3 11" xfId="19641"/>
    <cellStyle name="Comma 26 3 12" xfId="19642"/>
    <cellStyle name="Comma 26 3 13" xfId="19643"/>
    <cellStyle name="Comma 26 3 14" xfId="19644"/>
    <cellStyle name="Comma 26 3 15" xfId="19645"/>
    <cellStyle name="Comma 26 3 2" xfId="19646"/>
    <cellStyle name="Comma 26 3 2 10" xfId="19647"/>
    <cellStyle name="Comma 26 3 2 11" xfId="19648"/>
    <cellStyle name="Comma 26 3 2 12" xfId="19649"/>
    <cellStyle name="Comma 26 3 2 13" xfId="19650"/>
    <cellStyle name="Comma 26 3 2 14" xfId="19651"/>
    <cellStyle name="Comma 26 3 2 2" xfId="19652"/>
    <cellStyle name="Comma 26 3 2 2 2" xfId="19653"/>
    <cellStyle name="Comma 26 3 2 2 2 2" xfId="19654"/>
    <cellStyle name="Comma 26 3 2 2 2 2 2" xfId="19655"/>
    <cellStyle name="Comma 26 3 2 2 2 2 2 2" xfId="19656"/>
    <cellStyle name="Comma 26 3 2 2 2 2 2 3" xfId="19657"/>
    <cellStyle name="Comma 26 3 2 2 2 2 2 4" xfId="19658"/>
    <cellStyle name="Comma 26 3 2 2 2 2 2 5" xfId="19659"/>
    <cellStyle name="Comma 26 3 2 2 2 2 2 6" xfId="19660"/>
    <cellStyle name="Comma 26 3 2 2 2 2 3" xfId="19661"/>
    <cellStyle name="Comma 26 3 2 2 2 2 4" xfId="19662"/>
    <cellStyle name="Comma 26 3 2 2 2 2 5" xfId="19663"/>
    <cellStyle name="Comma 26 3 2 2 2 2 6" xfId="19664"/>
    <cellStyle name="Comma 26 3 2 2 2 2 7" xfId="19665"/>
    <cellStyle name="Comma 26 3 2 2 2 3" xfId="19666"/>
    <cellStyle name="Comma 26 3 2 2 2 3 2" xfId="19667"/>
    <cellStyle name="Comma 26 3 2 2 2 3 3" xfId="19668"/>
    <cellStyle name="Comma 26 3 2 2 2 3 4" xfId="19669"/>
    <cellStyle name="Comma 26 3 2 2 2 3 5" xfId="19670"/>
    <cellStyle name="Comma 26 3 2 2 2 3 6" xfId="19671"/>
    <cellStyle name="Comma 26 3 2 2 2 4" xfId="19672"/>
    <cellStyle name="Comma 26 3 2 2 2 5" xfId="19673"/>
    <cellStyle name="Comma 26 3 2 2 2 6" xfId="19674"/>
    <cellStyle name="Comma 26 3 2 2 2 7" xfId="19675"/>
    <cellStyle name="Comma 26 3 2 2 2 8" xfId="19676"/>
    <cellStyle name="Comma 26 3 2 2 3" xfId="19677"/>
    <cellStyle name="Comma 26 3 2 2 3 2" xfId="19678"/>
    <cellStyle name="Comma 26 3 2 2 3 2 2" xfId="19679"/>
    <cellStyle name="Comma 26 3 2 2 3 2 3" xfId="19680"/>
    <cellStyle name="Comma 26 3 2 2 3 2 4" xfId="19681"/>
    <cellStyle name="Comma 26 3 2 2 3 2 5" xfId="19682"/>
    <cellStyle name="Comma 26 3 2 2 3 2 6" xfId="19683"/>
    <cellStyle name="Comma 26 3 2 2 3 3" xfId="19684"/>
    <cellStyle name="Comma 26 3 2 2 3 4" xfId="19685"/>
    <cellStyle name="Comma 26 3 2 2 3 5" xfId="19686"/>
    <cellStyle name="Comma 26 3 2 2 3 6" xfId="19687"/>
    <cellStyle name="Comma 26 3 2 2 3 7" xfId="19688"/>
    <cellStyle name="Comma 26 3 2 2 4" xfId="19689"/>
    <cellStyle name="Comma 26 3 2 2 4 2" xfId="19690"/>
    <cellStyle name="Comma 26 3 2 2 4 3" xfId="19691"/>
    <cellStyle name="Comma 26 3 2 2 4 4" xfId="19692"/>
    <cellStyle name="Comma 26 3 2 2 4 5" xfId="19693"/>
    <cellStyle name="Comma 26 3 2 2 4 6" xfId="19694"/>
    <cellStyle name="Comma 26 3 2 2 5" xfId="19695"/>
    <cellStyle name="Comma 26 3 2 2 6" xfId="19696"/>
    <cellStyle name="Comma 26 3 2 2 7" xfId="19697"/>
    <cellStyle name="Comma 26 3 2 2 8" xfId="19698"/>
    <cellStyle name="Comma 26 3 2 2 9" xfId="19699"/>
    <cellStyle name="Comma 26 3 2 3" xfId="19700"/>
    <cellStyle name="Comma 26 3 2 3 2" xfId="19701"/>
    <cellStyle name="Comma 26 3 2 3 2 2" xfId="19702"/>
    <cellStyle name="Comma 26 3 2 3 2 2 2" xfId="19703"/>
    <cellStyle name="Comma 26 3 2 3 2 2 2 2" xfId="19704"/>
    <cellStyle name="Comma 26 3 2 3 2 2 2 3" xfId="19705"/>
    <cellStyle name="Comma 26 3 2 3 2 2 2 4" xfId="19706"/>
    <cellStyle name="Comma 26 3 2 3 2 2 2 5" xfId="19707"/>
    <cellStyle name="Comma 26 3 2 3 2 2 2 6" xfId="19708"/>
    <cellStyle name="Comma 26 3 2 3 2 2 3" xfId="19709"/>
    <cellStyle name="Comma 26 3 2 3 2 2 4" xfId="19710"/>
    <cellStyle name="Comma 26 3 2 3 2 2 5" xfId="19711"/>
    <cellStyle name="Comma 26 3 2 3 2 2 6" xfId="19712"/>
    <cellStyle name="Comma 26 3 2 3 2 2 7" xfId="19713"/>
    <cellStyle name="Comma 26 3 2 3 2 3" xfId="19714"/>
    <cellStyle name="Comma 26 3 2 3 2 3 2" xfId="19715"/>
    <cellStyle name="Comma 26 3 2 3 2 3 3" xfId="19716"/>
    <cellStyle name="Comma 26 3 2 3 2 3 4" xfId="19717"/>
    <cellStyle name="Comma 26 3 2 3 2 3 5" xfId="19718"/>
    <cellStyle name="Comma 26 3 2 3 2 3 6" xfId="19719"/>
    <cellStyle name="Comma 26 3 2 3 2 4" xfId="19720"/>
    <cellStyle name="Comma 26 3 2 3 2 5" xfId="19721"/>
    <cellStyle name="Comma 26 3 2 3 2 6" xfId="19722"/>
    <cellStyle name="Comma 26 3 2 3 2 7" xfId="19723"/>
    <cellStyle name="Comma 26 3 2 3 2 8" xfId="19724"/>
    <cellStyle name="Comma 26 3 2 3 3" xfId="19725"/>
    <cellStyle name="Comma 26 3 2 3 3 2" xfId="19726"/>
    <cellStyle name="Comma 26 3 2 3 3 2 2" xfId="19727"/>
    <cellStyle name="Comma 26 3 2 3 3 2 3" xfId="19728"/>
    <cellStyle name="Comma 26 3 2 3 3 2 4" xfId="19729"/>
    <cellStyle name="Comma 26 3 2 3 3 2 5" xfId="19730"/>
    <cellStyle name="Comma 26 3 2 3 3 2 6" xfId="19731"/>
    <cellStyle name="Comma 26 3 2 3 3 3" xfId="19732"/>
    <cellStyle name="Comma 26 3 2 3 3 4" xfId="19733"/>
    <cellStyle name="Comma 26 3 2 3 3 5" xfId="19734"/>
    <cellStyle name="Comma 26 3 2 3 3 6" xfId="19735"/>
    <cellStyle name="Comma 26 3 2 3 3 7" xfId="19736"/>
    <cellStyle name="Comma 26 3 2 3 4" xfId="19737"/>
    <cellStyle name="Comma 26 3 2 3 4 2" xfId="19738"/>
    <cellStyle name="Comma 26 3 2 3 4 3" xfId="19739"/>
    <cellStyle name="Comma 26 3 2 3 4 4" xfId="19740"/>
    <cellStyle name="Comma 26 3 2 3 4 5" xfId="19741"/>
    <cellStyle name="Comma 26 3 2 3 4 6" xfId="19742"/>
    <cellStyle name="Comma 26 3 2 3 5" xfId="19743"/>
    <cellStyle name="Comma 26 3 2 3 6" xfId="19744"/>
    <cellStyle name="Comma 26 3 2 3 7" xfId="19745"/>
    <cellStyle name="Comma 26 3 2 3 8" xfId="19746"/>
    <cellStyle name="Comma 26 3 2 3 9" xfId="19747"/>
    <cellStyle name="Comma 26 3 2 4" xfId="19748"/>
    <cellStyle name="Comma 26 3 2 4 2" xfId="19749"/>
    <cellStyle name="Comma 26 3 2 4 2 2" xfId="19750"/>
    <cellStyle name="Comma 26 3 2 4 2 2 2" xfId="19751"/>
    <cellStyle name="Comma 26 3 2 4 2 2 2 2" xfId="19752"/>
    <cellStyle name="Comma 26 3 2 4 2 2 2 3" xfId="19753"/>
    <cellStyle name="Comma 26 3 2 4 2 2 2 4" xfId="19754"/>
    <cellStyle name="Comma 26 3 2 4 2 2 2 5" xfId="19755"/>
    <cellStyle name="Comma 26 3 2 4 2 2 2 6" xfId="19756"/>
    <cellStyle name="Comma 26 3 2 4 2 2 3" xfId="19757"/>
    <cellStyle name="Comma 26 3 2 4 2 2 4" xfId="19758"/>
    <cellStyle name="Comma 26 3 2 4 2 2 5" xfId="19759"/>
    <cellStyle name="Comma 26 3 2 4 2 2 6" xfId="19760"/>
    <cellStyle name="Comma 26 3 2 4 2 2 7" xfId="19761"/>
    <cellStyle name="Comma 26 3 2 4 2 3" xfId="19762"/>
    <cellStyle name="Comma 26 3 2 4 2 3 2" xfId="19763"/>
    <cellStyle name="Comma 26 3 2 4 2 3 3" xfId="19764"/>
    <cellStyle name="Comma 26 3 2 4 2 3 4" xfId="19765"/>
    <cellStyle name="Comma 26 3 2 4 2 3 5" xfId="19766"/>
    <cellStyle name="Comma 26 3 2 4 2 3 6" xfId="19767"/>
    <cellStyle name="Comma 26 3 2 4 2 4" xfId="19768"/>
    <cellStyle name="Comma 26 3 2 4 2 5" xfId="19769"/>
    <cellStyle name="Comma 26 3 2 4 2 6" xfId="19770"/>
    <cellStyle name="Comma 26 3 2 4 2 7" xfId="19771"/>
    <cellStyle name="Comma 26 3 2 4 2 8" xfId="19772"/>
    <cellStyle name="Comma 26 3 2 4 3" xfId="19773"/>
    <cellStyle name="Comma 26 3 2 4 3 2" xfId="19774"/>
    <cellStyle name="Comma 26 3 2 4 3 2 2" xfId="19775"/>
    <cellStyle name="Comma 26 3 2 4 3 2 3" xfId="19776"/>
    <cellStyle name="Comma 26 3 2 4 3 2 4" xfId="19777"/>
    <cellStyle name="Comma 26 3 2 4 3 2 5" xfId="19778"/>
    <cellStyle name="Comma 26 3 2 4 3 2 6" xfId="19779"/>
    <cellStyle name="Comma 26 3 2 4 3 3" xfId="19780"/>
    <cellStyle name="Comma 26 3 2 4 3 4" xfId="19781"/>
    <cellStyle name="Comma 26 3 2 4 3 5" xfId="19782"/>
    <cellStyle name="Comma 26 3 2 4 3 6" xfId="19783"/>
    <cellStyle name="Comma 26 3 2 4 3 7" xfId="19784"/>
    <cellStyle name="Comma 26 3 2 4 4" xfId="19785"/>
    <cellStyle name="Comma 26 3 2 4 4 2" xfId="19786"/>
    <cellStyle name="Comma 26 3 2 4 4 3" xfId="19787"/>
    <cellStyle name="Comma 26 3 2 4 4 4" xfId="19788"/>
    <cellStyle name="Comma 26 3 2 4 4 5" xfId="19789"/>
    <cellStyle name="Comma 26 3 2 4 4 6" xfId="19790"/>
    <cellStyle name="Comma 26 3 2 4 5" xfId="19791"/>
    <cellStyle name="Comma 26 3 2 4 6" xfId="19792"/>
    <cellStyle name="Comma 26 3 2 4 7" xfId="19793"/>
    <cellStyle name="Comma 26 3 2 4 8" xfId="19794"/>
    <cellStyle name="Comma 26 3 2 4 9" xfId="19795"/>
    <cellStyle name="Comma 26 3 2 5" xfId="19796"/>
    <cellStyle name="Comma 26 3 2 5 2" xfId="19797"/>
    <cellStyle name="Comma 26 3 2 5 2 2" xfId="19798"/>
    <cellStyle name="Comma 26 3 2 5 2 2 2" xfId="19799"/>
    <cellStyle name="Comma 26 3 2 5 2 2 2 2" xfId="19800"/>
    <cellStyle name="Comma 26 3 2 5 2 2 2 3" xfId="19801"/>
    <cellStyle name="Comma 26 3 2 5 2 2 2 4" xfId="19802"/>
    <cellStyle name="Comma 26 3 2 5 2 2 2 5" xfId="19803"/>
    <cellStyle name="Comma 26 3 2 5 2 2 2 6" xfId="19804"/>
    <cellStyle name="Comma 26 3 2 5 2 2 3" xfId="19805"/>
    <cellStyle name="Comma 26 3 2 5 2 2 4" xfId="19806"/>
    <cellStyle name="Comma 26 3 2 5 2 2 5" xfId="19807"/>
    <cellStyle name="Comma 26 3 2 5 2 2 6" xfId="19808"/>
    <cellStyle name="Comma 26 3 2 5 2 2 7" xfId="19809"/>
    <cellStyle name="Comma 26 3 2 5 2 3" xfId="19810"/>
    <cellStyle name="Comma 26 3 2 5 2 3 2" xfId="19811"/>
    <cellStyle name="Comma 26 3 2 5 2 3 3" xfId="19812"/>
    <cellStyle name="Comma 26 3 2 5 2 3 4" xfId="19813"/>
    <cellStyle name="Comma 26 3 2 5 2 3 5" xfId="19814"/>
    <cellStyle name="Comma 26 3 2 5 2 3 6" xfId="19815"/>
    <cellStyle name="Comma 26 3 2 5 2 4" xfId="19816"/>
    <cellStyle name="Comma 26 3 2 5 2 5" xfId="19817"/>
    <cellStyle name="Comma 26 3 2 5 2 6" xfId="19818"/>
    <cellStyle name="Comma 26 3 2 5 2 7" xfId="19819"/>
    <cellStyle name="Comma 26 3 2 5 2 8" xfId="19820"/>
    <cellStyle name="Comma 26 3 2 5 3" xfId="19821"/>
    <cellStyle name="Comma 26 3 2 5 3 2" xfId="19822"/>
    <cellStyle name="Comma 26 3 2 5 3 2 2" xfId="19823"/>
    <cellStyle name="Comma 26 3 2 5 3 2 3" xfId="19824"/>
    <cellStyle name="Comma 26 3 2 5 3 2 4" xfId="19825"/>
    <cellStyle name="Comma 26 3 2 5 3 2 5" xfId="19826"/>
    <cellStyle name="Comma 26 3 2 5 3 2 6" xfId="19827"/>
    <cellStyle name="Comma 26 3 2 5 3 3" xfId="19828"/>
    <cellStyle name="Comma 26 3 2 5 3 4" xfId="19829"/>
    <cellStyle name="Comma 26 3 2 5 3 5" xfId="19830"/>
    <cellStyle name="Comma 26 3 2 5 3 6" xfId="19831"/>
    <cellStyle name="Comma 26 3 2 5 3 7" xfId="19832"/>
    <cellStyle name="Comma 26 3 2 5 4" xfId="19833"/>
    <cellStyle name="Comma 26 3 2 5 4 2" xfId="19834"/>
    <cellStyle name="Comma 26 3 2 5 4 3" xfId="19835"/>
    <cellStyle name="Comma 26 3 2 5 4 4" xfId="19836"/>
    <cellStyle name="Comma 26 3 2 5 4 5" xfId="19837"/>
    <cellStyle name="Comma 26 3 2 5 4 6" xfId="19838"/>
    <cellStyle name="Comma 26 3 2 5 5" xfId="19839"/>
    <cellStyle name="Comma 26 3 2 5 6" xfId="19840"/>
    <cellStyle name="Comma 26 3 2 5 7" xfId="19841"/>
    <cellStyle name="Comma 26 3 2 5 8" xfId="19842"/>
    <cellStyle name="Comma 26 3 2 5 9" xfId="19843"/>
    <cellStyle name="Comma 26 3 2 6" xfId="19844"/>
    <cellStyle name="Comma 26 3 2 6 2" xfId="19845"/>
    <cellStyle name="Comma 26 3 2 6 2 2" xfId="19846"/>
    <cellStyle name="Comma 26 3 2 6 2 2 2" xfId="19847"/>
    <cellStyle name="Comma 26 3 2 6 2 2 2 2" xfId="19848"/>
    <cellStyle name="Comma 26 3 2 6 2 2 2 3" xfId="19849"/>
    <cellStyle name="Comma 26 3 2 6 2 2 2 4" xfId="19850"/>
    <cellStyle name="Comma 26 3 2 6 2 2 2 5" xfId="19851"/>
    <cellStyle name="Comma 26 3 2 6 2 2 2 6" xfId="19852"/>
    <cellStyle name="Comma 26 3 2 6 2 2 3" xfId="19853"/>
    <cellStyle name="Comma 26 3 2 6 2 2 4" xfId="19854"/>
    <cellStyle name="Comma 26 3 2 6 2 2 5" xfId="19855"/>
    <cellStyle name="Comma 26 3 2 6 2 2 6" xfId="19856"/>
    <cellStyle name="Comma 26 3 2 6 2 2 7" xfId="19857"/>
    <cellStyle name="Comma 26 3 2 6 2 3" xfId="19858"/>
    <cellStyle name="Comma 26 3 2 6 2 3 2" xfId="19859"/>
    <cellStyle name="Comma 26 3 2 6 2 3 3" xfId="19860"/>
    <cellStyle name="Comma 26 3 2 6 2 3 4" xfId="19861"/>
    <cellStyle name="Comma 26 3 2 6 2 3 5" xfId="19862"/>
    <cellStyle name="Comma 26 3 2 6 2 3 6" xfId="19863"/>
    <cellStyle name="Comma 26 3 2 6 2 4" xfId="19864"/>
    <cellStyle name="Comma 26 3 2 6 2 5" xfId="19865"/>
    <cellStyle name="Comma 26 3 2 6 2 6" xfId="19866"/>
    <cellStyle name="Comma 26 3 2 6 2 7" xfId="19867"/>
    <cellStyle name="Comma 26 3 2 6 2 8" xfId="19868"/>
    <cellStyle name="Comma 26 3 2 6 3" xfId="19869"/>
    <cellStyle name="Comma 26 3 2 6 3 2" xfId="19870"/>
    <cellStyle name="Comma 26 3 2 6 3 2 2" xfId="19871"/>
    <cellStyle name="Comma 26 3 2 6 3 2 3" xfId="19872"/>
    <cellStyle name="Comma 26 3 2 6 3 2 4" xfId="19873"/>
    <cellStyle name="Comma 26 3 2 6 3 2 5" xfId="19874"/>
    <cellStyle name="Comma 26 3 2 6 3 2 6" xfId="19875"/>
    <cellStyle name="Comma 26 3 2 6 3 3" xfId="19876"/>
    <cellStyle name="Comma 26 3 2 6 3 4" xfId="19877"/>
    <cellStyle name="Comma 26 3 2 6 3 5" xfId="19878"/>
    <cellStyle name="Comma 26 3 2 6 3 6" xfId="19879"/>
    <cellStyle name="Comma 26 3 2 6 3 7" xfId="19880"/>
    <cellStyle name="Comma 26 3 2 6 4" xfId="19881"/>
    <cellStyle name="Comma 26 3 2 6 4 2" xfId="19882"/>
    <cellStyle name="Comma 26 3 2 6 4 3" xfId="19883"/>
    <cellStyle name="Comma 26 3 2 6 4 4" xfId="19884"/>
    <cellStyle name="Comma 26 3 2 6 4 5" xfId="19885"/>
    <cellStyle name="Comma 26 3 2 6 4 6" xfId="19886"/>
    <cellStyle name="Comma 26 3 2 6 5" xfId="19887"/>
    <cellStyle name="Comma 26 3 2 6 6" xfId="19888"/>
    <cellStyle name="Comma 26 3 2 6 7" xfId="19889"/>
    <cellStyle name="Comma 26 3 2 6 8" xfId="19890"/>
    <cellStyle name="Comma 26 3 2 6 9" xfId="19891"/>
    <cellStyle name="Comma 26 3 2 7" xfId="19892"/>
    <cellStyle name="Comma 26 3 2 7 2" xfId="19893"/>
    <cellStyle name="Comma 26 3 2 7 2 2" xfId="19894"/>
    <cellStyle name="Comma 26 3 2 7 2 2 2" xfId="19895"/>
    <cellStyle name="Comma 26 3 2 7 2 2 3" xfId="19896"/>
    <cellStyle name="Comma 26 3 2 7 2 2 4" xfId="19897"/>
    <cellStyle name="Comma 26 3 2 7 2 2 5" xfId="19898"/>
    <cellStyle name="Comma 26 3 2 7 2 2 6" xfId="19899"/>
    <cellStyle name="Comma 26 3 2 7 2 3" xfId="19900"/>
    <cellStyle name="Comma 26 3 2 7 2 4" xfId="19901"/>
    <cellStyle name="Comma 26 3 2 7 2 5" xfId="19902"/>
    <cellStyle name="Comma 26 3 2 7 2 6" xfId="19903"/>
    <cellStyle name="Comma 26 3 2 7 2 7" xfId="19904"/>
    <cellStyle name="Comma 26 3 2 7 3" xfId="19905"/>
    <cellStyle name="Comma 26 3 2 7 3 2" xfId="19906"/>
    <cellStyle name="Comma 26 3 2 7 3 3" xfId="19907"/>
    <cellStyle name="Comma 26 3 2 7 3 4" xfId="19908"/>
    <cellStyle name="Comma 26 3 2 7 3 5" xfId="19909"/>
    <cellStyle name="Comma 26 3 2 7 3 6" xfId="19910"/>
    <cellStyle name="Comma 26 3 2 7 4" xfId="19911"/>
    <cellStyle name="Comma 26 3 2 7 5" xfId="19912"/>
    <cellStyle name="Comma 26 3 2 7 6" xfId="19913"/>
    <cellStyle name="Comma 26 3 2 7 7" xfId="19914"/>
    <cellStyle name="Comma 26 3 2 7 8" xfId="19915"/>
    <cellStyle name="Comma 26 3 2 8" xfId="19916"/>
    <cellStyle name="Comma 26 3 2 8 2" xfId="19917"/>
    <cellStyle name="Comma 26 3 2 8 2 2" xfId="19918"/>
    <cellStyle name="Comma 26 3 2 8 2 3" xfId="19919"/>
    <cellStyle name="Comma 26 3 2 8 2 4" xfId="19920"/>
    <cellStyle name="Comma 26 3 2 8 2 5" xfId="19921"/>
    <cellStyle name="Comma 26 3 2 8 2 6" xfId="19922"/>
    <cellStyle name="Comma 26 3 2 8 3" xfId="19923"/>
    <cellStyle name="Comma 26 3 2 8 4" xfId="19924"/>
    <cellStyle name="Comma 26 3 2 8 5" xfId="19925"/>
    <cellStyle name="Comma 26 3 2 8 6" xfId="19926"/>
    <cellStyle name="Comma 26 3 2 8 7" xfId="19927"/>
    <cellStyle name="Comma 26 3 2 9" xfId="19928"/>
    <cellStyle name="Comma 26 3 2 9 2" xfId="19929"/>
    <cellStyle name="Comma 26 3 2 9 3" xfId="19930"/>
    <cellStyle name="Comma 26 3 2 9 4" xfId="19931"/>
    <cellStyle name="Comma 26 3 2 9 5" xfId="19932"/>
    <cellStyle name="Comma 26 3 2 9 6" xfId="19933"/>
    <cellStyle name="Comma 26 3 3" xfId="19934"/>
    <cellStyle name="Comma 26 3 3 2" xfId="19935"/>
    <cellStyle name="Comma 26 3 3 2 2" xfId="19936"/>
    <cellStyle name="Comma 26 3 3 2 2 2" xfId="19937"/>
    <cellStyle name="Comma 26 3 3 2 2 2 2" xfId="19938"/>
    <cellStyle name="Comma 26 3 3 2 2 2 3" xfId="19939"/>
    <cellStyle name="Comma 26 3 3 2 2 2 4" xfId="19940"/>
    <cellStyle name="Comma 26 3 3 2 2 2 5" xfId="19941"/>
    <cellStyle name="Comma 26 3 3 2 2 2 6" xfId="19942"/>
    <cellStyle name="Comma 26 3 3 2 2 3" xfId="19943"/>
    <cellStyle name="Comma 26 3 3 2 2 4" xfId="19944"/>
    <cellStyle name="Comma 26 3 3 2 2 5" xfId="19945"/>
    <cellStyle name="Comma 26 3 3 2 2 6" xfId="19946"/>
    <cellStyle name="Comma 26 3 3 2 2 7" xfId="19947"/>
    <cellStyle name="Comma 26 3 3 2 3" xfId="19948"/>
    <cellStyle name="Comma 26 3 3 2 3 2" xfId="19949"/>
    <cellStyle name="Comma 26 3 3 2 3 3" xfId="19950"/>
    <cellStyle name="Comma 26 3 3 2 3 4" xfId="19951"/>
    <cellStyle name="Comma 26 3 3 2 3 5" xfId="19952"/>
    <cellStyle name="Comma 26 3 3 2 3 6" xfId="19953"/>
    <cellStyle name="Comma 26 3 3 2 4" xfId="19954"/>
    <cellStyle name="Comma 26 3 3 2 5" xfId="19955"/>
    <cellStyle name="Comma 26 3 3 2 6" xfId="19956"/>
    <cellStyle name="Comma 26 3 3 2 7" xfId="19957"/>
    <cellStyle name="Comma 26 3 3 2 8" xfId="19958"/>
    <cellStyle name="Comma 26 3 3 3" xfId="19959"/>
    <cellStyle name="Comma 26 3 3 3 2" xfId="19960"/>
    <cellStyle name="Comma 26 3 3 3 2 2" xfId="19961"/>
    <cellStyle name="Comma 26 3 3 3 2 3" xfId="19962"/>
    <cellStyle name="Comma 26 3 3 3 2 4" xfId="19963"/>
    <cellStyle name="Comma 26 3 3 3 2 5" xfId="19964"/>
    <cellStyle name="Comma 26 3 3 3 2 6" xfId="19965"/>
    <cellStyle name="Comma 26 3 3 3 3" xfId="19966"/>
    <cellStyle name="Comma 26 3 3 3 4" xfId="19967"/>
    <cellStyle name="Comma 26 3 3 3 5" xfId="19968"/>
    <cellStyle name="Comma 26 3 3 3 6" xfId="19969"/>
    <cellStyle name="Comma 26 3 3 3 7" xfId="19970"/>
    <cellStyle name="Comma 26 3 3 4" xfId="19971"/>
    <cellStyle name="Comma 26 3 3 4 2" xfId="19972"/>
    <cellStyle name="Comma 26 3 3 4 3" xfId="19973"/>
    <cellStyle name="Comma 26 3 3 4 4" xfId="19974"/>
    <cellStyle name="Comma 26 3 3 4 5" xfId="19975"/>
    <cellStyle name="Comma 26 3 3 4 6" xfId="19976"/>
    <cellStyle name="Comma 26 3 3 5" xfId="19977"/>
    <cellStyle name="Comma 26 3 3 6" xfId="19978"/>
    <cellStyle name="Comma 26 3 3 7" xfId="19979"/>
    <cellStyle name="Comma 26 3 3 8" xfId="19980"/>
    <cellStyle name="Comma 26 3 3 9" xfId="19981"/>
    <cellStyle name="Comma 26 3 4" xfId="19982"/>
    <cellStyle name="Comma 26 3 4 2" xfId="19983"/>
    <cellStyle name="Comma 26 3 4 2 2" xfId="19984"/>
    <cellStyle name="Comma 26 3 4 2 2 2" xfId="19985"/>
    <cellStyle name="Comma 26 3 4 2 2 2 2" xfId="19986"/>
    <cellStyle name="Comma 26 3 4 2 2 2 3" xfId="19987"/>
    <cellStyle name="Comma 26 3 4 2 2 2 4" xfId="19988"/>
    <cellStyle name="Comma 26 3 4 2 2 2 5" xfId="19989"/>
    <cellStyle name="Comma 26 3 4 2 2 2 6" xfId="19990"/>
    <cellStyle name="Comma 26 3 4 2 2 3" xfId="19991"/>
    <cellStyle name="Comma 26 3 4 2 2 4" xfId="19992"/>
    <cellStyle name="Comma 26 3 4 2 2 5" xfId="19993"/>
    <cellStyle name="Comma 26 3 4 2 2 6" xfId="19994"/>
    <cellStyle name="Comma 26 3 4 2 2 7" xfId="19995"/>
    <cellStyle name="Comma 26 3 4 2 3" xfId="19996"/>
    <cellStyle name="Comma 26 3 4 2 3 2" xfId="19997"/>
    <cellStyle name="Comma 26 3 4 2 3 3" xfId="19998"/>
    <cellStyle name="Comma 26 3 4 2 3 4" xfId="19999"/>
    <cellStyle name="Comma 26 3 4 2 3 5" xfId="20000"/>
    <cellStyle name="Comma 26 3 4 2 3 6" xfId="20001"/>
    <cellStyle name="Comma 26 3 4 2 4" xfId="20002"/>
    <cellStyle name="Comma 26 3 4 2 5" xfId="20003"/>
    <cellStyle name="Comma 26 3 4 2 6" xfId="20004"/>
    <cellStyle name="Comma 26 3 4 2 7" xfId="20005"/>
    <cellStyle name="Comma 26 3 4 2 8" xfId="20006"/>
    <cellStyle name="Comma 26 3 4 3" xfId="20007"/>
    <cellStyle name="Comma 26 3 4 3 2" xfId="20008"/>
    <cellStyle name="Comma 26 3 4 3 2 2" xfId="20009"/>
    <cellStyle name="Comma 26 3 4 3 2 3" xfId="20010"/>
    <cellStyle name="Comma 26 3 4 3 2 4" xfId="20011"/>
    <cellStyle name="Comma 26 3 4 3 2 5" xfId="20012"/>
    <cellStyle name="Comma 26 3 4 3 2 6" xfId="20013"/>
    <cellStyle name="Comma 26 3 4 3 3" xfId="20014"/>
    <cellStyle name="Comma 26 3 4 3 4" xfId="20015"/>
    <cellStyle name="Comma 26 3 4 3 5" xfId="20016"/>
    <cellStyle name="Comma 26 3 4 3 6" xfId="20017"/>
    <cellStyle name="Comma 26 3 4 3 7" xfId="20018"/>
    <cellStyle name="Comma 26 3 4 4" xfId="20019"/>
    <cellStyle name="Comma 26 3 4 4 2" xfId="20020"/>
    <cellStyle name="Comma 26 3 4 4 3" xfId="20021"/>
    <cellStyle name="Comma 26 3 4 4 4" xfId="20022"/>
    <cellStyle name="Comma 26 3 4 4 5" xfId="20023"/>
    <cellStyle name="Comma 26 3 4 4 6" xfId="20024"/>
    <cellStyle name="Comma 26 3 4 5" xfId="20025"/>
    <cellStyle name="Comma 26 3 4 6" xfId="20026"/>
    <cellStyle name="Comma 26 3 4 7" xfId="20027"/>
    <cellStyle name="Comma 26 3 4 8" xfId="20028"/>
    <cellStyle name="Comma 26 3 4 9" xfId="20029"/>
    <cellStyle name="Comma 26 3 5" xfId="20030"/>
    <cellStyle name="Comma 26 3 5 2" xfId="20031"/>
    <cellStyle name="Comma 26 3 5 2 2" xfId="20032"/>
    <cellStyle name="Comma 26 3 5 2 2 2" xfId="20033"/>
    <cellStyle name="Comma 26 3 5 2 2 2 2" xfId="20034"/>
    <cellStyle name="Comma 26 3 5 2 2 2 3" xfId="20035"/>
    <cellStyle name="Comma 26 3 5 2 2 2 4" xfId="20036"/>
    <cellStyle name="Comma 26 3 5 2 2 2 5" xfId="20037"/>
    <cellStyle name="Comma 26 3 5 2 2 2 6" xfId="20038"/>
    <cellStyle name="Comma 26 3 5 2 2 3" xfId="20039"/>
    <cellStyle name="Comma 26 3 5 2 2 4" xfId="20040"/>
    <cellStyle name="Comma 26 3 5 2 2 5" xfId="20041"/>
    <cellStyle name="Comma 26 3 5 2 2 6" xfId="20042"/>
    <cellStyle name="Comma 26 3 5 2 2 7" xfId="20043"/>
    <cellStyle name="Comma 26 3 5 2 3" xfId="20044"/>
    <cellStyle name="Comma 26 3 5 2 3 2" xfId="20045"/>
    <cellStyle name="Comma 26 3 5 2 3 3" xfId="20046"/>
    <cellStyle name="Comma 26 3 5 2 3 4" xfId="20047"/>
    <cellStyle name="Comma 26 3 5 2 3 5" xfId="20048"/>
    <cellStyle name="Comma 26 3 5 2 3 6" xfId="20049"/>
    <cellStyle name="Comma 26 3 5 2 4" xfId="20050"/>
    <cellStyle name="Comma 26 3 5 2 5" xfId="20051"/>
    <cellStyle name="Comma 26 3 5 2 6" xfId="20052"/>
    <cellStyle name="Comma 26 3 5 2 7" xfId="20053"/>
    <cellStyle name="Comma 26 3 5 2 8" xfId="20054"/>
    <cellStyle name="Comma 26 3 5 3" xfId="20055"/>
    <cellStyle name="Comma 26 3 5 3 2" xfId="20056"/>
    <cellStyle name="Comma 26 3 5 3 2 2" xfId="20057"/>
    <cellStyle name="Comma 26 3 5 3 2 3" xfId="20058"/>
    <cellStyle name="Comma 26 3 5 3 2 4" xfId="20059"/>
    <cellStyle name="Comma 26 3 5 3 2 5" xfId="20060"/>
    <cellStyle name="Comma 26 3 5 3 2 6" xfId="20061"/>
    <cellStyle name="Comma 26 3 5 3 3" xfId="20062"/>
    <cellStyle name="Comma 26 3 5 3 4" xfId="20063"/>
    <cellStyle name="Comma 26 3 5 3 5" xfId="20064"/>
    <cellStyle name="Comma 26 3 5 3 6" xfId="20065"/>
    <cellStyle name="Comma 26 3 5 3 7" xfId="20066"/>
    <cellStyle name="Comma 26 3 5 4" xfId="20067"/>
    <cellStyle name="Comma 26 3 5 4 2" xfId="20068"/>
    <cellStyle name="Comma 26 3 5 4 3" xfId="20069"/>
    <cellStyle name="Comma 26 3 5 4 4" xfId="20070"/>
    <cellStyle name="Comma 26 3 5 4 5" xfId="20071"/>
    <cellStyle name="Comma 26 3 5 4 6" xfId="20072"/>
    <cellStyle name="Comma 26 3 5 5" xfId="20073"/>
    <cellStyle name="Comma 26 3 5 6" xfId="20074"/>
    <cellStyle name="Comma 26 3 5 7" xfId="20075"/>
    <cellStyle name="Comma 26 3 5 8" xfId="20076"/>
    <cellStyle name="Comma 26 3 5 9" xfId="20077"/>
    <cellStyle name="Comma 26 3 6" xfId="20078"/>
    <cellStyle name="Comma 26 3 6 2" xfId="20079"/>
    <cellStyle name="Comma 26 3 6 2 2" xfId="20080"/>
    <cellStyle name="Comma 26 3 6 2 2 2" xfId="20081"/>
    <cellStyle name="Comma 26 3 6 2 2 2 2" xfId="20082"/>
    <cellStyle name="Comma 26 3 6 2 2 2 3" xfId="20083"/>
    <cellStyle name="Comma 26 3 6 2 2 2 4" xfId="20084"/>
    <cellStyle name="Comma 26 3 6 2 2 2 5" xfId="20085"/>
    <cellStyle name="Comma 26 3 6 2 2 2 6" xfId="20086"/>
    <cellStyle name="Comma 26 3 6 2 2 3" xfId="20087"/>
    <cellStyle name="Comma 26 3 6 2 2 4" xfId="20088"/>
    <cellStyle name="Comma 26 3 6 2 2 5" xfId="20089"/>
    <cellStyle name="Comma 26 3 6 2 2 6" xfId="20090"/>
    <cellStyle name="Comma 26 3 6 2 2 7" xfId="20091"/>
    <cellStyle name="Comma 26 3 6 2 3" xfId="20092"/>
    <cellStyle name="Comma 26 3 6 2 3 2" xfId="20093"/>
    <cellStyle name="Comma 26 3 6 2 3 3" xfId="20094"/>
    <cellStyle name="Comma 26 3 6 2 3 4" xfId="20095"/>
    <cellStyle name="Comma 26 3 6 2 3 5" xfId="20096"/>
    <cellStyle name="Comma 26 3 6 2 3 6" xfId="20097"/>
    <cellStyle name="Comma 26 3 6 2 4" xfId="20098"/>
    <cellStyle name="Comma 26 3 6 2 5" xfId="20099"/>
    <cellStyle name="Comma 26 3 6 2 6" xfId="20100"/>
    <cellStyle name="Comma 26 3 6 2 7" xfId="20101"/>
    <cellStyle name="Comma 26 3 6 2 8" xfId="20102"/>
    <cellStyle name="Comma 26 3 6 3" xfId="20103"/>
    <cellStyle name="Comma 26 3 6 3 2" xfId="20104"/>
    <cellStyle name="Comma 26 3 6 3 2 2" xfId="20105"/>
    <cellStyle name="Comma 26 3 6 3 2 3" xfId="20106"/>
    <cellStyle name="Comma 26 3 6 3 2 4" xfId="20107"/>
    <cellStyle name="Comma 26 3 6 3 2 5" xfId="20108"/>
    <cellStyle name="Comma 26 3 6 3 2 6" xfId="20109"/>
    <cellStyle name="Comma 26 3 6 3 3" xfId="20110"/>
    <cellStyle name="Comma 26 3 6 3 4" xfId="20111"/>
    <cellStyle name="Comma 26 3 6 3 5" xfId="20112"/>
    <cellStyle name="Comma 26 3 6 3 6" xfId="20113"/>
    <cellStyle name="Comma 26 3 6 3 7" xfId="20114"/>
    <cellStyle name="Comma 26 3 6 4" xfId="20115"/>
    <cellStyle name="Comma 26 3 6 4 2" xfId="20116"/>
    <cellStyle name="Comma 26 3 6 4 3" xfId="20117"/>
    <cellStyle name="Comma 26 3 6 4 4" xfId="20118"/>
    <cellStyle name="Comma 26 3 6 4 5" xfId="20119"/>
    <cellStyle name="Comma 26 3 6 4 6" xfId="20120"/>
    <cellStyle name="Comma 26 3 6 5" xfId="20121"/>
    <cellStyle name="Comma 26 3 6 6" xfId="20122"/>
    <cellStyle name="Comma 26 3 6 7" xfId="20123"/>
    <cellStyle name="Comma 26 3 6 8" xfId="20124"/>
    <cellStyle name="Comma 26 3 6 9" xfId="20125"/>
    <cellStyle name="Comma 26 3 7" xfId="20126"/>
    <cellStyle name="Comma 26 3 7 2" xfId="20127"/>
    <cellStyle name="Comma 26 3 7 2 2" xfId="20128"/>
    <cellStyle name="Comma 26 3 7 2 2 2" xfId="20129"/>
    <cellStyle name="Comma 26 3 7 2 2 2 2" xfId="20130"/>
    <cellStyle name="Comma 26 3 7 2 2 2 3" xfId="20131"/>
    <cellStyle name="Comma 26 3 7 2 2 2 4" xfId="20132"/>
    <cellStyle name="Comma 26 3 7 2 2 2 5" xfId="20133"/>
    <cellStyle name="Comma 26 3 7 2 2 2 6" xfId="20134"/>
    <cellStyle name="Comma 26 3 7 2 2 3" xfId="20135"/>
    <cellStyle name="Comma 26 3 7 2 2 4" xfId="20136"/>
    <cellStyle name="Comma 26 3 7 2 2 5" xfId="20137"/>
    <cellStyle name="Comma 26 3 7 2 2 6" xfId="20138"/>
    <cellStyle name="Comma 26 3 7 2 2 7" xfId="20139"/>
    <cellStyle name="Comma 26 3 7 2 3" xfId="20140"/>
    <cellStyle name="Comma 26 3 7 2 3 2" xfId="20141"/>
    <cellStyle name="Comma 26 3 7 2 3 3" xfId="20142"/>
    <cellStyle name="Comma 26 3 7 2 3 4" xfId="20143"/>
    <cellStyle name="Comma 26 3 7 2 3 5" xfId="20144"/>
    <cellStyle name="Comma 26 3 7 2 3 6" xfId="20145"/>
    <cellStyle name="Comma 26 3 7 2 4" xfId="20146"/>
    <cellStyle name="Comma 26 3 7 2 5" xfId="20147"/>
    <cellStyle name="Comma 26 3 7 2 6" xfId="20148"/>
    <cellStyle name="Comma 26 3 7 2 7" xfId="20149"/>
    <cellStyle name="Comma 26 3 7 2 8" xfId="20150"/>
    <cellStyle name="Comma 26 3 7 3" xfId="20151"/>
    <cellStyle name="Comma 26 3 7 3 2" xfId="20152"/>
    <cellStyle name="Comma 26 3 7 3 2 2" xfId="20153"/>
    <cellStyle name="Comma 26 3 7 3 2 3" xfId="20154"/>
    <cellStyle name="Comma 26 3 7 3 2 4" xfId="20155"/>
    <cellStyle name="Comma 26 3 7 3 2 5" xfId="20156"/>
    <cellStyle name="Comma 26 3 7 3 2 6" xfId="20157"/>
    <cellStyle name="Comma 26 3 7 3 3" xfId="20158"/>
    <cellStyle name="Comma 26 3 7 3 4" xfId="20159"/>
    <cellStyle name="Comma 26 3 7 3 5" xfId="20160"/>
    <cellStyle name="Comma 26 3 7 3 6" xfId="20161"/>
    <cellStyle name="Comma 26 3 7 3 7" xfId="20162"/>
    <cellStyle name="Comma 26 3 7 4" xfId="20163"/>
    <cellStyle name="Comma 26 3 7 4 2" xfId="20164"/>
    <cellStyle name="Comma 26 3 7 4 3" xfId="20165"/>
    <cellStyle name="Comma 26 3 7 4 4" xfId="20166"/>
    <cellStyle name="Comma 26 3 7 4 5" xfId="20167"/>
    <cellStyle name="Comma 26 3 7 4 6" xfId="20168"/>
    <cellStyle name="Comma 26 3 7 5" xfId="20169"/>
    <cellStyle name="Comma 26 3 7 6" xfId="20170"/>
    <cellStyle name="Comma 26 3 7 7" xfId="20171"/>
    <cellStyle name="Comma 26 3 7 8" xfId="20172"/>
    <cellStyle name="Comma 26 3 7 9" xfId="20173"/>
    <cellStyle name="Comma 26 3 8" xfId="20174"/>
    <cellStyle name="Comma 26 3 8 2" xfId="20175"/>
    <cellStyle name="Comma 26 3 8 2 2" xfId="20176"/>
    <cellStyle name="Comma 26 3 8 2 2 2" xfId="20177"/>
    <cellStyle name="Comma 26 3 8 2 2 3" xfId="20178"/>
    <cellStyle name="Comma 26 3 8 2 2 4" xfId="20179"/>
    <cellStyle name="Comma 26 3 8 2 2 5" xfId="20180"/>
    <cellStyle name="Comma 26 3 8 2 2 6" xfId="20181"/>
    <cellStyle name="Comma 26 3 8 2 3" xfId="20182"/>
    <cellStyle name="Comma 26 3 8 2 4" xfId="20183"/>
    <cellStyle name="Comma 26 3 8 2 5" xfId="20184"/>
    <cellStyle name="Comma 26 3 8 2 6" xfId="20185"/>
    <cellStyle name="Comma 26 3 8 2 7" xfId="20186"/>
    <cellStyle name="Comma 26 3 8 3" xfId="20187"/>
    <cellStyle name="Comma 26 3 8 3 2" xfId="20188"/>
    <cellStyle name="Comma 26 3 8 3 3" xfId="20189"/>
    <cellStyle name="Comma 26 3 8 3 4" xfId="20190"/>
    <cellStyle name="Comma 26 3 8 3 5" xfId="20191"/>
    <cellStyle name="Comma 26 3 8 3 6" xfId="20192"/>
    <cellStyle name="Comma 26 3 8 4" xfId="20193"/>
    <cellStyle name="Comma 26 3 8 5" xfId="20194"/>
    <cellStyle name="Comma 26 3 8 6" xfId="20195"/>
    <cellStyle name="Comma 26 3 8 7" xfId="20196"/>
    <cellStyle name="Comma 26 3 8 8" xfId="20197"/>
    <cellStyle name="Comma 26 3 9" xfId="20198"/>
    <cellStyle name="Comma 26 3 9 2" xfId="20199"/>
    <cellStyle name="Comma 26 3 9 2 2" xfId="20200"/>
    <cellStyle name="Comma 26 3 9 2 3" xfId="20201"/>
    <cellStyle name="Comma 26 3 9 2 4" xfId="20202"/>
    <cellStyle name="Comma 26 3 9 2 5" xfId="20203"/>
    <cellStyle name="Comma 26 3 9 2 6" xfId="20204"/>
    <cellStyle name="Comma 26 3 9 3" xfId="20205"/>
    <cellStyle name="Comma 26 3 9 4" xfId="20206"/>
    <cellStyle name="Comma 26 3 9 5" xfId="20207"/>
    <cellStyle name="Comma 26 3 9 6" xfId="20208"/>
    <cellStyle name="Comma 26 3 9 7" xfId="20209"/>
    <cellStyle name="Comma 26 4" xfId="20210"/>
    <cellStyle name="Comma 26 4 10" xfId="20211"/>
    <cellStyle name="Comma 26 4 10 2" xfId="20212"/>
    <cellStyle name="Comma 26 4 10 3" xfId="20213"/>
    <cellStyle name="Comma 26 4 10 4" xfId="20214"/>
    <cellStyle name="Comma 26 4 10 5" xfId="20215"/>
    <cellStyle name="Comma 26 4 10 6" xfId="20216"/>
    <cellStyle name="Comma 26 4 11" xfId="20217"/>
    <cellStyle name="Comma 26 4 12" xfId="20218"/>
    <cellStyle name="Comma 26 4 13" xfId="20219"/>
    <cellStyle name="Comma 26 4 14" xfId="20220"/>
    <cellStyle name="Comma 26 4 15" xfId="20221"/>
    <cellStyle name="Comma 26 4 2" xfId="20222"/>
    <cellStyle name="Comma 26 4 2 10" xfId="20223"/>
    <cellStyle name="Comma 26 4 2 11" xfId="20224"/>
    <cellStyle name="Comma 26 4 2 12" xfId="20225"/>
    <cellStyle name="Comma 26 4 2 13" xfId="20226"/>
    <cellStyle name="Comma 26 4 2 14" xfId="20227"/>
    <cellStyle name="Comma 26 4 2 2" xfId="20228"/>
    <cellStyle name="Comma 26 4 2 2 2" xfId="20229"/>
    <cellStyle name="Comma 26 4 2 2 2 2" xfId="20230"/>
    <cellStyle name="Comma 26 4 2 2 2 2 2" xfId="20231"/>
    <cellStyle name="Comma 26 4 2 2 2 2 2 2" xfId="20232"/>
    <cellStyle name="Comma 26 4 2 2 2 2 2 3" xfId="20233"/>
    <cellStyle name="Comma 26 4 2 2 2 2 2 4" xfId="20234"/>
    <cellStyle name="Comma 26 4 2 2 2 2 2 5" xfId="20235"/>
    <cellStyle name="Comma 26 4 2 2 2 2 2 6" xfId="20236"/>
    <cellStyle name="Comma 26 4 2 2 2 2 3" xfId="20237"/>
    <cellStyle name="Comma 26 4 2 2 2 2 4" xfId="20238"/>
    <cellStyle name="Comma 26 4 2 2 2 2 5" xfId="20239"/>
    <cellStyle name="Comma 26 4 2 2 2 2 6" xfId="20240"/>
    <cellStyle name="Comma 26 4 2 2 2 2 7" xfId="20241"/>
    <cellStyle name="Comma 26 4 2 2 2 3" xfId="20242"/>
    <cellStyle name="Comma 26 4 2 2 2 3 2" xfId="20243"/>
    <cellStyle name="Comma 26 4 2 2 2 3 3" xfId="20244"/>
    <cellStyle name="Comma 26 4 2 2 2 3 4" xfId="20245"/>
    <cellStyle name="Comma 26 4 2 2 2 3 5" xfId="20246"/>
    <cellStyle name="Comma 26 4 2 2 2 3 6" xfId="20247"/>
    <cellStyle name="Comma 26 4 2 2 2 4" xfId="20248"/>
    <cellStyle name="Comma 26 4 2 2 2 5" xfId="20249"/>
    <cellStyle name="Comma 26 4 2 2 2 6" xfId="20250"/>
    <cellStyle name="Comma 26 4 2 2 2 7" xfId="20251"/>
    <cellStyle name="Comma 26 4 2 2 2 8" xfId="20252"/>
    <cellStyle name="Comma 26 4 2 2 3" xfId="20253"/>
    <cellStyle name="Comma 26 4 2 2 3 2" xfId="20254"/>
    <cellStyle name="Comma 26 4 2 2 3 2 2" xfId="20255"/>
    <cellStyle name="Comma 26 4 2 2 3 2 3" xfId="20256"/>
    <cellStyle name="Comma 26 4 2 2 3 2 4" xfId="20257"/>
    <cellStyle name="Comma 26 4 2 2 3 2 5" xfId="20258"/>
    <cellStyle name="Comma 26 4 2 2 3 2 6" xfId="20259"/>
    <cellStyle name="Comma 26 4 2 2 3 3" xfId="20260"/>
    <cellStyle name="Comma 26 4 2 2 3 4" xfId="20261"/>
    <cellStyle name="Comma 26 4 2 2 3 5" xfId="20262"/>
    <cellStyle name="Comma 26 4 2 2 3 6" xfId="20263"/>
    <cellStyle name="Comma 26 4 2 2 3 7" xfId="20264"/>
    <cellStyle name="Comma 26 4 2 2 4" xfId="20265"/>
    <cellStyle name="Comma 26 4 2 2 4 2" xfId="20266"/>
    <cellStyle name="Comma 26 4 2 2 4 3" xfId="20267"/>
    <cellStyle name="Comma 26 4 2 2 4 4" xfId="20268"/>
    <cellStyle name="Comma 26 4 2 2 4 5" xfId="20269"/>
    <cellStyle name="Comma 26 4 2 2 4 6" xfId="20270"/>
    <cellStyle name="Comma 26 4 2 2 5" xfId="20271"/>
    <cellStyle name="Comma 26 4 2 2 6" xfId="20272"/>
    <cellStyle name="Comma 26 4 2 2 7" xfId="20273"/>
    <cellStyle name="Comma 26 4 2 2 8" xfId="20274"/>
    <cellStyle name="Comma 26 4 2 2 9" xfId="20275"/>
    <cellStyle name="Comma 26 4 2 3" xfId="20276"/>
    <cellStyle name="Comma 26 4 2 3 2" xfId="20277"/>
    <cellStyle name="Comma 26 4 2 3 2 2" xfId="20278"/>
    <cellStyle name="Comma 26 4 2 3 2 2 2" xfId="20279"/>
    <cellStyle name="Comma 26 4 2 3 2 2 2 2" xfId="20280"/>
    <cellStyle name="Comma 26 4 2 3 2 2 2 3" xfId="20281"/>
    <cellStyle name="Comma 26 4 2 3 2 2 2 4" xfId="20282"/>
    <cellStyle name="Comma 26 4 2 3 2 2 2 5" xfId="20283"/>
    <cellStyle name="Comma 26 4 2 3 2 2 2 6" xfId="20284"/>
    <cellStyle name="Comma 26 4 2 3 2 2 3" xfId="20285"/>
    <cellStyle name="Comma 26 4 2 3 2 2 4" xfId="20286"/>
    <cellStyle name="Comma 26 4 2 3 2 2 5" xfId="20287"/>
    <cellStyle name="Comma 26 4 2 3 2 2 6" xfId="20288"/>
    <cellStyle name="Comma 26 4 2 3 2 2 7" xfId="20289"/>
    <cellStyle name="Comma 26 4 2 3 2 3" xfId="20290"/>
    <cellStyle name="Comma 26 4 2 3 2 3 2" xfId="20291"/>
    <cellStyle name="Comma 26 4 2 3 2 3 3" xfId="20292"/>
    <cellStyle name="Comma 26 4 2 3 2 3 4" xfId="20293"/>
    <cellStyle name="Comma 26 4 2 3 2 3 5" xfId="20294"/>
    <cellStyle name="Comma 26 4 2 3 2 3 6" xfId="20295"/>
    <cellStyle name="Comma 26 4 2 3 2 4" xfId="20296"/>
    <cellStyle name="Comma 26 4 2 3 2 5" xfId="20297"/>
    <cellStyle name="Comma 26 4 2 3 2 6" xfId="20298"/>
    <cellStyle name="Comma 26 4 2 3 2 7" xfId="20299"/>
    <cellStyle name="Comma 26 4 2 3 2 8" xfId="20300"/>
    <cellStyle name="Comma 26 4 2 3 3" xfId="20301"/>
    <cellStyle name="Comma 26 4 2 3 3 2" xfId="20302"/>
    <cellStyle name="Comma 26 4 2 3 3 2 2" xfId="20303"/>
    <cellStyle name="Comma 26 4 2 3 3 2 3" xfId="20304"/>
    <cellStyle name="Comma 26 4 2 3 3 2 4" xfId="20305"/>
    <cellStyle name="Comma 26 4 2 3 3 2 5" xfId="20306"/>
    <cellStyle name="Comma 26 4 2 3 3 2 6" xfId="20307"/>
    <cellStyle name="Comma 26 4 2 3 3 3" xfId="20308"/>
    <cellStyle name="Comma 26 4 2 3 3 4" xfId="20309"/>
    <cellStyle name="Comma 26 4 2 3 3 5" xfId="20310"/>
    <cellStyle name="Comma 26 4 2 3 3 6" xfId="20311"/>
    <cellStyle name="Comma 26 4 2 3 3 7" xfId="20312"/>
    <cellStyle name="Comma 26 4 2 3 4" xfId="20313"/>
    <cellStyle name="Comma 26 4 2 3 4 2" xfId="20314"/>
    <cellStyle name="Comma 26 4 2 3 4 3" xfId="20315"/>
    <cellStyle name="Comma 26 4 2 3 4 4" xfId="20316"/>
    <cellStyle name="Comma 26 4 2 3 4 5" xfId="20317"/>
    <cellStyle name="Comma 26 4 2 3 4 6" xfId="20318"/>
    <cellStyle name="Comma 26 4 2 3 5" xfId="20319"/>
    <cellStyle name="Comma 26 4 2 3 6" xfId="20320"/>
    <cellStyle name="Comma 26 4 2 3 7" xfId="20321"/>
    <cellStyle name="Comma 26 4 2 3 8" xfId="20322"/>
    <cellStyle name="Comma 26 4 2 3 9" xfId="20323"/>
    <cellStyle name="Comma 26 4 2 4" xfId="20324"/>
    <cellStyle name="Comma 26 4 2 4 2" xfId="20325"/>
    <cellStyle name="Comma 26 4 2 4 2 2" xfId="20326"/>
    <cellStyle name="Comma 26 4 2 4 2 2 2" xfId="20327"/>
    <cellStyle name="Comma 26 4 2 4 2 2 2 2" xfId="20328"/>
    <cellStyle name="Comma 26 4 2 4 2 2 2 3" xfId="20329"/>
    <cellStyle name="Comma 26 4 2 4 2 2 2 4" xfId="20330"/>
    <cellStyle name="Comma 26 4 2 4 2 2 2 5" xfId="20331"/>
    <cellStyle name="Comma 26 4 2 4 2 2 2 6" xfId="20332"/>
    <cellStyle name="Comma 26 4 2 4 2 2 3" xfId="20333"/>
    <cellStyle name="Comma 26 4 2 4 2 2 4" xfId="20334"/>
    <cellStyle name="Comma 26 4 2 4 2 2 5" xfId="20335"/>
    <cellStyle name="Comma 26 4 2 4 2 2 6" xfId="20336"/>
    <cellStyle name="Comma 26 4 2 4 2 2 7" xfId="20337"/>
    <cellStyle name="Comma 26 4 2 4 2 3" xfId="20338"/>
    <cellStyle name="Comma 26 4 2 4 2 3 2" xfId="20339"/>
    <cellStyle name="Comma 26 4 2 4 2 3 3" xfId="20340"/>
    <cellStyle name="Comma 26 4 2 4 2 3 4" xfId="20341"/>
    <cellStyle name="Comma 26 4 2 4 2 3 5" xfId="20342"/>
    <cellStyle name="Comma 26 4 2 4 2 3 6" xfId="20343"/>
    <cellStyle name="Comma 26 4 2 4 2 4" xfId="20344"/>
    <cellStyle name="Comma 26 4 2 4 2 5" xfId="20345"/>
    <cellStyle name="Comma 26 4 2 4 2 6" xfId="20346"/>
    <cellStyle name="Comma 26 4 2 4 2 7" xfId="20347"/>
    <cellStyle name="Comma 26 4 2 4 2 8" xfId="20348"/>
    <cellStyle name="Comma 26 4 2 4 3" xfId="20349"/>
    <cellStyle name="Comma 26 4 2 4 3 2" xfId="20350"/>
    <cellStyle name="Comma 26 4 2 4 3 2 2" xfId="20351"/>
    <cellStyle name="Comma 26 4 2 4 3 2 3" xfId="20352"/>
    <cellStyle name="Comma 26 4 2 4 3 2 4" xfId="20353"/>
    <cellStyle name="Comma 26 4 2 4 3 2 5" xfId="20354"/>
    <cellStyle name="Comma 26 4 2 4 3 2 6" xfId="20355"/>
    <cellStyle name="Comma 26 4 2 4 3 3" xfId="20356"/>
    <cellStyle name="Comma 26 4 2 4 3 4" xfId="20357"/>
    <cellStyle name="Comma 26 4 2 4 3 5" xfId="20358"/>
    <cellStyle name="Comma 26 4 2 4 3 6" xfId="20359"/>
    <cellStyle name="Comma 26 4 2 4 3 7" xfId="20360"/>
    <cellStyle name="Comma 26 4 2 4 4" xfId="20361"/>
    <cellStyle name="Comma 26 4 2 4 4 2" xfId="20362"/>
    <cellStyle name="Comma 26 4 2 4 4 3" xfId="20363"/>
    <cellStyle name="Comma 26 4 2 4 4 4" xfId="20364"/>
    <cellStyle name="Comma 26 4 2 4 4 5" xfId="20365"/>
    <cellStyle name="Comma 26 4 2 4 4 6" xfId="20366"/>
    <cellStyle name="Comma 26 4 2 4 5" xfId="20367"/>
    <cellStyle name="Comma 26 4 2 4 6" xfId="20368"/>
    <cellStyle name="Comma 26 4 2 4 7" xfId="20369"/>
    <cellStyle name="Comma 26 4 2 4 8" xfId="20370"/>
    <cellStyle name="Comma 26 4 2 4 9" xfId="20371"/>
    <cellStyle name="Comma 26 4 2 5" xfId="20372"/>
    <cellStyle name="Comma 26 4 2 5 2" xfId="20373"/>
    <cellStyle name="Comma 26 4 2 5 2 2" xfId="20374"/>
    <cellStyle name="Comma 26 4 2 5 2 2 2" xfId="20375"/>
    <cellStyle name="Comma 26 4 2 5 2 2 2 2" xfId="20376"/>
    <cellStyle name="Comma 26 4 2 5 2 2 2 3" xfId="20377"/>
    <cellStyle name="Comma 26 4 2 5 2 2 2 4" xfId="20378"/>
    <cellStyle name="Comma 26 4 2 5 2 2 2 5" xfId="20379"/>
    <cellStyle name="Comma 26 4 2 5 2 2 2 6" xfId="20380"/>
    <cellStyle name="Comma 26 4 2 5 2 2 3" xfId="20381"/>
    <cellStyle name="Comma 26 4 2 5 2 2 4" xfId="20382"/>
    <cellStyle name="Comma 26 4 2 5 2 2 5" xfId="20383"/>
    <cellStyle name="Comma 26 4 2 5 2 2 6" xfId="20384"/>
    <cellStyle name="Comma 26 4 2 5 2 2 7" xfId="20385"/>
    <cellStyle name="Comma 26 4 2 5 2 3" xfId="20386"/>
    <cellStyle name="Comma 26 4 2 5 2 3 2" xfId="20387"/>
    <cellStyle name="Comma 26 4 2 5 2 3 3" xfId="20388"/>
    <cellStyle name="Comma 26 4 2 5 2 3 4" xfId="20389"/>
    <cellStyle name="Comma 26 4 2 5 2 3 5" xfId="20390"/>
    <cellStyle name="Comma 26 4 2 5 2 3 6" xfId="20391"/>
    <cellStyle name="Comma 26 4 2 5 2 4" xfId="20392"/>
    <cellStyle name="Comma 26 4 2 5 2 5" xfId="20393"/>
    <cellStyle name="Comma 26 4 2 5 2 6" xfId="20394"/>
    <cellStyle name="Comma 26 4 2 5 2 7" xfId="20395"/>
    <cellStyle name="Comma 26 4 2 5 2 8" xfId="20396"/>
    <cellStyle name="Comma 26 4 2 5 3" xfId="20397"/>
    <cellStyle name="Comma 26 4 2 5 3 2" xfId="20398"/>
    <cellStyle name="Comma 26 4 2 5 3 2 2" xfId="20399"/>
    <cellStyle name="Comma 26 4 2 5 3 2 3" xfId="20400"/>
    <cellStyle name="Comma 26 4 2 5 3 2 4" xfId="20401"/>
    <cellStyle name="Comma 26 4 2 5 3 2 5" xfId="20402"/>
    <cellStyle name="Comma 26 4 2 5 3 2 6" xfId="20403"/>
    <cellStyle name="Comma 26 4 2 5 3 3" xfId="20404"/>
    <cellStyle name="Comma 26 4 2 5 3 4" xfId="20405"/>
    <cellStyle name="Comma 26 4 2 5 3 5" xfId="20406"/>
    <cellStyle name="Comma 26 4 2 5 3 6" xfId="20407"/>
    <cellStyle name="Comma 26 4 2 5 3 7" xfId="20408"/>
    <cellStyle name="Comma 26 4 2 5 4" xfId="20409"/>
    <cellStyle name="Comma 26 4 2 5 4 2" xfId="20410"/>
    <cellStyle name="Comma 26 4 2 5 4 3" xfId="20411"/>
    <cellStyle name="Comma 26 4 2 5 4 4" xfId="20412"/>
    <cellStyle name="Comma 26 4 2 5 4 5" xfId="20413"/>
    <cellStyle name="Comma 26 4 2 5 4 6" xfId="20414"/>
    <cellStyle name="Comma 26 4 2 5 5" xfId="20415"/>
    <cellStyle name="Comma 26 4 2 5 6" xfId="20416"/>
    <cellStyle name="Comma 26 4 2 5 7" xfId="20417"/>
    <cellStyle name="Comma 26 4 2 5 8" xfId="20418"/>
    <cellStyle name="Comma 26 4 2 5 9" xfId="20419"/>
    <cellStyle name="Comma 26 4 2 6" xfId="20420"/>
    <cellStyle name="Comma 26 4 2 6 2" xfId="20421"/>
    <cellStyle name="Comma 26 4 2 6 2 2" xfId="20422"/>
    <cellStyle name="Comma 26 4 2 6 2 2 2" xfId="20423"/>
    <cellStyle name="Comma 26 4 2 6 2 2 2 2" xfId="20424"/>
    <cellStyle name="Comma 26 4 2 6 2 2 2 3" xfId="20425"/>
    <cellStyle name="Comma 26 4 2 6 2 2 2 4" xfId="20426"/>
    <cellStyle name="Comma 26 4 2 6 2 2 2 5" xfId="20427"/>
    <cellStyle name="Comma 26 4 2 6 2 2 2 6" xfId="20428"/>
    <cellStyle name="Comma 26 4 2 6 2 2 3" xfId="20429"/>
    <cellStyle name="Comma 26 4 2 6 2 2 4" xfId="20430"/>
    <cellStyle name="Comma 26 4 2 6 2 2 5" xfId="20431"/>
    <cellStyle name="Comma 26 4 2 6 2 2 6" xfId="20432"/>
    <cellStyle name="Comma 26 4 2 6 2 2 7" xfId="20433"/>
    <cellStyle name="Comma 26 4 2 6 2 3" xfId="20434"/>
    <cellStyle name="Comma 26 4 2 6 2 3 2" xfId="20435"/>
    <cellStyle name="Comma 26 4 2 6 2 3 3" xfId="20436"/>
    <cellStyle name="Comma 26 4 2 6 2 3 4" xfId="20437"/>
    <cellStyle name="Comma 26 4 2 6 2 3 5" xfId="20438"/>
    <cellStyle name="Comma 26 4 2 6 2 3 6" xfId="20439"/>
    <cellStyle name="Comma 26 4 2 6 2 4" xfId="20440"/>
    <cellStyle name="Comma 26 4 2 6 2 5" xfId="20441"/>
    <cellStyle name="Comma 26 4 2 6 2 6" xfId="20442"/>
    <cellStyle name="Comma 26 4 2 6 2 7" xfId="20443"/>
    <cellStyle name="Comma 26 4 2 6 2 8" xfId="20444"/>
    <cellStyle name="Comma 26 4 2 6 3" xfId="20445"/>
    <cellStyle name="Comma 26 4 2 6 3 2" xfId="20446"/>
    <cellStyle name="Comma 26 4 2 6 3 2 2" xfId="20447"/>
    <cellStyle name="Comma 26 4 2 6 3 2 3" xfId="20448"/>
    <cellStyle name="Comma 26 4 2 6 3 2 4" xfId="20449"/>
    <cellStyle name="Comma 26 4 2 6 3 2 5" xfId="20450"/>
    <cellStyle name="Comma 26 4 2 6 3 2 6" xfId="20451"/>
    <cellStyle name="Comma 26 4 2 6 3 3" xfId="20452"/>
    <cellStyle name="Comma 26 4 2 6 3 4" xfId="20453"/>
    <cellStyle name="Comma 26 4 2 6 3 5" xfId="20454"/>
    <cellStyle name="Comma 26 4 2 6 3 6" xfId="20455"/>
    <cellStyle name="Comma 26 4 2 6 3 7" xfId="20456"/>
    <cellStyle name="Comma 26 4 2 6 4" xfId="20457"/>
    <cellStyle name="Comma 26 4 2 6 4 2" xfId="20458"/>
    <cellStyle name="Comma 26 4 2 6 4 3" xfId="20459"/>
    <cellStyle name="Comma 26 4 2 6 4 4" xfId="20460"/>
    <cellStyle name="Comma 26 4 2 6 4 5" xfId="20461"/>
    <cellStyle name="Comma 26 4 2 6 4 6" xfId="20462"/>
    <cellStyle name="Comma 26 4 2 6 5" xfId="20463"/>
    <cellStyle name="Comma 26 4 2 6 6" xfId="20464"/>
    <cellStyle name="Comma 26 4 2 6 7" xfId="20465"/>
    <cellStyle name="Comma 26 4 2 6 8" xfId="20466"/>
    <cellStyle name="Comma 26 4 2 6 9" xfId="20467"/>
    <cellStyle name="Comma 26 4 2 7" xfId="20468"/>
    <cellStyle name="Comma 26 4 2 7 2" xfId="20469"/>
    <cellStyle name="Comma 26 4 2 7 2 2" xfId="20470"/>
    <cellStyle name="Comma 26 4 2 7 2 2 2" xfId="20471"/>
    <cellStyle name="Comma 26 4 2 7 2 2 3" xfId="20472"/>
    <cellStyle name="Comma 26 4 2 7 2 2 4" xfId="20473"/>
    <cellStyle name="Comma 26 4 2 7 2 2 5" xfId="20474"/>
    <cellStyle name="Comma 26 4 2 7 2 2 6" xfId="20475"/>
    <cellStyle name="Comma 26 4 2 7 2 3" xfId="20476"/>
    <cellStyle name="Comma 26 4 2 7 2 4" xfId="20477"/>
    <cellStyle name="Comma 26 4 2 7 2 5" xfId="20478"/>
    <cellStyle name="Comma 26 4 2 7 2 6" xfId="20479"/>
    <cellStyle name="Comma 26 4 2 7 2 7" xfId="20480"/>
    <cellStyle name="Comma 26 4 2 7 3" xfId="20481"/>
    <cellStyle name="Comma 26 4 2 7 3 2" xfId="20482"/>
    <cellStyle name="Comma 26 4 2 7 3 3" xfId="20483"/>
    <cellStyle name="Comma 26 4 2 7 3 4" xfId="20484"/>
    <cellStyle name="Comma 26 4 2 7 3 5" xfId="20485"/>
    <cellStyle name="Comma 26 4 2 7 3 6" xfId="20486"/>
    <cellStyle name="Comma 26 4 2 7 4" xfId="20487"/>
    <cellStyle name="Comma 26 4 2 7 5" xfId="20488"/>
    <cellStyle name="Comma 26 4 2 7 6" xfId="20489"/>
    <cellStyle name="Comma 26 4 2 7 7" xfId="20490"/>
    <cellStyle name="Comma 26 4 2 7 8" xfId="20491"/>
    <cellStyle name="Comma 26 4 2 8" xfId="20492"/>
    <cellStyle name="Comma 26 4 2 8 2" xfId="20493"/>
    <cellStyle name="Comma 26 4 2 8 2 2" xfId="20494"/>
    <cellStyle name="Comma 26 4 2 8 2 3" xfId="20495"/>
    <cellStyle name="Comma 26 4 2 8 2 4" xfId="20496"/>
    <cellStyle name="Comma 26 4 2 8 2 5" xfId="20497"/>
    <cellStyle name="Comma 26 4 2 8 2 6" xfId="20498"/>
    <cellStyle name="Comma 26 4 2 8 3" xfId="20499"/>
    <cellStyle name="Comma 26 4 2 8 4" xfId="20500"/>
    <cellStyle name="Comma 26 4 2 8 5" xfId="20501"/>
    <cellStyle name="Comma 26 4 2 8 6" xfId="20502"/>
    <cellStyle name="Comma 26 4 2 8 7" xfId="20503"/>
    <cellStyle name="Comma 26 4 2 9" xfId="20504"/>
    <cellStyle name="Comma 26 4 2 9 2" xfId="20505"/>
    <cellStyle name="Comma 26 4 2 9 3" xfId="20506"/>
    <cellStyle name="Comma 26 4 2 9 4" xfId="20507"/>
    <cellStyle name="Comma 26 4 2 9 5" xfId="20508"/>
    <cellStyle name="Comma 26 4 2 9 6" xfId="20509"/>
    <cellStyle name="Comma 26 4 3" xfId="20510"/>
    <cellStyle name="Comma 26 4 3 2" xfId="20511"/>
    <cellStyle name="Comma 26 4 3 2 2" xfId="20512"/>
    <cellStyle name="Comma 26 4 3 2 2 2" xfId="20513"/>
    <cellStyle name="Comma 26 4 3 2 2 2 2" xfId="20514"/>
    <cellStyle name="Comma 26 4 3 2 2 2 3" xfId="20515"/>
    <cellStyle name="Comma 26 4 3 2 2 2 4" xfId="20516"/>
    <cellStyle name="Comma 26 4 3 2 2 2 5" xfId="20517"/>
    <cellStyle name="Comma 26 4 3 2 2 2 6" xfId="20518"/>
    <cellStyle name="Comma 26 4 3 2 2 3" xfId="20519"/>
    <cellStyle name="Comma 26 4 3 2 2 4" xfId="20520"/>
    <cellStyle name="Comma 26 4 3 2 2 5" xfId="20521"/>
    <cellStyle name="Comma 26 4 3 2 2 6" xfId="20522"/>
    <cellStyle name="Comma 26 4 3 2 2 7" xfId="20523"/>
    <cellStyle name="Comma 26 4 3 2 3" xfId="20524"/>
    <cellStyle name="Comma 26 4 3 2 3 2" xfId="20525"/>
    <cellStyle name="Comma 26 4 3 2 3 3" xfId="20526"/>
    <cellStyle name="Comma 26 4 3 2 3 4" xfId="20527"/>
    <cellStyle name="Comma 26 4 3 2 3 5" xfId="20528"/>
    <cellStyle name="Comma 26 4 3 2 3 6" xfId="20529"/>
    <cellStyle name="Comma 26 4 3 2 4" xfId="20530"/>
    <cellStyle name="Comma 26 4 3 2 5" xfId="20531"/>
    <cellStyle name="Comma 26 4 3 2 6" xfId="20532"/>
    <cellStyle name="Comma 26 4 3 2 7" xfId="20533"/>
    <cellStyle name="Comma 26 4 3 2 8" xfId="20534"/>
    <cellStyle name="Comma 26 4 3 3" xfId="20535"/>
    <cellStyle name="Comma 26 4 3 3 2" xfId="20536"/>
    <cellStyle name="Comma 26 4 3 3 2 2" xfId="20537"/>
    <cellStyle name="Comma 26 4 3 3 2 3" xfId="20538"/>
    <cellStyle name="Comma 26 4 3 3 2 4" xfId="20539"/>
    <cellStyle name="Comma 26 4 3 3 2 5" xfId="20540"/>
    <cellStyle name="Comma 26 4 3 3 2 6" xfId="20541"/>
    <cellStyle name="Comma 26 4 3 3 3" xfId="20542"/>
    <cellStyle name="Comma 26 4 3 3 4" xfId="20543"/>
    <cellStyle name="Comma 26 4 3 3 5" xfId="20544"/>
    <cellStyle name="Comma 26 4 3 3 6" xfId="20545"/>
    <cellStyle name="Comma 26 4 3 3 7" xfId="20546"/>
    <cellStyle name="Comma 26 4 3 4" xfId="20547"/>
    <cellStyle name="Comma 26 4 3 4 2" xfId="20548"/>
    <cellStyle name="Comma 26 4 3 4 3" xfId="20549"/>
    <cellStyle name="Comma 26 4 3 4 4" xfId="20550"/>
    <cellStyle name="Comma 26 4 3 4 5" xfId="20551"/>
    <cellStyle name="Comma 26 4 3 4 6" xfId="20552"/>
    <cellStyle name="Comma 26 4 3 5" xfId="20553"/>
    <cellStyle name="Comma 26 4 3 6" xfId="20554"/>
    <cellStyle name="Comma 26 4 3 7" xfId="20555"/>
    <cellStyle name="Comma 26 4 3 8" xfId="20556"/>
    <cellStyle name="Comma 26 4 3 9" xfId="20557"/>
    <cellStyle name="Comma 26 4 4" xfId="20558"/>
    <cellStyle name="Comma 26 4 4 2" xfId="20559"/>
    <cellStyle name="Comma 26 4 4 2 2" xfId="20560"/>
    <cellStyle name="Comma 26 4 4 2 2 2" xfId="20561"/>
    <cellStyle name="Comma 26 4 4 2 2 2 2" xfId="20562"/>
    <cellStyle name="Comma 26 4 4 2 2 2 3" xfId="20563"/>
    <cellStyle name="Comma 26 4 4 2 2 2 4" xfId="20564"/>
    <cellStyle name="Comma 26 4 4 2 2 2 5" xfId="20565"/>
    <cellStyle name="Comma 26 4 4 2 2 2 6" xfId="20566"/>
    <cellStyle name="Comma 26 4 4 2 2 3" xfId="20567"/>
    <cellStyle name="Comma 26 4 4 2 2 4" xfId="20568"/>
    <cellStyle name="Comma 26 4 4 2 2 5" xfId="20569"/>
    <cellStyle name="Comma 26 4 4 2 2 6" xfId="20570"/>
    <cellStyle name="Comma 26 4 4 2 2 7" xfId="20571"/>
    <cellStyle name="Comma 26 4 4 2 3" xfId="20572"/>
    <cellStyle name="Comma 26 4 4 2 3 2" xfId="20573"/>
    <cellStyle name="Comma 26 4 4 2 3 3" xfId="20574"/>
    <cellStyle name="Comma 26 4 4 2 3 4" xfId="20575"/>
    <cellStyle name="Comma 26 4 4 2 3 5" xfId="20576"/>
    <cellStyle name="Comma 26 4 4 2 3 6" xfId="20577"/>
    <cellStyle name="Comma 26 4 4 2 4" xfId="20578"/>
    <cellStyle name="Comma 26 4 4 2 5" xfId="20579"/>
    <cellStyle name="Comma 26 4 4 2 6" xfId="20580"/>
    <cellStyle name="Comma 26 4 4 2 7" xfId="20581"/>
    <cellStyle name="Comma 26 4 4 2 8" xfId="20582"/>
    <cellStyle name="Comma 26 4 4 3" xfId="20583"/>
    <cellStyle name="Comma 26 4 4 3 2" xfId="20584"/>
    <cellStyle name="Comma 26 4 4 3 2 2" xfId="20585"/>
    <cellStyle name="Comma 26 4 4 3 2 3" xfId="20586"/>
    <cellStyle name="Comma 26 4 4 3 2 4" xfId="20587"/>
    <cellStyle name="Comma 26 4 4 3 2 5" xfId="20588"/>
    <cellStyle name="Comma 26 4 4 3 2 6" xfId="20589"/>
    <cellStyle name="Comma 26 4 4 3 3" xfId="20590"/>
    <cellStyle name="Comma 26 4 4 3 4" xfId="20591"/>
    <cellStyle name="Comma 26 4 4 3 5" xfId="20592"/>
    <cellStyle name="Comma 26 4 4 3 6" xfId="20593"/>
    <cellStyle name="Comma 26 4 4 3 7" xfId="20594"/>
    <cellStyle name="Comma 26 4 4 4" xfId="20595"/>
    <cellStyle name="Comma 26 4 4 4 2" xfId="20596"/>
    <cellStyle name="Comma 26 4 4 4 3" xfId="20597"/>
    <cellStyle name="Comma 26 4 4 4 4" xfId="20598"/>
    <cellStyle name="Comma 26 4 4 4 5" xfId="20599"/>
    <cellStyle name="Comma 26 4 4 4 6" xfId="20600"/>
    <cellStyle name="Comma 26 4 4 5" xfId="20601"/>
    <cellStyle name="Comma 26 4 4 6" xfId="20602"/>
    <cellStyle name="Comma 26 4 4 7" xfId="20603"/>
    <cellStyle name="Comma 26 4 4 8" xfId="20604"/>
    <cellStyle name="Comma 26 4 4 9" xfId="20605"/>
    <cellStyle name="Comma 26 4 5" xfId="20606"/>
    <cellStyle name="Comma 26 4 5 2" xfId="20607"/>
    <cellStyle name="Comma 26 4 5 2 2" xfId="20608"/>
    <cellStyle name="Comma 26 4 5 2 2 2" xfId="20609"/>
    <cellStyle name="Comma 26 4 5 2 2 2 2" xfId="20610"/>
    <cellStyle name="Comma 26 4 5 2 2 2 3" xfId="20611"/>
    <cellStyle name="Comma 26 4 5 2 2 2 4" xfId="20612"/>
    <cellStyle name="Comma 26 4 5 2 2 2 5" xfId="20613"/>
    <cellStyle name="Comma 26 4 5 2 2 2 6" xfId="20614"/>
    <cellStyle name="Comma 26 4 5 2 2 3" xfId="20615"/>
    <cellStyle name="Comma 26 4 5 2 2 4" xfId="20616"/>
    <cellStyle name="Comma 26 4 5 2 2 5" xfId="20617"/>
    <cellStyle name="Comma 26 4 5 2 2 6" xfId="20618"/>
    <cellStyle name="Comma 26 4 5 2 2 7" xfId="20619"/>
    <cellStyle name="Comma 26 4 5 2 3" xfId="20620"/>
    <cellStyle name="Comma 26 4 5 2 3 2" xfId="20621"/>
    <cellStyle name="Comma 26 4 5 2 3 3" xfId="20622"/>
    <cellStyle name="Comma 26 4 5 2 3 4" xfId="20623"/>
    <cellStyle name="Comma 26 4 5 2 3 5" xfId="20624"/>
    <cellStyle name="Comma 26 4 5 2 3 6" xfId="20625"/>
    <cellStyle name="Comma 26 4 5 2 4" xfId="20626"/>
    <cellStyle name="Comma 26 4 5 2 5" xfId="20627"/>
    <cellStyle name="Comma 26 4 5 2 6" xfId="20628"/>
    <cellStyle name="Comma 26 4 5 2 7" xfId="20629"/>
    <cellStyle name="Comma 26 4 5 2 8" xfId="20630"/>
    <cellStyle name="Comma 26 4 5 3" xfId="20631"/>
    <cellStyle name="Comma 26 4 5 3 2" xfId="20632"/>
    <cellStyle name="Comma 26 4 5 3 2 2" xfId="20633"/>
    <cellStyle name="Comma 26 4 5 3 2 3" xfId="20634"/>
    <cellStyle name="Comma 26 4 5 3 2 4" xfId="20635"/>
    <cellStyle name="Comma 26 4 5 3 2 5" xfId="20636"/>
    <cellStyle name="Comma 26 4 5 3 2 6" xfId="20637"/>
    <cellStyle name="Comma 26 4 5 3 3" xfId="20638"/>
    <cellStyle name="Comma 26 4 5 3 4" xfId="20639"/>
    <cellStyle name="Comma 26 4 5 3 5" xfId="20640"/>
    <cellStyle name="Comma 26 4 5 3 6" xfId="20641"/>
    <cellStyle name="Comma 26 4 5 3 7" xfId="20642"/>
    <cellStyle name="Comma 26 4 5 4" xfId="20643"/>
    <cellStyle name="Comma 26 4 5 4 2" xfId="20644"/>
    <cellStyle name="Comma 26 4 5 4 3" xfId="20645"/>
    <cellStyle name="Comma 26 4 5 4 4" xfId="20646"/>
    <cellStyle name="Comma 26 4 5 4 5" xfId="20647"/>
    <cellStyle name="Comma 26 4 5 4 6" xfId="20648"/>
    <cellStyle name="Comma 26 4 5 5" xfId="20649"/>
    <cellStyle name="Comma 26 4 5 6" xfId="20650"/>
    <cellStyle name="Comma 26 4 5 7" xfId="20651"/>
    <cellStyle name="Comma 26 4 5 8" xfId="20652"/>
    <cellStyle name="Comma 26 4 5 9" xfId="20653"/>
    <cellStyle name="Comma 26 4 6" xfId="20654"/>
    <cellStyle name="Comma 26 4 6 2" xfId="20655"/>
    <cellStyle name="Comma 26 4 6 2 2" xfId="20656"/>
    <cellStyle name="Comma 26 4 6 2 2 2" xfId="20657"/>
    <cellStyle name="Comma 26 4 6 2 2 2 2" xfId="20658"/>
    <cellStyle name="Comma 26 4 6 2 2 2 3" xfId="20659"/>
    <cellStyle name="Comma 26 4 6 2 2 2 4" xfId="20660"/>
    <cellStyle name="Comma 26 4 6 2 2 2 5" xfId="20661"/>
    <cellStyle name="Comma 26 4 6 2 2 2 6" xfId="20662"/>
    <cellStyle name="Comma 26 4 6 2 2 3" xfId="20663"/>
    <cellStyle name="Comma 26 4 6 2 2 4" xfId="20664"/>
    <cellStyle name="Comma 26 4 6 2 2 5" xfId="20665"/>
    <cellStyle name="Comma 26 4 6 2 2 6" xfId="20666"/>
    <cellStyle name="Comma 26 4 6 2 2 7" xfId="20667"/>
    <cellStyle name="Comma 26 4 6 2 3" xfId="20668"/>
    <cellStyle name="Comma 26 4 6 2 3 2" xfId="20669"/>
    <cellStyle name="Comma 26 4 6 2 3 3" xfId="20670"/>
    <cellStyle name="Comma 26 4 6 2 3 4" xfId="20671"/>
    <cellStyle name="Comma 26 4 6 2 3 5" xfId="20672"/>
    <cellStyle name="Comma 26 4 6 2 3 6" xfId="20673"/>
    <cellStyle name="Comma 26 4 6 2 4" xfId="20674"/>
    <cellStyle name="Comma 26 4 6 2 5" xfId="20675"/>
    <cellStyle name="Comma 26 4 6 2 6" xfId="20676"/>
    <cellStyle name="Comma 26 4 6 2 7" xfId="20677"/>
    <cellStyle name="Comma 26 4 6 2 8" xfId="20678"/>
    <cellStyle name="Comma 26 4 6 3" xfId="20679"/>
    <cellStyle name="Comma 26 4 6 3 2" xfId="20680"/>
    <cellStyle name="Comma 26 4 6 3 2 2" xfId="20681"/>
    <cellStyle name="Comma 26 4 6 3 2 3" xfId="20682"/>
    <cellStyle name="Comma 26 4 6 3 2 4" xfId="20683"/>
    <cellStyle name="Comma 26 4 6 3 2 5" xfId="20684"/>
    <cellStyle name="Comma 26 4 6 3 2 6" xfId="20685"/>
    <cellStyle name="Comma 26 4 6 3 3" xfId="20686"/>
    <cellStyle name="Comma 26 4 6 3 4" xfId="20687"/>
    <cellStyle name="Comma 26 4 6 3 5" xfId="20688"/>
    <cellStyle name="Comma 26 4 6 3 6" xfId="20689"/>
    <cellStyle name="Comma 26 4 6 3 7" xfId="20690"/>
    <cellStyle name="Comma 26 4 6 4" xfId="20691"/>
    <cellStyle name="Comma 26 4 6 4 2" xfId="20692"/>
    <cellStyle name="Comma 26 4 6 4 3" xfId="20693"/>
    <cellStyle name="Comma 26 4 6 4 4" xfId="20694"/>
    <cellStyle name="Comma 26 4 6 4 5" xfId="20695"/>
    <cellStyle name="Comma 26 4 6 4 6" xfId="20696"/>
    <cellStyle name="Comma 26 4 6 5" xfId="20697"/>
    <cellStyle name="Comma 26 4 6 6" xfId="20698"/>
    <cellStyle name="Comma 26 4 6 7" xfId="20699"/>
    <cellStyle name="Comma 26 4 6 8" xfId="20700"/>
    <cellStyle name="Comma 26 4 6 9" xfId="20701"/>
    <cellStyle name="Comma 26 4 7" xfId="20702"/>
    <cellStyle name="Comma 26 4 7 2" xfId="20703"/>
    <cellStyle name="Comma 26 4 7 2 2" xfId="20704"/>
    <cellStyle name="Comma 26 4 7 2 2 2" xfId="20705"/>
    <cellStyle name="Comma 26 4 7 2 2 2 2" xfId="20706"/>
    <cellStyle name="Comma 26 4 7 2 2 2 3" xfId="20707"/>
    <cellStyle name="Comma 26 4 7 2 2 2 4" xfId="20708"/>
    <cellStyle name="Comma 26 4 7 2 2 2 5" xfId="20709"/>
    <cellStyle name="Comma 26 4 7 2 2 2 6" xfId="20710"/>
    <cellStyle name="Comma 26 4 7 2 2 3" xfId="20711"/>
    <cellStyle name="Comma 26 4 7 2 2 4" xfId="20712"/>
    <cellStyle name="Comma 26 4 7 2 2 5" xfId="20713"/>
    <cellStyle name="Comma 26 4 7 2 2 6" xfId="20714"/>
    <cellStyle name="Comma 26 4 7 2 2 7" xfId="20715"/>
    <cellStyle name="Comma 26 4 7 2 3" xfId="20716"/>
    <cellStyle name="Comma 26 4 7 2 3 2" xfId="20717"/>
    <cellStyle name="Comma 26 4 7 2 3 3" xfId="20718"/>
    <cellStyle name="Comma 26 4 7 2 3 4" xfId="20719"/>
    <cellStyle name="Comma 26 4 7 2 3 5" xfId="20720"/>
    <cellStyle name="Comma 26 4 7 2 3 6" xfId="20721"/>
    <cellStyle name="Comma 26 4 7 2 4" xfId="20722"/>
    <cellStyle name="Comma 26 4 7 2 5" xfId="20723"/>
    <cellStyle name="Comma 26 4 7 2 6" xfId="20724"/>
    <cellStyle name="Comma 26 4 7 2 7" xfId="20725"/>
    <cellStyle name="Comma 26 4 7 2 8" xfId="20726"/>
    <cellStyle name="Comma 26 4 7 3" xfId="20727"/>
    <cellStyle name="Comma 26 4 7 3 2" xfId="20728"/>
    <cellStyle name="Comma 26 4 7 3 2 2" xfId="20729"/>
    <cellStyle name="Comma 26 4 7 3 2 3" xfId="20730"/>
    <cellStyle name="Comma 26 4 7 3 2 4" xfId="20731"/>
    <cellStyle name="Comma 26 4 7 3 2 5" xfId="20732"/>
    <cellStyle name="Comma 26 4 7 3 2 6" xfId="20733"/>
    <cellStyle name="Comma 26 4 7 3 3" xfId="20734"/>
    <cellStyle name="Comma 26 4 7 3 4" xfId="20735"/>
    <cellStyle name="Comma 26 4 7 3 5" xfId="20736"/>
    <cellStyle name="Comma 26 4 7 3 6" xfId="20737"/>
    <cellStyle name="Comma 26 4 7 3 7" xfId="20738"/>
    <cellStyle name="Comma 26 4 7 4" xfId="20739"/>
    <cellStyle name="Comma 26 4 7 4 2" xfId="20740"/>
    <cellStyle name="Comma 26 4 7 4 3" xfId="20741"/>
    <cellStyle name="Comma 26 4 7 4 4" xfId="20742"/>
    <cellStyle name="Comma 26 4 7 4 5" xfId="20743"/>
    <cellStyle name="Comma 26 4 7 4 6" xfId="20744"/>
    <cellStyle name="Comma 26 4 7 5" xfId="20745"/>
    <cellStyle name="Comma 26 4 7 6" xfId="20746"/>
    <cellStyle name="Comma 26 4 7 7" xfId="20747"/>
    <cellStyle name="Comma 26 4 7 8" xfId="20748"/>
    <cellStyle name="Comma 26 4 7 9" xfId="20749"/>
    <cellStyle name="Comma 26 4 8" xfId="20750"/>
    <cellStyle name="Comma 26 4 8 2" xfId="20751"/>
    <cellStyle name="Comma 26 4 8 2 2" xfId="20752"/>
    <cellStyle name="Comma 26 4 8 2 2 2" xfId="20753"/>
    <cellStyle name="Comma 26 4 8 2 2 3" xfId="20754"/>
    <cellStyle name="Comma 26 4 8 2 2 4" xfId="20755"/>
    <cellStyle name="Comma 26 4 8 2 2 5" xfId="20756"/>
    <cellStyle name="Comma 26 4 8 2 2 6" xfId="20757"/>
    <cellStyle name="Comma 26 4 8 2 3" xfId="20758"/>
    <cellStyle name="Comma 26 4 8 2 4" xfId="20759"/>
    <cellStyle name="Comma 26 4 8 2 5" xfId="20760"/>
    <cellStyle name="Comma 26 4 8 2 6" xfId="20761"/>
    <cellStyle name="Comma 26 4 8 2 7" xfId="20762"/>
    <cellStyle name="Comma 26 4 8 3" xfId="20763"/>
    <cellStyle name="Comma 26 4 8 3 2" xfId="20764"/>
    <cellStyle name="Comma 26 4 8 3 3" xfId="20765"/>
    <cellStyle name="Comma 26 4 8 3 4" xfId="20766"/>
    <cellStyle name="Comma 26 4 8 3 5" xfId="20767"/>
    <cellStyle name="Comma 26 4 8 3 6" xfId="20768"/>
    <cellStyle name="Comma 26 4 8 4" xfId="20769"/>
    <cellStyle name="Comma 26 4 8 5" xfId="20770"/>
    <cellStyle name="Comma 26 4 8 6" xfId="20771"/>
    <cellStyle name="Comma 26 4 8 7" xfId="20772"/>
    <cellStyle name="Comma 26 4 8 8" xfId="20773"/>
    <cellStyle name="Comma 26 4 9" xfId="20774"/>
    <cellStyle name="Comma 26 4 9 2" xfId="20775"/>
    <cellStyle name="Comma 26 4 9 2 2" xfId="20776"/>
    <cellStyle name="Comma 26 4 9 2 3" xfId="20777"/>
    <cellStyle name="Comma 26 4 9 2 4" xfId="20778"/>
    <cellStyle name="Comma 26 4 9 2 5" xfId="20779"/>
    <cellStyle name="Comma 26 4 9 2 6" xfId="20780"/>
    <cellStyle name="Comma 26 4 9 3" xfId="20781"/>
    <cellStyle name="Comma 26 4 9 4" xfId="20782"/>
    <cellStyle name="Comma 26 4 9 5" xfId="20783"/>
    <cellStyle name="Comma 26 4 9 6" xfId="20784"/>
    <cellStyle name="Comma 26 4 9 7" xfId="20785"/>
    <cellStyle name="Comma 26 5" xfId="20786"/>
    <cellStyle name="Comma 26 5 10" xfId="20787"/>
    <cellStyle name="Comma 26 5 11" xfId="20788"/>
    <cellStyle name="Comma 26 5 12" xfId="20789"/>
    <cellStyle name="Comma 26 5 13" xfId="20790"/>
    <cellStyle name="Comma 26 5 14" xfId="20791"/>
    <cellStyle name="Comma 26 5 2" xfId="20792"/>
    <cellStyle name="Comma 26 5 2 2" xfId="20793"/>
    <cellStyle name="Comma 26 5 2 2 2" xfId="20794"/>
    <cellStyle name="Comma 26 5 2 2 2 2" xfId="20795"/>
    <cellStyle name="Comma 26 5 2 2 2 2 2" xfId="20796"/>
    <cellStyle name="Comma 26 5 2 2 2 2 3" xfId="20797"/>
    <cellStyle name="Comma 26 5 2 2 2 2 4" xfId="20798"/>
    <cellStyle name="Comma 26 5 2 2 2 2 5" xfId="20799"/>
    <cellStyle name="Comma 26 5 2 2 2 2 6" xfId="20800"/>
    <cellStyle name="Comma 26 5 2 2 2 3" xfId="20801"/>
    <cellStyle name="Comma 26 5 2 2 2 4" xfId="20802"/>
    <cellStyle name="Comma 26 5 2 2 2 5" xfId="20803"/>
    <cellStyle name="Comma 26 5 2 2 2 6" xfId="20804"/>
    <cellStyle name="Comma 26 5 2 2 2 7" xfId="20805"/>
    <cellStyle name="Comma 26 5 2 2 3" xfId="20806"/>
    <cellStyle name="Comma 26 5 2 2 3 2" xfId="20807"/>
    <cellStyle name="Comma 26 5 2 2 3 3" xfId="20808"/>
    <cellStyle name="Comma 26 5 2 2 3 4" xfId="20809"/>
    <cellStyle name="Comma 26 5 2 2 3 5" xfId="20810"/>
    <cellStyle name="Comma 26 5 2 2 3 6" xfId="20811"/>
    <cellStyle name="Comma 26 5 2 2 4" xfId="20812"/>
    <cellStyle name="Comma 26 5 2 2 5" xfId="20813"/>
    <cellStyle name="Comma 26 5 2 2 6" xfId="20814"/>
    <cellStyle name="Comma 26 5 2 2 7" xfId="20815"/>
    <cellStyle name="Comma 26 5 2 2 8" xfId="20816"/>
    <cellStyle name="Comma 26 5 2 3" xfId="20817"/>
    <cellStyle name="Comma 26 5 2 3 2" xfId="20818"/>
    <cellStyle name="Comma 26 5 2 3 2 2" xfId="20819"/>
    <cellStyle name="Comma 26 5 2 3 2 3" xfId="20820"/>
    <cellStyle name="Comma 26 5 2 3 2 4" xfId="20821"/>
    <cellStyle name="Comma 26 5 2 3 2 5" xfId="20822"/>
    <cellStyle name="Comma 26 5 2 3 2 6" xfId="20823"/>
    <cellStyle name="Comma 26 5 2 3 3" xfId="20824"/>
    <cellStyle name="Comma 26 5 2 3 4" xfId="20825"/>
    <cellStyle name="Comma 26 5 2 3 5" xfId="20826"/>
    <cellStyle name="Comma 26 5 2 3 6" xfId="20827"/>
    <cellStyle name="Comma 26 5 2 3 7" xfId="20828"/>
    <cellStyle name="Comma 26 5 2 4" xfId="20829"/>
    <cellStyle name="Comma 26 5 2 4 2" xfId="20830"/>
    <cellStyle name="Comma 26 5 2 4 3" xfId="20831"/>
    <cellStyle name="Comma 26 5 2 4 4" xfId="20832"/>
    <cellStyle name="Comma 26 5 2 4 5" xfId="20833"/>
    <cellStyle name="Comma 26 5 2 4 6" xfId="20834"/>
    <cellStyle name="Comma 26 5 2 5" xfId="20835"/>
    <cellStyle name="Comma 26 5 2 6" xfId="20836"/>
    <cellStyle name="Comma 26 5 2 7" xfId="20837"/>
    <cellStyle name="Comma 26 5 2 8" xfId="20838"/>
    <cellStyle name="Comma 26 5 2 9" xfId="20839"/>
    <cellStyle name="Comma 26 5 3" xfId="20840"/>
    <cellStyle name="Comma 26 5 3 2" xfId="20841"/>
    <cellStyle name="Comma 26 5 3 2 2" xfId="20842"/>
    <cellStyle name="Comma 26 5 3 2 2 2" xfId="20843"/>
    <cellStyle name="Comma 26 5 3 2 2 2 2" xfId="20844"/>
    <cellStyle name="Comma 26 5 3 2 2 2 3" xfId="20845"/>
    <cellStyle name="Comma 26 5 3 2 2 2 4" xfId="20846"/>
    <cellStyle name="Comma 26 5 3 2 2 2 5" xfId="20847"/>
    <cellStyle name="Comma 26 5 3 2 2 2 6" xfId="20848"/>
    <cellStyle name="Comma 26 5 3 2 2 3" xfId="20849"/>
    <cellStyle name="Comma 26 5 3 2 2 4" xfId="20850"/>
    <cellStyle name="Comma 26 5 3 2 2 5" xfId="20851"/>
    <cellStyle name="Comma 26 5 3 2 2 6" xfId="20852"/>
    <cellStyle name="Comma 26 5 3 2 2 7" xfId="20853"/>
    <cellStyle name="Comma 26 5 3 2 3" xfId="20854"/>
    <cellStyle name="Comma 26 5 3 2 3 2" xfId="20855"/>
    <cellStyle name="Comma 26 5 3 2 3 3" xfId="20856"/>
    <cellStyle name="Comma 26 5 3 2 3 4" xfId="20857"/>
    <cellStyle name="Comma 26 5 3 2 3 5" xfId="20858"/>
    <cellStyle name="Comma 26 5 3 2 3 6" xfId="20859"/>
    <cellStyle name="Comma 26 5 3 2 4" xfId="20860"/>
    <cellStyle name="Comma 26 5 3 2 5" xfId="20861"/>
    <cellStyle name="Comma 26 5 3 2 6" xfId="20862"/>
    <cellStyle name="Comma 26 5 3 2 7" xfId="20863"/>
    <cellStyle name="Comma 26 5 3 2 8" xfId="20864"/>
    <cellStyle name="Comma 26 5 3 3" xfId="20865"/>
    <cellStyle name="Comma 26 5 3 3 2" xfId="20866"/>
    <cellStyle name="Comma 26 5 3 3 2 2" xfId="20867"/>
    <cellStyle name="Comma 26 5 3 3 2 3" xfId="20868"/>
    <cellStyle name="Comma 26 5 3 3 2 4" xfId="20869"/>
    <cellStyle name="Comma 26 5 3 3 2 5" xfId="20870"/>
    <cellStyle name="Comma 26 5 3 3 2 6" xfId="20871"/>
    <cellStyle name="Comma 26 5 3 3 3" xfId="20872"/>
    <cellStyle name="Comma 26 5 3 3 4" xfId="20873"/>
    <cellStyle name="Comma 26 5 3 3 5" xfId="20874"/>
    <cellStyle name="Comma 26 5 3 3 6" xfId="20875"/>
    <cellStyle name="Comma 26 5 3 3 7" xfId="20876"/>
    <cellStyle name="Comma 26 5 3 4" xfId="20877"/>
    <cellStyle name="Comma 26 5 3 4 2" xfId="20878"/>
    <cellStyle name="Comma 26 5 3 4 3" xfId="20879"/>
    <cellStyle name="Comma 26 5 3 4 4" xfId="20880"/>
    <cellStyle name="Comma 26 5 3 4 5" xfId="20881"/>
    <cellStyle name="Comma 26 5 3 4 6" xfId="20882"/>
    <cellStyle name="Comma 26 5 3 5" xfId="20883"/>
    <cellStyle name="Comma 26 5 3 6" xfId="20884"/>
    <cellStyle name="Comma 26 5 3 7" xfId="20885"/>
    <cellStyle name="Comma 26 5 3 8" xfId="20886"/>
    <cellStyle name="Comma 26 5 3 9" xfId="20887"/>
    <cellStyle name="Comma 26 5 4" xfId="20888"/>
    <cellStyle name="Comma 26 5 4 2" xfId="20889"/>
    <cellStyle name="Comma 26 5 4 2 2" xfId="20890"/>
    <cellStyle name="Comma 26 5 4 2 2 2" xfId="20891"/>
    <cellStyle name="Comma 26 5 4 2 2 2 2" xfId="20892"/>
    <cellStyle name="Comma 26 5 4 2 2 2 3" xfId="20893"/>
    <cellStyle name="Comma 26 5 4 2 2 2 4" xfId="20894"/>
    <cellStyle name="Comma 26 5 4 2 2 2 5" xfId="20895"/>
    <cellStyle name="Comma 26 5 4 2 2 2 6" xfId="20896"/>
    <cellStyle name="Comma 26 5 4 2 2 3" xfId="20897"/>
    <cellStyle name="Comma 26 5 4 2 2 4" xfId="20898"/>
    <cellStyle name="Comma 26 5 4 2 2 5" xfId="20899"/>
    <cellStyle name="Comma 26 5 4 2 2 6" xfId="20900"/>
    <cellStyle name="Comma 26 5 4 2 2 7" xfId="20901"/>
    <cellStyle name="Comma 26 5 4 2 3" xfId="20902"/>
    <cellStyle name="Comma 26 5 4 2 3 2" xfId="20903"/>
    <cellStyle name="Comma 26 5 4 2 3 3" xfId="20904"/>
    <cellStyle name="Comma 26 5 4 2 3 4" xfId="20905"/>
    <cellStyle name="Comma 26 5 4 2 3 5" xfId="20906"/>
    <cellStyle name="Comma 26 5 4 2 3 6" xfId="20907"/>
    <cellStyle name="Comma 26 5 4 2 4" xfId="20908"/>
    <cellStyle name="Comma 26 5 4 2 5" xfId="20909"/>
    <cellStyle name="Comma 26 5 4 2 6" xfId="20910"/>
    <cellStyle name="Comma 26 5 4 2 7" xfId="20911"/>
    <cellStyle name="Comma 26 5 4 2 8" xfId="20912"/>
    <cellStyle name="Comma 26 5 4 3" xfId="20913"/>
    <cellStyle name="Comma 26 5 4 3 2" xfId="20914"/>
    <cellStyle name="Comma 26 5 4 3 2 2" xfId="20915"/>
    <cellStyle name="Comma 26 5 4 3 2 3" xfId="20916"/>
    <cellStyle name="Comma 26 5 4 3 2 4" xfId="20917"/>
    <cellStyle name="Comma 26 5 4 3 2 5" xfId="20918"/>
    <cellStyle name="Comma 26 5 4 3 2 6" xfId="20919"/>
    <cellStyle name="Comma 26 5 4 3 3" xfId="20920"/>
    <cellStyle name="Comma 26 5 4 3 4" xfId="20921"/>
    <cellStyle name="Comma 26 5 4 3 5" xfId="20922"/>
    <cellStyle name="Comma 26 5 4 3 6" xfId="20923"/>
    <cellStyle name="Comma 26 5 4 3 7" xfId="20924"/>
    <cellStyle name="Comma 26 5 4 4" xfId="20925"/>
    <cellStyle name="Comma 26 5 4 4 2" xfId="20926"/>
    <cellStyle name="Comma 26 5 4 4 3" xfId="20927"/>
    <cellStyle name="Comma 26 5 4 4 4" xfId="20928"/>
    <cellStyle name="Comma 26 5 4 4 5" xfId="20929"/>
    <cellStyle name="Comma 26 5 4 4 6" xfId="20930"/>
    <cellStyle name="Comma 26 5 4 5" xfId="20931"/>
    <cellStyle name="Comma 26 5 4 6" xfId="20932"/>
    <cellStyle name="Comma 26 5 4 7" xfId="20933"/>
    <cellStyle name="Comma 26 5 4 8" xfId="20934"/>
    <cellStyle name="Comma 26 5 4 9" xfId="20935"/>
    <cellStyle name="Comma 26 5 5" xfId="20936"/>
    <cellStyle name="Comma 26 5 5 2" xfId="20937"/>
    <cellStyle name="Comma 26 5 5 2 2" xfId="20938"/>
    <cellStyle name="Comma 26 5 5 2 2 2" xfId="20939"/>
    <cellStyle name="Comma 26 5 5 2 2 2 2" xfId="20940"/>
    <cellStyle name="Comma 26 5 5 2 2 2 3" xfId="20941"/>
    <cellStyle name="Comma 26 5 5 2 2 2 4" xfId="20942"/>
    <cellStyle name="Comma 26 5 5 2 2 2 5" xfId="20943"/>
    <cellStyle name="Comma 26 5 5 2 2 2 6" xfId="20944"/>
    <cellStyle name="Comma 26 5 5 2 2 3" xfId="20945"/>
    <cellStyle name="Comma 26 5 5 2 2 4" xfId="20946"/>
    <cellStyle name="Comma 26 5 5 2 2 5" xfId="20947"/>
    <cellStyle name="Comma 26 5 5 2 2 6" xfId="20948"/>
    <cellStyle name="Comma 26 5 5 2 2 7" xfId="20949"/>
    <cellStyle name="Comma 26 5 5 2 3" xfId="20950"/>
    <cellStyle name="Comma 26 5 5 2 3 2" xfId="20951"/>
    <cellStyle name="Comma 26 5 5 2 3 3" xfId="20952"/>
    <cellStyle name="Comma 26 5 5 2 3 4" xfId="20953"/>
    <cellStyle name="Comma 26 5 5 2 3 5" xfId="20954"/>
    <cellStyle name="Comma 26 5 5 2 3 6" xfId="20955"/>
    <cellStyle name="Comma 26 5 5 2 4" xfId="20956"/>
    <cellStyle name="Comma 26 5 5 2 5" xfId="20957"/>
    <cellStyle name="Comma 26 5 5 2 6" xfId="20958"/>
    <cellStyle name="Comma 26 5 5 2 7" xfId="20959"/>
    <cellStyle name="Comma 26 5 5 2 8" xfId="20960"/>
    <cellStyle name="Comma 26 5 5 3" xfId="20961"/>
    <cellStyle name="Comma 26 5 5 3 2" xfId="20962"/>
    <cellStyle name="Comma 26 5 5 3 2 2" xfId="20963"/>
    <cellStyle name="Comma 26 5 5 3 2 3" xfId="20964"/>
    <cellStyle name="Comma 26 5 5 3 2 4" xfId="20965"/>
    <cellStyle name="Comma 26 5 5 3 2 5" xfId="20966"/>
    <cellStyle name="Comma 26 5 5 3 2 6" xfId="20967"/>
    <cellStyle name="Comma 26 5 5 3 3" xfId="20968"/>
    <cellStyle name="Comma 26 5 5 3 4" xfId="20969"/>
    <cellStyle name="Comma 26 5 5 3 5" xfId="20970"/>
    <cellStyle name="Comma 26 5 5 3 6" xfId="20971"/>
    <cellStyle name="Comma 26 5 5 3 7" xfId="20972"/>
    <cellStyle name="Comma 26 5 5 4" xfId="20973"/>
    <cellStyle name="Comma 26 5 5 4 2" xfId="20974"/>
    <cellStyle name="Comma 26 5 5 4 3" xfId="20975"/>
    <cellStyle name="Comma 26 5 5 4 4" xfId="20976"/>
    <cellStyle name="Comma 26 5 5 4 5" xfId="20977"/>
    <cellStyle name="Comma 26 5 5 4 6" xfId="20978"/>
    <cellStyle name="Comma 26 5 5 5" xfId="20979"/>
    <cellStyle name="Comma 26 5 5 6" xfId="20980"/>
    <cellStyle name="Comma 26 5 5 7" xfId="20981"/>
    <cellStyle name="Comma 26 5 5 8" xfId="20982"/>
    <cellStyle name="Comma 26 5 5 9" xfId="20983"/>
    <cellStyle name="Comma 26 5 6" xfId="20984"/>
    <cellStyle name="Comma 26 5 6 2" xfId="20985"/>
    <cellStyle name="Comma 26 5 6 2 2" xfId="20986"/>
    <cellStyle name="Comma 26 5 6 2 2 2" xfId="20987"/>
    <cellStyle name="Comma 26 5 6 2 2 2 2" xfId="20988"/>
    <cellStyle name="Comma 26 5 6 2 2 2 3" xfId="20989"/>
    <cellStyle name="Comma 26 5 6 2 2 2 4" xfId="20990"/>
    <cellStyle name="Comma 26 5 6 2 2 2 5" xfId="20991"/>
    <cellStyle name="Comma 26 5 6 2 2 2 6" xfId="20992"/>
    <cellStyle name="Comma 26 5 6 2 2 3" xfId="20993"/>
    <cellStyle name="Comma 26 5 6 2 2 4" xfId="20994"/>
    <cellStyle name="Comma 26 5 6 2 2 5" xfId="20995"/>
    <cellStyle name="Comma 26 5 6 2 2 6" xfId="20996"/>
    <cellStyle name="Comma 26 5 6 2 2 7" xfId="20997"/>
    <cellStyle name="Comma 26 5 6 2 3" xfId="20998"/>
    <cellStyle name="Comma 26 5 6 2 3 2" xfId="20999"/>
    <cellStyle name="Comma 26 5 6 2 3 3" xfId="21000"/>
    <cellStyle name="Comma 26 5 6 2 3 4" xfId="21001"/>
    <cellStyle name="Comma 26 5 6 2 3 5" xfId="21002"/>
    <cellStyle name="Comma 26 5 6 2 3 6" xfId="21003"/>
    <cellStyle name="Comma 26 5 6 2 4" xfId="21004"/>
    <cellStyle name="Comma 26 5 6 2 5" xfId="21005"/>
    <cellStyle name="Comma 26 5 6 2 6" xfId="21006"/>
    <cellStyle name="Comma 26 5 6 2 7" xfId="21007"/>
    <cellStyle name="Comma 26 5 6 2 8" xfId="21008"/>
    <cellStyle name="Comma 26 5 6 3" xfId="21009"/>
    <cellStyle name="Comma 26 5 6 3 2" xfId="21010"/>
    <cellStyle name="Comma 26 5 6 3 2 2" xfId="21011"/>
    <cellStyle name="Comma 26 5 6 3 2 3" xfId="21012"/>
    <cellStyle name="Comma 26 5 6 3 2 4" xfId="21013"/>
    <cellStyle name="Comma 26 5 6 3 2 5" xfId="21014"/>
    <cellStyle name="Comma 26 5 6 3 2 6" xfId="21015"/>
    <cellStyle name="Comma 26 5 6 3 3" xfId="21016"/>
    <cellStyle name="Comma 26 5 6 3 4" xfId="21017"/>
    <cellStyle name="Comma 26 5 6 3 5" xfId="21018"/>
    <cellStyle name="Comma 26 5 6 3 6" xfId="21019"/>
    <cellStyle name="Comma 26 5 6 3 7" xfId="21020"/>
    <cellStyle name="Comma 26 5 6 4" xfId="21021"/>
    <cellStyle name="Comma 26 5 6 4 2" xfId="21022"/>
    <cellStyle name="Comma 26 5 6 4 3" xfId="21023"/>
    <cellStyle name="Comma 26 5 6 4 4" xfId="21024"/>
    <cellStyle name="Comma 26 5 6 4 5" xfId="21025"/>
    <cellStyle name="Comma 26 5 6 4 6" xfId="21026"/>
    <cellStyle name="Comma 26 5 6 5" xfId="21027"/>
    <cellStyle name="Comma 26 5 6 6" xfId="21028"/>
    <cellStyle name="Comma 26 5 6 7" xfId="21029"/>
    <cellStyle name="Comma 26 5 6 8" xfId="21030"/>
    <cellStyle name="Comma 26 5 6 9" xfId="21031"/>
    <cellStyle name="Comma 26 5 7" xfId="21032"/>
    <cellStyle name="Comma 26 5 7 2" xfId="21033"/>
    <cellStyle name="Comma 26 5 7 2 2" xfId="21034"/>
    <cellStyle name="Comma 26 5 7 2 2 2" xfId="21035"/>
    <cellStyle name="Comma 26 5 7 2 2 3" xfId="21036"/>
    <cellStyle name="Comma 26 5 7 2 2 4" xfId="21037"/>
    <cellStyle name="Comma 26 5 7 2 2 5" xfId="21038"/>
    <cellStyle name="Comma 26 5 7 2 2 6" xfId="21039"/>
    <cellStyle name="Comma 26 5 7 2 3" xfId="21040"/>
    <cellStyle name="Comma 26 5 7 2 4" xfId="21041"/>
    <cellStyle name="Comma 26 5 7 2 5" xfId="21042"/>
    <cellStyle name="Comma 26 5 7 2 6" xfId="21043"/>
    <cellStyle name="Comma 26 5 7 2 7" xfId="21044"/>
    <cellStyle name="Comma 26 5 7 3" xfId="21045"/>
    <cellStyle name="Comma 26 5 7 3 2" xfId="21046"/>
    <cellStyle name="Comma 26 5 7 3 3" xfId="21047"/>
    <cellStyle name="Comma 26 5 7 3 4" xfId="21048"/>
    <cellStyle name="Comma 26 5 7 3 5" xfId="21049"/>
    <cellStyle name="Comma 26 5 7 3 6" xfId="21050"/>
    <cellStyle name="Comma 26 5 7 4" xfId="21051"/>
    <cellStyle name="Comma 26 5 7 5" xfId="21052"/>
    <cellStyle name="Comma 26 5 7 6" xfId="21053"/>
    <cellStyle name="Comma 26 5 7 7" xfId="21054"/>
    <cellStyle name="Comma 26 5 7 8" xfId="21055"/>
    <cellStyle name="Comma 26 5 8" xfId="21056"/>
    <cellStyle name="Comma 26 5 8 2" xfId="21057"/>
    <cellStyle name="Comma 26 5 8 2 2" xfId="21058"/>
    <cellStyle name="Comma 26 5 8 2 3" xfId="21059"/>
    <cellStyle name="Comma 26 5 8 2 4" xfId="21060"/>
    <cellStyle name="Comma 26 5 8 2 5" xfId="21061"/>
    <cellStyle name="Comma 26 5 8 2 6" xfId="21062"/>
    <cellStyle name="Comma 26 5 8 3" xfId="21063"/>
    <cellStyle name="Comma 26 5 8 4" xfId="21064"/>
    <cellStyle name="Comma 26 5 8 5" xfId="21065"/>
    <cellStyle name="Comma 26 5 8 6" xfId="21066"/>
    <cellStyle name="Comma 26 5 8 7" xfId="21067"/>
    <cellStyle name="Comma 26 5 9" xfId="21068"/>
    <cellStyle name="Comma 26 5 9 2" xfId="21069"/>
    <cellStyle name="Comma 26 5 9 3" xfId="21070"/>
    <cellStyle name="Comma 26 5 9 4" xfId="21071"/>
    <cellStyle name="Comma 26 5 9 5" xfId="21072"/>
    <cellStyle name="Comma 26 5 9 6" xfId="21073"/>
    <cellStyle name="Comma 26 6" xfId="21074"/>
    <cellStyle name="Comma 26 6 10" xfId="21075"/>
    <cellStyle name="Comma 26 6 11" xfId="21076"/>
    <cellStyle name="Comma 26 6 12" xfId="21077"/>
    <cellStyle name="Comma 26 6 13" xfId="21078"/>
    <cellStyle name="Comma 26 6 14" xfId="21079"/>
    <cellStyle name="Comma 26 6 2" xfId="21080"/>
    <cellStyle name="Comma 26 6 2 2" xfId="21081"/>
    <cellStyle name="Comma 26 6 2 2 2" xfId="21082"/>
    <cellStyle name="Comma 26 6 2 2 2 2" xfId="21083"/>
    <cellStyle name="Comma 26 6 2 2 2 2 2" xfId="21084"/>
    <cellStyle name="Comma 26 6 2 2 2 2 3" xfId="21085"/>
    <cellStyle name="Comma 26 6 2 2 2 2 4" xfId="21086"/>
    <cellStyle name="Comma 26 6 2 2 2 2 5" xfId="21087"/>
    <cellStyle name="Comma 26 6 2 2 2 2 6" xfId="21088"/>
    <cellStyle name="Comma 26 6 2 2 2 3" xfId="21089"/>
    <cellStyle name="Comma 26 6 2 2 2 4" xfId="21090"/>
    <cellStyle name="Comma 26 6 2 2 2 5" xfId="21091"/>
    <cellStyle name="Comma 26 6 2 2 2 6" xfId="21092"/>
    <cellStyle name="Comma 26 6 2 2 2 7" xfId="21093"/>
    <cellStyle name="Comma 26 6 2 2 3" xfId="21094"/>
    <cellStyle name="Comma 26 6 2 2 3 2" xfId="21095"/>
    <cellStyle name="Comma 26 6 2 2 3 3" xfId="21096"/>
    <cellStyle name="Comma 26 6 2 2 3 4" xfId="21097"/>
    <cellStyle name="Comma 26 6 2 2 3 5" xfId="21098"/>
    <cellStyle name="Comma 26 6 2 2 3 6" xfId="21099"/>
    <cellStyle name="Comma 26 6 2 2 4" xfId="21100"/>
    <cellStyle name="Comma 26 6 2 2 5" xfId="21101"/>
    <cellStyle name="Comma 26 6 2 2 6" xfId="21102"/>
    <cellStyle name="Comma 26 6 2 2 7" xfId="21103"/>
    <cellStyle name="Comma 26 6 2 2 8" xfId="21104"/>
    <cellStyle name="Comma 26 6 2 3" xfId="21105"/>
    <cellStyle name="Comma 26 6 2 3 2" xfId="21106"/>
    <cellStyle name="Comma 26 6 2 3 2 2" xfId="21107"/>
    <cellStyle name="Comma 26 6 2 3 2 3" xfId="21108"/>
    <cellStyle name="Comma 26 6 2 3 2 4" xfId="21109"/>
    <cellStyle name="Comma 26 6 2 3 2 5" xfId="21110"/>
    <cellStyle name="Comma 26 6 2 3 2 6" xfId="21111"/>
    <cellStyle name="Comma 26 6 2 3 3" xfId="21112"/>
    <cellStyle name="Comma 26 6 2 3 4" xfId="21113"/>
    <cellStyle name="Comma 26 6 2 3 5" xfId="21114"/>
    <cellStyle name="Comma 26 6 2 3 6" xfId="21115"/>
    <cellStyle name="Comma 26 6 2 3 7" xfId="21116"/>
    <cellStyle name="Comma 26 6 2 4" xfId="21117"/>
    <cellStyle name="Comma 26 6 2 4 2" xfId="21118"/>
    <cellStyle name="Comma 26 6 2 4 3" xfId="21119"/>
    <cellStyle name="Comma 26 6 2 4 4" xfId="21120"/>
    <cellStyle name="Comma 26 6 2 4 5" xfId="21121"/>
    <cellStyle name="Comma 26 6 2 4 6" xfId="21122"/>
    <cellStyle name="Comma 26 6 2 5" xfId="21123"/>
    <cellStyle name="Comma 26 6 2 6" xfId="21124"/>
    <cellStyle name="Comma 26 6 2 7" xfId="21125"/>
    <cellStyle name="Comma 26 6 2 8" xfId="21126"/>
    <cellStyle name="Comma 26 6 2 9" xfId="21127"/>
    <cellStyle name="Comma 26 6 3" xfId="21128"/>
    <cellStyle name="Comma 26 6 3 2" xfId="21129"/>
    <cellStyle name="Comma 26 6 3 2 2" xfId="21130"/>
    <cellStyle name="Comma 26 6 3 2 2 2" xfId="21131"/>
    <cellStyle name="Comma 26 6 3 2 2 2 2" xfId="21132"/>
    <cellStyle name="Comma 26 6 3 2 2 2 3" xfId="21133"/>
    <cellStyle name="Comma 26 6 3 2 2 2 4" xfId="21134"/>
    <cellStyle name="Comma 26 6 3 2 2 2 5" xfId="21135"/>
    <cellStyle name="Comma 26 6 3 2 2 2 6" xfId="21136"/>
    <cellStyle name="Comma 26 6 3 2 2 3" xfId="21137"/>
    <cellStyle name="Comma 26 6 3 2 2 4" xfId="21138"/>
    <cellStyle name="Comma 26 6 3 2 2 5" xfId="21139"/>
    <cellStyle name="Comma 26 6 3 2 2 6" xfId="21140"/>
    <cellStyle name="Comma 26 6 3 2 2 7" xfId="21141"/>
    <cellStyle name="Comma 26 6 3 2 3" xfId="21142"/>
    <cellStyle name="Comma 26 6 3 2 3 2" xfId="21143"/>
    <cellStyle name="Comma 26 6 3 2 3 3" xfId="21144"/>
    <cellStyle name="Comma 26 6 3 2 3 4" xfId="21145"/>
    <cellStyle name="Comma 26 6 3 2 3 5" xfId="21146"/>
    <cellStyle name="Comma 26 6 3 2 3 6" xfId="21147"/>
    <cellStyle name="Comma 26 6 3 2 4" xfId="21148"/>
    <cellStyle name="Comma 26 6 3 2 5" xfId="21149"/>
    <cellStyle name="Comma 26 6 3 2 6" xfId="21150"/>
    <cellStyle name="Comma 26 6 3 2 7" xfId="21151"/>
    <cellStyle name="Comma 26 6 3 2 8" xfId="21152"/>
    <cellStyle name="Comma 26 6 3 3" xfId="21153"/>
    <cellStyle name="Comma 26 6 3 3 2" xfId="21154"/>
    <cellStyle name="Comma 26 6 3 3 2 2" xfId="21155"/>
    <cellStyle name="Comma 26 6 3 3 2 3" xfId="21156"/>
    <cellStyle name="Comma 26 6 3 3 2 4" xfId="21157"/>
    <cellStyle name="Comma 26 6 3 3 2 5" xfId="21158"/>
    <cellStyle name="Comma 26 6 3 3 2 6" xfId="21159"/>
    <cellStyle name="Comma 26 6 3 3 3" xfId="21160"/>
    <cellStyle name="Comma 26 6 3 3 4" xfId="21161"/>
    <cellStyle name="Comma 26 6 3 3 5" xfId="21162"/>
    <cellStyle name="Comma 26 6 3 3 6" xfId="21163"/>
    <cellStyle name="Comma 26 6 3 3 7" xfId="21164"/>
    <cellStyle name="Comma 26 6 3 4" xfId="21165"/>
    <cellStyle name="Comma 26 6 3 4 2" xfId="21166"/>
    <cellStyle name="Comma 26 6 3 4 3" xfId="21167"/>
    <cellStyle name="Comma 26 6 3 4 4" xfId="21168"/>
    <cellStyle name="Comma 26 6 3 4 5" xfId="21169"/>
    <cellStyle name="Comma 26 6 3 4 6" xfId="21170"/>
    <cellStyle name="Comma 26 6 3 5" xfId="21171"/>
    <cellStyle name="Comma 26 6 3 6" xfId="21172"/>
    <cellStyle name="Comma 26 6 3 7" xfId="21173"/>
    <cellStyle name="Comma 26 6 3 8" xfId="21174"/>
    <cellStyle name="Comma 26 6 3 9" xfId="21175"/>
    <cellStyle name="Comma 26 6 4" xfId="21176"/>
    <cellStyle name="Comma 26 6 4 2" xfId="21177"/>
    <cellStyle name="Comma 26 6 4 2 2" xfId="21178"/>
    <cellStyle name="Comma 26 6 4 2 2 2" xfId="21179"/>
    <cellStyle name="Comma 26 6 4 2 2 2 2" xfId="21180"/>
    <cellStyle name="Comma 26 6 4 2 2 2 3" xfId="21181"/>
    <cellStyle name="Comma 26 6 4 2 2 2 4" xfId="21182"/>
    <cellStyle name="Comma 26 6 4 2 2 2 5" xfId="21183"/>
    <cellStyle name="Comma 26 6 4 2 2 2 6" xfId="21184"/>
    <cellStyle name="Comma 26 6 4 2 2 3" xfId="21185"/>
    <cellStyle name="Comma 26 6 4 2 2 4" xfId="21186"/>
    <cellStyle name="Comma 26 6 4 2 2 5" xfId="21187"/>
    <cellStyle name="Comma 26 6 4 2 2 6" xfId="21188"/>
    <cellStyle name="Comma 26 6 4 2 2 7" xfId="21189"/>
    <cellStyle name="Comma 26 6 4 2 3" xfId="21190"/>
    <cellStyle name="Comma 26 6 4 2 3 2" xfId="21191"/>
    <cellStyle name="Comma 26 6 4 2 3 3" xfId="21192"/>
    <cellStyle name="Comma 26 6 4 2 3 4" xfId="21193"/>
    <cellStyle name="Comma 26 6 4 2 3 5" xfId="21194"/>
    <cellStyle name="Comma 26 6 4 2 3 6" xfId="21195"/>
    <cellStyle name="Comma 26 6 4 2 4" xfId="21196"/>
    <cellStyle name="Comma 26 6 4 2 5" xfId="21197"/>
    <cellStyle name="Comma 26 6 4 2 6" xfId="21198"/>
    <cellStyle name="Comma 26 6 4 2 7" xfId="21199"/>
    <cellStyle name="Comma 26 6 4 2 8" xfId="21200"/>
    <cellStyle name="Comma 26 6 4 3" xfId="21201"/>
    <cellStyle name="Comma 26 6 4 3 2" xfId="21202"/>
    <cellStyle name="Comma 26 6 4 3 2 2" xfId="21203"/>
    <cellStyle name="Comma 26 6 4 3 2 3" xfId="21204"/>
    <cellStyle name="Comma 26 6 4 3 2 4" xfId="21205"/>
    <cellStyle name="Comma 26 6 4 3 2 5" xfId="21206"/>
    <cellStyle name="Comma 26 6 4 3 2 6" xfId="21207"/>
    <cellStyle name="Comma 26 6 4 3 3" xfId="21208"/>
    <cellStyle name="Comma 26 6 4 3 4" xfId="21209"/>
    <cellStyle name="Comma 26 6 4 3 5" xfId="21210"/>
    <cellStyle name="Comma 26 6 4 3 6" xfId="21211"/>
    <cellStyle name="Comma 26 6 4 3 7" xfId="21212"/>
    <cellStyle name="Comma 26 6 4 4" xfId="21213"/>
    <cellStyle name="Comma 26 6 4 4 2" xfId="21214"/>
    <cellStyle name="Comma 26 6 4 4 3" xfId="21215"/>
    <cellStyle name="Comma 26 6 4 4 4" xfId="21216"/>
    <cellStyle name="Comma 26 6 4 4 5" xfId="21217"/>
    <cellStyle name="Comma 26 6 4 4 6" xfId="21218"/>
    <cellStyle name="Comma 26 6 4 5" xfId="21219"/>
    <cellStyle name="Comma 26 6 4 6" xfId="21220"/>
    <cellStyle name="Comma 26 6 4 7" xfId="21221"/>
    <cellStyle name="Comma 26 6 4 8" xfId="21222"/>
    <cellStyle name="Comma 26 6 4 9" xfId="21223"/>
    <cellStyle name="Comma 26 6 5" xfId="21224"/>
    <cellStyle name="Comma 26 6 5 2" xfId="21225"/>
    <cellStyle name="Comma 26 6 5 2 2" xfId="21226"/>
    <cellStyle name="Comma 26 6 5 2 2 2" xfId="21227"/>
    <cellStyle name="Comma 26 6 5 2 2 2 2" xfId="21228"/>
    <cellStyle name="Comma 26 6 5 2 2 2 3" xfId="21229"/>
    <cellStyle name="Comma 26 6 5 2 2 2 4" xfId="21230"/>
    <cellStyle name="Comma 26 6 5 2 2 2 5" xfId="21231"/>
    <cellStyle name="Comma 26 6 5 2 2 2 6" xfId="21232"/>
    <cellStyle name="Comma 26 6 5 2 2 3" xfId="21233"/>
    <cellStyle name="Comma 26 6 5 2 2 4" xfId="21234"/>
    <cellStyle name="Comma 26 6 5 2 2 5" xfId="21235"/>
    <cellStyle name="Comma 26 6 5 2 2 6" xfId="21236"/>
    <cellStyle name="Comma 26 6 5 2 2 7" xfId="21237"/>
    <cellStyle name="Comma 26 6 5 2 3" xfId="21238"/>
    <cellStyle name="Comma 26 6 5 2 3 2" xfId="21239"/>
    <cellStyle name="Comma 26 6 5 2 3 3" xfId="21240"/>
    <cellStyle name="Comma 26 6 5 2 3 4" xfId="21241"/>
    <cellStyle name="Comma 26 6 5 2 3 5" xfId="21242"/>
    <cellStyle name="Comma 26 6 5 2 3 6" xfId="21243"/>
    <cellStyle name="Comma 26 6 5 2 4" xfId="21244"/>
    <cellStyle name="Comma 26 6 5 2 5" xfId="21245"/>
    <cellStyle name="Comma 26 6 5 2 6" xfId="21246"/>
    <cellStyle name="Comma 26 6 5 2 7" xfId="21247"/>
    <cellStyle name="Comma 26 6 5 2 8" xfId="21248"/>
    <cellStyle name="Comma 26 6 5 3" xfId="21249"/>
    <cellStyle name="Comma 26 6 5 3 2" xfId="21250"/>
    <cellStyle name="Comma 26 6 5 3 2 2" xfId="21251"/>
    <cellStyle name="Comma 26 6 5 3 2 3" xfId="21252"/>
    <cellStyle name="Comma 26 6 5 3 2 4" xfId="21253"/>
    <cellStyle name="Comma 26 6 5 3 2 5" xfId="21254"/>
    <cellStyle name="Comma 26 6 5 3 2 6" xfId="21255"/>
    <cellStyle name="Comma 26 6 5 3 3" xfId="21256"/>
    <cellStyle name="Comma 26 6 5 3 4" xfId="21257"/>
    <cellStyle name="Comma 26 6 5 3 5" xfId="21258"/>
    <cellStyle name="Comma 26 6 5 3 6" xfId="21259"/>
    <cellStyle name="Comma 26 6 5 3 7" xfId="21260"/>
    <cellStyle name="Comma 26 6 5 4" xfId="21261"/>
    <cellStyle name="Comma 26 6 5 4 2" xfId="21262"/>
    <cellStyle name="Comma 26 6 5 4 3" xfId="21263"/>
    <cellStyle name="Comma 26 6 5 4 4" xfId="21264"/>
    <cellStyle name="Comma 26 6 5 4 5" xfId="21265"/>
    <cellStyle name="Comma 26 6 5 4 6" xfId="21266"/>
    <cellStyle name="Comma 26 6 5 5" xfId="21267"/>
    <cellStyle name="Comma 26 6 5 6" xfId="21268"/>
    <cellStyle name="Comma 26 6 5 7" xfId="21269"/>
    <cellStyle name="Comma 26 6 5 8" xfId="21270"/>
    <cellStyle name="Comma 26 6 5 9" xfId="21271"/>
    <cellStyle name="Comma 26 6 6" xfId="21272"/>
    <cellStyle name="Comma 26 6 6 2" xfId="21273"/>
    <cellStyle name="Comma 26 6 6 2 2" xfId="21274"/>
    <cellStyle name="Comma 26 6 6 2 2 2" xfId="21275"/>
    <cellStyle name="Comma 26 6 6 2 2 2 2" xfId="21276"/>
    <cellStyle name="Comma 26 6 6 2 2 2 3" xfId="21277"/>
    <cellStyle name="Comma 26 6 6 2 2 2 4" xfId="21278"/>
    <cellStyle name="Comma 26 6 6 2 2 2 5" xfId="21279"/>
    <cellStyle name="Comma 26 6 6 2 2 2 6" xfId="21280"/>
    <cellStyle name="Comma 26 6 6 2 2 3" xfId="21281"/>
    <cellStyle name="Comma 26 6 6 2 2 4" xfId="21282"/>
    <cellStyle name="Comma 26 6 6 2 2 5" xfId="21283"/>
    <cellStyle name="Comma 26 6 6 2 2 6" xfId="21284"/>
    <cellStyle name="Comma 26 6 6 2 2 7" xfId="21285"/>
    <cellStyle name="Comma 26 6 6 2 3" xfId="21286"/>
    <cellStyle name="Comma 26 6 6 2 3 2" xfId="21287"/>
    <cellStyle name="Comma 26 6 6 2 3 3" xfId="21288"/>
    <cellStyle name="Comma 26 6 6 2 3 4" xfId="21289"/>
    <cellStyle name="Comma 26 6 6 2 3 5" xfId="21290"/>
    <cellStyle name="Comma 26 6 6 2 3 6" xfId="21291"/>
    <cellStyle name="Comma 26 6 6 2 4" xfId="21292"/>
    <cellStyle name="Comma 26 6 6 2 5" xfId="21293"/>
    <cellStyle name="Comma 26 6 6 2 6" xfId="21294"/>
    <cellStyle name="Comma 26 6 6 2 7" xfId="21295"/>
    <cellStyle name="Comma 26 6 6 2 8" xfId="21296"/>
    <cellStyle name="Comma 26 6 6 3" xfId="21297"/>
    <cellStyle name="Comma 26 6 6 3 2" xfId="21298"/>
    <cellStyle name="Comma 26 6 6 3 2 2" xfId="21299"/>
    <cellStyle name="Comma 26 6 6 3 2 3" xfId="21300"/>
    <cellStyle name="Comma 26 6 6 3 2 4" xfId="21301"/>
    <cellStyle name="Comma 26 6 6 3 2 5" xfId="21302"/>
    <cellStyle name="Comma 26 6 6 3 2 6" xfId="21303"/>
    <cellStyle name="Comma 26 6 6 3 3" xfId="21304"/>
    <cellStyle name="Comma 26 6 6 3 4" xfId="21305"/>
    <cellStyle name="Comma 26 6 6 3 5" xfId="21306"/>
    <cellStyle name="Comma 26 6 6 3 6" xfId="21307"/>
    <cellStyle name="Comma 26 6 6 3 7" xfId="21308"/>
    <cellStyle name="Comma 26 6 6 4" xfId="21309"/>
    <cellStyle name="Comma 26 6 6 4 2" xfId="21310"/>
    <cellStyle name="Comma 26 6 6 4 3" xfId="21311"/>
    <cellStyle name="Comma 26 6 6 4 4" xfId="21312"/>
    <cellStyle name="Comma 26 6 6 4 5" xfId="21313"/>
    <cellStyle name="Comma 26 6 6 4 6" xfId="21314"/>
    <cellStyle name="Comma 26 6 6 5" xfId="21315"/>
    <cellStyle name="Comma 26 6 6 6" xfId="21316"/>
    <cellStyle name="Comma 26 6 6 7" xfId="21317"/>
    <cellStyle name="Comma 26 6 6 8" xfId="21318"/>
    <cellStyle name="Comma 26 6 6 9" xfId="21319"/>
    <cellStyle name="Comma 26 6 7" xfId="21320"/>
    <cellStyle name="Comma 26 6 7 2" xfId="21321"/>
    <cellStyle name="Comma 26 6 7 2 2" xfId="21322"/>
    <cellStyle name="Comma 26 6 7 2 2 2" xfId="21323"/>
    <cellStyle name="Comma 26 6 7 2 2 3" xfId="21324"/>
    <cellStyle name="Comma 26 6 7 2 2 4" xfId="21325"/>
    <cellStyle name="Comma 26 6 7 2 2 5" xfId="21326"/>
    <cellStyle name="Comma 26 6 7 2 2 6" xfId="21327"/>
    <cellStyle name="Comma 26 6 7 2 3" xfId="21328"/>
    <cellStyle name="Comma 26 6 7 2 4" xfId="21329"/>
    <cellStyle name="Comma 26 6 7 2 5" xfId="21330"/>
    <cellStyle name="Comma 26 6 7 2 6" xfId="21331"/>
    <cellStyle name="Comma 26 6 7 2 7" xfId="21332"/>
    <cellStyle name="Comma 26 6 7 3" xfId="21333"/>
    <cellStyle name="Comma 26 6 7 3 2" xfId="21334"/>
    <cellStyle name="Comma 26 6 7 3 3" xfId="21335"/>
    <cellStyle name="Comma 26 6 7 3 4" xfId="21336"/>
    <cellStyle name="Comma 26 6 7 3 5" xfId="21337"/>
    <cellStyle name="Comma 26 6 7 3 6" xfId="21338"/>
    <cellStyle name="Comma 26 6 7 4" xfId="21339"/>
    <cellStyle name="Comma 26 6 7 5" xfId="21340"/>
    <cellStyle name="Comma 26 6 7 6" xfId="21341"/>
    <cellStyle name="Comma 26 6 7 7" xfId="21342"/>
    <cellStyle name="Comma 26 6 7 8" xfId="21343"/>
    <cellStyle name="Comma 26 6 8" xfId="21344"/>
    <cellStyle name="Comma 26 6 8 2" xfId="21345"/>
    <cellStyle name="Comma 26 6 8 2 2" xfId="21346"/>
    <cellStyle name="Comma 26 6 8 2 3" xfId="21347"/>
    <cellStyle name="Comma 26 6 8 2 4" xfId="21348"/>
    <cellStyle name="Comma 26 6 8 2 5" xfId="21349"/>
    <cellStyle name="Comma 26 6 8 2 6" xfId="21350"/>
    <cellStyle name="Comma 26 6 8 3" xfId="21351"/>
    <cellStyle name="Comma 26 6 8 4" xfId="21352"/>
    <cellStyle name="Comma 26 6 8 5" xfId="21353"/>
    <cellStyle name="Comma 26 6 8 6" xfId="21354"/>
    <cellStyle name="Comma 26 6 8 7" xfId="21355"/>
    <cellStyle name="Comma 26 6 9" xfId="21356"/>
    <cellStyle name="Comma 26 6 9 2" xfId="21357"/>
    <cellStyle name="Comma 26 6 9 3" xfId="21358"/>
    <cellStyle name="Comma 26 6 9 4" xfId="21359"/>
    <cellStyle name="Comma 26 6 9 5" xfId="21360"/>
    <cellStyle name="Comma 26 6 9 6" xfId="21361"/>
    <cellStyle name="Comma 26 7" xfId="21362"/>
    <cellStyle name="Comma 26 7 2" xfId="21363"/>
    <cellStyle name="Comma 26 7 2 2" xfId="21364"/>
    <cellStyle name="Comma 26 7 2 2 2" xfId="21365"/>
    <cellStyle name="Comma 26 7 2 2 2 2" xfId="21366"/>
    <cellStyle name="Comma 26 7 2 2 2 3" xfId="21367"/>
    <cellStyle name="Comma 26 7 2 2 2 4" xfId="21368"/>
    <cellStyle name="Comma 26 7 2 2 2 5" xfId="21369"/>
    <cellStyle name="Comma 26 7 2 2 2 6" xfId="21370"/>
    <cellStyle name="Comma 26 7 2 2 3" xfId="21371"/>
    <cellStyle name="Comma 26 7 2 2 4" xfId="21372"/>
    <cellStyle name="Comma 26 7 2 2 5" xfId="21373"/>
    <cellStyle name="Comma 26 7 2 2 6" xfId="21374"/>
    <cellStyle name="Comma 26 7 2 2 7" xfId="21375"/>
    <cellStyle name="Comma 26 7 2 3" xfId="21376"/>
    <cellStyle name="Comma 26 7 2 3 2" xfId="21377"/>
    <cellStyle name="Comma 26 7 2 3 3" xfId="21378"/>
    <cellStyle name="Comma 26 7 2 3 4" xfId="21379"/>
    <cellStyle name="Comma 26 7 2 3 5" xfId="21380"/>
    <cellStyle name="Comma 26 7 2 3 6" xfId="21381"/>
    <cellStyle name="Comma 26 7 2 4" xfId="21382"/>
    <cellStyle name="Comma 26 7 2 5" xfId="21383"/>
    <cellStyle name="Comma 26 7 2 6" xfId="21384"/>
    <cellStyle name="Comma 26 7 2 7" xfId="21385"/>
    <cellStyle name="Comma 26 7 2 8" xfId="21386"/>
    <cellStyle name="Comma 26 7 3" xfId="21387"/>
    <cellStyle name="Comma 26 7 3 2" xfId="21388"/>
    <cellStyle name="Comma 26 7 3 2 2" xfId="21389"/>
    <cellStyle name="Comma 26 7 3 2 3" xfId="21390"/>
    <cellStyle name="Comma 26 7 3 2 4" xfId="21391"/>
    <cellStyle name="Comma 26 7 3 2 5" xfId="21392"/>
    <cellStyle name="Comma 26 7 3 2 6" xfId="21393"/>
    <cellStyle name="Comma 26 7 3 3" xfId="21394"/>
    <cellStyle name="Comma 26 7 3 4" xfId="21395"/>
    <cellStyle name="Comma 26 7 3 5" xfId="21396"/>
    <cellStyle name="Comma 26 7 3 6" xfId="21397"/>
    <cellStyle name="Comma 26 7 3 7" xfId="21398"/>
    <cellStyle name="Comma 26 7 4" xfId="21399"/>
    <cellStyle name="Comma 26 7 4 2" xfId="21400"/>
    <cellStyle name="Comma 26 7 4 3" xfId="21401"/>
    <cellStyle name="Comma 26 7 4 4" xfId="21402"/>
    <cellStyle name="Comma 26 7 4 5" xfId="21403"/>
    <cellStyle name="Comma 26 7 4 6" xfId="21404"/>
    <cellStyle name="Comma 26 7 5" xfId="21405"/>
    <cellStyle name="Comma 26 7 6" xfId="21406"/>
    <cellStyle name="Comma 26 7 7" xfId="21407"/>
    <cellStyle name="Comma 26 7 8" xfId="21408"/>
    <cellStyle name="Comma 26 7 9" xfId="21409"/>
    <cellStyle name="Comma 26 8" xfId="21410"/>
    <cellStyle name="Comma 26 8 2" xfId="21411"/>
    <cellStyle name="Comma 26 8 2 2" xfId="21412"/>
    <cellStyle name="Comma 26 8 2 2 2" xfId="21413"/>
    <cellStyle name="Comma 26 8 2 2 2 2" xfId="21414"/>
    <cellStyle name="Comma 26 8 2 2 2 3" xfId="21415"/>
    <cellStyle name="Comma 26 8 2 2 2 4" xfId="21416"/>
    <cellStyle name="Comma 26 8 2 2 2 5" xfId="21417"/>
    <cellStyle name="Comma 26 8 2 2 2 6" xfId="21418"/>
    <cellStyle name="Comma 26 8 2 2 3" xfId="21419"/>
    <cellStyle name="Comma 26 8 2 2 4" xfId="21420"/>
    <cellStyle name="Comma 26 8 2 2 5" xfId="21421"/>
    <cellStyle name="Comma 26 8 2 2 6" xfId="21422"/>
    <cellStyle name="Comma 26 8 2 2 7" xfId="21423"/>
    <cellStyle name="Comma 26 8 2 3" xfId="21424"/>
    <cellStyle name="Comma 26 8 2 3 2" xfId="21425"/>
    <cellStyle name="Comma 26 8 2 3 3" xfId="21426"/>
    <cellStyle name="Comma 26 8 2 3 4" xfId="21427"/>
    <cellStyle name="Comma 26 8 2 3 5" xfId="21428"/>
    <cellStyle name="Comma 26 8 2 3 6" xfId="21429"/>
    <cellStyle name="Comma 26 8 2 4" xfId="21430"/>
    <cellStyle name="Comma 26 8 2 5" xfId="21431"/>
    <cellStyle name="Comma 26 8 2 6" xfId="21432"/>
    <cellStyle name="Comma 26 8 2 7" xfId="21433"/>
    <cellStyle name="Comma 26 8 2 8" xfId="21434"/>
    <cellStyle name="Comma 26 8 3" xfId="21435"/>
    <cellStyle name="Comma 26 8 3 2" xfId="21436"/>
    <cellStyle name="Comma 26 8 3 2 2" xfId="21437"/>
    <cellStyle name="Comma 26 8 3 2 3" xfId="21438"/>
    <cellStyle name="Comma 26 8 3 2 4" xfId="21439"/>
    <cellStyle name="Comma 26 8 3 2 5" xfId="21440"/>
    <cellStyle name="Comma 26 8 3 2 6" xfId="21441"/>
    <cellStyle name="Comma 26 8 3 3" xfId="21442"/>
    <cellStyle name="Comma 26 8 3 4" xfId="21443"/>
    <cellStyle name="Comma 26 8 3 5" xfId="21444"/>
    <cellStyle name="Comma 26 8 3 6" xfId="21445"/>
    <cellStyle name="Comma 26 8 3 7" xfId="21446"/>
    <cellStyle name="Comma 26 8 4" xfId="21447"/>
    <cellStyle name="Comma 26 8 4 2" xfId="21448"/>
    <cellStyle name="Comma 26 8 4 3" xfId="21449"/>
    <cellStyle name="Comma 26 8 4 4" xfId="21450"/>
    <cellStyle name="Comma 26 8 4 5" xfId="21451"/>
    <cellStyle name="Comma 26 8 4 6" xfId="21452"/>
    <cellStyle name="Comma 26 8 5" xfId="21453"/>
    <cellStyle name="Comma 26 8 6" xfId="21454"/>
    <cellStyle name="Comma 26 8 7" xfId="21455"/>
    <cellStyle name="Comma 26 8 8" xfId="21456"/>
    <cellStyle name="Comma 26 8 9" xfId="21457"/>
    <cellStyle name="Comma 26 9" xfId="21458"/>
    <cellStyle name="Comma 26 9 2" xfId="21459"/>
    <cellStyle name="Comma 26 9 2 2" xfId="21460"/>
    <cellStyle name="Comma 26 9 2 2 2" xfId="21461"/>
    <cellStyle name="Comma 26 9 2 2 2 2" xfId="21462"/>
    <cellStyle name="Comma 26 9 2 2 2 3" xfId="21463"/>
    <cellStyle name="Comma 26 9 2 2 2 4" xfId="21464"/>
    <cellStyle name="Comma 26 9 2 2 2 5" xfId="21465"/>
    <cellStyle name="Comma 26 9 2 2 2 6" xfId="21466"/>
    <cellStyle name="Comma 26 9 2 2 3" xfId="21467"/>
    <cellStyle name="Comma 26 9 2 2 4" xfId="21468"/>
    <cellStyle name="Comma 26 9 2 2 5" xfId="21469"/>
    <cellStyle name="Comma 26 9 2 2 6" xfId="21470"/>
    <cellStyle name="Comma 26 9 2 2 7" xfId="21471"/>
    <cellStyle name="Comma 26 9 2 3" xfId="21472"/>
    <cellStyle name="Comma 26 9 2 3 2" xfId="21473"/>
    <cellStyle name="Comma 26 9 2 3 3" xfId="21474"/>
    <cellStyle name="Comma 26 9 2 3 4" xfId="21475"/>
    <cellStyle name="Comma 26 9 2 3 5" xfId="21476"/>
    <cellStyle name="Comma 26 9 2 3 6" xfId="21477"/>
    <cellStyle name="Comma 26 9 2 4" xfId="21478"/>
    <cellStyle name="Comma 26 9 2 5" xfId="21479"/>
    <cellStyle name="Comma 26 9 2 6" xfId="21480"/>
    <cellStyle name="Comma 26 9 2 7" xfId="21481"/>
    <cellStyle name="Comma 26 9 2 8" xfId="21482"/>
    <cellStyle name="Comma 26 9 3" xfId="21483"/>
    <cellStyle name="Comma 26 9 3 2" xfId="21484"/>
    <cellStyle name="Comma 26 9 3 2 2" xfId="21485"/>
    <cellStyle name="Comma 26 9 3 2 3" xfId="21486"/>
    <cellStyle name="Comma 26 9 3 2 4" xfId="21487"/>
    <cellStyle name="Comma 26 9 3 2 5" xfId="21488"/>
    <cellStyle name="Comma 26 9 3 2 6" xfId="21489"/>
    <cellStyle name="Comma 26 9 3 3" xfId="21490"/>
    <cellStyle name="Comma 26 9 3 4" xfId="21491"/>
    <cellStyle name="Comma 26 9 3 5" xfId="21492"/>
    <cellStyle name="Comma 26 9 3 6" xfId="21493"/>
    <cellStyle name="Comma 26 9 3 7" xfId="21494"/>
    <cellStyle name="Comma 26 9 4" xfId="21495"/>
    <cellStyle name="Comma 26 9 4 2" xfId="21496"/>
    <cellStyle name="Comma 26 9 4 3" xfId="21497"/>
    <cellStyle name="Comma 26 9 4 4" xfId="21498"/>
    <cellStyle name="Comma 26 9 4 5" xfId="21499"/>
    <cellStyle name="Comma 26 9 4 6" xfId="21500"/>
    <cellStyle name="Comma 26 9 5" xfId="21501"/>
    <cellStyle name="Comma 26 9 6" xfId="21502"/>
    <cellStyle name="Comma 26 9 7" xfId="21503"/>
    <cellStyle name="Comma 26 9 8" xfId="21504"/>
    <cellStyle name="Comma 26 9 9" xfId="21505"/>
    <cellStyle name="Comma 27" xfId="21506"/>
    <cellStyle name="Comma 27 2" xfId="21507"/>
    <cellStyle name="Comma 28" xfId="21508"/>
    <cellStyle name="Comma 28 2" xfId="21509"/>
    <cellStyle name="Comma 29" xfId="21510"/>
    <cellStyle name="Comma 29 2" xfId="21511"/>
    <cellStyle name="Comma 3" xfId="3"/>
    <cellStyle name="Comma 3 2" xfId="21512"/>
    <cellStyle name="Comma 3 2 2" xfId="21513"/>
    <cellStyle name="Comma 3 3" xfId="21514"/>
    <cellStyle name="Comma 3 4" xfId="21515"/>
    <cellStyle name="Comma 3 4 10" xfId="21516"/>
    <cellStyle name="Comma 3 4 2" xfId="21517"/>
    <cellStyle name="Comma 3 4 2 2" xfId="21518"/>
    <cellStyle name="Comma 3 4 2 2 2" xfId="21519"/>
    <cellStyle name="Comma 3 4 2 2 2 2" xfId="21520"/>
    <cellStyle name="Comma 3 4 2 2 2 2 2" xfId="21521"/>
    <cellStyle name="Comma 3 4 2 2 2 2 3" xfId="21522"/>
    <cellStyle name="Comma 3 4 2 2 2 2 4" xfId="21523"/>
    <cellStyle name="Comma 3 4 2 2 2 2 5" xfId="21524"/>
    <cellStyle name="Comma 3 4 2 2 2 2 6" xfId="21525"/>
    <cellStyle name="Comma 3 4 2 2 2 3" xfId="21526"/>
    <cellStyle name="Comma 3 4 2 2 2 4" xfId="21527"/>
    <cellStyle name="Comma 3 4 2 2 2 5" xfId="21528"/>
    <cellStyle name="Comma 3 4 2 2 2 6" xfId="21529"/>
    <cellStyle name="Comma 3 4 2 2 2 7" xfId="21530"/>
    <cellStyle name="Comma 3 4 2 2 3" xfId="21531"/>
    <cellStyle name="Comma 3 4 2 2 3 2" xfId="21532"/>
    <cellStyle name="Comma 3 4 2 2 3 3" xfId="21533"/>
    <cellStyle name="Comma 3 4 2 2 3 4" xfId="21534"/>
    <cellStyle name="Comma 3 4 2 2 3 5" xfId="21535"/>
    <cellStyle name="Comma 3 4 2 2 3 6" xfId="21536"/>
    <cellStyle name="Comma 3 4 2 2 4" xfId="21537"/>
    <cellStyle name="Comma 3 4 2 2 5" xfId="21538"/>
    <cellStyle name="Comma 3 4 2 2 6" xfId="21539"/>
    <cellStyle name="Comma 3 4 2 2 7" xfId="21540"/>
    <cellStyle name="Comma 3 4 2 2 8" xfId="21541"/>
    <cellStyle name="Comma 3 4 2 3" xfId="21542"/>
    <cellStyle name="Comma 3 4 2 3 2" xfId="21543"/>
    <cellStyle name="Comma 3 4 2 3 2 2" xfId="21544"/>
    <cellStyle name="Comma 3 4 2 3 2 3" xfId="21545"/>
    <cellStyle name="Comma 3 4 2 3 2 4" xfId="21546"/>
    <cellStyle name="Comma 3 4 2 3 2 5" xfId="21547"/>
    <cellStyle name="Comma 3 4 2 3 2 6" xfId="21548"/>
    <cellStyle name="Comma 3 4 2 3 3" xfId="21549"/>
    <cellStyle name="Comma 3 4 2 3 4" xfId="21550"/>
    <cellStyle name="Comma 3 4 2 3 5" xfId="21551"/>
    <cellStyle name="Comma 3 4 2 3 6" xfId="21552"/>
    <cellStyle name="Comma 3 4 2 3 7" xfId="21553"/>
    <cellStyle name="Comma 3 4 2 4" xfId="21554"/>
    <cellStyle name="Comma 3 4 2 4 2" xfId="21555"/>
    <cellStyle name="Comma 3 4 2 4 3" xfId="21556"/>
    <cellStyle name="Comma 3 4 2 4 4" xfId="21557"/>
    <cellStyle name="Comma 3 4 2 4 5" xfId="21558"/>
    <cellStyle name="Comma 3 4 2 4 6" xfId="21559"/>
    <cellStyle name="Comma 3 4 2 5" xfId="21560"/>
    <cellStyle name="Comma 3 4 2 6" xfId="21561"/>
    <cellStyle name="Comma 3 4 2 7" xfId="21562"/>
    <cellStyle name="Comma 3 4 2 8" xfId="21563"/>
    <cellStyle name="Comma 3 4 2 9" xfId="21564"/>
    <cellStyle name="Comma 3 4 3" xfId="21565"/>
    <cellStyle name="Comma 3 4 3 2" xfId="21566"/>
    <cellStyle name="Comma 3 4 3 2 2" xfId="21567"/>
    <cellStyle name="Comma 3 4 3 2 2 2" xfId="21568"/>
    <cellStyle name="Comma 3 4 3 2 2 3" xfId="21569"/>
    <cellStyle name="Comma 3 4 3 2 2 4" xfId="21570"/>
    <cellStyle name="Comma 3 4 3 2 2 5" xfId="21571"/>
    <cellStyle name="Comma 3 4 3 2 2 6" xfId="21572"/>
    <cellStyle name="Comma 3 4 3 2 3" xfId="21573"/>
    <cellStyle name="Comma 3 4 3 2 4" xfId="21574"/>
    <cellStyle name="Comma 3 4 3 2 5" xfId="21575"/>
    <cellStyle name="Comma 3 4 3 2 6" xfId="21576"/>
    <cellStyle name="Comma 3 4 3 2 7" xfId="21577"/>
    <cellStyle name="Comma 3 4 3 3" xfId="21578"/>
    <cellStyle name="Comma 3 4 3 3 2" xfId="21579"/>
    <cellStyle name="Comma 3 4 3 3 3" xfId="21580"/>
    <cellStyle name="Comma 3 4 3 3 4" xfId="21581"/>
    <cellStyle name="Comma 3 4 3 3 5" xfId="21582"/>
    <cellStyle name="Comma 3 4 3 3 6" xfId="21583"/>
    <cellStyle name="Comma 3 4 3 4" xfId="21584"/>
    <cellStyle name="Comma 3 4 3 5" xfId="21585"/>
    <cellStyle name="Comma 3 4 3 6" xfId="21586"/>
    <cellStyle name="Comma 3 4 3 7" xfId="21587"/>
    <cellStyle name="Comma 3 4 3 8" xfId="21588"/>
    <cellStyle name="Comma 3 4 4" xfId="21589"/>
    <cellStyle name="Comma 3 4 4 2" xfId="21590"/>
    <cellStyle name="Comma 3 4 4 2 2" xfId="21591"/>
    <cellStyle name="Comma 3 4 4 2 3" xfId="21592"/>
    <cellStyle name="Comma 3 4 4 2 4" xfId="21593"/>
    <cellStyle name="Comma 3 4 4 2 5" xfId="21594"/>
    <cellStyle name="Comma 3 4 4 2 6" xfId="21595"/>
    <cellStyle name="Comma 3 4 4 3" xfId="21596"/>
    <cellStyle name="Comma 3 4 4 4" xfId="21597"/>
    <cellStyle name="Comma 3 4 4 5" xfId="21598"/>
    <cellStyle name="Comma 3 4 4 6" xfId="21599"/>
    <cellStyle name="Comma 3 4 4 7" xfId="21600"/>
    <cellStyle name="Comma 3 4 5" xfId="21601"/>
    <cellStyle name="Comma 3 4 5 2" xfId="21602"/>
    <cellStyle name="Comma 3 4 5 3" xfId="21603"/>
    <cellStyle name="Comma 3 4 5 4" xfId="21604"/>
    <cellStyle name="Comma 3 4 5 5" xfId="21605"/>
    <cellStyle name="Comma 3 4 5 6" xfId="21606"/>
    <cellStyle name="Comma 3 4 6" xfId="21607"/>
    <cellStyle name="Comma 3 4 7" xfId="21608"/>
    <cellStyle name="Comma 3 4 8" xfId="21609"/>
    <cellStyle name="Comma 3 4 9" xfId="21610"/>
    <cellStyle name="Comma 3 5" xfId="21611"/>
    <cellStyle name="Comma 3 5 10" xfId="21612"/>
    <cellStyle name="Comma 3 5 2" xfId="21613"/>
    <cellStyle name="Comma 3 5 2 2" xfId="21614"/>
    <cellStyle name="Comma 3 5 2 2 2" xfId="21615"/>
    <cellStyle name="Comma 3 5 2 2 2 2" xfId="21616"/>
    <cellStyle name="Comma 3 5 2 2 2 2 2" xfId="21617"/>
    <cellStyle name="Comma 3 5 2 2 2 2 3" xfId="21618"/>
    <cellStyle name="Comma 3 5 2 2 2 2 4" xfId="21619"/>
    <cellStyle name="Comma 3 5 2 2 2 2 5" xfId="21620"/>
    <cellStyle name="Comma 3 5 2 2 2 2 6" xfId="21621"/>
    <cellStyle name="Comma 3 5 2 2 2 3" xfId="21622"/>
    <cellStyle name="Comma 3 5 2 2 2 4" xfId="21623"/>
    <cellStyle name="Comma 3 5 2 2 2 5" xfId="21624"/>
    <cellStyle name="Comma 3 5 2 2 2 6" xfId="21625"/>
    <cellStyle name="Comma 3 5 2 2 2 7" xfId="21626"/>
    <cellStyle name="Comma 3 5 2 2 3" xfId="21627"/>
    <cellStyle name="Comma 3 5 2 2 3 2" xfId="21628"/>
    <cellStyle name="Comma 3 5 2 2 3 3" xfId="21629"/>
    <cellStyle name="Comma 3 5 2 2 3 4" xfId="21630"/>
    <cellStyle name="Comma 3 5 2 2 3 5" xfId="21631"/>
    <cellStyle name="Comma 3 5 2 2 3 6" xfId="21632"/>
    <cellStyle name="Comma 3 5 2 2 4" xfId="21633"/>
    <cellStyle name="Comma 3 5 2 2 5" xfId="21634"/>
    <cellStyle name="Comma 3 5 2 2 6" xfId="21635"/>
    <cellStyle name="Comma 3 5 2 2 7" xfId="21636"/>
    <cellStyle name="Comma 3 5 2 2 8" xfId="21637"/>
    <cellStyle name="Comma 3 5 2 3" xfId="21638"/>
    <cellStyle name="Comma 3 5 2 3 2" xfId="21639"/>
    <cellStyle name="Comma 3 5 2 3 2 2" xfId="21640"/>
    <cellStyle name="Comma 3 5 2 3 2 3" xfId="21641"/>
    <cellStyle name="Comma 3 5 2 3 2 4" xfId="21642"/>
    <cellStyle name="Comma 3 5 2 3 2 5" xfId="21643"/>
    <cellStyle name="Comma 3 5 2 3 2 6" xfId="21644"/>
    <cellStyle name="Comma 3 5 2 3 3" xfId="21645"/>
    <cellStyle name="Comma 3 5 2 3 4" xfId="21646"/>
    <cellStyle name="Comma 3 5 2 3 5" xfId="21647"/>
    <cellStyle name="Comma 3 5 2 3 6" xfId="21648"/>
    <cellStyle name="Comma 3 5 2 3 7" xfId="21649"/>
    <cellStyle name="Comma 3 5 2 4" xfId="21650"/>
    <cellStyle name="Comma 3 5 2 4 2" xfId="21651"/>
    <cellStyle name="Comma 3 5 2 4 3" xfId="21652"/>
    <cellStyle name="Comma 3 5 2 4 4" xfId="21653"/>
    <cellStyle name="Comma 3 5 2 4 5" xfId="21654"/>
    <cellStyle name="Comma 3 5 2 4 6" xfId="21655"/>
    <cellStyle name="Comma 3 5 2 5" xfId="21656"/>
    <cellStyle name="Comma 3 5 2 6" xfId="21657"/>
    <cellStyle name="Comma 3 5 2 7" xfId="21658"/>
    <cellStyle name="Comma 3 5 2 8" xfId="21659"/>
    <cellStyle name="Comma 3 5 2 9" xfId="21660"/>
    <cellStyle name="Comma 3 5 3" xfId="21661"/>
    <cellStyle name="Comma 3 5 3 2" xfId="21662"/>
    <cellStyle name="Comma 3 5 3 2 2" xfId="21663"/>
    <cellStyle name="Comma 3 5 3 2 2 2" xfId="21664"/>
    <cellStyle name="Comma 3 5 3 2 2 3" xfId="21665"/>
    <cellStyle name="Comma 3 5 3 2 2 4" xfId="21666"/>
    <cellStyle name="Comma 3 5 3 2 2 5" xfId="21667"/>
    <cellStyle name="Comma 3 5 3 2 2 6" xfId="21668"/>
    <cellStyle name="Comma 3 5 3 2 3" xfId="21669"/>
    <cellStyle name="Comma 3 5 3 2 4" xfId="21670"/>
    <cellStyle name="Comma 3 5 3 2 5" xfId="21671"/>
    <cellStyle name="Comma 3 5 3 2 6" xfId="21672"/>
    <cellStyle name="Comma 3 5 3 2 7" xfId="21673"/>
    <cellStyle name="Comma 3 5 3 3" xfId="21674"/>
    <cellStyle name="Comma 3 5 3 3 2" xfId="21675"/>
    <cellStyle name="Comma 3 5 3 3 3" xfId="21676"/>
    <cellStyle name="Comma 3 5 3 3 4" xfId="21677"/>
    <cellStyle name="Comma 3 5 3 3 5" xfId="21678"/>
    <cellStyle name="Comma 3 5 3 3 6" xfId="21679"/>
    <cellStyle name="Comma 3 5 3 4" xfId="21680"/>
    <cellStyle name="Comma 3 5 3 5" xfId="21681"/>
    <cellStyle name="Comma 3 5 3 6" xfId="21682"/>
    <cellStyle name="Comma 3 5 3 7" xfId="21683"/>
    <cellStyle name="Comma 3 5 3 8" xfId="21684"/>
    <cellStyle name="Comma 3 5 4" xfId="21685"/>
    <cellStyle name="Comma 3 5 4 2" xfId="21686"/>
    <cellStyle name="Comma 3 5 4 2 2" xfId="21687"/>
    <cellStyle name="Comma 3 5 4 2 3" xfId="21688"/>
    <cellStyle name="Comma 3 5 4 2 4" xfId="21689"/>
    <cellStyle name="Comma 3 5 4 2 5" xfId="21690"/>
    <cellStyle name="Comma 3 5 4 2 6" xfId="21691"/>
    <cellStyle name="Comma 3 5 4 3" xfId="21692"/>
    <cellStyle name="Comma 3 5 4 4" xfId="21693"/>
    <cellStyle name="Comma 3 5 4 5" xfId="21694"/>
    <cellStyle name="Comma 3 5 4 6" xfId="21695"/>
    <cellStyle name="Comma 3 5 4 7" xfId="21696"/>
    <cellStyle name="Comma 3 5 5" xfId="21697"/>
    <cellStyle name="Comma 3 5 5 2" xfId="21698"/>
    <cellStyle name="Comma 3 5 5 3" xfId="21699"/>
    <cellStyle name="Comma 3 5 5 4" xfId="21700"/>
    <cellStyle name="Comma 3 5 5 5" xfId="21701"/>
    <cellStyle name="Comma 3 5 5 6" xfId="21702"/>
    <cellStyle name="Comma 3 5 6" xfId="21703"/>
    <cellStyle name="Comma 3 5 7" xfId="21704"/>
    <cellStyle name="Comma 3 5 8" xfId="21705"/>
    <cellStyle name="Comma 3 5 9" xfId="21706"/>
    <cellStyle name="Comma 3 6" xfId="21707"/>
    <cellStyle name="Comma 3 7" xfId="21708"/>
    <cellStyle name="Comma 3 7 2" xfId="21709"/>
    <cellStyle name="Comma 3 7 2 2" xfId="21710"/>
    <cellStyle name="Comma 3 7 2 2 2" xfId="21711"/>
    <cellStyle name="Comma 3 7 2 2 2 2" xfId="21712"/>
    <cellStyle name="Comma 3 7 2 2 2 3" xfId="21713"/>
    <cellStyle name="Comma 3 7 2 2 2 4" xfId="21714"/>
    <cellStyle name="Comma 3 7 2 2 2 5" xfId="21715"/>
    <cellStyle name="Comma 3 7 2 2 2 6" xfId="21716"/>
    <cellStyle name="Comma 3 7 2 2 3" xfId="21717"/>
    <cellStyle name="Comma 3 7 2 2 4" xfId="21718"/>
    <cellStyle name="Comma 3 7 2 2 5" xfId="21719"/>
    <cellStyle name="Comma 3 7 2 2 6" xfId="21720"/>
    <cellStyle name="Comma 3 7 2 2 7" xfId="21721"/>
    <cellStyle name="Comma 3 7 2 3" xfId="21722"/>
    <cellStyle name="Comma 3 7 2 3 2" xfId="21723"/>
    <cellStyle name="Comma 3 7 2 3 3" xfId="21724"/>
    <cellStyle name="Comma 3 7 2 3 4" xfId="21725"/>
    <cellStyle name="Comma 3 7 2 3 5" xfId="21726"/>
    <cellStyle name="Comma 3 7 2 3 6" xfId="21727"/>
    <cellStyle name="Comma 3 7 2 4" xfId="21728"/>
    <cellStyle name="Comma 3 7 2 5" xfId="21729"/>
    <cellStyle name="Comma 3 7 2 6" xfId="21730"/>
    <cellStyle name="Comma 3 7 2 7" xfId="21731"/>
    <cellStyle name="Comma 3 7 2 8" xfId="21732"/>
    <cellStyle name="Comma 3 7 3" xfId="21733"/>
    <cellStyle name="Comma 3 7 3 2" xfId="21734"/>
    <cellStyle name="Comma 3 7 3 2 2" xfId="21735"/>
    <cellStyle name="Comma 3 7 3 2 3" xfId="21736"/>
    <cellStyle name="Comma 3 7 3 2 4" xfId="21737"/>
    <cellStyle name="Comma 3 7 3 2 5" xfId="21738"/>
    <cellStyle name="Comma 3 7 3 2 6" xfId="21739"/>
    <cellStyle name="Comma 3 7 3 3" xfId="21740"/>
    <cellStyle name="Comma 3 7 3 4" xfId="21741"/>
    <cellStyle name="Comma 3 7 3 5" xfId="21742"/>
    <cellStyle name="Comma 3 7 3 6" xfId="21743"/>
    <cellStyle name="Comma 3 7 3 7" xfId="21744"/>
    <cellStyle name="Comma 3 7 4" xfId="21745"/>
    <cellStyle name="Comma 3 7 4 2" xfId="21746"/>
    <cellStyle name="Comma 3 7 4 3" xfId="21747"/>
    <cellStyle name="Comma 3 7 4 4" xfId="21748"/>
    <cellStyle name="Comma 3 7 4 5" xfId="21749"/>
    <cellStyle name="Comma 3 7 4 6" xfId="21750"/>
    <cellStyle name="Comma 3 7 5" xfId="21751"/>
    <cellStyle name="Comma 3 7 6" xfId="21752"/>
    <cellStyle name="Comma 3 7 7" xfId="21753"/>
    <cellStyle name="Comma 3 7 8" xfId="21754"/>
    <cellStyle name="Comma 3 7 9" xfId="21755"/>
    <cellStyle name="Comma 3 8" xfId="21756"/>
    <cellStyle name="Comma 30" xfId="21757"/>
    <cellStyle name="Comma 30 2" xfId="21758"/>
    <cellStyle name="Comma 31" xfId="21759"/>
    <cellStyle name="Comma 31 2" xfId="21760"/>
    <cellStyle name="Comma 32" xfId="21761"/>
    <cellStyle name="Comma 32 2" xfId="21762"/>
    <cellStyle name="Comma 33" xfId="21763"/>
    <cellStyle name="Comma 33 2" xfId="21764"/>
    <cellStyle name="Comma 34" xfId="21765"/>
    <cellStyle name="Comma 34 2" xfId="21766"/>
    <cellStyle name="Comma 35" xfId="21767"/>
    <cellStyle name="Comma 35 2" xfId="21768"/>
    <cellStyle name="Comma 36" xfId="21769"/>
    <cellStyle name="Comma 36 2" xfId="21770"/>
    <cellStyle name="Comma 37" xfId="21771"/>
    <cellStyle name="Comma 37 2" xfId="21772"/>
    <cellStyle name="Comma 38" xfId="21773"/>
    <cellStyle name="Comma 38 2" xfId="21774"/>
    <cellStyle name="Comma 39" xfId="21775"/>
    <cellStyle name="Comma 39 2" xfId="21776"/>
    <cellStyle name="Comma 4" xfId="8"/>
    <cellStyle name="Comma 4 2" xfId="55"/>
    <cellStyle name="Comma 4 2 2" xfId="21777"/>
    <cellStyle name="Comma 4 3" xfId="21778"/>
    <cellStyle name="Comma 4 4" xfId="21779"/>
    <cellStyle name="Comma 40" xfId="21780"/>
    <cellStyle name="Comma 40 2" xfId="21781"/>
    <cellStyle name="Comma 41" xfId="21782"/>
    <cellStyle name="Comma 41 2" xfId="21783"/>
    <cellStyle name="Comma 42" xfId="21784"/>
    <cellStyle name="Comma 42 2" xfId="21785"/>
    <cellStyle name="Comma 43" xfId="21786"/>
    <cellStyle name="Comma 43 2" xfId="21787"/>
    <cellStyle name="Comma 44" xfId="21788"/>
    <cellStyle name="Comma 44 2" xfId="21789"/>
    <cellStyle name="Comma 45" xfId="21790"/>
    <cellStyle name="Comma 45 2" xfId="21791"/>
    <cellStyle name="Comma 46" xfId="21792"/>
    <cellStyle name="Comma 46 2" xfId="21793"/>
    <cellStyle name="Comma 47" xfId="21794"/>
    <cellStyle name="Comma 47 2" xfId="21795"/>
    <cellStyle name="Comma 48" xfId="21796"/>
    <cellStyle name="Comma 48 2" xfId="21797"/>
    <cellStyle name="Comma 49" xfId="21798"/>
    <cellStyle name="Comma 49 2" xfId="21799"/>
    <cellStyle name="Comma 5" xfId="11"/>
    <cellStyle name="Comma 5 2" xfId="21800"/>
    <cellStyle name="Comma 5 3" xfId="21801"/>
    <cellStyle name="Comma 5 4" xfId="21802"/>
    <cellStyle name="Comma 50" xfId="21803"/>
    <cellStyle name="Comma 50 2" xfId="21804"/>
    <cellStyle name="Comma 51" xfId="21805"/>
    <cellStyle name="Comma 51 2" xfId="21806"/>
    <cellStyle name="Comma 52" xfId="21807"/>
    <cellStyle name="Comma 52 2" xfId="21808"/>
    <cellStyle name="Comma 53" xfId="21809"/>
    <cellStyle name="Comma 53 2" xfId="21810"/>
    <cellStyle name="Comma 54" xfId="21811"/>
    <cellStyle name="Comma 54 2" xfId="21812"/>
    <cellStyle name="Comma 55" xfId="21813"/>
    <cellStyle name="Comma 55 2" xfId="21814"/>
    <cellStyle name="Comma 56" xfId="21815"/>
    <cellStyle name="Comma 56 2" xfId="21816"/>
    <cellStyle name="Comma 57" xfId="21817"/>
    <cellStyle name="Comma 57 2" xfId="21818"/>
    <cellStyle name="Comma 58" xfId="21819"/>
    <cellStyle name="Comma 59" xfId="21820"/>
    <cellStyle name="Comma 6" xfId="12"/>
    <cellStyle name="Comma 6 2" xfId="21821"/>
    <cellStyle name="Comma 6 3" xfId="21822"/>
    <cellStyle name="Comma 60" xfId="21823"/>
    <cellStyle name="Comma 61" xfId="21824"/>
    <cellStyle name="Comma 62" xfId="21825"/>
    <cellStyle name="Comma 63" xfId="21826"/>
    <cellStyle name="Comma 64" xfId="21827"/>
    <cellStyle name="Comma 65" xfId="21828"/>
    <cellStyle name="Comma 66" xfId="21829"/>
    <cellStyle name="Comma 67" xfId="21830"/>
    <cellStyle name="Comma 68" xfId="21831"/>
    <cellStyle name="Comma 69" xfId="21832"/>
    <cellStyle name="Comma 7" xfId="21833"/>
    <cellStyle name="Comma 7 2" xfId="21834"/>
    <cellStyle name="Comma 7 3" xfId="21835"/>
    <cellStyle name="Comma 7 4" xfId="21836"/>
    <cellStyle name="Comma 70" xfId="21837"/>
    <cellStyle name="Comma 71" xfId="21838"/>
    <cellStyle name="Comma 72" xfId="21839"/>
    <cellStyle name="Comma 73" xfId="21840"/>
    <cellStyle name="Comma 74" xfId="21841"/>
    <cellStyle name="Comma 75" xfId="21842"/>
    <cellStyle name="Comma 76" xfId="21843"/>
    <cellStyle name="Comma 77" xfId="21844"/>
    <cellStyle name="Comma 78" xfId="21845"/>
    <cellStyle name="Comma 79" xfId="21846"/>
    <cellStyle name="Comma 79 10" xfId="21847"/>
    <cellStyle name="Comma 79 2" xfId="21848"/>
    <cellStyle name="Comma 79 2 2" xfId="21849"/>
    <cellStyle name="Comma 79 2 2 2" xfId="21850"/>
    <cellStyle name="Comma 79 2 2 2 2" xfId="21851"/>
    <cellStyle name="Comma 79 2 2 2 2 2" xfId="21852"/>
    <cellStyle name="Comma 79 2 2 2 2 3" xfId="21853"/>
    <cellStyle name="Comma 79 2 2 2 2 4" xfId="21854"/>
    <cellStyle name="Comma 79 2 2 2 2 5" xfId="21855"/>
    <cellStyle name="Comma 79 2 2 2 2 6" xfId="21856"/>
    <cellStyle name="Comma 79 2 2 2 3" xfId="21857"/>
    <cellStyle name="Comma 79 2 2 2 4" xfId="21858"/>
    <cellStyle name="Comma 79 2 2 2 5" xfId="21859"/>
    <cellStyle name="Comma 79 2 2 2 6" xfId="21860"/>
    <cellStyle name="Comma 79 2 2 2 7" xfId="21861"/>
    <cellStyle name="Comma 79 2 2 3" xfId="21862"/>
    <cellStyle name="Comma 79 2 2 3 2" xfId="21863"/>
    <cellStyle name="Comma 79 2 2 3 3" xfId="21864"/>
    <cellStyle name="Comma 79 2 2 3 4" xfId="21865"/>
    <cellStyle name="Comma 79 2 2 3 5" xfId="21866"/>
    <cellStyle name="Comma 79 2 2 3 6" xfId="21867"/>
    <cellStyle name="Comma 79 2 2 4" xfId="21868"/>
    <cellStyle name="Comma 79 2 2 5" xfId="21869"/>
    <cellStyle name="Comma 79 2 2 6" xfId="21870"/>
    <cellStyle name="Comma 79 2 2 7" xfId="21871"/>
    <cellStyle name="Comma 79 2 2 8" xfId="21872"/>
    <cellStyle name="Comma 79 2 3" xfId="21873"/>
    <cellStyle name="Comma 79 2 3 2" xfId="21874"/>
    <cellStyle name="Comma 79 2 3 2 2" xfId="21875"/>
    <cellStyle name="Comma 79 2 3 2 3" xfId="21876"/>
    <cellStyle name="Comma 79 2 3 2 4" xfId="21877"/>
    <cellStyle name="Comma 79 2 3 2 5" xfId="21878"/>
    <cellStyle name="Comma 79 2 3 2 6" xfId="21879"/>
    <cellStyle name="Comma 79 2 3 3" xfId="21880"/>
    <cellStyle name="Comma 79 2 3 4" xfId="21881"/>
    <cellStyle name="Comma 79 2 3 5" xfId="21882"/>
    <cellStyle name="Comma 79 2 3 6" xfId="21883"/>
    <cellStyle name="Comma 79 2 3 7" xfId="21884"/>
    <cellStyle name="Comma 79 2 4" xfId="21885"/>
    <cellStyle name="Comma 79 2 4 2" xfId="21886"/>
    <cellStyle name="Comma 79 2 4 3" xfId="21887"/>
    <cellStyle name="Comma 79 2 4 4" xfId="21888"/>
    <cellStyle name="Comma 79 2 4 5" xfId="21889"/>
    <cellStyle name="Comma 79 2 4 6" xfId="21890"/>
    <cellStyle name="Comma 79 2 5" xfId="21891"/>
    <cellStyle name="Comma 79 2 6" xfId="21892"/>
    <cellStyle name="Comma 79 2 7" xfId="21893"/>
    <cellStyle name="Comma 79 2 8" xfId="21894"/>
    <cellStyle name="Comma 79 2 9" xfId="21895"/>
    <cellStyle name="Comma 79 3" xfId="21896"/>
    <cellStyle name="Comma 79 3 2" xfId="21897"/>
    <cellStyle name="Comma 79 3 2 2" xfId="21898"/>
    <cellStyle name="Comma 79 3 2 2 2" xfId="21899"/>
    <cellStyle name="Comma 79 3 2 2 3" xfId="21900"/>
    <cellStyle name="Comma 79 3 2 2 4" xfId="21901"/>
    <cellStyle name="Comma 79 3 2 2 5" xfId="21902"/>
    <cellStyle name="Comma 79 3 2 2 6" xfId="21903"/>
    <cellStyle name="Comma 79 3 2 3" xfId="21904"/>
    <cellStyle name="Comma 79 3 2 4" xfId="21905"/>
    <cellStyle name="Comma 79 3 2 5" xfId="21906"/>
    <cellStyle name="Comma 79 3 2 6" xfId="21907"/>
    <cellStyle name="Comma 79 3 2 7" xfId="21908"/>
    <cellStyle name="Comma 79 3 3" xfId="21909"/>
    <cellStyle name="Comma 79 3 3 2" xfId="21910"/>
    <cellStyle name="Comma 79 3 3 3" xfId="21911"/>
    <cellStyle name="Comma 79 3 3 4" xfId="21912"/>
    <cellStyle name="Comma 79 3 3 5" xfId="21913"/>
    <cellStyle name="Comma 79 3 3 6" xfId="21914"/>
    <cellStyle name="Comma 79 3 4" xfId="21915"/>
    <cellStyle name="Comma 79 3 5" xfId="21916"/>
    <cellStyle name="Comma 79 3 6" xfId="21917"/>
    <cellStyle name="Comma 79 3 7" xfId="21918"/>
    <cellStyle name="Comma 79 3 8" xfId="21919"/>
    <cellStyle name="Comma 79 4" xfId="21920"/>
    <cellStyle name="Comma 79 4 2" xfId="21921"/>
    <cellStyle name="Comma 79 4 2 2" xfId="21922"/>
    <cellStyle name="Comma 79 4 2 3" xfId="21923"/>
    <cellStyle name="Comma 79 4 2 4" xfId="21924"/>
    <cellStyle name="Comma 79 4 2 5" xfId="21925"/>
    <cellStyle name="Comma 79 4 2 6" xfId="21926"/>
    <cellStyle name="Comma 79 4 3" xfId="21927"/>
    <cellStyle name="Comma 79 4 4" xfId="21928"/>
    <cellStyle name="Comma 79 4 5" xfId="21929"/>
    <cellStyle name="Comma 79 4 6" xfId="21930"/>
    <cellStyle name="Comma 79 4 7" xfId="21931"/>
    <cellStyle name="Comma 79 5" xfId="21932"/>
    <cellStyle name="Comma 79 5 2" xfId="21933"/>
    <cellStyle name="Comma 79 5 3" xfId="21934"/>
    <cellStyle name="Comma 79 5 4" xfId="21935"/>
    <cellStyle name="Comma 79 5 5" xfId="21936"/>
    <cellStyle name="Comma 79 5 6" xfId="21937"/>
    <cellStyle name="Comma 79 6" xfId="21938"/>
    <cellStyle name="Comma 79 7" xfId="21939"/>
    <cellStyle name="Comma 79 8" xfId="21940"/>
    <cellStyle name="Comma 79 9" xfId="21941"/>
    <cellStyle name="Comma 8" xfId="21942"/>
    <cellStyle name="Comma 8 2" xfId="21943"/>
    <cellStyle name="Comma 8 3" xfId="21944"/>
    <cellStyle name="Comma 8 4" xfId="21945"/>
    <cellStyle name="Comma 80" xfId="21946"/>
    <cellStyle name="Comma 80 10" xfId="21947"/>
    <cellStyle name="Comma 80 2" xfId="21948"/>
    <cellStyle name="Comma 80 2 2" xfId="21949"/>
    <cellStyle name="Comma 80 2 2 2" xfId="21950"/>
    <cellStyle name="Comma 80 2 2 2 2" xfId="21951"/>
    <cellStyle name="Comma 80 2 2 2 2 2" xfId="21952"/>
    <cellStyle name="Comma 80 2 2 2 2 3" xfId="21953"/>
    <cellStyle name="Comma 80 2 2 2 2 4" xfId="21954"/>
    <cellStyle name="Comma 80 2 2 2 2 5" xfId="21955"/>
    <cellStyle name="Comma 80 2 2 2 2 6" xfId="21956"/>
    <cellStyle name="Comma 80 2 2 2 3" xfId="21957"/>
    <cellStyle name="Comma 80 2 2 2 4" xfId="21958"/>
    <cellStyle name="Comma 80 2 2 2 5" xfId="21959"/>
    <cellStyle name="Comma 80 2 2 2 6" xfId="21960"/>
    <cellStyle name="Comma 80 2 2 2 7" xfId="21961"/>
    <cellStyle name="Comma 80 2 2 3" xfId="21962"/>
    <cellStyle name="Comma 80 2 2 3 2" xfId="21963"/>
    <cellStyle name="Comma 80 2 2 3 3" xfId="21964"/>
    <cellStyle name="Comma 80 2 2 3 4" xfId="21965"/>
    <cellStyle name="Comma 80 2 2 3 5" xfId="21966"/>
    <cellStyle name="Comma 80 2 2 3 6" xfId="21967"/>
    <cellStyle name="Comma 80 2 2 4" xfId="21968"/>
    <cellStyle name="Comma 80 2 2 5" xfId="21969"/>
    <cellStyle name="Comma 80 2 2 6" xfId="21970"/>
    <cellStyle name="Comma 80 2 2 7" xfId="21971"/>
    <cellStyle name="Comma 80 2 2 8" xfId="21972"/>
    <cellStyle name="Comma 80 2 3" xfId="21973"/>
    <cellStyle name="Comma 80 2 3 2" xfId="21974"/>
    <cellStyle name="Comma 80 2 3 2 2" xfId="21975"/>
    <cellStyle name="Comma 80 2 3 2 3" xfId="21976"/>
    <cellStyle name="Comma 80 2 3 2 4" xfId="21977"/>
    <cellStyle name="Comma 80 2 3 2 5" xfId="21978"/>
    <cellStyle name="Comma 80 2 3 2 6" xfId="21979"/>
    <cellStyle name="Comma 80 2 3 3" xfId="21980"/>
    <cellStyle name="Comma 80 2 3 4" xfId="21981"/>
    <cellStyle name="Comma 80 2 3 5" xfId="21982"/>
    <cellStyle name="Comma 80 2 3 6" xfId="21983"/>
    <cellStyle name="Comma 80 2 3 7" xfId="21984"/>
    <cellStyle name="Comma 80 2 4" xfId="21985"/>
    <cellStyle name="Comma 80 2 4 2" xfId="21986"/>
    <cellStyle name="Comma 80 2 4 3" xfId="21987"/>
    <cellStyle name="Comma 80 2 4 4" xfId="21988"/>
    <cellStyle name="Comma 80 2 4 5" xfId="21989"/>
    <cellStyle name="Comma 80 2 4 6" xfId="21990"/>
    <cellStyle name="Comma 80 2 5" xfId="21991"/>
    <cellStyle name="Comma 80 2 6" xfId="21992"/>
    <cellStyle name="Comma 80 2 7" xfId="21993"/>
    <cellStyle name="Comma 80 2 8" xfId="21994"/>
    <cellStyle name="Comma 80 2 9" xfId="21995"/>
    <cellStyle name="Comma 80 3" xfId="21996"/>
    <cellStyle name="Comma 80 3 2" xfId="21997"/>
    <cellStyle name="Comma 80 3 2 2" xfId="21998"/>
    <cellStyle name="Comma 80 3 2 2 2" xfId="21999"/>
    <cellStyle name="Comma 80 3 2 2 3" xfId="22000"/>
    <cellStyle name="Comma 80 3 2 2 4" xfId="22001"/>
    <cellStyle name="Comma 80 3 2 2 5" xfId="22002"/>
    <cellStyle name="Comma 80 3 2 2 6" xfId="22003"/>
    <cellStyle name="Comma 80 3 2 3" xfId="22004"/>
    <cellStyle name="Comma 80 3 2 4" xfId="22005"/>
    <cellStyle name="Comma 80 3 2 5" xfId="22006"/>
    <cellStyle name="Comma 80 3 2 6" xfId="22007"/>
    <cellStyle name="Comma 80 3 2 7" xfId="22008"/>
    <cellStyle name="Comma 80 3 3" xfId="22009"/>
    <cellStyle name="Comma 80 3 3 2" xfId="22010"/>
    <cellStyle name="Comma 80 3 3 3" xfId="22011"/>
    <cellStyle name="Comma 80 3 3 4" xfId="22012"/>
    <cellStyle name="Comma 80 3 3 5" xfId="22013"/>
    <cellStyle name="Comma 80 3 3 6" xfId="22014"/>
    <cellStyle name="Comma 80 3 4" xfId="22015"/>
    <cellStyle name="Comma 80 3 5" xfId="22016"/>
    <cellStyle name="Comma 80 3 6" xfId="22017"/>
    <cellStyle name="Comma 80 3 7" xfId="22018"/>
    <cellStyle name="Comma 80 3 8" xfId="22019"/>
    <cellStyle name="Comma 80 4" xfId="22020"/>
    <cellStyle name="Comma 80 4 2" xfId="22021"/>
    <cellStyle name="Comma 80 4 2 2" xfId="22022"/>
    <cellStyle name="Comma 80 4 2 3" xfId="22023"/>
    <cellStyle name="Comma 80 4 2 4" xfId="22024"/>
    <cellStyle name="Comma 80 4 2 5" xfId="22025"/>
    <cellStyle name="Comma 80 4 2 6" xfId="22026"/>
    <cellStyle name="Comma 80 4 3" xfId="22027"/>
    <cellStyle name="Comma 80 4 4" xfId="22028"/>
    <cellStyle name="Comma 80 4 5" xfId="22029"/>
    <cellStyle name="Comma 80 4 6" xfId="22030"/>
    <cellStyle name="Comma 80 4 7" xfId="22031"/>
    <cellStyle name="Comma 80 5" xfId="22032"/>
    <cellStyle name="Comma 80 5 2" xfId="22033"/>
    <cellStyle name="Comma 80 5 3" xfId="22034"/>
    <cellStyle name="Comma 80 5 4" xfId="22035"/>
    <cellStyle name="Comma 80 5 5" xfId="22036"/>
    <cellStyle name="Comma 80 5 6" xfId="22037"/>
    <cellStyle name="Comma 80 6" xfId="22038"/>
    <cellStyle name="Comma 80 7" xfId="22039"/>
    <cellStyle name="Comma 80 8" xfId="22040"/>
    <cellStyle name="Comma 80 9" xfId="22041"/>
    <cellStyle name="Comma 81" xfId="22042"/>
    <cellStyle name="Comma 81 10" xfId="22043"/>
    <cellStyle name="Comma 81 2" xfId="22044"/>
    <cellStyle name="Comma 81 2 2" xfId="22045"/>
    <cellStyle name="Comma 81 2 2 2" xfId="22046"/>
    <cellStyle name="Comma 81 2 2 2 2" xfId="22047"/>
    <cellStyle name="Comma 81 2 2 2 2 2" xfId="22048"/>
    <cellStyle name="Comma 81 2 2 2 2 3" xfId="22049"/>
    <cellStyle name="Comma 81 2 2 2 2 4" xfId="22050"/>
    <cellStyle name="Comma 81 2 2 2 2 5" xfId="22051"/>
    <cellStyle name="Comma 81 2 2 2 2 6" xfId="22052"/>
    <cellStyle name="Comma 81 2 2 2 3" xfId="22053"/>
    <cellStyle name="Comma 81 2 2 2 4" xfId="22054"/>
    <cellStyle name="Comma 81 2 2 2 5" xfId="22055"/>
    <cellStyle name="Comma 81 2 2 2 6" xfId="22056"/>
    <cellStyle name="Comma 81 2 2 2 7" xfId="22057"/>
    <cellStyle name="Comma 81 2 2 3" xfId="22058"/>
    <cellStyle name="Comma 81 2 2 3 2" xfId="22059"/>
    <cellStyle name="Comma 81 2 2 3 3" xfId="22060"/>
    <cellStyle name="Comma 81 2 2 3 4" xfId="22061"/>
    <cellStyle name="Comma 81 2 2 3 5" xfId="22062"/>
    <cellStyle name="Comma 81 2 2 3 6" xfId="22063"/>
    <cellStyle name="Comma 81 2 2 4" xfId="22064"/>
    <cellStyle name="Comma 81 2 2 5" xfId="22065"/>
    <cellStyle name="Comma 81 2 2 6" xfId="22066"/>
    <cellStyle name="Comma 81 2 2 7" xfId="22067"/>
    <cellStyle name="Comma 81 2 2 8" xfId="22068"/>
    <cellStyle name="Comma 81 2 3" xfId="22069"/>
    <cellStyle name="Comma 81 2 3 2" xfId="22070"/>
    <cellStyle name="Comma 81 2 3 2 2" xfId="22071"/>
    <cellStyle name="Comma 81 2 3 2 3" xfId="22072"/>
    <cellStyle name="Comma 81 2 3 2 4" xfId="22073"/>
    <cellStyle name="Comma 81 2 3 2 5" xfId="22074"/>
    <cellStyle name="Comma 81 2 3 2 6" xfId="22075"/>
    <cellStyle name="Comma 81 2 3 3" xfId="22076"/>
    <cellStyle name="Comma 81 2 3 4" xfId="22077"/>
    <cellStyle name="Comma 81 2 3 5" xfId="22078"/>
    <cellStyle name="Comma 81 2 3 6" xfId="22079"/>
    <cellStyle name="Comma 81 2 3 7" xfId="22080"/>
    <cellStyle name="Comma 81 2 4" xfId="22081"/>
    <cellStyle name="Comma 81 2 4 2" xfId="22082"/>
    <cellStyle name="Comma 81 2 4 3" xfId="22083"/>
    <cellStyle name="Comma 81 2 4 4" xfId="22084"/>
    <cellStyle name="Comma 81 2 4 5" xfId="22085"/>
    <cellStyle name="Comma 81 2 4 6" xfId="22086"/>
    <cellStyle name="Comma 81 2 5" xfId="22087"/>
    <cellStyle name="Comma 81 2 6" xfId="22088"/>
    <cellStyle name="Comma 81 2 7" xfId="22089"/>
    <cellStyle name="Comma 81 2 8" xfId="22090"/>
    <cellStyle name="Comma 81 2 9" xfId="22091"/>
    <cellStyle name="Comma 81 3" xfId="22092"/>
    <cellStyle name="Comma 81 3 2" xfId="22093"/>
    <cellStyle name="Comma 81 3 2 2" xfId="22094"/>
    <cellStyle name="Comma 81 3 2 2 2" xfId="22095"/>
    <cellStyle name="Comma 81 3 2 2 3" xfId="22096"/>
    <cellStyle name="Comma 81 3 2 2 4" xfId="22097"/>
    <cellStyle name="Comma 81 3 2 2 5" xfId="22098"/>
    <cellStyle name="Comma 81 3 2 2 6" xfId="22099"/>
    <cellStyle name="Comma 81 3 2 3" xfId="22100"/>
    <cellStyle name="Comma 81 3 2 4" xfId="22101"/>
    <cellStyle name="Comma 81 3 2 5" xfId="22102"/>
    <cellStyle name="Comma 81 3 2 6" xfId="22103"/>
    <cellStyle name="Comma 81 3 2 7" xfId="22104"/>
    <cellStyle name="Comma 81 3 3" xfId="22105"/>
    <cellStyle name="Comma 81 3 3 2" xfId="22106"/>
    <cellStyle name="Comma 81 3 3 3" xfId="22107"/>
    <cellStyle name="Comma 81 3 3 4" xfId="22108"/>
    <cellStyle name="Comma 81 3 3 5" xfId="22109"/>
    <cellStyle name="Comma 81 3 3 6" xfId="22110"/>
    <cellStyle name="Comma 81 3 4" xfId="22111"/>
    <cellStyle name="Comma 81 3 5" xfId="22112"/>
    <cellStyle name="Comma 81 3 6" xfId="22113"/>
    <cellStyle name="Comma 81 3 7" xfId="22114"/>
    <cellStyle name="Comma 81 3 8" xfId="22115"/>
    <cellStyle name="Comma 81 4" xfId="22116"/>
    <cellStyle name="Comma 81 4 2" xfId="22117"/>
    <cellStyle name="Comma 81 4 2 2" xfId="22118"/>
    <cellStyle name="Comma 81 4 2 3" xfId="22119"/>
    <cellStyle name="Comma 81 4 2 4" xfId="22120"/>
    <cellStyle name="Comma 81 4 2 5" xfId="22121"/>
    <cellStyle name="Comma 81 4 2 6" xfId="22122"/>
    <cellStyle name="Comma 81 4 3" xfId="22123"/>
    <cellStyle name="Comma 81 4 4" xfId="22124"/>
    <cellStyle name="Comma 81 4 5" xfId="22125"/>
    <cellStyle name="Comma 81 4 6" xfId="22126"/>
    <cellStyle name="Comma 81 4 7" xfId="22127"/>
    <cellStyle name="Comma 81 5" xfId="22128"/>
    <cellStyle name="Comma 81 5 2" xfId="22129"/>
    <cellStyle name="Comma 81 5 3" xfId="22130"/>
    <cellStyle name="Comma 81 5 4" xfId="22131"/>
    <cellStyle name="Comma 81 5 5" xfId="22132"/>
    <cellStyle name="Comma 81 5 6" xfId="22133"/>
    <cellStyle name="Comma 81 6" xfId="22134"/>
    <cellStyle name="Comma 81 7" xfId="22135"/>
    <cellStyle name="Comma 81 8" xfId="22136"/>
    <cellStyle name="Comma 81 9" xfId="22137"/>
    <cellStyle name="Comma 82" xfId="22138"/>
    <cellStyle name="Comma 82 10" xfId="22139"/>
    <cellStyle name="Comma 82 2" xfId="22140"/>
    <cellStyle name="Comma 82 2 2" xfId="22141"/>
    <cellStyle name="Comma 82 2 2 2" xfId="22142"/>
    <cellStyle name="Comma 82 2 2 2 2" xfId="22143"/>
    <cellStyle name="Comma 82 2 2 2 2 2" xfId="22144"/>
    <cellStyle name="Comma 82 2 2 2 2 3" xfId="22145"/>
    <cellStyle name="Comma 82 2 2 2 2 4" xfId="22146"/>
    <cellStyle name="Comma 82 2 2 2 2 5" xfId="22147"/>
    <cellStyle name="Comma 82 2 2 2 2 6" xfId="22148"/>
    <cellStyle name="Comma 82 2 2 2 3" xfId="22149"/>
    <cellStyle name="Comma 82 2 2 2 4" xfId="22150"/>
    <cellStyle name="Comma 82 2 2 2 5" xfId="22151"/>
    <cellStyle name="Comma 82 2 2 2 6" xfId="22152"/>
    <cellStyle name="Comma 82 2 2 2 7" xfId="22153"/>
    <cellStyle name="Comma 82 2 2 3" xfId="22154"/>
    <cellStyle name="Comma 82 2 2 3 2" xfId="22155"/>
    <cellStyle name="Comma 82 2 2 3 3" xfId="22156"/>
    <cellStyle name="Comma 82 2 2 3 4" xfId="22157"/>
    <cellStyle name="Comma 82 2 2 3 5" xfId="22158"/>
    <cellStyle name="Comma 82 2 2 3 6" xfId="22159"/>
    <cellStyle name="Comma 82 2 2 4" xfId="22160"/>
    <cellStyle name="Comma 82 2 2 5" xfId="22161"/>
    <cellStyle name="Comma 82 2 2 6" xfId="22162"/>
    <cellStyle name="Comma 82 2 2 7" xfId="22163"/>
    <cellStyle name="Comma 82 2 2 8" xfId="22164"/>
    <cellStyle name="Comma 82 2 3" xfId="22165"/>
    <cellStyle name="Comma 82 2 3 2" xfId="22166"/>
    <cellStyle name="Comma 82 2 3 2 2" xfId="22167"/>
    <cellStyle name="Comma 82 2 3 2 3" xfId="22168"/>
    <cellStyle name="Comma 82 2 3 2 4" xfId="22169"/>
    <cellStyle name="Comma 82 2 3 2 5" xfId="22170"/>
    <cellStyle name="Comma 82 2 3 2 6" xfId="22171"/>
    <cellStyle name="Comma 82 2 3 3" xfId="22172"/>
    <cellStyle name="Comma 82 2 3 4" xfId="22173"/>
    <cellStyle name="Comma 82 2 3 5" xfId="22174"/>
    <cellStyle name="Comma 82 2 3 6" xfId="22175"/>
    <cellStyle name="Comma 82 2 3 7" xfId="22176"/>
    <cellStyle name="Comma 82 2 4" xfId="22177"/>
    <cellStyle name="Comma 82 2 4 2" xfId="22178"/>
    <cellStyle name="Comma 82 2 4 3" xfId="22179"/>
    <cellStyle name="Comma 82 2 4 4" xfId="22180"/>
    <cellStyle name="Comma 82 2 4 5" xfId="22181"/>
    <cellStyle name="Comma 82 2 4 6" xfId="22182"/>
    <cellStyle name="Comma 82 2 5" xfId="22183"/>
    <cellStyle name="Comma 82 2 6" xfId="22184"/>
    <cellStyle name="Comma 82 2 7" xfId="22185"/>
    <cellStyle name="Comma 82 2 8" xfId="22186"/>
    <cellStyle name="Comma 82 2 9" xfId="22187"/>
    <cellStyle name="Comma 82 3" xfId="22188"/>
    <cellStyle name="Comma 82 3 2" xfId="22189"/>
    <cellStyle name="Comma 82 3 2 2" xfId="22190"/>
    <cellStyle name="Comma 82 3 2 2 2" xfId="22191"/>
    <cellStyle name="Comma 82 3 2 2 3" xfId="22192"/>
    <cellStyle name="Comma 82 3 2 2 4" xfId="22193"/>
    <cellStyle name="Comma 82 3 2 2 5" xfId="22194"/>
    <cellStyle name="Comma 82 3 2 2 6" xfId="22195"/>
    <cellStyle name="Comma 82 3 2 3" xfId="22196"/>
    <cellStyle name="Comma 82 3 2 4" xfId="22197"/>
    <cellStyle name="Comma 82 3 2 5" xfId="22198"/>
    <cellStyle name="Comma 82 3 2 6" xfId="22199"/>
    <cellStyle name="Comma 82 3 2 7" xfId="22200"/>
    <cellStyle name="Comma 82 3 3" xfId="22201"/>
    <cellStyle name="Comma 82 3 3 2" xfId="22202"/>
    <cellStyle name="Comma 82 3 3 3" xfId="22203"/>
    <cellStyle name="Comma 82 3 3 4" xfId="22204"/>
    <cellStyle name="Comma 82 3 3 5" xfId="22205"/>
    <cellStyle name="Comma 82 3 3 6" xfId="22206"/>
    <cellStyle name="Comma 82 3 4" xfId="22207"/>
    <cellStyle name="Comma 82 3 5" xfId="22208"/>
    <cellStyle name="Comma 82 3 6" xfId="22209"/>
    <cellStyle name="Comma 82 3 7" xfId="22210"/>
    <cellStyle name="Comma 82 3 8" xfId="22211"/>
    <cellStyle name="Comma 82 4" xfId="22212"/>
    <cellStyle name="Comma 82 4 2" xfId="22213"/>
    <cellStyle name="Comma 82 4 2 2" xfId="22214"/>
    <cellStyle name="Comma 82 4 2 3" xfId="22215"/>
    <cellStyle name="Comma 82 4 2 4" xfId="22216"/>
    <cellStyle name="Comma 82 4 2 5" xfId="22217"/>
    <cellStyle name="Comma 82 4 2 6" xfId="22218"/>
    <cellStyle name="Comma 82 4 3" xfId="22219"/>
    <cellStyle name="Comma 82 4 4" xfId="22220"/>
    <cellStyle name="Comma 82 4 5" xfId="22221"/>
    <cellStyle name="Comma 82 4 6" xfId="22222"/>
    <cellStyle name="Comma 82 4 7" xfId="22223"/>
    <cellStyle name="Comma 82 5" xfId="22224"/>
    <cellStyle name="Comma 82 5 2" xfId="22225"/>
    <cellStyle name="Comma 82 5 3" xfId="22226"/>
    <cellStyle name="Comma 82 5 4" xfId="22227"/>
    <cellStyle name="Comma 82 5 5" xfId="22228"/>
    <cellStyle name="Comma 82 5 6" xfId="22229"/>
    <cellStyle name="Comma 82 6" xfId="22230"/>
    <cellStyle name="Comma 82 7" xfId="22231"/>
    <cellStyle name="Comma 82 8" xfId="22232"/>
    <cellStyle name="Comma 82 9" xfId="22233"/>
    <cellStyle name="Comma 83" xfId="22234"/>
    <cellStyle name="Comma 83 10" xfId="22235"/>
    <cellStyle name="Comma 83 2" xfId="22236"/>
    <cellStyle name="Comma 83 2 2" xfId="22237"/>
    <cellStyle name="Comma 83 2 2 2" xfId="22238"/>
    <cellStyle name="Comma 83 2 2 2 2" xfId="22239"/>
    <cellStyle name="Comma 83 2 2 2 2 2" xfId="22240"/>
    <cellStyle name="Comma 83 2 2 2 2 3" xfId="22241"/>
    <cellStyle name="Comma 83 2 2 2 2 4" xfId="22242"/>
    <cellStyle name="Comma 83 2 2 2 2 5" xfId="22243"/>
    <cellStyle name="Comma 83 2 2 2 2 6" xfId="22244"/>
    <cellStyle name="Comma 83 2 2 2 3" xfId="22245"/>
    <cellStyle name="Comma 83 2 2 2 4" xfId="22246"/>
    <cellStyle name="Comma 83 2 2 2 5" xfId="22247"/>
    <cellStyle name="Comma 83 2 2 2 6" xfId="22248"/>
    <cellStyle name="Comma 83 2 2 2 7" xfId="22249"/>
    <cellStyle name="Comma 83 2 2 3" xfId="22250"/>
    <cellStyle name="Comma 83 2 2 3 2" xfId="22251"/>
    <cellStyle name="Comma 83 2 2 3 3" xfId="22252"/>
    <cellStyle name="Comma 83 2 2 3 4" xfId="22253"/>
    <cellStyle name="Comma 83 2 2 3 5" xfId="22254"/>
    <cellStyle name="Comma 83 2 2 3 6" xfId="22255"/>
    <cellStyle name="Comma 83 2 2 4" xfId="22256"/>
    <cellStyle name="Comma 83 2 2 5" xfId="22257"/>
    <cellStyle name="Comma 83 2 2 6" xfId="22258"/>
    <cellStyle name="Comma 83 2 2 7" xfId="22259"/>
    <cellStyle name="Comma 83 2 2 8" xfId="22260"/>
    <cellStyle name="Comma 83 2 3" xfId="22261"/>
    <cellStyle name="Comma 83 2 3 2" xfId="22262"/>
    <cellStyle name="Comma 83 2 3 2 2" xfId="22263"/>
    <cellStyle name="Comma 83 2 3 2 3" xfId="22264"/>
    <cellStyle name="Comma 83 2 3 2 4" xfId="22265"/>
    <cellStyle name="Comma 83 2 3 2 5" xfId="22266"/>
    <cellStyle name="Comma 83 2 3 2 6" xfId="22267"/>
    <cellStyle name="Comma 83 2 3 3" xfId="22268"/>
    <cellStyle name="Comma 83 2 3 4" xfId="22269"/>
    <cellStyle name="Comma 83 2 3 5" xfId="22270"/>
    <cellStyle name="Comma 83 2 3 6" xfId="22271"/>
    <cellStyle name="Comma 83 2 3 7" xfId="22272"/>
    <cellStyle name="Comma 83 2 4" xfId="22273"/>
    <cellStyle name="Comma 83 2 4 2" xfId="22274"/>
    <cellStyle name="Comma 83 2 4 3" xfId="22275"/>
    <cellStyle name="Comma 83 2 4 4" xfId="22276"/>
    <cellStyle name="Comma 83 2 4 5" xfId="22277"/>
    <cellStyle name="Comma 83 2 4 6" xfId="22278"/>
    <cellStyle name="Comma 83 2 5" xfId="22279"/>
    <cellStyle name="Comma 83 2 6" xfId="22280"/>
    <cellStyle name="Comma 83 2 7" xfId="22281"/>
    <cellStyle name="Comma 83 2 8" xfId="22282"/>
    <cellStyle name="Comma 83 2 9" xfId="22283"/>
    <cellStyle name="Comma 83 3" xfId="22284"/>
    <cellStyle name="Comma 83 3 2" xfId="22285"/>
    <cellStyle name="Comma 83 3 2 2" xfId="22286"/>
    <cellStyle name="Comma 83 3 2 2 2" xfId="22287"/>
    <cellStyle name="Comma 83 3 2 2 3" xfId="22288"/>
    <cellStyle name="Comma 83 3 2 2 4" xfId="22289"/>
    <cellStyle name="Comma 83 3 2 2 5" xfId="22290"/>
    <cellStyle name="Comma 83 3 2 2 6" xfId="22291"/>
    <cellStyle name="Comma 83 3 2 3" xfId="22292"/>
    <cellStyle name="Comma 83 3 2 4" xfId="22293"/>
    <cellStyle name="Comma 83 3 2 5" xfId="22294"/>
    <cellStyle name="Comma 83 3 2 6" xfId="22295"/>
    <cellStyle name="Comma 83 3 2 7" xfId="22296"/>
    <cellStyle name="Comma 83 3 3" xfId="22297"/>
    <cellStyle name="Comma 83 3 3 2" xfId="22298"/>
    <cellStyle name="Comma 83 3 3 3" xfId="22299"/>
    <cellStyle name="Comma 83 3 3 4" xfId="22300"/>
    <cellStyle name="Comma 83 3 3 5" xfId="22301"/>
    <cellStyle name="Comma 83 3 3 6" xfId="22302"/>
    <cellStyle name="Comma 83 3 4" xfId="22303"/>
    <cellStyle name="Comma 83 3 5" xfId="22304"/>
    <cellStyle name="Comma 83 3 6" xfId="22305"/>
    <cellStyle name="Comma 83 3 7" xfId="22306"/>
    <cellStyle name="Comma 83 3 8" xfId="22307"/>
    <cellStyle name="Comma 83 4" xfId="22308"/>
    <cellStyle name="Comma 83 4 2" xfId="22309"/>
    <cellStyle name="Comma 83 4 2 2" xfId="22310"/>
    <cellStyle name="Comma 83 4 2 3" xfId="22311"/>
    <cellStyle name="Comma 83 4 2 4" xfId="22312"/>
    <cellStyle name="Comma 83 4 2 5" xfId="22313"/>
    <cellStyle name="Comma 83 4 2 6" xfId="22314"/>
    <cellStyle name="Comma 83 4 3" xfId="22315"/>
    <cellStyle name="Comma 83 4 4" xfId="22316"/>
    <cellStyle name="Comma 83 4 5" xfId="22317"/>
    <cellStyle name="Comma 83 4 6" xfId="22318"/>
    <cellStyle name="Comma 83 4 7" xfId="22319"/>
    <cellStyle name="Comma 83 5" xfId="22320"/>
    <cellStyle name="Comma 83 5 2" xfId="22321"/>
    <cellStyle name="Comma 83 5 3" xfId="22322"/>
    <cellStyle name="Comma 83 5 4" xfId="22323"/>
    <cellStyle name="Comma 83 5 5" xfId="22324"/>
    <cellStyle name="Comma 83 5 6" xfId="22325"/>
    <cellStyle name="Comma 83 6" xfId="22326"/>
    <cellStyle name="Comma 83 7" xfId="22327"/>
    <cellStyle name="Comma 83 8" xfId="22328"/>
    <cellStyle name="Comma 83 9" xfId="22329"/>
    <cellStyle name="Comma 84" xfId="22330"/>
    <cellStyle name="Comma 84 10" xfId="22331"/>
    <cellStyle name="Comma 84 2" xfId="22332"/>
    <cellStyle name="Comma 84 2 2" xfId="22333"/>
    <cellStyle name="Comma 84 2 2 2" xfId="22334"/>
    <cellStyle name="Comma 84 2 2 2 2" xfId="22335"/>
    <cellStyle name="Comma 84 2 2 2 2 2" xfId="22336"/>
    <cellStyle name="Comma 84 2 2 2 2 3" xfId="22337"/>
    <cellStyle name="Comma 84 2 2 2 2 4" xfId="22338"/>
    <cellStyle name="Comma 84 2 2 2 2 5" xfId="22339"/>
    <cellStyle name="Comma 84 2 2 2 2 6" xfId="22340"/>
    <cellStyle name="Comma 84 2 2 2 3" xfId="22341"/>
    <cellStyle name="Comma 84 2 2 2 4" xfId="22342"/>
    <cellStyle name="Comma 84 2 2 2 5" xfId="22343"/>
    <cellStyle name="Comma 84 2 2 2 6" xfId="22344"/>
    <cellStyle name="Comma 84 2 2 2 7" xfId="22345"/>
    <cellStyle name="Comma 84 2 2 3" xfId="22346"/>
    <cellStyle name="Comma 84 2 2 3 2" xfId="22347"/>
    <cellStyle name="Comma 84 2 2 3 3" xfId="22348"/>
    <cellStyle name="Comma 84 2 2 3 4" xfId="22349"/>
    <cellStyle name="Comma 84 2 2 3 5" xfId="22350"/>
    <cellStyle name="Comma 84 2 2 3 6" xfId="22351"/>
    <cellStyle name="Comma 84 2 2 4" xfId="22352"/>
    <cellStyle name="Comma 84 2 2 5" xfId="22353"/>
    <cellStyle name="Comma 84 2 2 6" xfId="22354"/>
    <cellStyle name="Comma 84 2 2 7" xfId="22355"/>
    <cellStyle name="Comma 84 2 2 8" xfId="22356"/>
    <cellStyle name="Comma 84 2 3" xfId="22357"/>
    <cellStyle name="Comma 84 2 3 2" xfId="22358"/>
    <cellStyle name="Comma 84 2 3 2 2" xfId="22359"/>
    <cellStyle name="Comma 84 2 3 2 3" xfId="22360"/>
    <cellStyle name="Comma 84 2 3 2 4" xfId="22361"/>
    <cellStyle name="Comma 84 2 3 2 5" xfId="22362"/>
    <cellStyle name="Comma 84 2 3 2 6" xfId="22363"/>
    <cellStyle name="Comma 84 2 3 3" xfId="22364"/>
    <cellStyle name="Comma 84 2 3 4" xfId="22365"/>
    <cellStyle name="Comma 84 2 3 5" xfId="22366"/>
    <cellStyle name="Comma 84 2 3 6" xfId="22367"/>
    <cellStyle name="Comma 84 2 3 7" xfId="22368"/>
    <cellStyle name="Comma 84 2 4" xfId="22369"/>
    <cellStyle name="Comma 84 2 4 2" xfId="22370"/>
    <cellStyle name="Comma 84 2 4 3" xfId="22371"/>
    <cellStyle name="Comma 84 2 4 4" xfId="22372"/>
    <cellStyle name="Comma 84 2 4 5" xfId="22373"/>
    <cellStyle name="Comma 84 2 4 6" xfId="22374"/>
    <cellStyle name="Comma 84 2 5" xfId="22375"/>
    <cellStyle name="Comma 84 2 6" xfId="22376"/>
    <cellStyle name="Comma 84 2 7" xfId="22377"/>
    <cellStyle name="Comma 84 2 8" xfId="22378"/>
    <cellStyle name="Comma 84 2 9" xfId="22379"/>
    <cellStyle name="Comma 84 3" xfId="22380"/>
    <cellStyle name="Comma 84 3 2" xfId="22381"/>
    <cellStyle name="Comma 84 3 2 2" xfId="22382"/>
    <cellStyle name="Comma 84 3 2 2 2" xfId="22383"/>
    <cellStyle name="Comma 84 3 2 2 3" xfId="22384"/>
    <cellStyle name="Comma 84 3 2 2 4" xfId="22385"/>
    <cellStyle name="Comma 84 3 2 2 5" xfId="22386"/>
    <cellStyle name="Comma 84 3 2 2 6" xfId="22387"/>
    <cellStyle name="Comma 84 3 2 3" xfId="22388"/>
    <cellStyle name="Comma 84 3 2 4" xfId="22389"/>
    <cellStyle name="Comma 84 3 2 5" xfId="22390"/>
    <cellStyle name="Comma 84 3 2 6" xfId="22391"/>
    <cellStyle name="Comma 84 3 2 7" xfId="22392"/>
    <cellStyle name="Comma 84 3 3" xfId="22393"/>
    <cellStyle name="Comma 84 3 3 2" xfId="22394"/>
    <cellStyle name="Comma 84 3 3 3" xfId="22395"/>
    <cellStyle name="Comma 84 3 3 4" xfId="22396"/>
    <cellStyle name="Comma 84 3 3 5" xfId="22397"/>
    <cellStyle name="Comma 84 3 3 6" xfId="22398"/>
    <cellStyle name="Comma 84 3 4" xfId="22399"/>
    <cellStyle name="Comma 84 3 5" xfId="22400"/>
    <cellStyle name="Comma 84 3 6" xfId="22401"/>
    <cellStyle name="Comma 84 3 7" xfId="22402"/>
    <cellStyle name="Comma 84 3 8" xfId="22403"/>
    <cellStyle name="Comma 84 4" xfId="22404"/>
    <cellStyle name="Comma 84 4 2" xfId="22405"/>
    <cellStyle name="Comma 84 4 2 2" xfId="22406"/>
    <cellStyle name="Comma 84 4 2 3" xfId="22407"/>
    <cellStyle name="Comma 84 4 2 4" xfId="22408"/>
    <cellStyle name="Comma 84 4 2 5" xfId="22409"/>
    <cellStyle name="Comma 84 4 2 6" xfId="22410"/>
    <cellStyle name="Comma 84 4 3" xfId="22411"/>
    <cellStyle name="Comma 84 4 4" xfId="22412"/>
    <cellStyle name="Comma 84 4 5" xfId="22413"/>
    <cellStyle name="Comma 84 4 6" xfId="22414"/>
    <cellStyle name="Comma 84 4 7" xfId="22415"/>
    <cellStyle name="Comma 84 5" xfId="22416"/>
    <cellStyle name="Comma 84 5 2" xfId="22417"/>
    <cellStyle name="Comma 84 5 3" xfId="22418"/>
    <cellStyle name="Comma 84 5 4" xfId="22419"/>
    <cellStyle name="Comma 84 5 5" xfId="22420"/>
    <cellStyle name="Comma 84 5 6" xfId="22421"/>
    <cellStyle name="Comma 84 6" xfId="22422"/>
    <cellStyle name="Comma 84 7" xfId="22423"/>
    <cellStyle name="Comma 84 8" xfId="22424"/>
    <cellStyle name="Comma 84 9" xfId="22425"/>
    <cellStyle name="Comma 85" xfId="22426"/>
    <cellStyle name="Comma 85 10" xfId="22427"/>
    <cellStyle name="Comma 85 2" xfId="22428"/>
    <cellStyle name="Comma 85 2 2" xfId="22429"/>
    <cellStyle name="Comma 85 2 2 2" xfId="22430"/>
    <cellStyle name="Comma 85 2 2 2 2" xfId="22431"/>
    <cellStyle name="Comma 85 2 2 2 2 2" xfId="22432"/>
    <cellStyle name="Comma 85 2 2 2 2 3" xfId="22433"/>
    <cellStyle name="Comma 85 2 2 2 2 4" xfId="22434"/>
    <cellStyle name="Comma 85 2 2 2 2 5" xfId="22435"/>
    <cellStyle name="Comma 85 2 2 2 2 6" xfId="22436"/>
    <cellStyle name="Comma 85 2 2 2 3" xfId="22437"/>
    <cellStyle name="Comma 85 2 2 2 4" xfId="22438"/>
    <cellStyle name="Comma 85 2 2 2 5" xfId="22439"/>
    <cellStyle name="Comma 85 2 2 2 6" xfId="22440"/>
    <cellStyle name="Comma 85 2 2 2 7" xfId="22441"/>
    <cellStyle name="Comma 85 2 2 3" xfId="22442"/>
    <cellStyle name="Comma 85 2 2 3 2" xfId="22443"/>
    <cellStyle name="Comma 85 2 2 3 3" xfId="22444"/>
    <cellStyle name="Comma 85 2 2 3 4" xfId="22445"/>
    <cellStyle name="Comma 85 2 2 3 5" xfId="22446"/>
    <cellStyle name="Comma 85 2 2 3 6" xfId="22447"/>
    <cellStyle name="Comma 85 2 2 4" xfId="22448"/>
    <cellStyle name="Comma 85 2 2 5" xfId="22449"/>
    <cellStyle name="Comma 85 2 2 6" xfId="22450"/>
    <cellStyle name="Comma 85 2 2 7" xfId="22451"/>
    <cellStyle name="Comma 85 2 2 8" xfId="22452"/>
    <cellStyle name="Comma 85 2 3" xfId="22453"/>
    <cellStyle name="Comma 85 2 3 2" xfId="22454"/>
    <cellStyle name="Comma 85 2 3 2 2" xfId="22455"/>
    <cellStyle name="Comma 85 2 3 2 3" xfId="22456"/>
    <cellStyle name="Comma 85 2 3 2 4" xfId="22457"/>
    <cellStyle name="Comma 85 2 3 2 5" xfId="22458"/>
    <cellStyle name="Comma 85 2 3 2 6" xfId="22459"/>
    <cellStyle name="Comma 85 2 3 3" xfId="22460"/>
    <cellStyle name="Comma 85 2 3 4" xfId="22461"/>
    <cellStyle name="Comma 85 2 3 5" xfId="22462"/>
    <cellStyle name="Comma 85 2 3 6" xfId="22463"/>
    <cellStyle name="Comma 85 2 3 7" xfId="22464"/>
    <cellStyle name="Comma 85 2 4" xfId="22465"/>
    <cellStyle name="Comma 85 2 4 2" xfId="22466"/>
    <cellStyle name="Comma 85 2 4 3" xfId="22467"/>
    <cellStyle name="Comma 85 2 4 4" xfId="22468"/>
    <cellStyle name="Comma 85 2 4 5" xfId="22469"/>
    <cellStyle name="Comma 85 2 4 6" xfId="22470"/>
    <cellStyle name="Comma 85 2 5" xfId="22471"/>
    <cellStyle name="Comma 85 2 6" xfId="22472"/>
    <cellStyle name="Comma 85 2 7" xfId="22473"/>
    <cellStyle name="Comma 85 2 8" xfId="22474"/>
    <cellStyle name="Comma 85 2 9" xfId="22475"/>
    <cellStyle name="Comma 85 3" xfId="22476"/>
    <cellStyle name="Comma 85 3 2" xfId="22477"/>
    <cellStyle name="Comma 85 3 2 2" xfId="22478"/>
    <cellStyle name="Comma 85 3 2 2 2" xfId="22479"/>
    <cellStyle name="Comma 85 3 2 2 3" xfId="22480"/>
    <cellStyle name="Comma 85 3 2 2 4" xfId="22481"/>
    <cellStyle name="Comma 85 3 2 2 5" xfId="22482"/>
    <cellStyle name="Comma 85 3 2 2 6" xfId="22483"/>
    <cellStyle name="Comma 85 3 2 3" xfId="22484"/>
    <cellStyle name="Comma 85 3 2 4" xfId="22485"/>
    <cellStyle name="Comma 85 3 2 5" xfId="22486"/>
    <cellStyle name="Comma 85 3 2 6" xfId="22487"/>
    <cellStyle name="Comma 85 3 2 7" xfId="22488"/>
    <cellStyle name="Comma 85 3 3" xfId="22489"/>
    <cellStyle name="Comma 85 3 3 2" xfId="22490"/>
    <cellStyle name="Comma 85 3 3 3" xfId="22491"/>
    <cellStyle name="Comma 85 3 3 4" xfId="22492"/>
    <cellStyle name="Comma 85 3 3 5" xfId="22493"/>
    <cellStyle name="Comma 85 3 3 6" xfId="22494"/>
    <cellStyle name="Comma 85 3 4" xfId="22495"/>
    <cellStyle name="Comma 85 3 5" xfId="22496"/>
    <cellStyle name="Comma 85 3 6" xfId="22497"/>
    <cellStyle name="Comma 85 3 7" xfId="22498"/>
    <cellStyle name="Comma 85 3 8" xfId="22499"/>
    <cellStyle name="Comma 85 4" xfId="22500"/>
    <cellStyle name="Comma 85 4 2" xfId="22501"/>
    <cellStyle name="Comma 85 4 2 2" xfId="22502"/>
    <cellStyle name="Comma 85 4 2 3" xfId="22503"/>
    <cellStyle name="Comma 85 4 2 4" xfId="22504"/>
    <cellStyle name="Comma 85 4 2 5" xfId="22505"/>
    <cellStyle name="Comma 85 4 2 6" xfId="22506"/>
    <cellStyle name="Comma 85 4 3" xfId="22507"/>
    <cellStyle name="Comma 85 4 4" xfId="22508"/>
    <cellStyle name="Comma 85 4 5" xfId="22509"/>
    <cellStyle name="Comma 85 4 6" xfId="22510"/>
    <cellStyle name="Comma 85 4 7" xfId="22511"/>
    <cellStyle name="Comma 85 5" xfId="22512"/>
    <cellStyle name="Comma 85 5 2" xfId="22513"/>
    <cellStyle name="Comma 85 5 3" xfId="22514"/>
    <cellStyle name="Comma 85 5 4" xfId="22515"/>
    <cellStyle name="Comma 85 5 5" xfId="22516"/>
    <cellStyle name="Comma 85 5 6" xfId="22517"/>
    <cellStyle name="Comma 85 6" xfId="22518"/>
    <cellStyle name="Comma 85 7" xfId="22519"/>
    <cellStyle name="Comma 85 8" xfId="22520"/>
    <cellStyle name="Comma 85 9" xfId="22521"/>
    <cellStyle name="Comma 86" xfId="22522"/>
    <cellStyle name="Comma 86 10" xfId="22523"/>
    <cellStyle name="Comma 86 2" xfId="22524"/>
    <cellStyle name="Comma 86 2 2" xfId="22525"/>
    <cellStyle name="Comma 86 2 2 2" xfId="22526"/>
    <cellStyle name="Comma 86 2 2 2 2" xfId="22527"/>
    <cellStyle name="Comma 86 2 2 2 2 2" xfId="22528"/>
    <cellStyle name="Comma 86 2 2 2 2 3" xfId="22529"/>
    <cellStyle name="Comma 86 2 2 2 2 4" xfId="22530"/>
    <cellStyle name="Comma 86 2 2 2 2 5" xfId="22531"/>
    <cellStyle name="Comma 86 2 2 2 2 6" xfId="22532"/>
    <cellStyle name="Comma 86 2 2 2 3" xfId="22533"/>
    <cellStyle name="Comma 86 2 2 2 4" xfId="22534"/>
    <cellStyle name="Comma 86 2 2 2 5" xfId="22535"/>
    <cellStyle name="Comma 86 2 2 2 6" xfId="22536"/>
    <cellStyle name="Comma 86 2 2 2 7" xfId="22537"/>
    <cellStyle name="Comma 86 2 2 3" xfId="22538"/>
    <cellStyle name="Comma 86 2 2 3 2" xfId="22539"/>
    <cellStyle name="Comma 86 2 2 3 3" xfId="22540"/>
    <cellStyle name="Comma 86 2 2 3 4" xfId="22541"/>
    <cellStyle name="Comma 86 2 2 3 5" xfId="22542"/>
    <cellStyle name="Comma 86 2 2 3 6" xfId="22543"/>
    <cellStyle name="Comma 86 2 2 4" xfId="22544"/>
    <cellStyle name="Comma 86 2 2 5" xfId="22545"/>
    <cellStyle name="Comma 86 2 2 6" xfId="22546"/>
    <cellStyle name="Comma 86 2 2 7" xfId="22547"/>
    <cellStyle name="Comma 86 2 2 8" xfId="22548"/>
    <cellStyle name="Comma 86 2 3" xfId="22549"/>
    <cellStyle name="Comma 86 2 3 2" xfId="22550"/>
    <cellStyle name="Comma 86 2 3 2 2" xfId="22551"/>
    <cellStyle name="Comma 86 2 3 2 3" xfId="22552"/>
    <cellStyle name="Comma 86 2 3 2 4" xfId="22553"/>
    <cellStyle name="Comma 86 2 3 2 5" xfId="22554"/>
    <cellStyle name="Comma 86 2 3 2 6" xfId="22555"/>
    <cellStyle name="Comma 86 2 3 3" xfId="22556"/>
    <cellStyle name="Comma 86 2 3 4" xfId="22557"/>
    <cellStyle name="Comma 86 2 3 5" xfId="22558"/>
    <cellStyle name="Comma 86 2 3 6" xfId="22559"/>
    <cellStyle name="Comma 86 2 3 7" xfId="22560"/>
    <cellStyle name="Comma 86 2 4" xfId="22561"/>
    <cellStyle name="Comma 86 2 4 2" xfId="22562"/>
    <cellStyle name="Comma 86 2 4 3" xfId="22563"/>
    <cellStyle name="Comma 86 2 4 4" xfId="22564"/>
    <cellStyle name="Comma 86 2 4 5" xfId="22565"/>
    <cellStyle name="Comma 86 2 4 6" xfId="22566"/>
    <cellStyle name="Comma 86 2 5" xfId="22567"/>
    <cellStyle name="Comma 86 2 6" xfId="22568"/>
    <cellStyle name="Comma 86 2 7" xfId="22569"/>
    <cellStyle name="Comma 86 2 8" xfId="22570"/>
    <cellStyle name="Comma 86 2 9" xfId="22571"/>
    <cellStyle name="Comma 86 3" xfId="22572"/>
    <cellStyle name="Comma 86 3 2" xfId="22573"/>
    <cellStyle name="Comma 86 3 2 2" xfId="22574"/>
    <cellStyle name="Comma 86 3 2 2 2" xfId="22575"/>
    <cellStyle name="Comma 86 3 2 2 3" xfId="22576"/>
    <cellStyle name="Comma 86 3 2 2 4" xfId="22577"/>
    <cellStyle name="Comma 86 3 2 2 5" xfId="22578"/>
    <cellStyle name="Comma 86 3 2 2 6" xfId="22579"/>
    <cellStyle name="Comma 86 3 2 3" xfId="22580"/>
    <cellStyle name="Comma 86 3 2 4" xfId="22581"/>
    <cellStyle name="Comma 86 3 2 5" xfId="22582"/>
    <cellStyle name="Comma 86 3 2 6" xfId="22583"/>
    <cellStyle name="Comma 86 3 2 7" xfId="22584"/>
    <cellStyle name="Comma 86 3 3" xfId="22585"/>
    <cellStyle name="Comma 86 3 3 2" xfId="22586"/>
    <cellStyle name="Comma 86 3 3 3" xfId="22587"/>
    <cellStyle name="Comma 86 3 3 4" xfId="22588"/>
    <cellStyle name="Comma 86 3 3 5" xfId="22589"/>
    <cellStyle name="Comma 86 3 3 6" xfId="22590"/>
    <cellStyle name="Comma 86 3 4" xfId="22591"/>
    <cellStyle name="Comma 86 3 5" xfId="22592"/>
    <cellStyle name="Comma 86 3 6" xfId="22593"/>
    <cellStyle name="Comma 86 3 7" xfId="22594"/>
    <cellStyle name="Comma 86 3 8" xfId="22595"/>
    <cellStyle name="Comma 86 4" xfId="22596"/>
    <cellStyle name="Comma 86 4 2" xfId="22597"/>
    <cellStyle name="Comma 86 4 2 2" xfId="22598"/>
    <cellStyle name="Comma 86 4 2 3" xfId="22599"/>
    <cellStyle name="Comma 86 4 2 4" xfId="22600"/>
    <cellStyle name="Comma 86 4 2 5" xfId="22601"/>
    <cellStyle name="Comma 86 4 2 6" xfId="22602"/>
    <cellStyle name="Comma 86 4 3" xfId="22603"/>
    <cellStyle name="Comma 86 4 4" xfId="22604"/>
    <cellStyle name="Comma 86 4 5" xfId="22605"/>
    <cellStyle name="Comma 86 4 6" xfId="22606"/>
    <cellStyle name="Comma 86 4 7" xfId="22607"/>
    <cellStyle name="Comma 86 5" xfId="22608"/>
    <cellStyle name="Comma 86 5 2" xfId="22609"/>
    <cellStyle name="Comma 86 5 3" xfId="22610"/>
    <cellStyle name="Comma 86 5 4" xfId="22611"/>
    <cellStyle name="Comma 86 5 5" xfId="22612"/>
    <cellStyle name="Comma 86 5 6" xfId="22613"/>
    <cellStyle name="Comma 86 6" xfId="22614"/>
    <cellStyle name="Comma 86 7" xfId="22615"/>
    <cellStyle name="Comma 86 8" xfId="22616"/>
    <cellStyle name="Comma 86 9" xfId="22617"/>
    <cellStyle name="Comma 87" xfId="22618"/>
    <cellStyle name="Comma 87 10" xfId="22619"/>
    <cellStyle name="Comma 87 2" xfId="22620"/>
    <cellStyle name="Comma 87 2 2" xfId="22621"/>
    <cellStyle name="Comma 87 2 2 2" xfId="22622"/>
    <cellStyle name="Comma 87 2 2 2 2" xfId="22623"/>
    <cellStyle name="Comma 87 2 2 2 2 2" xfId="22624"/>
    <cellStyle name="Comma 87 2 2 2 2 3" xfId="22625"/>
    <cellStyle name="Comma 87 2 2 2 2 4" xfId="22626"/>
    <cellStyle name="Comma 87 2 2 2 2 5" xfId="22627"/>
    <cellStyle name="Comma 87 2 2 2 2 6" xfId="22628"/>
    <cellStyle name="Comma 87 2 2 2 3" xfId="22629"/>
    <cellStyle name="Comma 87 2 2 2 4" xfId="22630"/>
    <cellStyle name="Comma 87 2 2 2 5" xfId="22631"/>
    <cellStyle name="Comma 87 2 2 2 6" xfId="22632"/>
    <cellStyle name="Comma 87 2 2 2 7" xfId="22633"/>
    <cellStyle name="Comma 87 2 2 3" xfId="22634"/>
    <cellStyle name="Comma 87 2 2 3 2" xfId="22635"/>
    <cellStyle name="Comma 87 2 2 3 3" xfId="22636"/>
    <cellStyle name="Comma 87 2 2 3 4" xfId="22637"/>
    <cellStyle name="Comma 87 2 2 3 5" xfId="22638"/>
    <cellStyle name="Comma 87 2 2 3 6" xfId="22639"/>
    <cellStyle name="Comma 87 2 2 4" xfId="22640"/>
    <cellStyle name="Comma 87 2 2 5" xfId="22641"/>
    <cellStyle name="Comma 87 2 2 6" xfId="22642"/>
    <cellStyle name="Comma 87 2 2 7" xfId="22643"/>
    <cellStyle name="Comma 87 2 2 8" xfId="22644"/>
    <cellStyle name="Comma 87 2 3" xfId="22645"/>
    <cellStyle name="Comma 87 2 3 2" xfId="22646"/>
    <cellStyle name="Comma 87 2 3 2 2" xfId="22647"/>
    <cellStyle name="Comma 87 2 3 2 3" xfId="22648"/>
    <cellStyle name="Comma 87 2 3 2 4" xfId="22649"/>
    <cellStyle name="Comma 87 2 3 2 5" xfId="22650"/>
    <cellStyle name="Comma 87 2 3 2 6" xfId="22651"/>
    <cellStyle name="Comma 87 2 3 3" xfId="22652"/>
    <cellStyle name="Comma 87 2 3 4" xfId="22653"/>
    <cellStyle name="Comma 87 2 3 5" xfId="22654"/>
    <cellStyle name="Comma 87 2 3 6" xfId="22655"/>
    <cellStyle name="Comma 87 2 3 7" xfId="22656"/>
    <cellStyle name="Comma 87 2 4" xfId="22657"/>
    <cellStyle name="Comma 87 2 4 2" xfId="22658"/>
    <cellStyle name="Comma 87 2 4 3" xfId="22659"/>
    <cellStyle name="Comma 87 2 4 4" xfId="22660"/>
    <cellStyle name="Comma 87 2 4 5" xfId="22661"/>
    <cellStyle name="Comma 87 2 4 6" xfId="22662"/>
    <cellStyle name="Comma 87 2 5" xfId="22663"/>
    <cellStyle name="Comma 87 2 6" xfId="22664"/>
    <cellStyle name="Comma 87 2 7" xfId="22665"/>
    <cellStyle name="Comma 87 2 8" xfId="22666"/>
    <cellStyle name="Comma 87 2 9" xfId="22667"/>
    <cellStyle name="Comma 87 3" xfId="22668"/>
    <cellStyle name="Comma 87 3 2" xfId="22669"/>
    <cellStyle name="Comma 87 3 2 2" xfId="22670"/>
    <cellStyle name="Comma 87 3 2 2 2" xfId="22671"/>
    <cellStyle name="Comma 87 3 2 2 3" xfId="22672"/>
    <cellStyle name="Comma 87 3 2 2 4" xfId="22673"/>
    <cellStyle name="Comma 87 3 2 2 5" xfId="22674"/>
    <cellStyle name="Comma 87 3 2 2 6" xfId="22675"/>
    <cellStyle name="Comma 87 3 2 3" xfId="22676"/>
    <cellStyle name="Comma 87 3 2 4" xfId="22677"/>
    <cellStyle name="Comma 87 3 2 5" xfId="22678"/>
    <cellStyle name="Comma 87 3 2 6" xfId="22679"/>
    <cellStyle name="Comma 87 3 2 7" xfId="22680"/>
    <cellStyle name="Comma 87 3 3" xfId="22681"/>
    <cellStyle name="Comma 87 3 3 2" xfId="22682"/>
    <cellStyle name="Comma 87 3 3 3" xfId="22683"/>
    <cellStyle name="Comma 87 3 3 4" xfId="22684"/>
    <cellStyle name="Comma 87 3 3 5" xfId="22685"/>
    <cellStyle name="Comma 87 3 3 6" xfId="22686"/>
    <cellStyle name="Comma 87 3 4" xfId="22687"/>
    <cellStyle name="Comma 87 3 5" xfId="22688"/>
    <cellStyle name="Comma 87 3 6" xfId="22689"/>
    <cellStyle name="Comma 87 3 7" xfId="22690"/>
    <cellStyle name="Comma 87 3 8" xfId="22691"/>
    <cellStyle name="Comma 87 4" xfId="22692"/>
    <cellStyle name="Comma 87 4 2" xfId="22693"/>
    <cellStyle name="Comma 87 4 2 2" xfId="22694"/>
    <cellStyle name="Comma 87 4 2 3" xfId="22695"/>
    <cellStyle name="Comma 87 4 2 4" xfId="22696"/>
    <cellStyle name="Comma 87 4 2 5" xfId="22697"/>
    <cellStyle name="Comma 87 4 2 6" xfId="22698"/>
    <cellStyle name="Comma 87 4 3" xfId="22699"/>
    <cellStyle name="Comma 87 4 4" xfId="22700"/>
    <cellStyle name="Comma 87 4 5" xfId="22701"/>
    <cellStyle name="Comma 87 4 6" xfId="22702"/>
    <cellStyle name="Comma 87 4 7" xfId="22703"/>
    <cellStyle name="Comma 87 5" xfId="22704"/>
    <cellStyle name="Comma 87 5 2" xfId="22705"/>
    <cellStyle name="Comma 87 5 3" xfId="22706"/>
    <cellStyle name="Comma 87 5 4" xfId="22707"/>
    <cellStyle name="Comma 87 5 5" xfId="22708"/>
    <cellStyle name="Comma 87 5 6" xfId="22709"/>
    <cellStyle name="Comma 87 6" xfId="22710"/>
    <cellStyle name="Comma 87 7" xfId="22711"/>
    <cellStyle name="Comma 87 8" xfId="22712"/>
    <cellStyle name="Comma 87 9" xfId="22713"/>
    <cellStyle name="Comma 88" xfId="22714"/>
    <cellStyle name="Comma 88 10" xfId="22715"/>
    <cellStyle name="Comma 88 2" xfId="22716"/>
    <cellStyle name="Comma 88 2 2" xfId="22717"/>
    <cellStyle name="Comma 88 2 2 2" xfId="22718"/>
    <cellStyle name="Comma 88 2 2 2 2" xfId="22719"/>
    <cellStyle name="Comma 88 2 2 2 2 2" xfId="22720"/>
    <cellStyle name="Comma 88 2 2 2 2 3" xfId="22721"/>
    <cellStyle name="Comma 88 2 2 2 2 4" xfId="22722"/>
    <cellStyle name="Comma 88 2 2 2 2 5" xfId="22723"/>
    <cellStyle name="Comma 88 2 2 2 2 6" xfId="22724"/>
    <cellStyle name="Comma 88 2 2 2 3" xfId="22725"/>
    <cellStyle name="Comma 88 2 2 2 4" xfId="22726"/>
    <cellStyle name="Comma 88 2 2 2 5" xfId="22727"/>
    <cellStyle name="Comma 88 2 2 2 6" xfId="22728"/>
    <cellStyle name="Comma 88 2 2 2 7" xfId="22729"/>
    <cellStyle name="Comma 88 2 2 3" xfId="22730"/>
    <cellStyle name="Comma 88 2 2 3 2" xfId="22731"/>
    <cellStyle name="Comma 88 2 2 3 3" xfId="22732"/>
    <cellStyle name="Comma 88 2 2 3 4" xfId="22733"/>
    <cellStyle name="Comma 88 2 2 3 5" xfId="22734"/>
    <cellStyle name="Comma 88 2 2 3 6" xfId="22735"/>
    <cellStyle name="Comma 88 2 2 4" xfId="22736"/>
    <cellStyle name="Comma 88 2 2 5" xfId="22737"/>
    <cellStyle name="Comma 88 2 2 6" xfId="22738"/>
    <cellStyle name="Comma 88 2 2 7" xfId="22739"/>
    <cellStyle name="Comma 88 2 2 8" xfId="22740"/>
    <cellStyle name="Comma 88 2 3" xfId="22741"/>
    <cellStyle name="Comma 88 2 3 2" xfId="22742"/>
    <cellStyle name="Comma 88 2 3 2 2" xfId="22743"/>
    <cellStyle name="Comma 88 2 3 2 3" xfId="22744"/>
    <cellStyle name="Comma 88 2 3 2 4" xfId="22745"/>
    <cellStyle name="Comma 88 2 3 2 5" xfId="22746"/>
    <cellStyle name="Comma 88 2 3 2 6" xfId="22747"/>
    <cellStyle name="Comma 88 2 3 3" xfId="22748"/>
    <cellStyle name="Comma 88 2 3 4" xfId="22749"/>
    <cellStyle name="Comma 88 2 3 5" xfId="22750"/>
    <cellStyle name="Comma 88 2 3 6" xfId="22751"/>
    <cellStyle name="Comma 88 2 3 7" xfId="22752"/>
    <cellStyle name="Comma 88 2 4" xfId="22753"/>
    <cellStyle name="Comma 88 2 4 2" xfId="22754"/>
    <cellStyle name="Comma 88 2 4 3" xfId="22755"/>
    <cellStyle name="Comma 88 2 4 4" xfId="22756"/>
    <cellStyle name="Comma 88 2 4 5" xfId="22757"/>
    <cellStyle name="Comma 88 2 4 6" xfId="22758"/>
    <cellStyle name="Comma 88 2 5" xfId="22759"/>
    <cellStyle name="Comma 88 2 6" xfId="22760"/>
    <cellStyle name="Comma 88 2 7" xfId="22761"/>
    <cellStyle name="Comma 88 2 8" xfId="22762"/>
    <cellStyle name="Comma 88 2 9" xfId="22763"/>
    <cellStyle name="Comma 88 3" xfId="22764"/>
    <cellStyle name="Comma 88 3 2" xfId="22765"/>
    <cellStyle name="Comma 88 3 2 2" xfId="22766"/>
    <cellStyle name="Comma 88 3 2 2 2" xfId="22767"/>
    <cellStyle name="Comma 88 3 2 2 3" xfId="22768"/>
    <cellStyle name="Comma 88 3 2 2 4" xfId="22769"/>
    <cellStyle name="Comma 88 3 2 2 5" xfId="22770"/>
    <cellStyle name="Comma 88 3 2 2 6" xfId="22771"/>
    <cellStyle name="Comma 88 3 2 3" xfId="22772"/>
    <cellStyle name="Comma 88 3 2 4" xfId="22773"/>
    <cellStyle name="Comma 88 3 2 5" xfId="22774"/>
    <cellStyle name="Comma 88 3 2 6" xfId="22775"/>
    <cellStyle name="Comma 88 3 2 7" xfId="22776"/>
    <cellStyle name="Comma 88 3 3" xfId="22777"/>
    <cellStyle name="Comma 88 3 3 2" xfId="22778"/>
    <cellStyle name="Comma 88 3 3 3" xfId="22779"/>
    <cellStyle name="Comma 88 3 3 4" xfId="22780"/>
    <cellStyle name="Comma 88 3 3 5" xfId="22781"/>
    <cellStyle name="Comma 88 3 3 6" xfId="22782"/>
    <cellStyle name="Comma 88 3 4" xfId="22783"/>
    <cellStyle name="Comma 88 3 5" xfId="22784"/>
    <cellStyle name="Comma 88 3 6" xfId="22785"/>
    <cellStyle name="Comma 88 3 7" xfId="22786"/>
    <cellStyle name="Comma 88 3 8" xfId="22787"/>
    <cellStyle name="Comma 88 4" xfId="22788"/>
    <cellStyle name="Comma 88 4 2" xfId="22789"/>
    <cellStyle name="Comma 88 4 2 2" xfId="22790"/>
    <cellStyle name="Comma 88 4 2 3" xfId="22791"/>
    <cellStyle name="Comma 88 4 2 4" xfId="22792"/>
    <cellStyle name="Comma 88 4 2 5" xfId="22793"/>
    <cellStyle name="Comma 88 4 2 6" xfId="22794"/>
    <cellStyle name="Comma 88 4 3" xfId="22795"/>
    <cellStyle name="Comma 88 4 4" xfId="22796"/>
    <cellStyle name="Comma 88 4 5" xfId="22797"/>
    <cellStyle name="Comma 88 4 6" xfId="22798"/>
    <cellStyle name="Comma 88 4 7" xfId="22799"/>
    <cellStyle name="Comma 88 5" xfId="22800"/>
    <cellStyle name="Comma 88 5 2" xfId="22801"/>
    <cellStyle name="Comma 88 5 3" xfId="22802"/>
    <cellStyle name="Comma 88 5 4" xfId="22803"/>
    <cellStyle name="Comma 88 5 5" xfId="22804"/>
    <cellStyle name="Comma 88 5 6" xfId="22805"/>
    <cellStyle name="Comma 88 6" xfId="22806"/>
    <cellStyle name="Comma 88 7" xfId="22807"/>
    <cellStyle name="Comma 88 8" xfId="22808"/>
    <cellStyle name="Comma 88 9" xfId="22809"/>
    <cellStyle name="Comma 89" xfId="22810"/>
    <cellStyle name="Comma 89 2" xfId="22811"/>
    <cellStyle name="Comma 89 2 2" xfId="22812"/>
    <cellStyle name="Comma 89 2 2 2" xfId="22813"/>
    <cellStyle name="Comma 89 2 2 2 2" xfId="22814"/>
    <cellStyle name="Comma 89 2 2 2 3" xfId="22815"/>
    <cellStyle name="Comma 89 2 2 2 4" xfId="22816"/>
    <cellStyle name="Comma 89 2 2 2 5" xfId="22817"/>
    <cellStyle name="Comma 89 2 2 2 6" xfId="22818"/>
    <cellStyle name="Comma 89 2 2 3" xfId="22819"/>
    <cellStyle name="Comma 89 2 2 4" xfId="22820"/>
    <cellStyle name="Comma 89 2 2 5" xfId="22821"/>
    <cellStyle name="Comma 89 2 2 6" xfId="22822"/>
    <cellStyle name="Comma 89 2 2 7" xfId="22823"/>
    <cellStyle name="Comma 89 2 3" xfId="22824"/>
    <cellStyle name="Comma 89 2 3 2" xfId="22825"/>
    <cellStyle name="Comma 89 2 3 3" xfId="22826"/>
    <cellStyle name="Comma 89 2 3 4" xfId="22827"/>
    <cellStyle name="Comma 89 2 3 5" xfId="22828"/>
    <cellStyle name="Comma 89 2 3 6" xfId="22829"/>
    <cellStyle name="Comma 89 2 4" xfId="22830"/>
    <cellStyle name="Comma 89 2 5" xfId="22831"/>
    <cellStyle name="Comma 89 2 6" xfId="22832"/>
    <cellStyle name="Comma 89 2 7" xfId="22833"/>
    <cellStyle name="Comma 89 2 8" xfId="22834"/>
    <cellStyle name="Comma 89 3" xfId="22835"/>
    <cellStyle name="Comma 89 3 2" xfId="22836"/>
    <cellStyle name="Comma 89 3 2 2" xfId="22837"/>
    <cellStyle name="Comma 89 3 2 3" xfId="22838"/>
    <cellStyle name="Comma 89 3 2 4" xfId="22839"/>
    <cellStyle name="Comma 89 3 2 5" xfId="22840"/>
    <cellStyle name="Comma 89 3 2 6" xfId="22841"/>
    <cellStyle name="Comma 89 3 3" xfId="22842"/>
    <cellStyle name="Comma 89 3 4" xfId="22843"/>
    <cellStyle name="Comma 89 3 5" xfId="22844"/>
    <cellStyle name="Comma 89 3 6" xfId="22845"/>
    <cellStyle name="Comma 89 3 7" xfId="22846"/>
    <cellStyle name="Comma 89 4" xfId="22847"/>
    <cellStyle name="Comma 89 4 2" xfId="22848"/>
    <cellStyle name="Comma 89 4 3" xfId="22849"/>
    <cellStyle name="Comma 89 4 4" xfId="22850"/>
    <cellStyle name="Comma 89 4 5" xfId="22851"/>
    <cellStyle name="Comma 89 4 6" xfId="22852"/>
    <cellStyle name="Comma 89 5" xfId="22853"/>
    <cellStyle name="Comma 89 6" xfId="22854"/>
    <cellStyle name="Comma 89 7" xfId="22855"/>
    <cellStyle name="Comma 89 8" xfId="22856"/>
    <cellStyle name="Comma 89 9" xfId="22857"/>
    <cellStyle name="Comma 9" xfId="22858"/>
    <cellStyle name="Comma 9 2" xfId="22859"/>
    <cellStyle name="Comma 9 3" xfId="22860"/>
    <cellStyle name="Comma 90" xfId="22861"/>
    <cellStyle name="Comma 90 2" xfId="22862"/>
    <cellStyle name="Comma 90 2 2" xfId="22863"/>
    <cellStyle name="Comma 90 2 2 2" xfId="22864"/>
    <cellStyle name="Comma 90 2 2 2 2" xfId="22865"/>
    <cellStyle name="Comma 90 2 2 2 3" xfId="22866"/>
    <cellStyle name="Comma 90 2 2 2 4" xfId="22867"/>
    <cellStyle name="Comma 90 2 2 2 5" xfId="22868"/>
    <cellStyle name="Comma 90 2 2 2 6" xfId="22869"/>
    <cellStyle name="Comma 90 2 2 3" xfId="22870"/>
    <cellStyle name="Comma 90 2 2 4" xfId="22871"/>
    <cellStyle name="Comma 90 2 2 5" xfId="22872"/>
    <cellStyle name="Comma 90 2 2 6" xfId="22873"/>
    <cellStyle name="Comma 90 2 2 7" xfId="22874"/>
    <cellStyle name="Comma 90 2 3" xfId="22875"/>
    <cellStyle name="Comma 90 2 3 2" xfId="22876"/>
    <cellStyle name="Comma 90 2 3 3" xfId="22877"/>
    <cellStyle name="Comma 90 2 3 4" xfId="22878"/>
    <cellStyle name="Comma 90 2 3 5" xfId="22879"/>
    <cellStyle name="Comma 90 2 3 6" xfId="22880"/>
    <cellStyle name="Comma 90 2 4" xfId="22881"/>
    <cellStyle name="Comma 90 2 5" xfId="22882"/>
    <cellStyle name="Comma 90 2 6" xfId="22883"/>
    <cellStyle name="Comma 90 2 7" xfId="22884"/>
    <cellStyle name="Comma 90 2 8" xfId="22885"/>
    <cellStyle name="Comma 90 3" xfId="22886"/>
    <cellStyle name="Comma 90 3 2" xfId="22887"/>
    <cellStyle name="Comma 90 3 2 2" xfId="22888"/>
    <cellStyle name="Comma 90 3 2 3" xfId="22889"/>
    <cellStyle name="Comma 90 3 2 4" xfId="22890"/>
    <cellStyle name="Comma 90 3 2 5" xfId="22891"/>
    <cellStyle name="Comma 90 3 2 6" xfId="22892"/>
    <cellStyle name="Comma 90 3 3" xfId="22893"/>
    <cellStyle name="Comma 90 3 4" xfId="22894"/>
    <cellStyle name="Comma 90 3 5" xfId="22895"/>
    <cellStyle name="Comma 90 3 6" xfId="22896"/>
    <cellStyle name="Comma 90 3 7" xfId="22897"/>
    <cellStyle name="Comma 90 4" xfId="22898"/>
    <cellStyle name="Comma 90 4 2" xfId="22899"/>
    <cellStyle name="Comma 90 4 3" xfId="22900"/>
    <cellStyle name="Comma 90 4 4" xfId="22901"/>
    <cellStyle name="Comma 90 4 5" xfId="22902"/>
    <cellStyle name="Comma 90 4 6" xfId="22903"/>
    <cellStyle name="Comma 90 5" xfId="22904"/>
    <cellStyle name="Comma 90 6" xfId="22905"/>
    <cellStyle name="Comma 90 7" xfId="22906"/>
    <cellStyle name="Comma 90 8" xfId="22907"/>
    <cellStyle name="Comma 90 9" xfId="22908"/>
    <cellStyle name="Comma 91" xfId="22909"/>
    <cellStyle name="Comma 91 2" xfId="22910"/>
    <cellStyle name="Comma 91 2 2" xfId="22911"/>
    <cellStyle name="Comma 91 2 2 2" xfId="22912"/>
    <cellStyle name="Comma 91 2 2 2 2" xfId="22913"/>
    <cellStyle name="Comma 91 2 2 2 3" xfId="22914"/>
    <cellStyle name="Comma 91 2 2 2 4" xfId="22915"/>
    <cellStyle name="Comma 91 2 2 2 5" xfId="22916"/>
    <cellStyle name="Comma 91 2 2 2 6" xfId="22917"/>
    <cellStyle name="Comma 91 2 2 3" xfId="22918"/>
    <cellStyle name="Comma 91 2 2 4" xfId="22919"/>
    <cellStyle name="Comma 91 2 2 5" xfId="22920"/>
    <cellStyle name="Comma 91 2 2 6" xfId="22921"/>
    <cellStyle name="Comma 91 2 2 7" xfId="22922"/>
    <cellStyle name="Comma 91 2 3" xfId="22923"/>
    <cellStyle name="Comma 91 2 3 2" xfId="22924"/>
    <cellStyle name="Comma 91 2 3 3" xfId="22925"/>
    <cellStyle name="Comma 91 2 3 4" xfId="22926"/>
    <cellStyle name="Comma 91 2 3 5" xfId="22927"/>
    <cellStyle name="Comma 91 2 3 6" xfId="22928"/>
    <cellStyle name="Comma 91 2 4" xfId="22929"/>
    <cellStyle name="Comma 91 2 5" xfId="22930"/>
    <cellStyle name="Comma 91 2 6" xfId="22931"/>
    <cellStyle name="Comma 91 2 7" xfId="22932"/>
    <cellStyle name="Comma 91 2 8" xfId="22933"/>
    <cellStyle name="Comma 91 3" xfId="22934"/>
    <cellStyle name="Comma 91 3 2" xfId="22935"/>
    <cellStyle name="Comma 91 3 2 2" xfId="22936"/>
    <cellStyle name="Comma 91 3 2 3" xfId="22937"/>
    <cellStyle name="Comma 91 3 2 4" xfId="22938"/>
    <cellStyle name="Comma 91 3 2 5" xfId="22939"/>
    <cellStyle name="Comma 91 3 2 6" xfId="22940"/>
    <cellStyle name="Comma 91 3 3" xfId="22941"/>
    <cellStyle name="Comma 91 3 4" xfId="22942"/>
    <cellStyle name="Comma 91 3 5" xfId="22943"/>
    <cellStyle name="Comma 91 3 6" xfId="22944"/>
    <cellStyle name="Comma 91 3 7" xfId="22945"/>
    <cellStyle name="Comma 91 4" xfId="22946"/>
    <cellStyle name="Comma 91 4 2" xfId="22947"/>
    <cellStyle name="Comma 91 4 3" xfId="22948"/>
    <cellStyle name="Comma 91 4 4" xfId="22949"/>
    <cellStyle name="Comma 91 4 5" xfId="22950"/>
    <cellStyle name="Comma 91 4 6" xfId="22951"/>
    <cellStyle name="Comma 91 5" xfId="22952"/>
    <cellStyle name="Comma 91 6" xfId="22953"/>
    <cellStyle name="Comma 91 7" xfId="22954"/>
    <cellStyle name="Comma 91 8" xfId="22955"/>
    <cellStyle name="Comma 91 9" xfId="22956"/>
    <cellStyle name="Comma 92" xfId="22957"/>
    <cellStyle name="Comma 92 2" xfId="22958"/>
    <cellStyle name="Comma 92 2 2" xfId="22959"/>
    <cellStyle name="Comma 92 2 2 2" xfId="22960"/>
    <cellStyle name="Comma 92 2 2 2 2" xfId="22961"/>
    <cellStyle name="Comma 92 2 2 2 3" xfId="22962"/>
    <cellStyle name="Comma 92 2 2 2 4" xfId="22963"/>
    <cellStyle name="Comma 92 2 2 2 5" xfId="22964"/>
    <cellStyle name="Comma 92 2 2 2 6" xfId="22965"/>
    <cellStyle name="Comma 92 2 2 3" xfId="22966"/>
    <cellStyle name="Comma 92 2 2 4" xfId="22967"/>
    <cellStyle name="Comma 92 2 2 5" xfId="22968"/>
    <cellStyle name="Comma 92 2 2 6" xfId="22969"/>
    <cellStyle name="Comma 92 2 2 7" xfId="22970"/>
    <cellStyle name="Comma 92 2 3" xfId="22971"/>
    <cellStyle name="Comma 92 2 3 2" xfId="22972"/>
    <cellStyle name="Comma 92 2 3 3" xfId="22973"/>
    <cellStyle name="Comma 92 2 3 4" xfId="22974"/>
    <cellStyle name="Comma 92 2 3 5" xfId="22975"/>
    <cellStyle name="Comma 92 2 3 6" xfId="22976"/>
    <cellStyle name="Comma 92 2 4" xfId="22977"/>
    <cellStyle name="Comma 92 2 5" xfId="22978"/>
    <cellStyle name="Comma 92 2 6" xfId="22979"/>
    <cellStyle name="Comma 92 2 7" xfId="22980"/>
    <cellStyle name="Comma 92 2 8" xfId="22981"/>
    <cellStyle name="Comma 92 3" xfId="22982"/>
    <cellStyle name="Comma 92 3 2" xfId="22983"/>
    <cellStyle name="Comma 92 3 2 2" xfId="22984"/>
    <cellStyle name="Comma 92 3 2 3" xfId="22985"/>
    <cellStyle name="Comma 92 3 2 4" xfId="22986"/>
    <cellStyle name="Comma 92 3 2 5" xfId="22987"/>
    <cellStyle name="Comma 92 3 2 6" xfId="22988"/>
    <cellStyle name="Comma 92 3 3" xfId="22989"/>
    <cellStyle name="Comma 92 3 4" xfId="22990"/>
    <cellStyle name="Comma 92 3 5" xfId="22991"/>
    <cellStyle name="Comma 92 3 6" xfId="22992"/>
    <cellStyle name="Comma 92 3 7" xfId="22993"/>
    <cellStyle name="Comma 92 4" xfId="22994"/>
    <cellStyle name="Comma 92 4 2" xfId="22995"/>
    <cellStyle name="Comma 92 4 3" xfId="22996"/>
    <cellStyle name="Comma 92 4 4" xfId="22997"/>
    <cellStyle name="Comma 92 4 5" xfId="22998"/>
    <cellStyle name="Comma 92 4 6" xfId="22999"/>
    <cellStyle name="Comma 92 5" xfId="23000"/>
    <cellStyle name="Comma 92 6" xfId="23001"/>
    <cellStyle name="Comma 92 7" xfId="23002"/>
    <cellStyle name="Comma 92 8" xfId="23003"/>
    <cellStyle name="Comma 92 9" xfId="23004"/>
    <cellStyle name="Comma 93" xfId="23005"/>
    <cellStyle name="Comma 93 2" xfId="23006"/>
    <cellStyle name="Comma 93 2 2" xfId="23007"/>
    <cellStyle name="Comma 93 2 2 2" xfId="23008"/>
    <cellStyle name="Comma 93 2 2 2 2" xfId="23009"/>
    <cellStyle name="Comma 93 2 2 2 3" xfId="23010"/>
    <cellStyle name="Comma 93 2 2 2 4" xfId="23011"/>
    <cellStyle name="Comma 93 2 2 2 5" xfId="23012"/>
    <cellStyle name="Comma 93 2 2 2 6" xfId="23013"/>
    <cellStyle name="Comma 93 2 2 3" xfId="23014"/>
    <cellStyle name="Comma 93 2 2 4" xfId="23015"/>
    <cellStyle name="Comma 93 2 2 5" xfId="23016"/>
    <cellStyle name="Comma 93 2 2 6" xfId="23017"/>
    <cellStyle name="Comma 93 2 2 7" xfId="23018"/>
    <cellStyle name="Comma 93 2 3" xfId="23019"/>
    <cellStyle name="Comma 93 2 3 2" xfId="23020"/>
    <cellStyle name="Comma 93 2 3 3" xfId="23021"/>
    <cellStyle name="Comma 93 2 3 4" xfId="23022"/>
    <cellStyle name="Comma 93 2 3 5" xfId="23023"/>
    <cellStyle name="Comma 93 2 3 6" xfId="23024"/>
    <cellStyle name="Comma 93 2 4" xfId="23025"/>
    <cellStyle name="Comma 93 2 5" xfId="23026"/>
    <cellStyle name="Comma 93 2 6" xfId="23027"/>
    <cellStyle name="Comma 93 2 7" xfId="23028"/>
    <cellStyle name="Comma 93 2 8" xfId="23029"/>
    <cellStyle name="Comma 93 3" xfId="23030"/>
    <cellStyle name="Comma 93 3 2" xfId="23031"/>
    <cellStyle name="Comma 93 3 2 2" xfId="23032"/>
    <cellStyle name="Comma 93 3 2 3" xfId="23033"/>
    <cellStyle name="Comma 93 3 2 4" xfId="23034"/>
    <cellStyle name="Comma 93 3 2 5" xfId="23035"/>
    <cellStyle name="Comma 93 3 2 6" xfId="23036"/>
    <cellStyle name="Comma 93 3 3" xfId="23037"/>
    <cellStyle name="Comma 93 3 4" xfId="23038"/>
    <cellStyle name="Comma 93 3 5" xfId="23039"/>
    <cellStyle name="Comma 93 3 6" xfId="23040"/>
    <cellStyle name="Comma 93 3 7" xfId="23041"/>
    <cellStyle name="Comma 93 4" xfId="23042"/>
    <cellStyle name="Comma 93 4 2" xfId="23043"/>
    <cellStyle name="Comma 93 4 3" xfId="23044"/>
    <cellStyle name="Comma 93 4 4" xfId="23045"/>
    <cellStyle name="Comma 93 4 5" xfId="23046"/>
    <cellStyle name="Comma 93 4 6" xfId="23047"/>
    <cellStyle name="Comma 93 5" xfId="23048"/>
    <cellStyle name="Comma 93 6" xfId="23049"/>
    <cellStyle name="Comma 93 7" xfId="23050"/>
    <cellStyle name="Comma 93 8" xfId="23051"/>
    <cellStyle name="Comma 93 9" xfId="23052"/>
    <cellStyle name="Comma 94" xfId="23053"/>
    <cellStyle name="Comma 94 2" xfId="23054"/>
    <cellStyle name="Comma 94 2 2" xfId="23055"/>
    <cellStyle name="Comma 94 2 2 2" xfId="23056"/>
    <cellStyle name="Comma 94 2 2 2 2" xfId="23057"/>
    <cellStyle name="Comma 94 2 2 2 3" xfId="23058"/>
    <cellStyle name="Comma 94 2 2 2 4" xfId="23059"/>
    <cellStyle name="Comma 94 2 2 2 5" xfId="23060"/>
    <cellStyle name="Comma 94 2 2 2 6" xfId="23061"/>
    <cellStyle name="Comma 94 2 2 3" xfId="23062"/>
    <cellStyle name="Comma 94 2 2 4" xfId="23063"/>
    <cellStyle name="Comma 94 2 2 5" xfId="23064"/>
    <cellStyle name="Comma 94 2 2 6" xfId="23065"/>
    <cellStyle name="Comma 94 2 2 7" xfId="23066"/>
    <cellStyle name="Comma 94 2 3" xfId="23067"/>
    <cellStyle name="Comma 94 2 3 2" xfId="23068"/>
    <cellStyle name="Comma 94 2 3 3" xfId="23069"/>
    <cellStyle name="Comma 94 2 3 4" xfId="23070"/>
    <cellStyle name="Comma 94 2 3 5" xfId="23071"/>
    <cellStyle name="Comma 94 2 3 6" xfId="23072"/>
    <cellStyle name="Comma 94 2 4" xfId="23073"/>
    <cellStyle name="Comma 94 2 5" xfId="23074"/>
    <cellStyle name="Comma 94 2 6" xfId="23075"/>
    <cellStyle name="Comma 94 2 7" xfId="23076"/>
    <cellStyle name="Comma 94 2 8" xfId="23077"/>
    <cellStyle name="Comma 94 3" xfId="23078"/>
    <cellStyle name="Comma 94 3 2" xfId="23079"/>
    <cellStyle name="Comma 94 3 2 2" xfId="23080"/>
    <cellStyle name="Comma 94 3 2 3" xfId="23081"/>
    <cellStyle name="Comma 94 3 2 4" xfId="23082"/>
    <cellStyle name="Comma 94 3 2 5" xfId="23083"/>
    <cellStyle name="Comma 94 3 2 6" xfId="23084"/>
    <cellStyle name="Comma 94 3 3" xfId="23085"/>
    <cellStyle name="Comma 94 3 4" xfId="23086"/>
    <cellStyle name="Comma 94 3 5" xfId="23087"/>
    <cellStyle name="Comma 94 3 6" xfId="23088"/>
    <cellStyle name="Comma 94 3 7" xfId="23089"/>
    <cellStyle name="Comma 94 4" xfId="23090"/>
    <cellStyle name="Comma 94 4 2" xfId="23091"/>
    <cellStyle name="Comma 94 4 3" xfId="23092"/>
    <cellStyle name="Comma 94 4 4" xfId="23093"/>
    <cellStyle name="Comma 94 4 5" xfId="23094"/>
    <cellStyle name="Comma 94 4 6" xfId="23095"/>
    <cellStyle name="Comma 94 5" xfId="23096"/>
    <cellStyle name="Comma 94 6" xfId="23097"/>
    <cellStyle name="Comma 94 7" xfId="23098"/>
    <cellStyle name="Comma 94 8" xfId="23099"/>
    <cellStyle name="Comma 94 9" xfId="23100"/>
    <cellStyle name="Comma 95" xfId="23101"/>
    <cellStyle name="Comma 95 2" xfId="23102"/>
    <cellStyle name="Comma 95 2 2" xfId="23103"/>
    <cellStyle name="Comma 95 2 2 2" xfId="23104"/>
    <cellStyle name="Comma 95 2 2 2 2" xfId="23105"/>
    <cellStyle name="Comma 95 2 2 2 3" xfId="23106"/>
    <cellStyle name="Comma 95 2 2 2 4" xfId="23107"/>
    <cellStyle name="Comma 95 2 2 2 5" xfId="23108"/>
    <cellStyle name="Comma 95 2 2 2 6" xfId="23109"/>
    <cellStyle name="Comma 95 2 2 3" xfId="23110"/>
    <cellStyle name="Comma 95 2 2 4" xfId="23111"/>
    <cellStyle name="Comma 95 2 2 5" xfId="23112"/>
    <cellStyle name="Comma 95 2 2 6" xfId="23113"/>
    <cellStyle name="Comma 95 2 2 7" xfId="23114"/>
    <cellStyle name="Comma 95 2 3" xfId="23115"/>
    <cellStyle name="Comma 95 2 3 2" xfId="23116"/>
    <cellStyle name="Comma 95 2 3 3" xfId="23117"/>
    <cellStyle name="Comma 95 2 3 4" xfId="23118"/>
    <cellStyle name="Comma 95 2 3 5" xfId="23119"/>
    <cellStyle name="Comma 95 2 3 6" xfId="23120"/>
    <cellStyle name="Comma 95 2 4" xfId="23121"/>
    <cellStyle name="Comma 95 2 5" xfId="23122"/>
    <cellStyle name="Comma 95 2 6" xfId="23123"/>
    <cellStyle name="Comma 95 2 7" xfId="23124"/>
    <cellStyle name="Comma 95 2 8" xfId="23125"/>
    <cellStyle name="Comma 95 3" xfId="23126"/>
    <cellStyle name="Comma 95 3 2" xfId="23127"/>
    <cellStyle name="Comma 95 3 2 2" xfId="23128"/>
    <cellStyle name="Comma 95 3 2 3" xfId="23129"/>
    <cellStyle name="Comma 95 3 2 4" xfId="23130"/>
    <cellStyle name="Comma 95 3 2 5" xfId="23131"/>
    <cellStyle name="Comma 95 3 2 6" xfId="23132"/>
    <cellStyle name="Comma 95 3 3" xfId="23133"/>
    <cellStyle name="Comma 95 3 4" xfId="23134"/>
    <cellStyle name="Comma 95 3 5" xfId="23135"/>
    <cellStyle name="Comma 95 3 6" xfId="23136"/>
    <cellStyle name="Comma 95 3 7" xfId="23137"/>
    <cellStyle name="Comma 95 4" xfId="23138"/>
    <cellStyle name="Comma 95 4 2" xfId="23139"/>
    <cellStyle name="Comma 95 4 3" xfId="23140"/>
    <cellStyle name="Comma 95 4 4" xfId="23141"/>
    <cellStyle name="Comma 95 4 5" xfId="23142"/>
    <cellStyle name="Comma 95 4 6" xfId="23143"/>
    <cellStyle name="Comma 95 5" xfId="23144"/>
    <cellStyle name="Comma 95 6" xfId="23145"/>
    <cellStyle name="Comma 95 7" xfId="23146"/>
    <cellStyle name="Comma 95 8" xfId="23147"/>
    <cellStyle name="Comma 95 9" xfId="23148"/>
    <cellStyle name="Comma 96" xfId="23149"/>
    <cellStyle name="Comma 96 2" xfId="23150"/>
    <cellStyle name="Comma 96 2 2" xfId="23151"/>
    <cellStyle name="Comma 96 2 2 2" xfId="23152"/>
    <cellStyle name="Comma 96 2 2 2 2" xfId="23153"/>
    <cellStyle name="Comma 96 2 2 2 3" xfId="23154"/>
    <cellStyle name="Comma 96 2 2 2 4" xfId="23155"/>
    <cellStyle name="Comma 96 2 2 2 5" xfId="23156"/>
    <cellStyle name="Comma 96 2 2 2 6" xfId="23157"/>
    <cellStyle name="Comma 96 2 2 3" xfId="23158"/>
    <cellStyle name="Comma 96 2 2 4" xfId="23159"/>
    <cellStyle name="Comma 96 2 2 5" xfId="23160"/>
    <cellStyle name="Comma 96 2 2 6" xfId="23161"/>
    <cellStyle name="Comma 96 2 2 7" xfId="23162"/>
    <cellStyle name="Comma 96 2 3" xfId="23163"/>
    <cellStyle name="Comma 96 2 3 2" xfId="23164"/>
    <cellStyle name="Comma 96 2 3 3" xfId="23165"/>
    <cellStyle name="Comma 96 2 3 4" xfId="23166"/>
    <cellStyle name="Comma 96 2 3 5" xfId="23167"/>
    <cellStyle name="Comma 96 2 3 6" xfId="23168"/>
    <cellStyle name="Comma 96 2 4" xfId="23169"/>
    <cellStyle name="Comma 96 2 5" xfId="23170"/>
    <cellStyle name="Comma 96 2 6" xfId="23171"/>
    <cellStyle name="Comma 96 2 7" xfId="23172"/>
    <cellStyle name="Comma 96 2 8" xfId="23173"/>
    <cellStyle name="Comma 96 3" xfId="23174"/>
    <cellStyle name="Comma 96 3 2" xfId="23175"/>
    <cellStyle name="Comma 96 3 2 2" xfId="23176"/>
    <cellStyle name="Comma 96 3 2 3" xfId="23177"/>
    <cellStyle name="Comma 96 3 2 4" xfId="23178"/>
    <cellStyle name="Comma 96 3 2 5" xfId="23179"/>
    <cellStyle name="Comma 96 3 2 6" xfId="23180"/>
    <cellStyle name="Comma 96 3 3" xfId="23181"/>
    <cellStyle name="Comma 96 3 4" xfId="23182"/>
    <cellStyle name="Comma 96 3 5" xfId="23183"/>
    <cellStyle name="Comma 96 3 6" xfId="23184"/>
    <cellStyle name="Comma 96 3 7" xfId="23185"/>
    <cellStyle name="Comma 96 4" xfId="23186"/>
    <cellStyle name="Comma 96 4 2" xfId="23187"/>
    <cellStyle name="Comma 96 4 3" xfId="23188"/>
    <cellStyle name="Comma 96 4 4" xfId="23189"/>
    <cellStyle name="Comma 96 4 5" xfId="23190"/>
    <cellStyle name="Comma 96 4 6" xfId="23191"/>
    <cellStyle name="Comma 96 5" xfId="23192"/>
    <cellStyle name="Comma 96 6" xfId="23193"/>
    <cellStyle name="Comma 96 7" xfId="23194"/>
    <cellStyle name="Comma 96 8" xfId="23195"/>
    <cellStyle name="Comma 96 9" xfId="23196"/>
    <cellStyle name="Comma 97" xfId="23197"/>
    <cellStyle name="Comma 97 2" xfId="23198"/>
    <cellStyle name="Comma 97 2 2" xfId="23199"/>
    <cellStyle name="Comma 97 2 2 2" xfId="23200"/>
    <cellStyle name="Comma 97 2 2 2 2" xfId="23201"/>
    <cellStyle name="Comma 97 2 2 2 3" xfId="23202"/>
    <cellStyle name="Comma 97 2 2 2 4" xfId="23203"/>
    <cellStyle name="Comma 97 2 2 2 5" xfId="23204"/>
    <cellStyle name="Comma 97 2 2 2 6" xfId="23205"/>
    <cellStyle name="Comma 97 2 2 3" xfId="23206"/>
    <cellStyle name="Comma 97 2 2 4" xfId="23207"/>
    <cellStyle name="Comma 97 2 2 5" xfId="23208"/>
    <cellStyle name="Comma 97 2 2 6" xfId="23209"/>
    <cellStyle name="Comma 97 2 2 7" xfId="23210"/>
    <cellStyle name="Comma 97 2 3" xfId="23211"/>
    <cellStyle name="Comma 97 2 3 2" xfId="23212"/>
    <cellStyle name="Comma 97 2 3 3" xfId="23213"/>
    <cellStyle name="Comma 97 2 3 4" xfId="23214"/>
    <cellStyle name="Comma 97 2 3 5" xfId="23215"/>
    <cellStyle name="Comma 97 2 3 6" xfId="23216"/>
    <cellStyle name="Comma 97 2 4" xfId="23217"/>
    <cellStyle name="Comma 97 2 5" xfId="23218"/>
    <cellStyle name="Comma 97 2 6" xfId="23219"/>
    <cellStyle name="Comma 97 2 7" xfId="23220"/>
    <cellStyle name="Comma 97 2 8" xfId="23221"/>
    <cellStyle name="Comma 97 3" xfId="23222"/>
    <cellStyle name="Comma 97 3 2" xfId="23223"/>
    <cellStyle name="Comma 97 3 2 2" xfId="23224"/>
    <cellStyle name="Comma 97 3 2 3" xfId="23225"/>
    <cellStyle name="Comma 97 3 2 4" xfId="23226"/>
    <cellStyle name="Comma 97 3 2 5" xfId="23227"/>
    <cellStyle name="Comma 97 3 2 6" xfId="23228"/>
    <cellStyle name="Comma 97 3 3" xfId="23229"/>
    <cellStyle name="Comma 97 3 4" xfId="23230"/>
    <cellStyle name="Comma 97 3 5" xfId="23231"/>
    <cellStyle name="Comma 97 3 6" xfId="23232"/>
    <cellStyle name="Comma 97 3 7" xfId="23233"/>
    <cellStyle name="Comma 97 4" xfId="23234"/>
    <cellStyle name="Comma 97 4 2" xfId="23235"/>
    <cellStyle name="Comma 97 4 3" xfId="23236"/>
    <cellStyle name="Comma 97 4 4" xfId="23237"/>
    <cellStyle name="Comma 97 4 5" xfId="23238"/>
    <cellStyle name="Comma 97 4 6" xfId="23239"/>
    <cellStyle name="Comma 97 5" xfId="23240"/>
    <cellStyle name="Comma 97 6" xfId="23241"/>
    <cellStyle name="Comma 97 7" xfId="23242"/>
    <cellStyle name="Comma 97 8" xfId="23243"/>
    <cellStyle name="Comma 97 9" xfId="23244"/>
    <cellStyle name="Comma 98" xfId="23245"/>
    <cellStyle name="Comma 98 2" xfId="23246"/>
    <cellStyle name="Comma 98 2 2" xfId="23247"/>
    <cellStyle name="Comma 98 2 2 2" xfId="23248"/>
    <cellStyle name="Comma 98 2 2 2 2" xfId="23249"/>
    <cellStyle name="Comma 98 2 2 2 3" xfId="23250"/>
    <cellStyle name="Comma 98 2 2 2 4" xfId="23251"/>
    <cellStyle name="Comma 98 2 2 2 5" xfId="23252"/>
    <cellStyle name="Comma 98 2 2 2 6" xfId="23253"/>
    <cellStyle name="Comma 98 2 2 3" xfId="23254"/>
    <cellStyle name="Comma 98 2 2 4" xfId="23255"/>
    <cellStyle name="Comma 98 2 2 5" xfId="23256"/>
    <cellStyle name="Comma 98 2 2 6" xfId="23257"/>
    <cellStyle name="Comma 98 2 2 7" xfId="23258"/>
    <cellStyle name="Comma 98 2 3" xfId="23259"/>
    <cellStyle name="Comma 98 2 3 2" xfId="23260"/>
    <cellStyle name="Comma 98 2 3 3" xfId="23261"/>
    <cellStyle name="Comma 98 2 3 4" xfId="23262"/>
    <cellStyle name="Comma 98 2 3 5" xfId="23263"/>
    <cellStyle name="Comma 98 2 3 6" xfId="23264"/>
    <cellStyle name="Comma 98 2 4" xfId="23265"/>
    <cellStyle name="Comma 98 2 5" xfId="23266"/>
    <cellStyle name="Comma 98 2 6" xfId="23267"/>
    <cellStyle name="Comma 98 2 7" xfId="23268"/>
    <cellStyle name="Comma 98 2 8" xfId="23269"/>
    <cellStyle name="Comma 98 3" xfId="23270"/>
    <cellStyle name="Comma 98 3 2" xfId="23271"/>
    <cellStyle name="Comma 98 3 2 2" xfId="23272"/>
    <cellStyle name="Comma 98 3 2 3" xfId="23273"/>
    <cellStyle name="Comma 98 3 2 4" xfId="23274"/>
    <cellStyle name="Comma 98 3 2 5" xfId="23275"/>
    <cellStyle name="Comma 98 3 2 6" xfId="23276"/>
    <cellStyle name="Comma 98 3 3" xfId="23277"/>
    <cellStyle name="Comma 98 3 4" xfId="23278"/>
    <cellStyle name="Comma 98 3 5" xfId="23279"/>
    <cellStyle name="Comma 98 3 6" xfId="23280"/>
    <cellStyle name="Comma 98 3 7" xfId="23281"/>
    <cellStyle name="Comma 98 4" xfId="23282"/>
    <cellStyle name="Comma 98 4 2" xfId="23283"/>
    <cellStyle name="Comma 98 4 3" xfId="23284"/>
    <cellStyle name="Comma 98 4 4" xfId="23285"/>
    <cellStyle name="Comma 98 4 5" xfId="23286"/>
    <cellStyle name="Comma 98 4 6" xfId="23287"/>
    <cellStyle name="Comma 98 5" xfId="23288"/>
    <cellStyle name="Comma 98 6" xfId="23289"/>
    <cellStyle name="Comma 98 7" xfId="23290"/>
    <cellStyle name="Comma 98 8" xfId="23291"/>
    <cellStyle name="Comma 98 9" xfId="23292"/>
    <cellStyle name="Comma 99" xfId="23293"/>
    <cellStyle name="Comma 99 2" xfId="23294"/>
    <cellStyle name="Comma 99 2 2" xfId="23295"/>
    <cellStyle name="Comma 99 2 2 2" xfId="23296"/>
    <cellStyle name="Comma 99 2 2 2 2" xfId="23297"/>
    <cellStyle name="Comma 99 2 2 2 3" xfId="23298"/>
    <cellStyle name="Comma 99 2 2 2 4" xfId="23299"/>
    <cellStyle name="Comma 99 2 2 2 5" xfId="23300"/>
    <cellStyle name="Comma 99 2 2 2 6" xfId="23301"/>
    <cellStyle name="Comma 99 2 2 3" xfId="23302"/>
    <cellStyle name="Comma 99 2 2 4" xfId="23303"/>
    <cellStyle name="Comma 99 2 2 5" xfId="23304"/>
    <cellStyle name="Comma 99 2 2 6" xfId="23305"/>
    <cellStyle name="Comma 99 2 2 7" xfId="23306"/>
    <cellStyle name="Comma 99 2 3" xfId="23307"/>
    <cellStyle name="Comma 99 2 3 2" xfId="23308"/>
    <cellStyle name="Comma 99 2 3 3" xfId="23309"/>
    <cellStyle name="Comma 99 2 3 4" xfId="23310"/>
    <cellStyle name="Comma 99 2 3 5" xfId="23311"/>
    <cellStyle name="Comma 99 2 3 6" xfId="23312"/>
    <cellStyle name="Comma 99 2 4" xfId="23313"/>
    <cellStyle name="Comma 99 2 5" xfId="23314"/>
    <cellStyle name="Comma 99 2 6" xfId="23315"/>
    <cellStyle name="Comma 99 2 7" xfId="23316"/>
    <cellStyle name="Comma 99 2 8" xfId="23317"/>
    <cellStyle name="Comma 99 3" xfId="23318"/>
    <cellStyle name="Comma 99 3 2" xfId="23319"/>
    <cellStyle name="Comma 99 3 2 2" xfId="23320"/>
    <cellStyle name="Comma 99 3 2 3" xfId="23321"/>
    <cellStyle name="Comma 99 3 2 4" xfId="23322"/>
    <cellStyle name="Comma 99 3 2 5" xfId="23323"/>
    <cellStyle name="Comma 99 3 2 6" xfId="23324"/>
    <cellStyle name="Comma 99 3 3" xfId="23325"/>
    <cellStyle name="Comma 99 3 4" xfId="23326"/>
    <cellStyle name="Comma 99 3 5" xfId="23327"/>
    <cellStyle name="Comma 99 3 6" xfId="23328"/>
    <cellStyle name="Comma 99 3 7" xfId="23329"/>
    <cellStyle name="Comma 99 4" xfId="23330"/>
    <cellStyle name="Comma 99 4 2" xfId="23331"/>
    <cellStyle name="Comma 99 4 3" xfId="23332"/>
    <cellStyle name="Comma 99 4 4" xfId="23333"/>
    <cellStyle name="Comma 99 4 5" xfId="23334"/>
    <cellStyle name="Comma 99 4 6" xfId="23335"/>
    <cellStyle name="Comma 99 5" xfId="23336"/>
    <cellStyle name="Comma 99 6" xfId="23337"/>
    <cellStyle name="Comma 99 7" xfId="23338"/>
    <cellStyle name="Comma 99 8" xfId="23339"/>
    <cellStyle name="Comma 99 9" xfId="23340"/>
    <cellStyle name="Comma0" xfId="23341"/>
    <cellStyle name="Company Name" xfId="23342"/>
    <cellStyle name="Cover Link Note" xfId="23343"/>
    <cellStyle name="Currency 0" xfId="23344"/>
    <cellStyle name="Currency 10" xfId="23345"/>
    <cellStyle name="Currency 11" xfId="23346"/>
    <cellStyle name="Currency 11 2" xfId="23347"/>
    <cellStyle name="Currency 11 3" xfId="23348"/>
    <cellStyle name="Currency 12" xfId="23349"/>
    <cellStyle name="Currency 12 10" xfId="23350"/>
    <cellStyle name="Currency 12 2" xfId="23351"/>
    <cellStyle name="Currency 12 2 2" xfId="23352"/>
    <cellStyle name="Currency 12 2 2 2" xfId="23353"/>
    <cellStyle name="Currency 12 2 2 2 2" xfId="23354"/>
    <cellStyle name="Currency 12 2 2 2 2 2" xfId="23355"/>
    <cellStyle name="Currency 12 2 2 2 2 3" xfId="23356"/>
    <cellStyle name="Currency 12 2 2 2 2 4" xfId="23357"/>
    <cellStyle name="Currency 12 2 2 2 2 5" xfId="23358"/>
    <cellStyle name="Currency 12 2 2 2 2 6" xfId="23359"/>
    <cellStyle name="Currency 12 2 2 2 3" xfId="23360"/>
    <cellStyle name="Currency 12 2 2 2 4" xfId="23361"/>
    <cellStyle name="Currency 12 2 2 2 5" xfId="23362"/>
    <cellStyle name="Currency 12 2 2 2 6" xfId="23363"/>
    <cellStyle name="Currency 12 2 2 2 7" xfId="23364"/>
    <cellStyle name="Currency 12 2 2 3" xfId="23365"/>
    <cellStyle name="Currency 12 2 2 3 2" xfId="23366"/>
    <cellStyle name="Currency 12 2 2 3 3" xfId="23367"/>
    <cellStyle name="Currency 12 2 2 3 4" xfId="23368"/>
    <cellStyle name="Currency 12 2 2 3 5" xfId="23369"/>
    <cellStyle name="Currency 12 2 2 3 6" xfId="23370"/>
    <cellStyle name="Currency 12 2 2 4" xfId="23371"/>
    <cellStyle name="Currency 12 2 2 5" xfId="23372"/>
    <cellStyle name="Currency 12 2 2 6" xfId="23373"/>
    <cellStyle name="Currency 12 2 2 7" xfId="23374"/>
    <cellStyle name="Currency 12 2 2 8" xfId="23375"/>
    <cellStyle name="Currency 12 2 3" xfId="23376"/>
    <cellStyle name="Currency 12 2 3 2" xfId="23377"/>
    <cellStyle name="Currency 12 2 3 2 2" xfId="23378"/>
    <cellStyle name="Currency 12 2 3 2 3" xfId="23379"/>
    <cellStyle name="Currency 12 2 3 2 4" xfId="23380"/>
    <cellStyle name="Currency 12 2 3 2 5" xfId="23381"/>
    <cellStyle name="Currency 12 2 3 2 6" xfId="23382"/>
    <cellStyle name="Currency 12 2 3 3" xfId="23383"/>
    <cellStyle name="Currency 12 2 3 4" xfId="23384"/>
    <cellStyle name="Currency 12 2 3 5" xfId="23385"/>
    <cellStyle name="Currency 12 2 3 6" xfId="23386"/>
    <cellStyle name="Currency 12 2 3 7" xfId="23387"/>
    <cellStyle name="Currency 12 2 4" xfId="23388"/>
    <cellStyle name="Currency 12 2 4 2" xfId="23389"/>
    <cellStyle name="Currency 12 2 4 3" xfId="23390"/>
    <cellStyle name="Currency 12 2 4 4" xfId="23391"/>
    <cellStyle name="Currency 12 2 4 5" xfId="23392"/>
    <cellStyle name="Currency 12 2 4 6" xfId="23393"/>
    <cellStyle name="Currency 12 2 5" xfId="23394"/>
    <cellStyle name="Currency 12 2 6" xfId="23395"/>
    <cellStyle name="Currency 12 2 7" xfId="23396"/>
    <cellStyle name="Currency 12 2 8" xfId="23397"/>
    <cellStyle name="Currency 12 2 9" xfId="23398"/>
    <cellStyle name="Currency 12 3" xfId="23399"/>
    <cellStyle name="Currency 12 3 2" xfId="23400"/>
    <cellStyle name="Currency 12 3 2 2" xfId="23401"/>
    <cellStyle name="Currency 12 3 2 2 2" xfId="23402"/>
    <cellStyle name="Currency 12 3 2 2 3" xfId="23403"/>
    <cellStyle name="Currency 12 3 2 2 4" xfId="23404"/>
    <cellStyle name="Currency 12 3 2 2 5" xfId="23405"/>
    <cellStyle name="Currency 12 3 2 2 6" xfId="23406"/>
    <cellStyle name="Currency 12 3 2 3" xfId="23407"/>
    <cellStyle name="Currency 12 3 2 4" xfId="23408"/>
    <cellStyle name="Currency 12 3 2 5" xfId="23409"/>
    <cellStyle name="Currency 12 3 2 6" xfId="23410"/>
    <cellStyle name="Currency 12 3 2 7" xfId="23411"/>
    <cellStyle name="Currency 12 3 3" xfId="23412"/>
    <cellStyle name="Currency 12 3 3 2" xfId="23413"/>
    <cellStyle name="Currency 12 3 3 3" xfId="23414"/>
    <cellStyle name="Currency 12 3 3 4" xfId="23415"/>
    <cellStyle name="Currency 12 3 3 5" xfId="23416"/>
    <cellStyle name="Currency 12 3 3 6" xfId="23417"/>
    <cellStyle name="Currency 12 3 4" xfId="23418"/>
    <cellStyle name="Currency 12 3 5" xfId="23419"/>
    <cellStyle name="Currency 12 3 6" xfId="23420"/>
    <cellStyle name="Currency 12 3 7" xfId="23421"/>
    <cellStyle name="Currency 12 3 8" xfId="23422"/>
    <cellStyle name="Currency 12 4" xfId="23423"/>
    <cellStyle name="Currency 12 4 2" xfId="23424"/>
    <cellStyle name="Currency 12 4 2 2" xfId="23425"/>
    <cellStyle name="Currency 12 4 2 3" xfId="23426"/>
    <cellStyle name="Currency 12 4 2 4" xfId="23427"/>
    <cellStyle name="Currency 12 4 2 5" xfId="23428"/>
    <cellStyle name="Currency 12 4 2 6" xfId="23429"/>
    <cellStyle name="Currency 12 4 3" xfId="23430"/>
    <cellStyle name="Currency 12 4 4" xfId="23431"/>
    <cellStyle name="Currency 12 4 5" xfId="23432"/>
    <cellStyle name="Currency 12 4 6" xfId="23433"/>
    <cellStyle name="Currency 12 4 7" xfId="23434"/>
    <cellStyle name="Currency 12 5" xfId="23435"/>
    <cellStyle name="Currency 12 5 2" xfId="23436"/>
    <cellStyle name="Currency 12 5 3" xfId="23437"/>
    <cellStyle name="Currency 12 5 4" xfId="23438"/>
    <cellStyle name="Currency 12 5 5" xfId="23439"/>
    <cellStyle name="Currency 12 5 6" xfId="23440"/>
    <cellStyle name="Currency 12 6" xfId="23441"/>
    <cellStyle name="Currency 12 7" xfId="23442"/>
    <cellStyle name="Currency 12 8" xfId="23443"/>
    <cellStyle name="Currency 12 9" xfId="23444"/>
    <cellStyle name="Currency 13" xfId="23445"/>
    <cellStyle name="Currency 13 10" xfId="23446"/>
    <cellStyle name="Currency 13 2" xfId="23447"/>
    <cellStyle name="Currency 13 2 2" xfId="23448"/>
    <cellStyle name="Currency 13 2 2 2" xfId="23449"/>
    <cellStyle name="Currency 13 2 2 2 2" xfId="23450"/>
    <cellStyle name="Currency 13 2 2 2 2 2" xfId="23451"/>
    <cellStyle name="Currency 13 2 2 2 2 3" xfId="23452"/>
    <cellStyle name="Currency 13 2 2 2 2 4" xfId="23453"/>
    <cellStyle name="Currency 13 2 2 2 2 5" xfId="23454"/>
    <cellStyle name="Currency 13 2 2 2 2 6" xfId="23455"/>
    <cellStyle name="Currency 13 2 2 2 3" xfId="23456"/>
    <cellStyle name="Currency 13 2 2 2 4" xfId="23457"/>
    <cellStyle name="Currency 13 2 2 2 5" xfId="23458"/>
    <cellStyle name="Currency 13 2 2 2 6" xfId="23459"/>
    <cellStyle name="Currency 13 2 2 2 7" xfId="23460"/>
    <cellStyle name="Currency 13 2 2 3" xfId="23461"/>
    <cellStyle name="Currency 13 2 2 3 2" xfId="23462"/>
    <cellStyle name="Currency 13 2 2 3 3" xfId="23463"/>
    <cellStyle name="Currency 13 2 2 3 4" xfId="23464"/>
    <cellStyle name="Currency 13 2 2 3 5" xfId="23465"/>
    <cellStyle name="Currency 13 2 2 3 6" xfId="23466"/>
    <cellStyle name="Currency 13 2 2 4" xfId="23467"/>
    <cellStyle name="Currency 13 2 2 5" xfId="23468"/>
    <cellStyle name="Currency 13 2 2 6" xfId="23469"/>
    <cellStyle name="Currency 13 2 2 7" xfId="23470"/>
    <cellStyle name="Currency 13 2 2 8" xfId="23471"/>
    <cellStyle name="Currency 13 2 3" xfId="23472"/>
    <cellStyle name="Currency 13 2 3 2" xfId="23473"/>
    <cellStyle name="Currency 13 2 3 2 2" xfId="23474"/>
    <cellStyle name="Currency 13 2 3 2 3" xfId="23475"/>
    <cellStyle name="Currency 13 2 3 2 4" xfId="23476"/>
    <cellStyle name="Currency 13 2 3 2 5" xfId="23477"/>
    <cellStyle name="Currency 13 2 3 2 6" xfId="23478"/>
    <cellStyle name="Currency 13 2 3 3" xfId="23479"/>
    <cellStyle name="Currency 13 2 3 4" xfId="23480"/>
    <cellStyle name="Currency 13 2 3 5" xfId="23481"/>
    <cellStyle name="Currency 13 2 3 6" xfId="23482"/>
    <cellStyle name="Currency 13 2 3 7" xfId="23483"/>
    <cellStyle name="Currency 13 2 4" xfId="23484"/>
    <cellStyle name="Currency 13 2 4 2" xfId="23485"/>
    <cellStyle name="Currency 13 2 4 3" xfId="23486"/>
    <cellStyle name="Currency 13 2 4 4" xfId="23487"/>
    <cellStyle name="Currency 13 2 4 5" xfId="23488"/>
    <cellStyle name="Currency 13 2 4 6" xfId="23489"/>
    <cellStyle name="Currency 13 2 5" xfId="23490"/>
    <cellStyle name="Currency 13 2 6" xfId="23491"/>
    <cellStyle name="Currency 13 2 7" xfId="23492"/>
    <cellStyle name="Currency 13 2 8" xfId="23493"/>
    <cellStyle name="Currency 13 2 9" xfId="23494"/>
    <cellStyle name="Currency 13 3" xfId="23495"/>
    <cellStyle name="Currency 13 3 2" xfId="23496"/>
    <cellStyle name="Currency 13 3 2 2" xfId="23497"/>
    <cellStyle name="Currency 13 3 2 2 2" xfId="23498"/>
    <cellStyle name="Currency 13 3 2 2 3" xfId="23499"/>
    <cellStyle name="Currency 13 3 2 2 4" xfId="23500"/>
    <cellStyle name="Currency 13 3 2 2 5" xfId="23501"/>
    <cellStyle name="Currency 13 3 2 2 6" xfId="23502"/>
    <cellStyle name="Currency 13 3 2 3" xfId="23503"/>
    <cellStyle name="Currency 13 3 2 4" xfId="23504"/>
    <cellStyle name="Currency 13 3 2 5" xfId="23505"/>
    <cellStyle name="Currency 13 3 2 6" xfId="23506"/>
    <cellStyle name="Currency 13 3 2 7" xfId="23507"/>
    <cellStyle name="Currency 13 3 3" xfId="23508"/>
    <cellStyle name="Currency 13 3 3 2" xfId="23509"/>
    <cellStyle name="Currency 13 3 3 3" xfId="23510"/>
    <cellStyle name="Currency 13 3 3 4" xfId="23511"/>
    <cellStyle name="Currency 13 3 3 5" xfId="23512"/>
    <cellStyle name="Currency 13 3 3 6" xfId="23513"/>
    <cellStyle name="Currency 13 3 4" xfId="23514"/>
    <cellStyle name="Currency 13 3 5" xfId="23515"/>
    <cellStyle name="Currency 13 3 6" xfId="23516"/>
    <cellStyle name="Currency 13 3 7" xfId="23517"/>
    <cellStyle name="Currency 13 3 8" xfId="23518"/>
    <cellStyle name="Currency 13 4" xfId="23519"/>
    <cellStyle name="Currency 13 4 2" xfId="23520"/>
    <cellStyle name="Currency 13 4 2 2" xfId="23521"/>
    <cellStyle name="Currency 13 4 2 3" xfId="23522"/>
    <cellStyle name="Currency 13 4 2 4" xfId="23523"/>
    <cellStyle name="Currency 13 4 2 5" xfId="23524"/>
    <cellStyle name="Currency 13 4 2 6" xfId="23525"/>
    <cellStyle name="Currency 13 4 3" xfId="23526"/>
    <cellStyle name="Currency 13 4 4" xfId="23527"/>
    <cellStyle name="Currency 13 4 5" xfId="23528"/>
    <cellStyle name="Currency 13 4 6" xfId="23529"/>
    <cellStyle name="Currency 13 4 7" xfId="23530"/>
    <cellStyle name="Currency 13 5" xfId="23531"/>
    <cellStyle name="Currency 13 5 2" xfId="23532"/>
    <cellStyle name="Currency 13 5 3" xfId="23533"/>
    <cellStyle name="Currency 13 5 4" xfId="23534"/>
    <cellStyle name="Currency 13 5 5" xfId="23535"/>
    <cellStyle name="Currency 13 5 6" xfId="23536"/>
    <cellStyle name="Currency 13 6" xfId="23537"/>
    <cellStyle name="Currency 13 7" xfId="23538"/>
    <cellStyle name="Currency 13 8" xfId="23539"/>
    <cellStyle name="Currency 13 9" xfId="23540"/>
    <cellStyle name="Currency 14" xfId="23541"/>
    <cellStyle name="Currency 14 10" xfId="23542"/>
    <cellStyle name="Currency 14 2" xfId="23543"/>
    <cellStyle name="Currency 14 2 2" xfId="23544"/>
    <cellStyle name="Currency 14 2 2 2" xfId="23545"/>
    <cellStyle name="Currency 14 2 2 2 2" xfId="23546"/>
    <cellStyle name="Currency 14 2 2 2 2 2" xfId="23547"/>
    <cellStyle name="Currency 14 2 2 2 2 3" xfId="23548"/>
    <cellStyle name="Currency 14 2 2 2 2 4" xfId="23549"/>
    <cellStyle name="Currency 14 2 2 2 2 5" xfId="23550"/>
    <cellStyle name="Currency 14 2 2 2 2 6" xfId="23551"/>
    <cellStyle name="Currency 14 2 2 2 3" xfId="23552"/>
    <cellStyle name="Currency 14 2 2 2 4" xfId="23553"/>
    <cellStyle name="Currency 14 2 2 2 5" xfId="23554"/>
    <cellStyle name="Currency 14 2 2 2 6" xfId="23555"/>
    <cellStyle name="Currency 14 2 2 2 7" xfId="23556"/>
    <cellStyle name="Currency 14 2 2 3" xfId="23557"/>
    <cellStyle name="Currency 14 2 2 3 2" xfId="23558"/>
    <cellStyle name="Currency 14 2 2 3 3" xfId="23559"/>
    <cellStyle name="Currency 14 2 2 3 4" xfId="23560"/>
    <cellStyle name="Currency 14 2 2 3 5" xfId="23561"/>
    <cellStyle name="Currency 14 2 2 3 6" xfId="23562"/>
    <cellStyle name="Currency 14 2 2 4" xfId="23563"/>
    <cellStyle name="Currency 14 2 2 5" xfId="23564"/>
    <cellStyle name="Currency 14 2 2 6" xfId="23565"/>
    <cellStyle name="Currency 14 2 2 7" xfId="23566"/>
    <cellStyle name="Currency 14 2 2 8" xfId="23567"/>
    <cellStyle name="Currency 14 2 3" xfId="23568"/>
    <cellStyle name="Currency 14 2 3 2" xfId="23569"/>
    <cellStyle name="Currency 14 2 3 2 2" xfId="23570"/>
    <cellStyle name="Currency 14 2 3 2 3" xfId="23571"/>
    <cellStyle name="Currency 14 2 3 2 4" xfId="23572"/>
    <cellStyle name="Currency 14 2 3 2 5" xfId="23573"/>
    <cellStyle name="Currency 14 2 3 2 6" xfId="23574"/>
    <cellStyle name="Currency 14 2 3 3" xfId="23575"/>
    <cellStyle name="Currency 14 2 3 4" xfId="23576"/>
    <cellStyle name="Currency 14 2 3 5" xfId="23577"/>
    <cellStyle name="Currency 14 2 3 6" xfId="23578"/>
    <cellStyle name="Currency 14 2 3 7" xfId="23579"/>
    <cellStyle name="Currency 14 2 4" xfId="23580"/>
    <cellStyle name="Currency 14 2 4 2" xfId="23581"/>
    <cellStyle name="Currency 14 2 4 3" xfId="23582"/>
    <cellStyle name="Currency 14 2 4 4" xfId="23583"/>
    <cellStyle name="Currency 14 2 4 5" xfId="23584"/>
    <cellStyle name="Currency 14 2 4 6" xfId="23585"/>
    <cellStyle name="Currency 14 2 5" xfId="23586"/>
    <cellStyle name="Currency 14 2 6" xfId="23587"/>
    <cellStyle name="Currency 14 2 7" xfId="23588"/>
    <cellStyle name="Currency 14 2 8" xfId="23589"/>
    <cellStyle name="Currency 14 2 9" xfId="23590"/>
    <cellStyle name="Currency 14 3" xfId="23591"/>
    <cellStyle name="Currency 14 3 2" xfId="23592"/>
    <cellStyle name="Currency 14 3 2 2" xfId="23593"/>
    <cellStyle name="Currency 14 3 2 2 2" xfId="23594"/>
    <cellStyle name="Currency 14 3 2 2 3" xfId="23595"/>
    <cellStyle name="Currency 14 3 2 2 4" xfId="23596"/>
    <cellStyle name="Currency 14 3 2 2 5" xfId="23597"/>
    <cellStyle name="Currency 14 3 2 2 6" xfId="23598"/>
    <cellStyle name="Currency 14 3 2 3" xfId="23599"/>
    <cellStyle name="Currency 14 3 2 4" xfId="23600"/>
    <cellStyle name="Currency 14 3 2 5" xfId="23601"/>
    <cellStyle name="Currency 14 3 2 6" xfId="23602"/>
    <cellStyle name="Currency 14 3 2 7" xfId="23603"/>
    <cellStyle name="Currency 14 3 3" xfId="23604"/>
    <cellStyle name="Currency 14 3 3 2" xfId="23605"/>
    <cellStyle name="Currency 14 3 3 3" xfId="23606"/>
    <cellStyle name="Currency 14 3 3 4" xfId="23607"/>
    <cellStyle name="Currency 14 3 3 5" xfId="23608"/>
    <cellStyle name="Currency 14 3 3 6" xfId="23609"/>
    <cellStyle name="Currency 14 3 4" xfId="23610"/>
    <cellStyle name="Currency 14 3 5" xfId="23611"/>
    <cellStyle name="Currency 14 3 6" xfId="23612"/>
    <cellStyle name="Currency 14 3 7" xfId="23613"/>
    <cellStyle name="Currency 14 3 8" xfId="23614"/>
    <cellStyle name="Currency 14 4" xfId="23615"/>
    <cellStyle name="Currency 14 4 2" xfId="23616"/>
    <cellStyle name="Currency 14 4 2 2" xfId="23617"/>
    <cellStyle name="Currency 14 4 2 3" xfId="23618"/>
    <cellStyle name="Currency 14 4 2 4" xfId="23619"/>
    <cellStyle name="Currency 14 4 2 5" xfId="23620"/>
    <cellStyle name="Currency 14 4 2 6" xfId="23621"/>
    <cellStyle name="Currency 14 4 3" xfId="23622"/>
    <cellStyle name="Currency 14 4 4" xfId="23623"/>
    <cellStyle name="Currency 14 4 5" xfId="23624"/>
    <cellStyle name="Currency 14 4 6" xfId="23625"/>
    <cellStyle name="Currency 14 4 7" xfId="23626"/>
    <cellStyle name="Currency 14 5" xfId="23627"/>
    <cellStyle name="Currency 14 5 2" xfId="23628"/>
    <cellStyle name="Currency 14 5 3" xfId="23629"/>
    <cellStyle name="Currency 14 5 4" xfId="23630"/>
    <cellStyle name="Currency 14 5 5" xfId="23631"/>
    <cellStyle name="Currency 14 5 6" xfId="23632"/>
    <cellStyle name="Currency 14 6" xfId="23633"/>
    <cellStyle name="Currency 14 7" xfId="23634"/>
    <cellStyle name="Currency 14 8" xfId="23635"/>
    <cellStyle name="Currency 14 9" xfId="23636"/>
    <cellStyle name="Currency 15" xfId="23637"/>
    <cellStyle name="Currency 15 2" xfId="23638"/>
    <cellStyle name="Currency 15 2 2" xfId="23639"/>
    <cellStyle name="Currency 15 2 2 2" xfId="23640"/>
    <cellStyle name="Currency 15 2 2 2 2" xfId="23641"/>
    <cellStyle name="Currency 15 2 2 2 3" xfId="23642"/>
    <cellStyle name="Currency 15 2 2 2 4" xfId="23643"/>
    <cellStyle name="Currency 15 2 2 2 5" xfId="23644"/>
    <cellStyle name="Currency 15 2 2 2 6" xfId="23645"/>
    <cellStyle name="Currency 15 2 2 3" xfId="23646"/>
    <cellStyle name="Currency 15 2 2 4" xfId="23647"/>
    <cellStyle name="Currency 15 2 2 5" xfId="23648"/>
    <cellStyle name="Currency 15 2 2 6" xfId="23649"/>
    <cellStyle name="Currency 15 2 2 7" xfId="23650"/>
    <cellStyle name="Currency 15 2 3" xfId="23651"/>
    <cellStyle name="Currency 15 2 3 2" xfId="23652"/>
    <cellStyle name="Currency 15 2 3 3" xfId="23653"/>
    <cellStyle name="Currency 15 2 3 4" xfId="23654"/>
    <cellStyle name="Currency 15 2 3 5" xfId="23655"/>
    <cellStyle name="Currency 15 2 3 6" xfId="23656"/>
    <cellStyle name="Currency 15 2 4" xfId="23657"/>
    <cellStyle name="Currency 15 2 5" xfId="23658"/>
    <cellStyle name="Currency 15 2 6" xfId="23659"/>
    <cellStyle name="Currency 15 2 7" xfId="23660"/>
    <cellStyle name="Currency 15 2 8" xfId="23661"/>
    <cellStyle name="Currency 15 3" xfId="23662"/>
    <cellStyle name="Currency 15 3 2" xfId="23663"/>
    <cellStyle name="Currency 15 3 2 2" xfId="23664"/>
    <cellStyle name="Currency 15 3 2 3" xfId="23665"/>
    <cellStyle name="Currency 15 3 2 4" xfId="23666"/>
    <cellStyle name="Currency 15 3 2 5" xfId="23667"/>
    <cellStyle name="Currency 15 3 2 6" xfId="23668"/>
    <cellStyle name="Currency 15 3 3" xfId="23669"/>
    <cellStyle name="Currency 15 3 4" xfId="23670"/>
    <cellStyle name="Currency 15 3 5" xfId="23671"/>
    <cellStyle name="Currency 15 3 6" xfId="23672"/>
    <cellStyle name="Currency 15 3 7" xfId="23673"/>
    <cellStyle name="Currency 15 4" xfId="23674"/>
    <cellStyle name="Currency 15 4 2" xfId="23675"/>
    <cellStyle name="Currency 15 4 3" xfId="23676"/>
    <cellStyle name="Currency 15 4 4" xfId="23677"/>
    <cellStyle name="Currency 15 4 5" xfId="23678"/>
    <cellStyle name="Currency 15 4 6" xfId="23679"/>
    <cellStyle name="Currency 15 5" xfId="23680"/>
    <cellStyle name="Currency 15 6" xfId="23681"/>
    <cellStyle name="Currency 15 7" xfId="23682"/>
    <cellStyle name="Currency 15 8" xfId="23683"/>
    <cellStyle name="Currency 15 9" xfId="23684"/>
    <cellStyle name="Currency 16" xfId="23685"/>
    <cellStyle name="Currency 17" xfId="23686"/>
    <cellStyle name="Currency 17 2" xfId="23687"/>
    <cellStyle name="Currency 17 2 2" xfId="23688"/>
    <cellStyle name="Currency 17 2 2 2" xfId="23689"/>
    <cellStyle name="Currency 17 2 2 2 2" xfId="23690"/>
    <cellStyle name="Currency 17 2 2 2 3" xfId="23691"/>
    <cellStyle name="Currency 17 2 2 2 4" xfId="23692"/>
    <cellStyle name="Currency 17 2 2 2 5" xfId="23693"/>
    <cellStyle name="Currency 17 2 2 2 6" xfId="23694"/>
    <cellStyle name="Currency 17 2 2 3" xfId="23695"/>
    <cellStyle name="Currency 17 2 2 4" xfId="23696"/>
    <cellStyle name="Currency 17 2 2 5" xfId="23697"/>
    <cellStyle name="Currency 17 2 2 6" xfId="23698"/>
    <cellStyle name="Currency 17 2 2 7" xfId="23699"/>
    <cellStyle name="Currency 17 2 3" xfId="23700"/>
    <cellStyle name="Currency 17 2 3 2" xfId="23701"/>
    <cellStyle name="Currency 17 2 3 3" xfId="23702"/>
    <cellStyle name="Currency 17 2 3 4" xfId="23703"/>
    <cellStyle name="Currency 17 2 3 5" xfId="23704"/>
    <cellStyle name="Currency 17 2 3 6" xfId="23705"/>
    <cellStyle name="Currency 17 2 4" xfId="23706"/>
    <cellStyle name="Currency 17 2 5" xfId="23707"/>
    <cellStyle name="Currency 17 2 6" xfId="23708"/>
    <cellStyle name="Currency 17 2 7" xfId="23709"/>
    <cellStyle name="Currency 17 2 8" xfId="23710"/>
    <cellStyle name="Currency 17 3" xfId="23711"/>
    <cellStyle name="Currency 17 3 2" xfId="23712"/>
    <cellStyle name="Currency 17 3 2 2" xfId="23713"/>
    <cellStyle name="Currency 17 3 2 3" xfId="23714"/>
    <cellStyle name="Currency 17 3 2 4" xfId="23715"/>
    <cellStyle name="Currency 17 3 2 5" xfId="23716"/>
    <cellStyle name="Currency 17 3 2 6" xfId="23717"/>
    <cellStyle name="Currency 17 3 3" xfId="23718"/>
    <cellStyle name="Currency 17 3 4" xfId="23719"/>
    <cellStyle name="Currency 17 3 5" xfId="23720"/>
    <cellStyle name="Currency 17 3 6" xfId="23721"/>
    <cellStyle name="Currency 17 3 7" xfId="23722"/>
    <cellStyle name="Currency 17 4" xfId="23723"/>
    <cellStyle name="Currency 17 4 2" xfId="23724"/>
    <cellStyle name="Currency 17 4 3" xfId="23725"/>
    <cellStyle name="Currency 17 4 4" xfId="23726"/>
    <cellStyle name="Currency 17 4 5" xfId="23727"/>
    <cellStyle name="Currency 17 4 6" xfId="23728"/>
    <cellStyle name="Currency 17 5" xfId="23729"/>
    <cellStyle name="Currency 17 6" xfId="23730"/>
    <cellStyle name="Currency 17 7" xfId="23731"/>
    <cellStyle name="Currency 17 8" xfId="23732"/>
    <cellStyle name="Currency 17 9" xfId="23733"/>
    <cellStyle name="Currency 18" xfId="23734"/>
    <cellStyle name="Currency 18 2" xfId="23735"/>
    <cellStyle name="Currency 19" xfId="23736"/>
    <cellStyle name="Currency 19 2" xfId="23737"/>
    <cellStyle name="Currency 19 2 2" xfId="23738"/>
    <cellStyle name="Currency 19 2 2 2" xfId="23739"/>
    <cellStyle name="Currency 19 2 2 2 2" xfId="23740"/>
    <cellStyle name="Currency 19 2 2 2 3" xfId="23741"/>
    <cellStyle name="Currency 19 2 2 2 4" xfId="23742"/>
    <cellStyle name="Currency 19 2 2 2 5" xfId="23743"/>
    <cellStyle name="Currency 19 2 2 2 6" xfId="23744"/>
    <cellStyle name="Currency 19 2 2 3" xfId="23745"/>
    <cellStyle name="Currency 19 2 2 4" xfId="23746"/>
    <cellStyle name="Currency 19 2 2 5" xfId="23747"/>
    <cellStyle name="Currency 19 2 2 6" xfId="23748"/>
    <cellStyle name="Currency 19 2 2 7" xfId="23749"/>
    <cellStyle name="Currency 19 2 3" xfId="23750"/>
    <cellStyle name="Currency 19 2 3 2" xfId="23751"/>
    <cellStyle name="Currency 19 2 3 3" xfId="23752"/>
    <cellStyle name="Currency 19 2 3 4" xfId="23753"/>
    <cellStyle name="Currency 19 2 3 5" xfId="23754"/>
    <cellStyle name="Currency 19 2 3 6" xfId="23755"/>
    <cellStyle name="Currency 19 2 4" xfId="23756"/>
    <cellStyle name="Currency 19 2 5" xfId="23757"/>
    <cellStyle name="Currency 19 2 6" xfId="23758"/>
    <cellStyle name="Currency 19 2 7" xfId="23759"/>
    <cellStyle name="Currency 19 2 8" xfId="23760"/>
    <cellStyle name="Currency 19 3" xfId="23761"/>
    <cellStyle name="Currency 19 3 2" xfId="23762"/>
    <cellStyle name="Currency 19 3 2 2" xfId="23763"/>
    <cellStyle name="Currency 19 3 2 3" xfId="23764"/>
    <cellStyle name="Currency 19 3 2 4" xfId="23765"/>
    <cellStyle name="Currency 19 3 2 5" xfId="23766"/>
    <cellStyle name="Currency 19 3 2 6" xfId="23767"/>
    <cellStyle name="Currency 19 3 3" xfId="23768"/>
    <cellStyle name="Currency 19 3 4" xfId="23769"/>
    <cellStyle name="Currency 19 3 5" xfId="23770"/>
    <cellStyle name="Currency 19 3 6" xfId="23771"/>
    <cellStyle name="Currency 19 3 7" xfId="23772"/>
    <cellStyle name="Currency 19 4" xfId="23773"/>
    <cellStyle name="Currency 19 4 2" xfId="23774"/>
    <cellStyle name="Currency 19 4 3" xfId="23775"/>
    <cellStyle name="Currency 19 4 4" xfId="23776"/>
    <cellStyle name="Currency 19 4 5" xfId="23777"/>
    <cellStyle name="Currency 19 4 6" xfId="23778"/>
    <cellStyle name="Currency 19 5" xfId="23779"/>
    <cellStyle name="Currency 19 6" xfId="23780"/>
    <cellStyle name="Currency 19 7" xfId="23781"/>
    <cellStyle name="Currency 19 8" xfId="23782"/>
    <cellStyle name="Currency 19 9" xfId="23783"/>
    <cellStyle name="Currency 2" xfId="60"/>
    <cellStyle name="Currency 2 2" xfId="23784"/>
    <cellStyle name="Currency 2 2 2" xfId="23785"/>
    <cellStyle name="Currency 2 2 3" xfId="23786"/>
    <cellStyle name="Currency 2 3" xfId="23787"/>
    <cellStyle name="Currency 2 3 2" xfId="23788"/>
    <cellStyle name="Currency 2 4" xfId="23789"/>
    <cellStyle name="Currency 2 4 2" xfId="23790"/>
    <cellStyle name="Currency 2 5" xfId="23791"/>
    <cellStyle name="Currency 2 6" xfId="23792"/>
    <cellStyle name="Currency 2 7" xfId="23793"/>
    <cellStyle name="Currency 2 7 2" xfId="23794"/>
    <cellStyle name="Currency 20" xfId="23795"/>
    <cellStyle name="Currency 20 2" xfId="23796"/>
    <cellStyle name="Currency 20 2 2" xfId="23797"/>
    <cellStyle name="Currency 20 2 2 2" xfId="23798"/>
    <cellStyle name="Currency 20 2 2 3" xfId="23799"/>
    <cellStyle name="Currency 20 2 2 4" xfId="23800"/>
    <cellStyle name="Currency 20 2 2 5" xfId="23801"/>
    <cellStyle name="Currency 20 2 2 6" xfId="23802"/>
    <cellStyle name="Currency 20 2 3" xfId="23803"/>
    <cellStyle name="Currency 20 2 4" xfId="23804"/>
    <cellStyle name="Currency 20 2 5" xfId="23805"/>
    <cellStyle name="Currency 20 2 6" xfId="23806"/>
    <cellStyle name="Currency 20 2 7" xfId="23807"/>
    <cellStyle name="Currency 20 3" xfId="23808"/>
    <cellStyle name="Currency 20 3 2" xfId="23809"/>
    <cellStyle name="Currency 20 3 3" xfId="23810"/>
    <cellStyle name="Currency 20 3 4" xfId="23811"/>
    <cellStyle name="Currency 20 3 5" xfId="23812"/>
    <cellStyle name="Currency 20 3 6" xfId="23813"/>
    <cellStyle name="Currency 20 4" xfId="23814"/>
    <cellStyle name="Currency 20 5" xfId="23815"/>
    <cellStyle name="Currency 20 6" xfId="23816"/>
    <cellStyle name="Currency 20 7" xfId="23817"/>
    <cellStyle name="Currency 20 8" xfId="23818"/>
    <cellStyle name="Currency 3" xfId="23819"/>
    <cellStyle name="Currency 3 2" xfId="23820"/>
    <cellStyle name="Currency 3 3" xfId="23821"/>
    <cellStyle name="Currency 3 4" xfId="23822"/>
    <cellStyle name="Currency 4" xfId="23823"/>
    <cellStyle name="Currency 4 2" xfId="23824"/>
    <cellStyle name="Currency 4 3" xfId="23825"/>
    <cellStyle name="Currency 4 3 2" xfId="23826"/>
    <cellStyle name="Currency 5" xfId="23827"/>
    <cellStyle name="Currency 5 2" xfId="23828"/>
    <cellStyle name="Currency 5 3" xfId="23829"/>
    <cellStyle name="Currency 6" xfId="23830"/>
    <cellStyle name="Currency 6 2" xfId="23831"/>
    <cellStyle name="Currency 6 2 2" xfId="23832"/>
    <cellStyle name="Currency 6 3" xfId="23833"/>
    <cellStyle name="Currency 7" xfId="23834"/>
    <cellStyle name="Currency 7 10" xfId="23835"/>
    <cellStyle name="Currency 7 10 2" xfId="23836"/>
    <cellStyle name="Currency 7 10 2 2" xfId="23837"/>
    <cellStyle name="Currency 7 10 2 2 2" xfId="23838"/>
    <cellStyle name="Currency 7 10 2 2 2 2" xfId="23839"/>
    <cellStyle name="Currency 7 10 2 2 2 3" xfId="23840"/>
    <cellStyle name="Currency 7 10 2 2 2 4" xfId="23841"/>
    <cellStyle name="Currency 7 10 2 2 2 5" xfId="23842"/>
    <cellStyle name="Currency 7 10 2 2 2 6" xfId="23843"/>
    <cellStyle name="Currency 7 10 2 2 3" xfId="23844"/>
    <cellStyle name="Currency 7 10 2 2 4" xfId="23845"/>
    <cellStyle name="Currency 7 10 2 2 5" xfId="23846"/>
    <cellStyle name="Currency 7 10 2 2 6" xfId="23847"/>
    <cellStyle name="Currency 7 10 2 2 7" xfId="23848"/>
    <cellStyle name="Currency 7 10 2 3" xfId="23849"/>
    <cellStyle name="Currency 7 10 2 3 2" xfId="23850"/>
    <cellStyle name="Currency 7 10 2 3 3" xfId="23851"/>
    <cellStyle name="Currency 7 10 2 3 4" xfId="23852"/>
    <cellStyle name="Currency 7 10 2 3 5" xfId="23853"/>
    <cellStyle name="Currency 7 10 2 3 6" xfId="23854"/>
    <cellStyle name="Currency 7 10 2 4" xfId="23855"/>
    <cellStyle name="Currency 7 10 2 5" xfId="23856"/>
    <cellStyle name="Currency 7 10 2 6" xfId="23857"/>
    <cellStyle name="Currency 7 10 2 7" xfId="23858"/>
    <cellStyle name="Currency 7 10 2 8" xfId="23859"/>
    <cellStyle name="Currency 7 10 3" xfId="23860"/>
    <cellStyle name="Currency 7 10 3 2" xfId="23861"/>
    <cellStyle name="Currency 7 10 3 2 2" xfId="23862"/>
    <cellStyle name="Currency 7 10 3 2 3" xfId="23863"/>
    <cellStyle name="Currency 7 10 3 2 4" xfId="23864"/>
    <cellStyle name="Currency 7 10 3 2 5" xfId="23865"/>
    <cellStyle name="Currency 7 10 3 2 6" xfId="23866"/>
    <cellStyle name="Currency 7 10 3 3" xfId="23867"/>
    <cellStyle name="Currency 7 10 3 4" xfId="23868"/>
    <cellStyle name="Currency 7 10 3 5" xfId="23869"/>
    <cellStyle name="Currency 7 10 3 6" xfId="23870"/>
    <cellStyle name="Currency 7 10 3 7" xfId="23871"/>
    <cellStyle name="Currency 7 10 4" xfId="23872"/>
    <cellStyle name="Currency 7 10 4 2" xfId="23873"/>
    <cellStyle name="Currency 7 10 4 3" xfId="23874"/>
    <cellStyle name="Currency 7 10 4 4" xfId="23875"/>
    <cellStyle name="Currency 7 10 4 5" xfId="23876"/>
    <cellStyle name="Currency 7 10 4 6" xfId="23877"/>
    <cellStyle name="Currency 7 10 5" xfId="23878"/>
    <cellStyle name="Currency 7 10 6" xfId="23879"/>
    <cellStyle name="Currency 7 10 7" xfId="23880"/>
    <cellStyle name="Currency 7 10 8" xfId="23881"/>
    <cellStyle name="Currency 7 10 9" xfId="23882"/>
    <cellStyle name="Currency 7 11" xfId="23883"/>
    <cellStyle name="Currency 7 11 2" xfId="23884"/>
    <cellStyle name="Currency 7 11 2 2" xfId="23885"/>
    <cellStyle name="Currency 7 11 2 2 2" xfId="23886"/>
    <cellStyle name="Currency 7 11 2 2 2 2" xfId="23887"/>
    <cellStyle name="Currency 7 11 2 2 2 3" xfId="23888"/>
    <cellStyle name="Currency 7 11 2 2 2 4" xfId="23889"/>
    <cellStyle name="Currency 7 11 2 2 2 5" xfId="23890"/>
    <cellStyle name="Currency 7 11 2 2 2 6" xfId="23891"/>
    <cellStyle name="Currency 7 11 2 2 3" xfId="23892"/>
    <cellStyle name="Currency 7 11 2 2 4" xfId="23893"/>
    <cellStyle name="Currency 7 11 2 2 5" xfId="23894"/>
    <cellStyle name="Currency 7 11 2 2 6" xfId="23895"/>
    <cellStyle name="Currency 7 11 2 2 7" xfId="23896"/>
    <cellStyle name="Currency 7 11 2 3" xfId="23897"/>
    <cellStyle name="Currency 7 11 2 3 2" xfId="23898"/>
    <cellStyle name="Currency 7 11 2 3 3" xfId="23899"/>
    <cellStyle name="Currency 7 11 2 3 4" xfId="23900"/>
    <cellStyle name="Currency 7 11 2 3 5" xfId="23901"/>
    <cellStyle name="Currency 7 11 2 3 6" xfId="23902"/>
    <cellStyle name="Currency 7 11 2 4" xfId="23903"/>
    <cellStyle name="Currency 7 11 2 5" xfId="23904"/>
    <cellStyle name="Currency 7 11 2 6" xfId="23905"/>
    <cellStyle name="Currency 7 11 2 7" xfId="23906"/>
    <cellStyle name="Currency 7 11 2 8" xfId="23907"/>
    <cellStyle name="Currency 7 11 3" xfId="23908"/>
    <cellStyle name="Currency 7 11 3 2" xfId="23909"/>
    <cellStyle name="Currency 7 11 3 2 2" xfId="23910"/>
    <cellStyle name="Currency 7 11 3 2 3" xfId="23911"/>
    <cellStyle name="Currency 7 11 3 2 4" xfId="23912"/>
    <cellStyle name="Currency 7 11 3 2 5" xfId="23913"/>
    <cellStyle name="Currency 7 11 3 2 6" xfId="23914"/>
    <cellStyle name="Currency 7 11 3 3" xfId="23915"/>
    <cellStyle name="Currency 7 11 3 4" xfId="23916"/>
    <cellStyle name="Currency 7 11 3 5" xfId="23917"/>
    <cellStyle name="Currency 7 11 3 6" xfId="23918"/>
    <cellStyle name="Currency 7 11 3 7" xfId="23919"/>
    <cellStyle name="Currency 7 11 4" xfId="23920"/>
    <cellStyle name="Currency 7 11 4 2" xfId="23921"/>
    <cellStyle name="Currency 7 11 4 3" xfId="23922"/>
    <cellStyle name="Currency 7 11 4 4" xfId="23923"/>
    <cellStyle name="Currency 7 11 4 5" xfId="23924"/>
    <cellStyle name="Currency 7 11 4 6" xfId="23925"/>
    <cellStyle name="Currency 7 11 5" xfId="23926"/>
    <cellStyle name="Currency 7 11 6" xfId="23927"/>
    <cellStyle name="Currency 7 11 7" xfId="23928"/>
    <cellStyle name="Currency 7 11 8" xfId="23929"/>
    <cellStyle name="Currency 7 11 9" xfId="23930"/>
    <cellStyle name="Currency 7 12" xfId="23931"/>
    <cellStyle name="Currency 7 12 2" xfId="23932"/>
    <cellStyle name="Currency 7 12 2 2" xfId="23933"/>
    <cellStyle name="Currency 7 12 2 2 2" xfId="23934"/>
    <cellStyle name="Currency 7 12 2 2 3" xfId="23935"/>
    <cellStyle name="Currency 7 12 2 2 4" xfId="23936"/>
    <cellStyle name="Currency 7 12 2 2 5" xfId="23937"/>
    <cellStyle name="Currency 7 12 2 2 6" xfId="23938"/>
    <cellStyle name="Currency 7 12 2 3" xfId="23939"/>
    <cellStyle name="Currency 7 12 2 4" xfId="23940"/>
    <cellStyle name="Currency 7 12 2 5" xfId="23941"/>
    <cellStyle name="Currency 7 12 2 6" xfId="23942"/>
    <cellStyle name="Currency 7 12 2 7" xfId="23943"/>
    <cellStyle name="Currency 7 12 3" xfId="23944"/>
    <cellStyle name="Currency 7 12 3 2" xfId="23945"/>
    <cellStyle name="Currency 7 12 3 3" xfId="23946"/>
    <cellStyle name="Currency 7 12 3 4" xfId="23947"/>
    <cellStyle name="Currency 7 12 3 5" xfId="23948"/>
    <cellStyle name="Currency 7 12 3 6" xfId="23949"/>
    <cellStyle name="Currency 7 12 4" xfId="23950"/>
    <cellStyle name="Currency 7 12 5" xfId="23951"/>
    <cellStyle name="Currency 7 12 6" xfId="23952"/>
    <cellStyle name="Currency 7 12 7" xfId="23953"/>
    <cellStyle name="Currency 7 12 8" xfId="23954"/>
    <cellStyle name="Currency 7 13" xfId="23955"/>
    <cellStyle name="Currency 7 13 2" xfId="23956"/>
    <cellStyle name="Currency 7 13 2 2" xfId="23957"/>
    <cellStyle name="Currency 7 13 2 3" xfId="23958"/>
    <cellStyle name="Currency 7 13 2 4" xfId="23959"/>
    <cellStyle name="Currency 7 13 2 5" xfId="23960"/>
    <cellStyle name="Currency 7 13 2 6" xfId="23961"/>
    <cellStyle name="Currency 7 13 3" xfId="23962"/>
    <cellStyle name="Currency 7 13 4" xfId="23963"/>
    <cellStyle name="Currency 7 13 5" xfId="23964"/>
    <cellStyle name="Currency 7 13 6" xfId="23965"/>
    <cellStyle name="Currency 7 13 7" xfId="23966"/>
    <cellStyle name="Currency 7 14" xfId="23967"/>
    <cellStyle name="Currency 7 14 2" xfId="23968"/>
    <cellStyle name="Currency 7 14 3" xfId="23969"/>
    <cellStyle name="Currency 7 14 4" xfId="23970"/>
    <cellStyle name="Currency 7 14 5" xfId="23971"/>
    <cellStyle name="Currency 7 14 6" xfId="23972"/>
    <cellStyle name="Currency 7 15" xfId="23973"/>
    <cellStyle name="Currency 7 16" xfId="23974"/>
    <cellStyle name="Currency 7 17" xfId="23975"/>
    <cellStyle name="Currency 7 18" xfId="23976"/>
    <cellStyle name="Currency 7 19" xfId="23977"/>
    <cellStyle name="Currency 7 2" xfId="23978"/>
    <cellStyle name="Currency 7 2 10" xfId="23979"/>
    <cellStyle name="Currency 7 2 10 2" xfId="23980"/>
    <cellStyle name="Currency 7 2 10 2 2" xfId="23981"/>
    <cellStyle name="Currency 7 2 10 2 2 2" xfId="23982"/>
    <cellStyle name="Currency 7 2 10 2 2 2 2" xfId="23983"/>
    <cellStyle name="Currency 7 2 10 2 2 2 3" xfId="23984"/>
    <cellStyle name="Currency 7 2 10 2 2 2 4" xfId="23985"/>
    <cellStyle name="Currency 7 2 10 2 2 2 5" xfId="23986"/>
    <cellStyle name="Currency 7 2 10 2 2 2 6" xfId="23987"/>
    <cellStyle name="Currency 7 2 10 2 2 3" xfId="23988"/>
    <cellStyle name="Currency 7 2 10 2 2 4" xfId="23989"/>
    <cellStyle name="Currency 7 2 10 2 2 5" xfId="23990"/>
    <cellStyle name="Currency 7 2 10 2 2 6" xfId="23991"/>
    <cellStyle name="Currency 7 2 10 2 2 7" xfId="23992"/>
    <cellStyle name="Currency 7 2 10 2 3" xfId="23993"/>
    <cellStyle name="Currency 7 2 10 2 3 2" xfId="23994"/>
    <cellStyle name="Currency 7 2 10 2 3 3" xfId="23995"/>
    <cellStyle name="Currency 7 2 10 2 3 4" xfId="23996"/>
    <cellStyle name="Currency 7 2 10 2 3 5" xfId="23997"/>
    <cellStyle name="Currency 7 2 10 2 3 6" xfId="23998"/>
    <cellStyle name="Currency 7 2 10 2 4" xfId="23999"/>
    <cellStyle name="Currency 7 2 10 2 5" xfId="24000"/>
    <cellStyle name="Currency 7 2 10 2 6" xfId="24001"/>
    <cellStyle name="Currency 7 2 10 2 7" xfId="24002"/>
    <cellStyle name="Currency 7 2 10 2 8" xfId="24003"/>
    <cellStyle name="Currency 7 2 10 3" xfId="24004"/>
    <cellStyle name="Currency 7 2 10 3 2" xfId="24005"/>
    <cellStyle name="Currency 7 2 10 3 2 2" xfId="24006"/>
    <cellStyle name="Currency 7 2 10 3 2 3" xfId="24007"/>
    <cellStyle name="Currency 7 2 10 3 2 4" xfId="24008"/>
    <cellStyle name="Currency 7 2 10 3 2 5" xfId="24009"/>
    <cellStyle name="Currency 7 2 10 3 2 6" xfId="24010"/>
    <cellStyle name="Currency 7 2 10 3 3" xfId="24011"/>
    <cellStyle name="Currency 7 2 10 3 4" xfId="24012"/>
    <cellStyle name="Currency 7 2 10 3 5" xfId="24013"/>
    <cellStyle name="Currency 7 2 10 3 6" xfId="24014"/>
    <cellStyle name="Currency 7 2 10 3 7" xfId="24015"/>
    <cellStyle name="Currency 7 2 10 4" xfId="24016"/>
    <cellStyle name="Currency 7 2 10 4 2" xfId="24017"/>
    <cellStyle name="Currency 7 2 10 4 3" xfId="24018"/>
    <cellStyle name="Currency 7 2 10 4 4" xfId="24019"/>
    <cellStyle name="Currency 7 2 10 4 5" xfId="24020"/>
    <cellStyle name="Currency 7 2 10 4 6" xfId="24021"/>
    <cellStyle name="Currency 7 2 10 5" xfId="24022"/>
    <cellStyle name="Currency 7 2 10 6" xfId="24023"/>
    <cellStyle name="Currency 7 2 10 7" xfId="24024"/>
    <cellStyle name="Currency 7 2 10 8" xfId="24025"/>
    <cellStyle name="Currency 7 2 10 9" xfId="24026"/>
    <cellStyle name="Currency 7 2 11" xfId="24027"/>
    <cellStyle name="Currency 7 2 11 2" xfId="24028"/>
    <cellStyle name="Currency 7 2 11 2 2" xfId="24029"/>
    <cellStyle name="Currency 7 2 11 2 2 2" xfId="24030"/>
    <cellStyle name="Currency 7 2 11 2 2 3" xfId="24031"/>
    <cellStyle name="Currency 7 2 11 2 2 4" xfId="24032"/>
    <cellStyle name="Currency 7 2 11 2 2 5" xfId="24033"/>
    <cellStyle name="Currency 7 2 11 2 2 6" xfId="24034"/>
    <cellStyle name="Currency 7 2 11 2 3" xfId="24035"/>
    <cellStyle name="Currency 7 2 11 2 4" xfId="24036"/>
    <cellStyle name="Currency 7 2 11 2 5" xfId="24037"/>
    <cellStyle name="Currency 7 2 11 2 6" xfId="24038"/>
    <cellStyle name="Currency 7 2 11 2 7" xfId="24039"/>
    <cellStyle name="Currency 7 2 11 3" xfId="24040"/>
    <cellStyle name="Currency 7 2 11 3 2" xfId="24041"/>
    <cellStyle name="Currency 7 2 11 3 3" xfId="24042"/>
    <cellStyle name="Currency 7 2 11 3 4" xfId="24043"/>
    <cellStyle name="Currency 7 2 11 3 5" xfId="24044"/>
    <cellStyle name="Currency 7 2 11 3 6" xfId="24045"/>
    <cellStyle name="Currency 7 2 11 4" xfId="24046"/>
    <cellStyle name="Currency 7 2 11 5" xfId="24047"/>
    <cellStyle name="Currency 7 2 11 6" xfId="24048"/>
    <cellStyle name="Currency 7 2 11 7" xfId="24049"/>
    <cellStyle name="Currency 7 2 11 8" xfId="24050"/>
    <cellStyle name="Currency 7 2 12" xfId="24051"/>
    <cellStyle name="Currency 7 2 12 2" xfId="24052"/>
    <cellStyle name="Currency 7 2 12 2 2" xfId="24053"/>
    <cellStyle name="Currency 7 2 12 2 3" xfId="24054"/>
    <cellStyle name="Currency 7 2 12 2 4" xfId="24055"/>
    <cellStyle name="Currency 7 2 12 2 5" xfId="24056"/>
    <cellStyle name="Currency 7 2 12 2 6" xfId="24057"/>
    <cellStyle name="Currency 7 2 12 3" xfId="24058"/>
    <cellStyle name="Currency 7 2 12 4" xfId="24059"/>
    <cellStyle name="Currency 7 2 12 5" xfId="24060"/>
    <cellStyle name="Currency 7 2 12 6" xfId="24061"/>
    <cellStyle name="Currency 7 2 12 7" xfId="24062"/>
    <cellStyle name="Currency 7 2 13" xfId="24063"/>
    <cellStyle name="Currency 7 2 13 2" xfId="24064"/>
    <cellStyle name="Currency 7 2 13 3" xfId="24065"/>
    <cellStyle name="Currency 7 2 13 4" xfId="24066"/>
    <cellStyle name="Currency 7 2 13 5" xfId="24067"/>
    <cellStyle name="Currency 7 2 13 6" xfId="24068"/>
    <cellStyle name="Currency 7 2 14" xfId="24069"/>
    <cellStyle name="Currency 7 2 15" xfId="24070"/>
    <cellStyle name="Currency 7 2 16" xfId="24071"/>
    <cellStyle name="Currency 7 2 17" xfId="24072"/>
    <cellStyle name="Currency 7 2 18" xfId="24073"/>
    <cellStyle name="Currency 7 2 2" xfId="24074"/>
    <cellStyle name="Currency 7 2 2 10" xfId="24075"/>
    <cellStyle name="Currency 7 2 2 10 2" xfId="24076"/>
    <cellStyle name="Currency 7 2 2 10 3" xfId="24077"/>
    <cellStyle name="Currency 7 2 2 10 4" xfId="24078"/>
    <cellStyle name="Currency 7 2 2 10 5" xfId="24079"/>
    <cellStyle name="Currency 7 2 2 10 6" xfId="24080"/>
    <cellStyle name="Currency 7 2 2 11" xfId="24081"/>
    <cellStyle name="Currency 7 2 2 12" xfId="24082"/>
    <cellStyle name="Currency 7 2 2 13" xfId="24083"/>
    <cellStyle name="Currency 7 2 2 14" xfId="24084"/>
    <cellStyle name="Currency 7 2 2 15" xfId="24085"/>
    <cellStyle name="Currency 7 2 2 2" xfId="24086"/>
    <cellStyle name="Currency 7 2 2 2 10" xfId="24087"/>
    <cellStyle name="Currency 7 2 2 2 11" xfId="24088"/>
    <cellStyle name="Currency 7 2 2 2 12" xfId="24089"/>
    <cellStyle name="Currency 7 2 2 2 13" xfId="24090"/>
    <cellStyle name="Currency 7 2 2 2 14" xfId="24091"/>
    <cellStyle name="Currency 7 2 2 2 2" xfId="24092"/>
    <cellStyle name="Currency 7 2 2 2 2 2" xfId="24093"/>
    <cellStyle name="Currency 7 2 2 2 2 2 2" xfId="24094"/>
    <cellStyle name="Currency 7 2 2 2 2 2 2 2" xfId="24095"/>
    <cellStyle name="Currency 7 2 2 2 2 2 2 2 2" xfId="24096"/>
    <cellStyle name="Currency 7 2 2 2 2 2 2 2 3" xfId="24097"/>
    <cellStyle name="Currency 7 2 2 2 2 2 2 2 4" xfId="24098"/>
    <cellStyle name="Currency 7 2 2 2 2 2 2 2 5" xfId="24099"/>
    <cellStyle name="Currency 7 2 2 2 2 2 2 2 6" xfId="24100"/>
    <cellStyle name="Currency 7 2 2 2 2 2 2 3" xfId="24101"/>
    <cellStyle name="Currency 7 2 2 2 2 2 2 4" xfId="24102"/>
    <cellStyle name="Currency 7 2 2 2 2 2 2 5" xfId="24103"/>
    <cellStyle name="Currency 7 2 2 2 2 2 2 6" xfId="24104"/>
    <cellStyle name="Currency 7 2 2 2 2 2 2 7" xfId="24105"/>
    <cellStyle name="Currency 7 2 2 2 2 2 3" xfId="24106"/>
    <cellStyle name="Currency 7 2 2 2 2 2 3 2" xfId="24107"/>
    <cellStyle name="Currency 7 2 2 2 2 2 3 3" xfId="24108"/>
    <cellStyle name="Currency 7 2 2 2 2 2 3 4" xfId="24109"/>
    <cellStyle name="Currency 7 2 2 2 2 2 3 5" xfId="24110"/>
    <cellStyle name="Currency 7 2 2 2 2 2 3 6" xfId="24111"/>
    <cellStyle name="Currency 7 2 2 2 2 2 4" xfId="24112"/>
    <cellStyle name="Currency 7 2 2 2 2 2 5" xfId="24113"/>
    <cellStyle name="Currency 7 2 2 2 2 2 6" xfId="24114"/>
    <cellStyle name="Currency 7 2 2 2 2 2 7" xfId="24115"/>
    <cellStyle name="Currency 7 2 2 2 2 2 8" xfId="24116"/>
    <cellStyle name="Currency 7 2 2 2 2 3" xfId="24117"/>
    <cellStyle name="Currency 7 2 2 2 2 3 2" xfId="24118"/>
    <cellStyle name="Currency 7 2 2 2 2 3 2 2" xfId="24119"/>
    <cellStyle name="Currency 7 2 2 2 2 3 2 3" xfId="24120"/>
    <cellStyle name="Currency 7 2 2 2 2 3 2 4" xfId="24121"/>
    <cellStyle name="Currency 7 2 2 2 2 3 2 5" xfId="24122"/>
    <cellStyle name="Currency 7 2 2 2 2 3 2 6" xfId="24123"/>
    <cellStyle name="Currency 7 2 2 2 2 3 3" xfId="24124"/>
    <cellStyle name="Currency 7 2 2 2 2 3 4" xfId="24125"/>
    <cellStyle name="Currency 7 2 2 2 2 3 5" xfId="24126"/>
    <cellStyle name="Currency 7 2 2 2 2 3 6" xfId="24127"/>
    <cellStyle name="Currency 7 2 2 2 2 3 7" xfId="24128"/>
    <cellStyle name="Currency 7 2 2 2 2 4" xfId="24129"/>
    <cellStyle name="Currency 7 2 2 2 2 4 2" xfId="24130"/>
    <cellStyle name="Currency 7 2 2 2 2 4 3" xfId="24131"/>
    <cellStyle name="Currency 7 2 2 2 2 4 4" xfId="24132"/>
    <cellStyle name="Currency 7 2 2 2 2 4 5" xfId="24133"/>
    <cellStyle name="Currency 7 2 2 2 2 4 6" xfId="24134"/>
    <cellStyle name="Currency 7 2 2 2 2 5" xfId="24135"/>
    <cellStyle name="Currency 7 2 2 2 2 6" xfId="24136"/>
    <cellStyle name="Currency 7 2 2 2 2 7" xfId="24137"/>
    <cellStyle name="Currency 7 2 2 2 2 8" xfId="24138"/>
    <cellStyle name="Currency 7 2 2 2 2 9" xfId="24139"/>
    <cellStyle name="Currency 7 2 2 2 3" xfId="24140"/>
    <cellStyle name="Currency 7 2 2 2 3 2" xfId="24141"/>
    <cellStyle name="Currency 7 2 2 2 3 2 2" xfId="24142"/>
    <cellStyle name="Currency 7 2 2 2 3 2 2 2" xfId="24143"/>
    <cellStyle name="Currency 7 2 2 2 3 2 2 2 2" xfId="24144"/>
    <cellStyle name="Currency 7 2 2 2 3 2 2 2 3" xfId="24145"/>
    <cellStyle name="Currency 7 2 2 2 3 2 2 2 4" xfId="24146"/>
    <cellStyle name="Currency 7 2 2 2 3 2 2 2 5" xfId="24147"/>
    <cellStyle name="Currency 7 2 2 2 3 2 2 2 6" xfId="24148"/>
    <cellStyle name="Currency 7 2 2 2 3 2 2 3" xfId="24149"/>
    <cellStyle name="Currency 7 2 2 2 3 2 2 4" xfId="24150"/>
    <cellStyle name="Currency 7 2 2 2 3 2 2 5" xfId="24151"/>
    <cellStyle name="Currency 7 2 2 2 3 2 2 6" xfId="24152"/>
    <cellStyle name="Currency 7 2 2 2 3 2 2 7" xfId="24153"/>
    <cellStyle name="Currency 7 2 2 2 3 2 3" xfId="24154"/>
    <cellStyle name="Currency 7 2 2 2 3 2 3 2" xfId="24155"/>
    <cellStyle name="Currency 7 2 2 2 3 2 3 3" xfId="24156"/>
    <cellStyle name="Currency 7 2 2 2 3 2 3 4" xfId="24157"/>
    <cellStyle name="Currency 7 2 2 2 3 2 3 5" xfId="24158"/>
    <cellStyle name="Currency 7 2 2 2 3 2 3 6" xfId="24159"/>
    <cellStyle name="Currency 7 2 2 2 3 2 4" xfId="24160"/>
    <cellStyle name="Currency 7 2 2 2 3 2 5" xfId="24161"/>
    <cellStyle name="Currency 7 2 2 2 3 2 6" xfId="24162"/>
    <cellStyle name="Currency 7 2 2 2 3 2 7" xfId="24163"/>
    <cellStyle name="Currency 7 2 2 2 3 2 8" xfId="24164"/>
    <cellStyle name="Currency 7 2 2 2 3 3" xfId="24165"/>
    <cellStyle name="Currency 7 2 2 2 3 3 2" xfId="24166"/>
    <cellStyle name="Currency 7 2 2 2 3 3 2 2" xfId="24167"/>
    <cellStyle name="Currency 7 2 2 2 3 3 2 3" xfId="24168"/>
    <cellStyle name="Currency 7 2 2 2 3 3 2 4" xfId="24169"/>
    <cellStyle name="Currency 7 2 2 2 3 3 2 5" xfId="24170"/>
    <cellStyle name="Currency 7 2 2 2 3 3 2 6" xfId="24171"/>
    <cellStyle name="Currency 7 2 2 2 3 3 3" xfId="24172"/>
    <cellStyle name="Currency 7 2 2 2 3 3 4" xfId="24173"/>
    <cellStyle name="Currency 7 2 2 2 3 3 5" xfId="24174"/>
    <cellStyle name="Currency 7 2 2 2 3 3 6" xfId="24175"/>
    <cellStyle name="Currency 7 2 2 2 3 3 7" xfId="24176"/>
    <cellStyle name="Currency 7 2 2 2 3 4" xfId="24177"/>
    <cellStyle name="Currency 7 2 2 2 3 4 2" xfId="24178"/>
    <cellStyle name="Currency 7 2 2 2 3 4 3" xfId="24179"/>
    <cellStyle name="Currency 7 2 2 2 3 4 4" xfId="24180"/>
    <cellStyle name="Currency 7 2 2 2 3 4 5" xfId="24181"/>
    <cellStyle name="Currency 7 2 2 2 3 4 6" xfId="24182"/>
    <cellStyle name="Currency 7 2 2 2 3 5" xfId="24183"/>
    <cellStyle name="Currency 7 2 2 2 3 6" xfId="24184"/>
    <cellStyle name="Currency 7 2 2 2 3 7" xfId="24185"/>
    <cellStyle name="Currency 7 2 2 2 3 8" xfId="24186"/>
    <cellStyle name="Currency 7 2 2 2 3 9" xfId="24187"/>
    <cellStyle name="Currency 7 2 2 2 4" xfId="24188"/>
    <cellStyle name="Currency 7 2 2 2 4 2" xfId="24189"/>
    <cellStyle name="Currency 7 2 2 2 4 2 2" xfId="24190"/>
    <cellStyle name="Currency 7 2 2 2 4 2 2 2" xfId="24191"/>
    <cellStyle name="Currency 7 2 2 2 4 2 2 2 2" xfId="24192"/>
    <cellStyle name="Currency 7 2 2 2 4 2 2 2 3" xfId="24193"/>
    <cellStyle name="Currency 7 2 2 2 4 2 2 2 4" xfId="24194"/>
    <cellStyle name="Currency 7 2 2 2 4 2 2 2 5" xfId="24195"/>
    <cellStyle name="Currency 7 2 2 2 4 2 2 2 6" xfId="24196"/>
    <cellStyle name="Currency 7 2 2 2 4 2 2 3" xfId="24197"/>
    <cellStyle name="Currency 7 2 2 2 4 2 2 4" xfId="24198"/>
    <cellStyle name="Currency 7 2 2 2 4 2 2 5" xfId="24199"/>
    <cellStyle name="Currency 7 2 2 2 4 2 2 6" xfId="24200"/>
    <cellStyle name="Currency 7 2 2 2 4 2 2 7" xfId="24201"/>
    <cellStyle name="Currency 7 2 2 2 4 2 3" xfId="24202"/>
    <cellStyle name="Currency 7 2 2 2 4 2 3 2" xfId="24203"/>
    <cellStyle name="Currency 7 2 2 2 4 2 3 3" xfId="24204"/>
    <cellStyle name="Currency 7 2 2 2 4 2 3 4" xfId="24205"/>
    <cellStyle name="Currency 7 2 2 2 4 2 3 5" xfId="24206"/>
    <cellStyle name="Currency 7 2 2 2 4 2 3 6" xfId="24207"/>
    <cellStyle name="Currency 7 2 2 2 4 2 4" xfId="24208"/>
    <cellStyle name="Currency 7 2 2 2 4 2 5" xfId="24209"/>
    <cellStyle name="Currency 7 2 2 2 4 2 6" xfId="24210"/>
    <cellStyle name="Currency 7 2 2 2 4 2 7" xfId="24211"/>
    <cellStyle name="Currency 7 2 2 2 4 2 8" xfId="24212"/>
    <cellStyle name="Currency 7 2 2 2 4 3" xfId="24213"/>
    <cellStyle name="Currency 7 2 2 2 4 3 2" xfId="24214"/>
    <cellStyle name="Currency 7 2 2 2 4 3 2 2" xfId="24215"/>
    <cellStyle name="Currency 7 2 2 2 4 3 2 3" xfId="24216"/>
    <cellStyle name="Currency 7 2 2 2 4 3 2 4" xfId="24217"/>
    <cellStyle name="Currency 7 2 2 2 4 3 2 5" xfId="24218"/>
    <cellStyle name="Currency 7 2 2 2 4 3 2 6" xfId="24219"/>
    <cellStyle name="Currency 7 2 2 2 4 3 3" xfId="24220"/>
    <cellStyle name="Currency 7 2 2 2 4 3 4" xfId="24221"/>
    <cellStyle name="Currency 7 2 2 2 4 3 5" xfId="24222"/>
    <cellStyle name="Currency 7 2 2 2 4 3 6" xfId="24223"/>
    <cellStyle name="Currency 7 2 2 2 4 3 7" xfId="24224"/>
    <cellStyle name="Currency 7 2 2 2 4 4" xfId="24225"/>
    <cellStyle name="Currency 7 2 2 2 4 4 2" xfId="24226"/>
    <cellStyle name="Currency 7 2 2 2 4 4 3" xfId="24227"/>
    <cellStyle name="Currency 7 2 2 2 4 4 4" xfId="24228"/>
    <cellStyle name="Currency 7 2 2 2 4 4 5" xfId="24229"/>
    <cellStyle name="Currency 7 2 2 2 4 4 6" xfId="24230"/>
    <cellStyle name="Currency 7 2 2 2 4 5" xfId="24231"/>
    <cellStyle name="Currency 7 2 2 2 4 6" xfId="24232"/>
    <cellStyle name="Currency 7 2 2 2 4 7" xfId="24233"/>
    <cellStyle name="Currency 7 2 2 2 4 8" xfId="24234"/>
    <cellStyle name="Currency 7 2 2 2 4 9" xfId="24235"/>
    <cellStyle name="Currency 7 2 2 2 5" xfId="24236"/>
    <cellStyle name="Currency 7 2 2 2 5 2" xfId="24237"/>
    <cellStyle name="Currency 7 2 2 2 5 2 2" xfId="24238"/>
    <cellStyle name="Currency 7 2 2 2 5 2 2 2" xfId="24239"/>
    <cellStyle name="Currency 7 2 2 2 5 2 2 2 2" xfId="24240"/>
    <cellStyle name="Currency 7 2 2 2 5 2 2 2 3" xfId="24241"/>
    <cellStyle name="Currency 7 2 2 2 5 2 2 2 4" xfId="24242"/>
    <cellStyle name="Currency 7 2 2 2 5 2 2 2 5" xfId="24243"/>
    <cellStyle name="Currency 7 2 2 2 5 2 2 2 6" xfId="24244"/>
    <cellStyle name="Currency 7 2 2 2 5 2 2 3" xfId="24245"/>
    <cellStyle name="Currency 7 2 2 2 5 2 2 4" xfId="24246"/>
    <cellStyle name="Currency 7 2 2 2 5 2 2 5" xfId="24247"/>
    <cellStyle name="Currency 7 2 2 2 5 2 2 6" xfId="24248"/>
    <cellStyle name="Currency 7 2 2 2 5 2 2 7" xfId="24249"/>
    <cellStyle name="Currency 7 2 2 2 5 2 3" xfId="24250"/>
    <cellStyle name="Currency 7 2 2 2 5 2 3 2" xfId="24251"/>
    <cellStyle name="Currency 7 2 2 2 5 2 3 3" xfId="24252"/>
    <cellStyle name="Currency 7 2 2 2 5 2 3 4" xfId="24253"/>
    <cellStyle name="Currency 7 2 2 2 5 2 3 5" xfId="24254"/>
    <cellStyle name="Currency 7 2 2 2 5 2 3 6" xfId="24255"/>
    <cellStyle name="Currency 7 2 2 2 5 2 4" xfId="24256"/>
    <cellStyle name="Currency 7 2 2 2 5 2 5" xfId="24257"/>
    <cellStyle name="Currency 7 2 2 2 5 2 6" xfId="24258"/>
    <cellStyle name="Currency 7 2 2 2 5 2 7" xfId="24259"/>
    <cellStyle name="Currency 7 2 2 2 5 2 8" xfId="24260"/>
    <cellStyle name="Currency 7 2 2 2 5 3" xfId="24261"/>
    <cellStyle name="Currency 7 2 2 2 5 3 2" xfId="24262"/>
    <cellStyle name="Currency 7 2 2 2 5 3 2 2" xfId="24263"/>
    <cellStyle name="Currency 7 2 2 2 5 3 2 3" xfId="24264"/>
    <cellStyle name="Currency 7 2 2 2 5 3 2 4" xfId="24265"/>
    <cellStyle name="Currency 7 2 2 2 5 3 2 5" xfId="24266"/>
    <cellStyle name="Currency 7 2 2 2 5 3 2 6" xfId="24267"/>
    <cellStyle name="Currency 7 2 2 2 5 3 3" xfId="24268"/>
    <cellStyle name="Currency 7 2 2 2 5 3 4" xfId="24269"/>
    <cellStyle name="Currency 7 2 2 2 5 3 5" xfId="24270"/>
    <cellStyle name="Currency 7 2 2 2 5 3 6" xfId="24271"/>
    <cellStyle name="Currency 7 2 2 2 5 3 7" xfId="24272"/>
    <cellStyle name="Currency 7 2 2 2 5 4" xfId="24273"/>
    <cellStyle name="Currency 7 2 2 2 5 4 2" xfId="24274"/>
    <cellStyle name="Currency 7 2 2 2 5 4 3" xfId="24275"/>
    <cellStyle name="Currency 7 2 2 2 5 4 4" xfId="24276"/>
    <cellStyle name="Currency 7 2 2 2 5 4 5" xfId="24277"/>
    <cellStyle name="Currency 7 2 2 2 5 4 6" xfId="24278"/>
    <cellStyle name="Currency 7 2 2 2 5 5" xfId="24279"/>
    <cellStyle name="Currency 7 2 2 2 5 6" xfId="24280"/>
    <cellStyle name="Currency 7 2 2 2 5 7" xfId="24281"/>
    <cellStyle name="Currency 7 2 2 2 5 8" xfId="24282"/>
    <cellStyle name="Currency 7 2 2 2 5 9" xfId="24283"/>
    <cellStyle name="Currency 7 2 2 2 6" xfId="24284"/>
    <cellStyle name="Currency 7 2 2 2 6 2" xfId="24285"/>
    <cellStyle name="Currency 7 2 2 2 6 2 2" xfId="24286"/>
    <cellStyle name="Currency 7 2 2 2 6 2 2 2" xfId="24287"/>
    <cellStyle name="Currency 7 2 2 2 6 2 2 2 2" xfId="24288"/>
    <cellStyle name="Currency 7 2 2 2 6 2 2 2 3" xfId="24289"/>
    <cellStyle name="Currency 7 2 2 2 6 2 2 2 4" xfId="24290"/>
    <cellStyle name="Currency 7 2 2 2 6 2 2 2 5" xfId="24291"/>
    <cellStyle name="Currency 7 2 2 2 6 2 2 2 6" xfId="24292"/>
    <cellStyle name="Currency 7 2 2 2 6 2 2 3" xfId="24293"/>
    <cellStyle name="Currency 7 2 2 2 6 2 2 4" xfId="24294"/>
    <cellStyle name="Currency 7 2 2 2 6 2 2 5" xfId="24295"/>
    <cellStyle name="Currency 7 2 2 2 6 2 2 6" xfId="24296"/>
    <cellStyle name="Currency 7 2 2 2 6 2 2 7" xfId="24297"/>
    <cellStyle name="Currency 7 2 2 2 6 2 3" xfId="24298"/>
    <cellStyle name="Currency 7 2 2 2 6 2 3 2" xfId="24299"/>
    <cellStyle name="Currency 7 2 2 2 6 2 3 3" xfId="24300"/>
    <cellStyle name="Currency 7 2 2 2 6 2 3 4" xfId="24301"/>
    <cellStyle name="Currency 7 2 2 2 6 2 3 5" xfId="24302"/>
    <cellStyle name="Currency 7 2 2 2 6 2 3 6" xfId="24303"/>
    <cellStyle name="Currency 7 2 2 2 6 2 4" xfId="24304"/>
    <cellStyle name="Currency 7 2 2 2 6 2 5" xfId="24305"/>
    <cellStyle name="Currency 7 2 2 2 6 2 6" xfId="24306"/>
    <cellStyle name="Currency 7 2 2 2 6 2 7" xfId="24307"/>
    <cellStyle name="Currency 7 2 2 2 6 2 8" xfId="24308"/>
    <cellStyle name="Currency 7 2 2 2 6 3" xfId="24309"/>
    <cellStyle name="Currency 7 2 2 2 6 3 2" xfId="24310"/>
    <cellStyle name="Currency 7 2 2 2 6 3 2 2" xfId="24311"/>
    <cellStyle name="Currency 7 2 2 2 6 3 2 3" xfId="24312"/>
    <cellStyle name="Currency 7 2 2 2 6 3 2 4" xfId="24313"/>
    <cellStyle name="Currency 7 2 2 2 6 3 2 5" xfId="24314"/>
    <cellStyle name="Currency 7 2 2 2 6 3 2 6" xfId="24315"/>
    <cellStyle name="Currency 7 2 2 2 6 3 3" xfId="24316"/>
    <cellStyle name="Currency 7 2 2 2 6 3 4" xfId="24317"/>
    <cellStyle name="Currency 7 2 2 2 6 3 5" xfId="24318"/>
    <cellStyle name="Currency 7 2 2 2 6 3 6" xfId="24319"/>
    <cellStyle name="Currency 7 2 2 2 6 3 7" xfId="24320"/>
    <cellStyle name="Currency 7 2 2 2 6 4" xfId="24321"/>
    <cellStyle name="Currency 7 2 2 2 6 4 2" xfId="24322"/>
    <cellStyle name="Currency 7 2 2 2 6 4 3" xfId="24323"/>
    <cellStyle name="Currency 7 2 2 2 6 4 4" xfId="24324"/>
    <cellStyle name="Currency 7 2 2 2 6 4 5" xfId="24325"/>
    <cellStyle name="Currency 7 2 2 2 6 4 6" xfId="24326"/>
    <cellStyle name="Currency 7 2 2 2 6 5" xfId="24327"/>
    <cellStyle name="Currency 7 2 2 2 6 6" xfId="24328"/>
    <cellStyle name="Currency 7 2 2 2 6 7" xfId="24329"/>
    <cellStyle name="Currency 7 2 2 2 6 8" xfId="24330"/>
    <cellStyle name="Currency 7 2 2 2 6 9" xfId="24331"/>
    <cellStyle name="Currency 7 2 2 2 7" xfId="24332"/>
    <cellStyle name="Currency 7 2 2 2 7 2" xfId="24333"/>
    <cellStyle name="Currency 7 2 2 2 7 2 2" xfId="24334"/>
    <cellStyle name="Currency 7 2 2 2 7 2 2 2" xfId="24335"/>
    <cellStyle name="Currency 7 2 2 2 7 2 2 3" xfId="24336"/>
    <cellStyle name="Currency 7 2 2 2 7 2 2 4" xfId="24337"/>
    <cellStyle name="Currency 7 2 2 2 7 2 2 5" xfId="24338"/>
    <cellStyle name="Currency 7 2 2 2 7 2 2 6" xfId="24339"/>
    <cellStyle name="Currency 7 2 2 2 7 2 3" xfId="24340"/>
    <cellStyle name="Currency 7 2 2 2 7 2 4" xfId="24341"/>
    <cellStyle name="Currency 7 2 2 2 7 2 5" xfId="24342"/>
    <cellStyle name="Currency 7 2 2 2 7 2 6" xfId="24343"/>
    <cellStyle name="Currency 7 2 2 2 7 2 7" xfId="24344"/>
    <cellStyle name="Currency 7 2 2 2 7 3" xfId="24345"/>
    <cellStyle name="Currency 7 2 2 2 7 3 2" xfId="24346"/>
    <cellStyle name="Currency 7 2 2 2 7 3 3" xfId="24347"/>
    <cellStyle name="Currency 7 2 2 2 7 3 4" xfId="24348"/>
    <cellStyle name="Currency 7 2 2 2 7 3 5" xfId="24349"/>
    <cellStyle name="Currency 7 2 2 2 7 3 6" xfId="24350"/>
    <cellStyle name="Currency 7 2 2 2 7 4" xfId="24351"/>
    <cellStyle name="Currency 7 2 2 2 7 5" xfId="24352"/>
    <cellStyle name="Currency 7 2 2 2 7 6" xfId="24353"/>
    <cellStyle name="Currency 7 2 2 2 7 7" xfId="24354"/>
    <cellStyle name="Currency 7 2 2 2 7 8" xfId="24355"/>
    <cellStyle name="Currency 7 2 2 2 8" xfId="24356"/>
    <cellStyle name="Currency 7 2 2 2 8 2" xfId="24357"/>
    <cellStyle name="Currency 7 2 2 2 8 2 2" xfId="24358"/>
    <cellStyle name="Currency 7 2 2 2 8 2 3" xfId="24359"/>
    <cellStyle name="Currency 7 2 2 2 8 2 4" xfId="24360"/>
    <cellStyle name="Currency 7 2 2 2 8 2 5" xfId="24361"/>
    <cellStyle name="Currency 7 2 2 2 8 2 6" xfId="24362"/>
    <cellStyle name="Currency 7 2 2 2 8 3" xfId="24363"/>
    <cellStyle name="Currency 7 2 2 2 8 4" xfId="24364"/>
    <cellStyle name="Currency 7 2 2 2 8 5" xfId="24365"/>
    <cellStyle name="Currency 7 2 2 2 8 6" xfId="24366"/>
    <cellStyle name="Currency 7 2 2 2 8 7" xfId="24367"/>
    <cellStyle name="Currency 7 2 2 2 9" xfId="24368"/>
    <cellStyle name="Currency 7 2 2 2 9 2" xfId="24369"/>
    <cellStyle name="Currency 7 2 2 2 9 3" xfId="24370"/>
    <cellStyle name="Currency 7 2 2 2 9 4" xfId="24371"/>
    <cellStyle name="Currency 7 2 2 2 9 5" xfId="24372"/>
    <cellStyle name="Currency 7 2 2 2 9 6" xfId="24373"/>
    <cellStyle name="Currency 7 2 2 3" xfId="24374"/>
    <cellStyle name="Currency 7 2 2 3 2" xfId="24375"/>
    <cellStyle name="Currency 7 2 2 3 2 2" xfId="24376"/>
    <cellStyle name="Currency 7 2 2 3 2 2 2" xfId="24377"/>
    <cellStyle name="Currency 7 2 2 3 2 2 2 2" xfId="24378"/>
    <cellStyle name="Currency 7 2 2 3 2 2 2 3" xfId="24379"/>
    <cellStyle name="Currency 7 2 2 3 2 2 2 4" xfId="24380"/>
    <cellStyle name="Currency 7 2 2 3 2 2 2 5" xfId="24381"/>
    <cellStyle name="Currency 7 2 2 3 2 2 2 6" xfId="24382"/>
    <cellStyle name="Currency 7 2 2 3 2 2 3" xfId="24383"/>
    <cellStyle name="Currency 7 2 2 3 2 2 4" xfId="24384"/>
    <cellStyle name="Currency 7 2 2 3 2 2 5" xfId="24385"/>
    <cellStyle name="Currency 7 2 2 3 2 2 6" xfId="24386"/>
    <cellStyle name="Currency 7 2 2 3 2 2 7" xfId="24387"/>
    <cellStyle name="Currency 7 2 2 3 2 3" xfId="24388"/>
    <cellStyle name="Currency 7 2 2 3 2 3 2" xfId="24389"/>
    <cellStyle name="Currency 7 2 2 3 2 3 3" xfId="24390"/>
    <cellStyle name="Currency 7 2 2 3 2 3 4" xfId="24391"/>
    <cellStyle name="Currency 7 2 2 3 2 3 5" xfId="24392"/>
    <cellStyle name="Currency 7 2 2 3 2 3 6" xfId="24393"/>
    <cellStyle name="Currency 7 2 2 3 2 4" xfId="24394"/>
    <cellStyle name="Currency 7 2 2 3 2 5" xfId="24395"/>
    <cellStyle name="Currency 7 2 2 3 2 6" xfId="24396"/>
    <cellStyle name="Currency 7 2 2 3 2 7" xfId="24397"/>
    <cellStyle name="Currency 7 2 2 3 2 8" xfId="24398"/>
    <cellStyle name="Currency 7 2 2 3 3" xfId="24399"/>
    <cellStyle name="Currency 7 2 2 3 3 2" xfId="24400"/>
    <cellStyle name="Currency 7 2 2 3 3 2 2" xfId="24401"/>
    <cellStyle name="Currency 7 2 2 3 3 2 3" xfId="24402"/>
    <cellStyle name="Currency 7 2 2 3 3 2 4" xfId="24403"/>
    <cellStyle name="Currency 7 2 2 3 3 2 5" xfId="24404"/>
    <cellStyle name="Currency 7 2 2 3 3 2 6" xfId="24405"/>
    <cellStyle name="Currency 7 2 2 3 3 3" xfId="24406"/>
    <cellStyle name="Currency 7 2 2 3 3 4" xfId="24407"/>
    <cellStyle name="Currency 7 2 2 3 3 5" xfId="24408"/>
    <cellStyle name="Currency 7 2 2 3 3 6" xfId="24409"/>
    <cellStyle name="Currency 7 2 2 3 3 7" xfId="24410"/>
    <cellStyle name="Currency 7 2 2 3 4" xfId="24411"/>
    <cellStyle name="Currency 7 2 2 3 4 2" xfId="24412"/>
    <cellStyle name="Currency 7 2 2 3 4 3" xfId="24413"/>
    <cellStyle name="Currency 7 2 2 3 4 4" xfId="24414"/>
    <cellStyle name="Currency 7 2 2 3 4 5" xfId="24415"/>
    <cellStyle name="Currency 7 2 2 3 4 6" xfId="24416"/>
    <cellStyle name="Currency 7 2 2 3 5" xfId="24417"/>
    <cellStyle name="Currency 7 2 2 3 6" xfId="24418"/>
    <cellStyle name="Currency 7 2 2 3 7" xfId="24419"/>
    <cellStyle name="Currency 7 2 2 3 8" xfId="24420"/>
    <cellStyle name="Currency 7 2 2 3 9" xfId="24421"/>
    <cellStyle name="Currency 7 2 2 4" xfId="24422"/>
    <cellStyle name="Currency 7 2 2 4 2" xfId="24423"/>
    <cellStyle name="Currency 7 2 2 4 2 2" xfId="24424"/>
    <cellStyle name="Currency 7 2 2 4 2 2 2" xfId="24425"/>
    <cellStyle name="Currency 7 2 2 4 2 2 2 2" xfId="24426"/>
    <cellStyle name="Currency 7 2 2 4 2 2 2 3" xfId="24427"/>
    <cellStyle name="Currency 7 2 2 4 2 2 2 4" xfId="24428"/>
    <cellStyle name="Currency 7 2 2 4 2 2 2 5" xfId="24429"/>
    <cellStyle name="Currency 7 2 2 4 2 2 2 6" xfId="24430"/>
    <cellStyle name="Currency 7 2 2 4 2 2 3" xfId="24431"/>
    <cellStyle name="Currency 7 2 2 4 2 2 4" xfId="24432"/>
    <cellStyle name="Currency 7 2 2 4 2 2 5" xfId="24433"/>
    <cellStyle name="Currency 7 2 2 4 2 2 6" xfId="24434"/>
    <cellStyle name="Currency 7 2 2 4 2 2 7" xfId="24435"/>
    <cellStyle name="Currency 7 2 2 4 2 3" xfId="24436"/>
    <cellStyle name="Currency 7 2 2 4 2 3 2" xfId="24437"/>
    <cellStyle name="Currency 7 2 2 4 2 3 3" xfId="24438"/>
    <cellStyle name="Currency 7 2 2 4 2 3 4" xfId="24439"/>
    <cellStyle name="Currency 7 2 2 4 2 3 5" xfId="24440"/>
    <cellStyle name="Currency 7 2 2 4 2 3 6" xfId="24441"/>
    <cellStyle name="Currency 7 2 2 4 2 4" xfId="24442"/>
    <cellStyle name="Currency 7 2 2 4 2 5" xfId="24443"/>
    <cellStyle name="Currency 7 2 2 4 2 6" xfId="24444"/>
    <cellStyle name="Currency 7 2 2 4 2 7" xfId="24445"/>
    <cellStyle name="Currency 7 2 2 4 2 8" xfId="24446"/>
    <cellStyle name="Currency 7 2 2 4 3" xfId="24447"/>
    <cellStyle name="Currency 7 2 2 4 3 2" xfId="24448"/>
    <cellStyle name="Currency 7 2 2 4 3 2 2" xfId="24449"/>
    <cellStyle name="Currency 7 2 2 4 3 2 3" xfId="24450"/>
    <cellStyle name="Currency 7 2 2 4 3 2 4" xfId="24451"/>
    <cellStyle name="Currency 7 2 2 4 3 2 5" xfId="24452"/>
    <cellStyle name="Currency 7 2 2 4 3 2 6" xfId="24453"/>
    <cellStyle name="Currency 7 2 2 4 3 3" xfId="24454"/>
    <cellStyle name="Currency 7 2 2 4 3 4" xfId="24455"/>
    <cellStyle name="Currency 7 2 2 4 3 5" xfId="24456"/>
    <cellStyle name="Currency 7 2 2 4 3 6" xfId="24457"/>
    <cellStyle name="Currency 7 2 2 4 3 7" xfId="24458"/>
    <cellStyle name="Currency 7 2 2 4 4" xfId="24459"/>
    <cellStyle name="Currency 7 2 2 4 4 2" xfId="24460"/>
    <cellStyle name="Currency 7 2 2 4 4 3" xfId="24461"/>
    <cellStyle name="Currency 7 2 2 4 4 4" xfId="24462"/>
    <cellStyle name="Currency 7 2 2 4 4 5" xfId="24463"/>
    <cellStyle name="Currency 7 2 2 4 4 6" xfId="24464"/>
    <cellStyle name="Currency 7 2 2 4 5" xfId="24465"/>
    <cellStyle name="Currency 7 2 2 4 6" xfId="24466"/>
    <cellStyle name="Currency 7 2 2 4 7" xfId="24467"/>
    <cellStyle name="Currency 7 2 2 4 8" xfId="24468"/>
    <cellStyle name="Currency 7 2 2 4 9" xfId="24469"/>
    <cellStyle name="Currency 7 2 2 5" xfId="24470"/>
    <cellStyle name="Currency 7 2 2 5 2" xfId="24471"/>
    <cellStyle name="Currency 7 2 2 5 2 2" xfId="24472"/>
    <cellStyle name="Currency 7 2 2 5 2 2 2" xfId="24473"/>
    <cellStyle name="Currency 7 2 2 5 2 2 2 2" xfId="24474"/>
    <cellStyle name="Currency 7 2 2 5 2 2 2 3" xfId="24475"/>
    <cellStyle name="Currency 7 2 2 5 2 2 2 4" xfId="24476"/>
    <cellStyle name="Currency 7 2 2 5 2 2 2 5" xfId="24477"/>
    <cellStyle name="Currency 7 2 2 5 2 2 2 6" xfId="24478"/>
    <cellStyle name="Currency 7 2 2 5 2 2 3" xfId="24479"/>
    <cellStyle name="Currency 7 2 2 5 2 2 4" xfId="24480"/>
    <cellStyle name="Currency 7 2 2 5 2 2 5" xfId="24481"/>
    <cellStyle name="Currency 7 2 2 5 2 2 6" xfId="24482"/>
    <cellStyle name="Currency 7 2 2 5 2 2 7" xfId="24483"/>
    <cellStyle name="Currency 7 2 2 5 2 3" xfId="24484"/>
    <cellStyle name="Currency 7 2 2 5 2 3 2" xfId="24485"/>
    <cellStyle name="Currency 7 2 2 5 2 3 3" xfId="24486"/>
    <cellStyle name="Currency 7 2 2 5 2 3 4" xfId="24487"/>
    <cellStyle name="Currency 7 2 2 5 2 3 5" xfId="24488"/>
    <cellStyle name="Currency 7 2 2 5 2 3 6" xfId="24489"/>
    <cellStyle name="Currency 7 2 2 5 2 4" xfId="24490"/>
    <cellStyle name="Currency 7 2 2 5 2 5" xfId="24491"/>
    <cellStyle name="Currency 7 2 2 5 2 6" xfId="24492"/>
    <cellStyle name="Currency 7 2 2 5 2 7" xfId="24493"/>
    <cellStyle name="Currency 7 2 2 5 2 8" xfId="24494"/>
    <cellStyle name="Currency 7 2 2 5 3" xfId="24495"/>
    <cellStyle name="Currency 7 2 2 5 3 2" xfId="24496"/>
    <cellStyle name="Currency 7 2 2 5 3 2 2" xfId="24497"/>
    <cellStyle name="Currency 7 2 2 5 3 2 3" xfId="24498"/>
    <cellStyle name="Currency 7 2 2 5 3 2 4" xfId="24499"/>
    <cellStyle name="Currency 7 2 2 5 3 2 5" xfId="24500"/>
    <cellStyle name="Currency 7 2 2 5 3 2 6" xfId="24501"/>
    <cellStyle name="Currency 7 2 2 5 3 3" xfId="24502"/>
    <cellStyle name="Currency 7 2 2 5 3 4" xfId="24503"/>
    <cellStyle name="Currency 7 2 2 5 3 5" xfId="24504"/>
    <cellStyle name="Currency 7 2 2 5 3 6" xfId="24505"/>
    <cellStyle name="Currency 7 2 2 5 3 7" xfId="24506"/>
    <cellStyle name="Currency 7 2 2 5 4" xfId="24507"/>
    <cellStyle name="Currency 7 2 2 5 4 2" xfId="24508"/>
    <cellStyle name="Currency 7 2 2 5 4 3" xfId="24509"/>
    <cellStyle name="Currency 7 2 2 5 4 4" xfId="24510"/>
    <cellStyle name="Currency 7 2 2 5 4 5" xfId="24511"/>
    <cellStyle name="Currency 7 2 2 5 4 6" xfId="24512"/>
    <cellStyle name="Currency 7 2 2 5 5" xfId="24513"/>
    <cellStyle name="Currency 7 2 2 5 6" xfId="24514"/>
    <cellStyle name="Currency 7 2 2 5 7" xfId="24515"/>
    <cellStyle name="Currency 7 2 2 5 8" xfId="24516"/>
    <cellStyle name="Currency 7 2 2 5 9" xfId="24517"/>
    <cellStyle name="Currency 7 2 2 6" xfId="24518"/>
    <cellStyle name="Currency 7 2 2 6 2" xfId="24519"/>
    <cellStyle name="Currency 7 2 2 6 2 2" xfId="24520"/>
    <cellStyle name="Currency 7 2 2 6 2 2 2" xfId="24521"/>
    <cellStyle name="Currency 7 2 2 6 2 2 2 2" xfId="24522"/>
    <cellStyle name="Currency 7 2 2 6 2 2 2 3" xfId="24523"/>
    <cellStyle name="Currency 7 2 2 6 2 2 2 4" xfId="24524"/>
    <cellStyle name="Currency 7 2 2 6 2 2 2 5" xfId="24525"/>
    <cellStyle name="Currency 7 2 2 6 2 2 2 6" xfId="24526"/>
    <cellStyle name="Currency 7 2 2 6 2 2 3" xfId="24527"/>
    <cellStyle name="Currency 7 2 2 6 2 2 4" xfId="24528"/>
    <cellStyle name="Currency 7 2 2 6 2 2 5" xfId="24529"/>
    <cellStyle name="Currency 7 2 2 6 2 2 6" xfId="24530"/>
    <cellStyle name="Currency 7 2 2 6 2 2 7" xfId="24531"/>
    <cellStyle name="Currency 7 2 2 6 2 3" xfId="24532"/>
    <cellStyle name="Currency 7 2 2 6 2 3 2" xfId="24533"/>
    <cellStyle name="Currency 7 2 2 6 2 3 3" xfId="24534"/>
    <cellStyle name="Currency 7 2 2 6 2 3 4" xfId="24535"/>
    <cellStyle name="Currency 7 2 2 6 2 3 5" xfId="24536"/>
    <cellStyle name="Currency 7 2 2 6 2 3 6" xfId="24537"/>
    <cellStyle name="Currency 7 2 2 6 2 4" xfId="24538"/>
    <cellStyle name="Currency 7 2 2 6 2 5" xfId="24539"/>
    <cellStyle name="Currency 7 2 2 6 2 6" xfId="24540"/>
    <cellStyle name="Currency 7 2 2 6 2 7" xfId="24541"/>
    <cellStyle name="Currency 7 2 2 6 2 8" xfId="24542"/>
    <cellStyle name="Currency 7 2 2 6 3" xfId="24543"/>
    <cellStyle name="Currency 7 2 2 6 3 2" xfId="24544"/>
    <cellStyle name="Currency 7 2 2 6 3 2 2" xfId="24545"/>
    <cellStyle name="Currency 7 2 2 6 3 2 3" xfId="24546"/>
    <cellStyle name="Currency 7 2 2 6 3 2 4" xfId="24547"/>
    <cellStyle name="Currency 7 2 2 6 3 2 5" xfId="24548"/>
    <cellStyle name="Currency 7 2 2 6 3 2 6" xfId="24549"/>
    <cellStyle name="Currency 7 2 2 6 3 3" xfId="24550"/>
    <cellStyle name="Currency 7 2 2 6 3 4" xfId="24551"/>
    <cellStyle name="Currency 7 2 2 6 3 5" xfId="24552"/>
    <cellStyle name="Currency 7 2 2 6 3 6" xfId="24553"/>
    <cellStyle name="Currency 7 2 2 6 3 7" xfId="24554"/>
    <cellStyle name="Currency 7 2 2 6 4" xfId="24555"/>
    <cellStyle name="Currency 7 2 2 6 4 2" xfId="24556"/>
    <cellStyle name="Currency 7 2 2 6 4 3" xfId="24557"/>
    <cellStyle name="Currency 7 2 2 6 4 4" xfId="24558"/>
    <cellStyle name="Currency 7 2 2 6 4 5" xfId="24559"/>
    <cellStyle name="Currency 7 2 2 6 4 6" xfId="24560"/>
    <cellStyle name="Currency 7 2 2 6 5" xfId="24561"/>
    <cellStyle name="Currency 7 2 2 6 6" xfId="24562"/>
    <cellStyle name="Currency 7 2 2 6 7" xfId="24563"/>
    <cellStyle name="Currency 7 2 2 6 8" xfId="24564"/>
    <cellStyle name="Currency 7 2 2 6 9" xfId="24565"/>
    <cellStyle name="Currency 7 2 2 7" xfId="24566"/>
    <cellStyle name="Currency 7 2 2 7 2" xfId="24567"/>
    <cellStyle name="Currency 7 2 2 7 2 2" xfId="24568"/>
    <cellStyle name="Currency 7 2 2 7 2 2 2" xfId="24569"/>
    <cellStyle name="Currency 7 2 2 7 2 2 2 2" xfId="24570"/>
    <cellStyle name="Currency 7 2 2 7 2 2 2 3" xfId="24571"/>
    <cellStyle name="Currency 7 2 2 7 2 2 2 4" xfId="24572"/>
    <cellStyle name="Currency 7 2 2 7 2 2 2 5" xfId="24573"/>
    <cellStyle name="Currency 7 2 2 7 2 2 2 6" xfId="24574"/>
    <cellStyle name="Currency 7 2 2 7 2 2 3" xfId="24575"/>
    <cellStyle name="Currency 7 2 2 7 2 2 4" xfId="24576"/>
    <cellStyle name="Currency 7 2 2 7 2 2 5" xfId="24577"/>
    <cellStyle name="Currency 7 2 2 7 2 2 6" xfId="24578"/>
    <cellStyle name="Currency 7 2 2 7 2 2 7" xfId="24579"/>
    <cellStyle name="Currency 7 2 2 7 2 3" xfId="24580"/>
    <cellStyle name="Currency 7 2 2 7 2 3 2" xfId="24581"/>
    <cellStyle name="Currency 7 2 2 7 2 3 3" xfId="24582"/>
    <cellStyle name="Currency 7 2 2 7 2 3 4" xfId="24583"/>
    <cellStyle name="Currency 7 2 2 7 2 3 5" xfId="24584"/>
    <cellStyle name="Currency 7 2 2 7 2 3 6" xfId="24585"/>
    <cellStyle name="Currency 7 2 2 7 2 4" xfId="24586"/>
    <cellStyle name="Currency 7 2 2 7 2 5" xfId="24587"/>
    <cellStyle name="Currency 7 2 2 7 2 6" xfId="24588"/>
    <cellStyle name="Currency 7 2 2 7 2 7" xfId="24589"/>
    <cellStyle name="Currency 7 2 2 7 2 8" xfId="24590"/>
    <cellStyle name="Currency 7 2 2 7 3" xfId="24591"/>
    <cellStyle name="Currency 7 2 2 7 3 2" xfId="24592"/>
    <cellStyle name="Currency 7 2 2 7 3 2 2" xfId="24593"/>
    <cellStyle name="Currency 7 2 2 7 3 2 3" xfId="24594"/>
    <cellStyle name="Currency 7 2 2 7 3 2 4" xfId="24595"/>
    <cellStyle name="Currency 7 2 2 7 3 2 5" xfId="24596"/>
    <cellStyle name="Currency 7 2 2 7 3 2 6" xfId="24597"/>
    <cellStyle name="Currency 7 2 2 7 3 3" xfId="24598"/>
    <cellStyle name="Currency 7 2 2 7 3 4" xfId="24599"/>
    <cellStyle name="Currency 7 2 2 7 3 5" xfId="24600"/>
    <cellStyle name="Currency 7 2 2 7 3 6" xfId="24601"/>
    <cellStyle name="Currency 7 2 2 7 3 7" xfId="24602"/>
    <cellStyle name="Currency 7 2 2 7 4" xfId="24603"/>
    <cellStyle name="Currency 7 2 2 7 4 2" xfId="24604"/>
    <cellStyle name="Currency 7 2 2 7 4 3" xfId="24605"/>
    <cellStyle name="Currency 7 2 2 7 4 4" xfId="24606"/>
    <cellStyle name="Currency 7 2 2 7 4 5" xfId="24607"/>
    <cellStyle name="Currency 7 2 2 7 4 6" xfId="24608"/>
    <cellStyle name="Currency 7 2 2 7 5" xfId="24609"/>
    <cellStyle name="Currency 7 2 2 7 6" xfId="24610"/>
    <cellStyle name="Currency 7 2 2 7 7" xfId="24611"/>
    <cellStyle name="Currency 7 2 2 7 8" xfId="24612"/>
    <cellStyle name="Currency 7 2 2 7 9" xfId="24613"/>
    <cellStyle name="Currency 7 2 2 8" xfId="24614"/>
    <cellStyle name="Currency 7 2 2 8 2" xfId="24615"/>
    <cellStyle name="Currency 7 2 2 8 2 2" xfId="24616"/>
    <cellStyle name="Currency 7 2 2 8 2 2 2" xfId="24617"/>
    <cellStyle name="Currency 7 2 2 8 2 2 3" xfId="24618"/>
    <cellStyle name="Currency 7 2 2 8 2 2 4" xfId="24619"/>
    <cellStyle name="Currency 7 2 2 8 2 2 5" xfId="24620"/>
    <cellStyle name="Currency 7 2 2 8 2 2 6" xfId="24621"/>
    <cellStyle name="Currency 7 2 2 8 2 3" xfId="24622"/>
    <cellStyle name="Currency 7 2 2 8 2 4" xfId="24623"/>
    <cellStyle name="Currency 7 2 2 8 2 5" xfId="24624"/>
    <cellStyle name="Currency 7 2 2 8 2 6" xfId="24625"/>
    <cellStyle name="Currency 7 2 2 8 2 7" xfId="24626"/>
    <cellStyle name="Currency 7 2 2 8 3" xfId="24627"/>
    <cellStyle name="Currency 7 2 2 8 3 2" xfId="24628"/>
    <cellStyle name="Currency 7 2 2 8 3 3" xfId="24629"/>
    <cellStyle name="Currency 7 2 2 8 3 4" xfId="24630"/>
    <cellStyle name="Currency 7 2 2 8 3 5" xfId="24631"/>
    <cellStyle name="Currency 7 2 2 8 3 6" xfId="24632"/>
    <cellStyle name="Currency 7 2 2 8 4" xfId="24633"/>
    <cellStyle name="Currency 7 2 2 8 5" xfId="24634"/>
    <cellStyle name="Currency 7 2 2 8 6" xfId="24635"/>
    <cellStyle name="Currency 7 2 2 8 7" xfId="24636"/>
    <cellStyle name="Currency 7 2 2 8 8" xfId="24637"/>
    <cellStyle name="Currency 7 2 2 9" xfId="24638"/>
    <cellStyle name="Currency 7 2 2 9 2" xfId="24639"/>
    <cellStyle name="Currency 7 2 2 9 2 2" xfId="24640"/>
    <cellStyle name="Currency 7 2 2 9 2 3" xfId="24641"/>
    <cellStyle name="Currency 7 2 2 9 2 4" xfId="24642"/>
    <cellStyle name="Currency 7 2 2 9 2 5" xfId="24643"/>
    <cellStyle name="Currency 7 2 2 9 2 6" xfId="24644"/>
    <cellStyle name="Currency 7 2 2 9 3" xfId="24645"/>
    <cellStyle name="Currency 7 2 2 9 4" xfId="24646"/>
    <cellStyle name="Currency 7 2 2 9 5" xfId="24647"/>
    <cellStyle name="Currency 7 2 2 9 6" xfId="24648"/>
    <cellStyle name="Currency 7 2 2 9 7" xfId="24649"/>
    <cellStyle name="Currency 7 2 3" xfId="24650"/>
    <cellStyle name="Currency 7 2 3 10" xfId="24651"/>
    <cellStyle name="Currency 7 2 3 10 2" xfId="24652"/>
    <cellStyle name="Currency 7 2 3 10 3" xfId="24653"/>
    <cellStyle name="Currency 7 2 3 10 4" xfId="24654"/>
    <cellStyle name="Currency 7 2 3 10 5" xfId="24655"/>
    <cellStyle name="Currency 7 2 3 10 6" xfId="24656"/>
    <cellStyle name="Currency 7 2 3 11" xfId="24657"/>
    <cellStyle name="Currency 7 2 3 12" xfId="24658"/>
    <cellStyle name="Currency 7 2 3 13" xfId="24659"/>
    <cellStyle name="Currency 7 2 3 14" xfId="24660"/>
    <cellStyle name="Currency 7 2 3 15" xfId="24661"/>
    <cellStyle name="Currency 7 2 3 2" xfId="24662"/>
    <cellStyle name="Currency 7 2 3 2 10" xfId="24663"/>
    <cellStyle name="Currency 7 2 3 2 11" xfId="24664"/>
    <cellStyle name="Currency 7 2 3 2 12" xfId="24665"/>
    <cellStyle name="Currency 7 2 3 2 13" xfId="24666"/>
    <cellStyle name="Currency 7 2 3 2 14" xfId="24667"/>
    <cellStyle name="Currency 7 2 3 2 2" xfId="24668"/>
    <cellStyle name="Currency 7 2 3 2 2 2" xfId="24669"/>
    <cellStyle name="Currency 7 2 3 2 2 2 2" xfId="24670"/>
    <cellStyle name="Currency 7 2 3 2 2 2 2 2" xfId="24671"/>
    <cellStyle name="Currency 7 2 3 2 2 2 2 2 2" xfId="24672"/>
    <cellStyle name="Currency 7 2 3 2 2 2 2 2 3" xfId="24673"/>
    <cellStyle name="Currency 7 2 3 2 2 2 2 2 4" xfId="24674"/>
    <cellStyle name="Currency 7 2 3 2 2 2 2 2 5" xfId="24675"/>
    <cellStyle name="Currency 7 2 3 2 2 2 2 2 6" xfId="24676"/>
    <cellStyle name="Currency 7 2 3 2 2 2 2 3" xfId="24677"/>
    <cellStyle name="Currency 7 2 3 2 2 2 2 4" xfId="24678"/>
    <cellStyle name="Currency 7 2 3 2 2 2 2 5" xfId="24679"/>
    <cellStyle name="Currency 7 2 3 2 2 2 2 6" xfId="24680"/>
    <cellStyle name="Currency 7 2 3 2 2 2 2 7" xfId="24681"/>
    <cellStyle name="Currency 7 2 3 2 2 2 3" xfId="24682"/>
    <cellStyle name="Currency 7 2 3 2 2 2 3 2" xfId="24683"/>
    <cellStyle name="Currency 7 2 3 2 2 2 3 3" xfId="24684"/>
    <cellStyle name="Currency 7 2 3 2 2 2 3 4" xfId="24685"/>
    <cellStyle name="Currency 7 2 3 2 2 2 3 5" xfId="24686"/>
    <cellStyle name="Currency 7 2 3 2 2 2 3 6" xfId="24687"/>
    <cellStyle name="Currency 7 2 3 2 2 2 4" xfId="24688"/>
    <cellStyle name="Currency 7 2 3 2 2 2 5" xfId="24689"/>
    <cellStyle name="Currency 7 2 3 2 2 2 6" xfId="24690"/>
    <cellStyle name="Currency 7 2 3 2 2 2 7" xfId="24691"/>
    <cellStyle name="Currency 7 2 3 2 2 2 8" xfId="24692"/>
    <cellStyle name="Currency 7 2 3 2 2 3" xfId="24693"/>
    <cellStyle name="Currency 7 2 3 2 2 3 2" xfId="24694"/>
    <cellStyle name="Currency 7 2 3 2 2 3 2 2" xfId="24695"/>
    <cellStyle name="Currency 7 2 3 2 2 3 2 3" xfId="24696"/>
    <cellStyle name="Currency 7 2 3 2 2 3 2 4" xfId="24697"/>
    <cellStyle name="Currency 7 2 3 2 2 3 2 5" xfId="24698"/>
    <cellStyle name="Currency 7 2 3 2 2 3 2 6" xfId="24699"/>
    <cellStyle name="Currency 7 2 3 2 2 3 3" xfId="24700"/>
    <cellStyle name="Currency 7 2 3 2 2 3 4" xfId="24701"/>
    <cellStyle name="Currency 7 2 3 2 2 3 5" xfId="24702"/>
    <cellStyle name="Currency 7 2 3 2 2 3 6" xfId="24703"/>
    <cellStyle name="Currency 7 2 3 2 2 3 7" xfId="24704"/>
    <cellStyle name="Currency 7 2 3 2 2 4" xfId="24705"/>
    <cellStyle name="Currency 7 2 3 2 2 4 2" xfId="24706"/>
    <cellStyle name="Currency 7 2 3 2 2 4 3" xfId="24707"/>
    <cellStyle name="Currency 7 2 3 2 2 4 4" xfId="24708"/>
    <cellStyle name="Currency 7 2 3 2 2 4 5" xfId="24709"/>
    <cellStyle name="Currency 7 2 3 2 2 4 6" xfId="24710"/>
    <cellStyle name="Currency 7 2 3 2 2 5" xfId="24711"/>
    <cellStyle name="Currency 7 2 3 2 2 6" xfId="24712"/>
    <cellStyle name="Currency 7 2 3 2 2 7" xfId="24713"/>
    <cellStyle name="Currency 7 2 3 2 2 8" xfId="24714"/>
    <cellStyle name="Currency 7 2 3 2 2 9" xfId="24715"/>
    <cellStyle name="Currency 7 2 3 2 3" xfId="24716"/>
    <cellStyle name="Currency 7 2 3 2 3 2" xfId="24717"/>
    <cellStyle name="Currency 7 2 3 2 3 2 2" xfId="24718"/>
    <cellStyle name="Currency 7 2 3 2 3 2 2 2" xfId="24719"/>
    <cellStyle name="Currency 7 2 3 2 3 2 2 2 2" xfId="24720"/>
    <cellStyle name="Currency 7 2 3 2 3 2 2 2 3" xfId="24721"/>
    <cellStyle name="Currency 7 2 3 2 3 2 2 2 4" xfId="24722"/>
    <cellStyle name="Currency 7 2 3 2 3 2 2 2 5" xfId="24723"/>
    <cellStyle name="Currency 7 2 3 2 3 2 2 2 6" xfId="24724"/>
    <cellStyle name="Currency 7 2 3 2 3 2 2 3" xfId="24725"/>
    <cellStyle name="Currency 7 2 3 2 3 2 2 4" xfId="24726"/>
    <cellStyle name="Currency 7 2 3 2 3 2 2 5" xfId="24727"/>
    <cellStyle name="Currency 7 2 3 2 3 2 2 6" xfId="24728"/>
    <cellStyle name="Currency 7 2 3 2 3 2 2 7" xfId="24729"/>
    <cellStyle name="Currency 7 2 3 2 3 2 3" xfId="24730"/>
    <cellStyle name="Currency 7 2 3 2 3 2 3 2" xfId="24731"/>
    <cellStyle name="Currency 7 2 3 2 3 2 3 3" xfId="24732"/>
    <cellStyle name="Currency 7 2 3 2 3 2 3 4" xfId="24733"/>
    <cellStyle name="Currency 7 2 3 2 3 2 3 5" xfId="24734"/>
    <cellStyle name="Currency 7 2 3 2 3 2 3 6" xfId="24735"/>
    <cellStyle name="Currency 7 2 3 2 3 2 4" xfId="24736"/>
    <cellStyle name="Currency 7 2 3 2 3 2 5" xfId="24737"/>
    <cellStyle name="Currency 7 2 3 2 3 2 6" xfId="24738"/>
    <cellStyle name="Currency 7 2 3 2 3 2 7" xfId="24739"/>
    <cellStyle name="Currency 7 2 3 2 3 2 8" xfId="24740"/>
    <cellStyle name="Currency 7 2 3 2 3 3" xfId="24741"/>
    <cellStyle name="Currency 7 2 3 2 3 3 2" xfId="24742"/>
    <cellStyle name="Currency 7 2 3 2 3 3 2 2" xfId="24743"/>
    <cellStyle name="Currency 7 2 3 2 3 3 2 3" xfId="24744"/>
    <cellStyle name="Currency 7 2 3 2 3 3 2 4" xfId="24745"/>
    <cellStyle name="Currency 7 2 3 2 3 3 2 5" xfId="24746"/>
    <cellStyle name="Currency 7 2 3 2 3 3 2 6" xfId="24747"/>
    <cellStyle name="Currency 7 2 3 2 3 3 3" xfId="24748"/>
    <cellStyle name="Currency 7 2 3 2 3 3 4" xfId="24749"/>
    <cellStyle name="Currency 7 2 3 2 3 3 5" xfId="24750"/>
    <cellStyle name="Currency 7 2 3 2 3 3 6" xfId="24751"/>
    <cellStyle name="Currency 7 2 3 2 3 3 7" xfId="24752"/>
    <cellStyle name="Currency 7 2 3 2 3 4" xfId="24753"/>
    <cellStyle name="Currency 7 2 3 2 3 4 2" xfId="24754"/>
    <cellStyle name="Currency 7 2 3 2 3 4 3" xfId="24755"/>
    <cellStyle name="Currency 7 2 3 2 3 4 4" xfId="24756"/>
    <cellStyle name="Currency 7 2 3 2 3 4 5" xfId="24757"/>
    <cellStyle name="Currency 7 2 3 2 3 4 6" xfId="24758"/>
    <cellStyle name="Currency 7 2 3 2 3 5" xfId="24759"/>
    <cellStyle name="Currency 7 2 3 2 3 6" xfId="24760"/>
    <cellStyle name="Currency 7 2 3 2 3 7" xfId="24761"/>
    <cellStyle name="Currency 7 2 3 2 3 8" xfId="24762"/>
    <cellStyle name="Currency 7 2 3 2 3 9" xfId="24763"/>
    <cellStyle name="Currency 7 2 3 2 4" xfId="24764"/>
    <cellStyle name="Currency 7 2 3 2 4 2" xfId="24765"/>
    <cellStyle name="Currency 7 2 3 2 4 2 2" xfId="24766"/>
    <cellStyle name="Currency 7 2 3 2 4 2 2 2" xfId="24767"/>
    <cellStyle name="Currency 7 2 3 2 4 2 2 2 2" xfId="24768"/>
    <cellStyle name="Currency 7 2 3 2 4 2 2 2 3" xfId="24769"/>
    <cellStyle name="Currency 7 2 3 2 4 2 2 2 4" xfId="24770"/>
    <cellStyle name="Currency 7 2 3 2 4 2 2 2 5" xfId="24771"/>
    <cellStyle name="Currency 7 2 3 2 4 2 2 2 6" xfId="24772"/>
    <cellStyle name="Currency 7 2 3 2 4 2 2 3" xfId="24773"/>
    <cellStyle name="Currency 7 2 3 2 4 2 2 4" xfId="24774"/>
    <cellStyle name="Currency 7 2 3 2 4 2 2 5" xfId="24775"/>
    <cellStyle name="Currency 7 2 3 2 4 2 2 6" xfId="24776"/>
    <cellStyle name="Currency 7 2 3 2 4 2 2 7" xfId="24777"/>
    <cellStyle name="Currency 7 2 3 2 4 2 3" xfId="24778"/>
    <cellStyle name="Currency 7 2 3 2 4 2 3 2" xfId="24779"/>
    <cellStyle name="Currency 7 2 3 2 4 2 3 3" xfId="24780"/>
    <cellStyle name="Currency 7 2 3 2 4 2 3 4" xfId="24781"/>
    <cellStyle name="Currency 7 2 3 2 4 2 3 5" xfId="24782"/>
    <cellStyle name="Currency 7 2 3 2 4 2 3 6" xfId="24783"/>
    <cellStyle name="Currency 7 2 3 2 4 2 4" xfId="24784"/>
    <cellStyle name="Currency 7 2 3 2 4 2 5" xfId="24785"/>
    <cellStyle name="Currency 7 2 3 2 4 2 6" xfId="24786"/>
    <cellStyle name="Currency 7 2 3 2 4 2 7" xfId="24787"/>
    <cellStyle name="Currency 7 2 3 2 4 2 8" xfId="24788"/>
    <cellStyle name="Currency 7 2 3 2 4 3" xfId="24789"/>
    <cellStyle name="Currency 7 2 3 2 4 3 2" xfId="24790"/>
    <cellStyle name="Currency 7 2 3 2 4 3 2 2" xfId="24791"/>
    <cellStyle name="Currency 7 2 3 2 4 3 2 3" xfId="24792"/>
    <cellStyle name="Currency 7 2 3 2 4 3 2 4" xfId="24793"/>
    <cellStyle name="Currency 7 2 3 2 4 3 2 5" xfId="24794"/>
    <cellStyle name="Currency 7 2 3 2 4 3 2 6" xfId="24795"/>
    <cellStyle name="Currency 7 2 3 2 4 3 3" xfId="24796"/>
    <cellStyle name="Currency 7 2 3 2 4 3 4" xfId="24797"/>
    <cellStyle name="Currency 7 2 3 2 4 3 5" xfId="24798"/>
    <cellStyle name="Currency 7 2 3 2 4 3 6" xfId="24799"/>
    <cellStyle name="Currency 7 2 3 2 4 3 7" xfId="24800"/>
    <cellStyle name="Currency 7 2 3 2 4 4" xfId="24801"/>
    <cellStyle name="Currency 7 2 3 2 4 4 2" xfId="24802"/>
    <cellStyle name="Currency 7 2 3 2 4 4 3" xfId="24803"/>
    <cellStyle name="Currency 7 2 3 2 4 4 4" xfId="24804"/>
    <cellStyle name="Currency 7 2 3 2 4 4 5" xfId="24805"/>
    <cellStyle name="Currency 7 2 3 2 4 4 6" xfId="24806"/>
    <cellStyle name="Currency 7 2 3 2 4 5" xfId="24807"/>
    <cellStyle name="Currency 7 2 3 2 4 6" xfId="24808"/>
    <cellStyle name="Currency 7 2 3 2 4 7" xfId="24809"/>
    <cellStyle name="Currency 7 2 3 2 4 8" xfId="24810"/>
    <cellStyle name="Currency 7 2 3 2 4 9" xfId="24811"/>
    <cellStyle name="Currency 7 2 3 2 5" xfId="24812"/>
    <cellStyle name="Currency 7 2 3 2 5 2" xfId="24813"/>
    <cellStyle name="Currency 7 2 3 2 5 2 2" xfId="24814"/>
    <cellStyle name="Currency 7 2 3 2 5 2 2 2" xfId="24815"/>
    <cellStyle name="Currency 7 2 3 2 5 2 2 2 2" xfId="24816"/>
    <cellStyle name="Currency 7 2 3 2 5 2 2 2 3" xfId="24817"/>
    <cellStyle name="Currency 7 2 3 2 5 2 2 2 4" xfId="24818"/>
    <cellStyle name="Currency 7 2 3 2 5 2 2 2 5" xfId="24819"/>
    <cellStyle name="Currency 7 2 3 2 5 2 2 2 6" xfId="24820"/>
    <cellStyle name="Currency 7 2 3 2 5 2 2 3" xfId="24821"/>
    <cellStyle name="Currency 7 2 3 2 5 2 2 4" xfId="24822"/>
    <cellStyle name="Currency 7 2 3 2 5 2 2 5" xfId="24823"/>
    <cellStyle name="Currency 7 2 3 2 5 2 2 6" xfId="24824"/>
    <cellStyle name="Currency 7 2 3 2 5 2 2 7" xfId="24825"/>
    <cellStyle name="Currency 7 2 3 2 5 2 3" xfId="24826"/>
    <cellStyle name="Currency 7 2 3 2 5 2 3 2" xfId="24827"/>
    <cellStyle name="Currency 7 2 3 2 5 2 3 3" xfId="24828"/>
    <cellStyle name="Currency 7 2 3 2 5 2 3 4" xfId="24829"/>
    <cellStyle name="Currency 7 2 3 2 5 2 3 5" xfId="24830"/>
    <cellStyle name="Currency 7 2 3 2 5 2 3 6" xfId="24831"/>
    <cellStyle name="Currency 7 2 3 2 5 2 4" xfId="24832"/>
    <cellStyle name="Currency 7 2 3 2 5 2 5" xfId="24833"/>
    <cellStyle name="Currency 7 2 3 2 5 2 6" xfId="24834"/>
    <cellStyle name="Currency 7 2 3 2 5 2 7" xfId="24835"/>
    <cellStyle name="Currency 7 2 3 2 5 2 8" xfId="24836"/>
    <cellStyle name="Currency 7 2 3 2 5 3" xfId="24837"/>
    <cellStyle name="Currency 7 2 3 2 5 3 2" xfId="24838"/>
    <cellStyle name="Currency 7 2 3 2 5 3 2 2" xfId="24839"/>
    <cellStyle name="Currency 7 2 3 2 5 3 2 3" xfId="24840"/>
    <cellStyle name="Currency 7 2 3 2 5 3 2 4" xfId="24841"/>
    <cellStyle name="Currency 7 2 3 2 5 3 2 5" xfId="24842"/>
    <cellStyle name="Currency 7 2 3 2 5 3 2 6" xfId="24843"/>
    <cellStyle name="Currency 7 2 3 2 5 3 3" xfId="24844"/>
    <cellStyle name="Currency 7 2 3 2 5 3 4" xfId="24845"/>
    <cellStyle name="Currency 7 2 3 2 5 3 5" xfId="24846"/>
    <cellStyle name="Currency 7 2 3 2 5 3 6" xfId="24847"/>
    <cellStyle name="Currency 7 2 3 2 5 3 7" xfId="24848"/>
    <cellStyle name="Currency 7 2 3 2 5 4" xfId="24849"/>
    <cellStyle name="Currency 7 2 3 2 5 4 2" xfId="24850"/>
    <cellStyle name="Currency 7 2 3 2 5 4 3" xfId="24851"/>
    <cellStyle name="Currency 7 2 3 2 5 4 4" xfId="24852"/>
    <cellStyle name="Currency 7 2 3 2 5 4 5" xfId="24853"/>
    <cellStyle name="Currency 7 2 3 2 5 4 6" xfId="24854"/>
    <cellStyle name="Currency 7 2 3 2 5 5" xfId="24855"/>
    <cellStyle name="Currency 7 2 3 2 5 6" xfId="24856"/>
    <cellStyle name="Currency 7 2 3 2 5 7" xfId="24857"/>
    <cellStyle name="Currency 7 2 3 2 5 8" xfId="24858"/>
    <cellStyle name="Currency 7 2 3 2 5 9" xfId="24859"/>
    <cellStyle name="Currency 7 2 3 2 6" xfId="24860"/>
    <cellStyle name="Currency 7 2 3 2 6 2" xfId="24861"/>
    <cellStyle name="Currency 7 2 3 2 6 2 2" xfId="24862"/>
    <cellStyle name="Currency 7 2 3 2 6 2 2 2" xfId="24863"/>
    <cellStyle name="Currency 7 2 3 2 6 2 2 2 2" xfId="24864"/>
    <cellStyle name="Currency 7 2 3 2 6 2 2 2 3" xfId="24865"/>
    <cellStyle name="Currency 7 2 3 2 6 2 2 2 4" xfId="24866"/>
    <cellStyle name="Currency 7 2 3 2 6 2 2 2 5" xfId="24867"/>
    <cellStyle name="Currency 7 2 3 2 6 2 2 2 6" xfId="24868"/>
    <cellStyle name="Currency 7 2 3 2 6 2 2 3" xfId="24869"/>
    <cellStyle name="Currency 7 2 3 2 6 2 2 4" xfId="24870"/>
    <cellStyle name="Currency 7 2 3 2 6 2 2 5" xfId="24871"/>
    <cellStyle name="Currency 7 2 3 2 6 2 2 6" xfId="24872"/>
    <cellStyle name="Currency 7 2 3 2 6 2 2 7" xfId="24873"/>
    <cellStyle name="Currency 7 2 3 2 6 2 3" xfId="24874"/>
    <cellStyle name="Currency 7 2 3 2 6 2 3 2" xfId="24875"/>
    <cellStyle name="Currency 7 2 3 2 6 2 3 3" xfId="24876"/>
    <cellStyle name="Currency 7 2 3 2 6 2 3 4" xfId="24877"/>
    <cellStyle name="Currency 7 2 3 2 6 2 3 5" xfId="24878"/>
    <cellStyle name="Currency 7 2 3 2 6 2 3 6" xfId="24879"/>
    <cellStyle name="Currency 7 2 3 2 6 2 4" xfId="24880"/>
    <cellStyle name="Currency 7 2 3 2 6 2 5" xfId="24881"/>
    <cellStyle name="Currency 7 2 3 2 6 2 6" xfId="24882"/>
    <cellStyle name="Currency 7 2 3 2 6 2 7" xfId="24883"/>
    <cellStyle name="Currency 7 2 3 2 6 2 8" xfId="24884"/>
    <cellStyle name="Currency 7 2 3 2 6 3" xfId="24885"/>
    <cellStyle name="Currency 7 2 3 2 6 3 2" xfId="24886"/>
    <cellStyle name="Currency 7 2 3 2 6 3 2 2" xfId="24887"/>
    <cellStyle name="Currency 7 2 3 2 6 3 2 3" xfId="24888"/>
    <cellStyle name="Currency 7 2 3 2 6 3 2 4" xfId="24889"/>
    <cellStyle name="Currency 7 2 3 2 6 3 2 5" xfId="24890"/>
    <cellStyle name="Currency 7 2 3 2 6 3 2 6" xfId="24891"/>
    <cellStyle name="Currency 7 2 3 2 6 3 3" xfId="24892"/>
    <cellStyle name="Currency 7 2 3 2 6 3 4" xfId="24893"/>
    <cellStyle name="Currency 7 2 3 2 6 3 5" xfId="24894"/>
    <cellStyle name="Currency 7 2 3 2 6 3 6" xfId="24895"/>
    <cellStyle name="Currency 7 2 3 2 6 3 7" xfId="24896"/>
    <cellStyle name="Currency 7 2 3 2 6 4" xfId="24897"/>
    <cellStyle name="Currency 7 2 3 2 6 4 2" xfId="24898"/>
    <cellStyle name="Currency 7 2 3 2 6 4 3" xfId="24899"/>
    <cellStyle name="Currency 7 2 3 2 6 4 4" xfId="24900"/>
    <cellStyle name="Currency 7 2 3 2 6 4 5" xfId="24901"/>
    <cellStyle name="Currency 7 2 3 2 6 4 6" xfId="24902"/>
    <cellStyle name="Currency 7 2 3 2 6 5" xfId="24903"/>
    <cellStyle name="Currency 7 2 3 2 6 6" xfId="24904"/>
    <cellStyle name="Currency 7 2 3 2 6 7" xfId="24905"/>
    <cellStyle name="Currency 7 2 3 2 6 8" xfId="24906"/>
    <cellStyle name="Currency 7 2 3 2 6 9" xfId="24907"/>
    <cellStyle name="Currency 7 2 3 2 7" xfId="24908"/>
    <cellStyle name="Currency 7 2 3 2 7 2" xfId="24909"/>
    <cellStyle name="Currency 7 2 3 2 7 2 2" xfId="24910"/>
    <cellStyle name="Currency 7 2 3 2 7 2 2 2" xfId="24911"/>
    <cellStyle name="Currency 7 2 3 2 7 2 2 3" xfId="24912"/>
    <cellStyle name="Currency 7 2 3 2 7 2 2 4" xfId="24913"/>
    <cellStyle name="Currency 7 2 3 2 7 2 2 5" xfId="24914"/>
    <cellStyle name="Currency 7 2 3 2 7 2 2 6" xfId="24915"/>
    <cellStyle name="Currency 7 2 3 2 7 2 3" xfId="24916"/>
    <cellStyle name="Currency 7 2 3 2 7 2 4" xfId="24917"/>
    <cellStyle name="Currency 7 2 3 2 7 2 5" xfId="24918"/>
    <cellStyle name="Currency 7 2 3 2 7 2 6" xfId="24919"/>
    <cellStyle name="Currency 7 2 3 2 7 2 7" xfId="24920"/>
    <cellStyle name="Currency 7 2 3 2 7 3" xfId="24921"/>
    <cellStyle name="Currency 7 2 3 2 7 3 2" xfId="24922"/>
    <cellStyle name="Currency 7 2 3 2 7 3 3" xfId="24923"/>
    <cellStyle name="Currency 7 2 3 2 7 3 4" xfId="24924"/>
    <cellStyle name="Currency 7 2 3 2 7 3 5" xfId="24925"/>
    <cellStyle name="Currency 7 2 3 2 7 3 6" xfId="24926"/>
    <cellStyle name="Currency 7 2 3 2 7 4" xfId="24927"/>
    <cellStyle name="Currency 7 2 3 2 7 5" xfId="24928"/>
    <cellStyle name="Currency 7 2 3 2 7 6" xfId="24929"/>
    <cellStyle name="Currency 7 2 3 2 7 7" xfId="24930"/>
    <cellStyle name="Currency 7 2 3 2 7 8" xfId="24931"/>
    <cellStyle name="Currency 7 2 3 2 8" xfId="24932"/>
    <cellStyle name="Currency 7 2 3 2 8 2" xfId="24933"/>
    <cellStyle name="Currency 7 2 3 2 8 2 2" xfId="24934"/>
    <cellStyle name="Currency 7 2 3 2 8 2 3" xfId="24935"/>
    <cellStyle name="Currency 7 2 3 2 8 2 4" xfId="24936"/>
    <cellStyle name="Currency 7 2 3 2 8 2 5" xfId="24937"/>
    <cellStyle name="Currency 7 2 3 2 8 2 6" xfId="24938"/>
    <cellStyle name="Currency 7 2 3 2 8 3" xfId="24939"/>
    <cellStyle name="Currency 7 2 3 2 8 4" xfId="24940"/>
    <cellStyle name="Currency 7 2 3 2 8 5" xfId="24941"/>
    <cellStyle name="Currency 7 2 3 2 8 6" xfId="24942"/>
    <cellStyle name="Currency 7 2 3 2 8 7" xfId="24943"/>
    <cellStyle name="Currency 7 2 3 2 9" xfId="24944"/>
    <cellStyle name="Currency 7 2 3 2 9 2" xfId="24945"/>
    <cellStyle name="Currency 7 2 3 2 9 3" xfId="24946"/>
    <cellStyle name="Currency 7 2 3 2 9 4" xfId="24947"/>
    <cellStyle name="Currency 7 2 3 2 9 5" xfId="24948"/>
    <cellStyle name="Currency 7 2 3 2 9 6" xfId="24949"/>
    <cellStyle name="Currency 7 2 3 3" xfId="24950"/>
    <cellStyle name="Currency 7 2 3 3 2" xfId="24951"/>
    <cellStyle name="Currency 7 2 3 3 2 2" xfId="24952"/>
    <cellStyle name="Currency 7 2 3 3 2 2 2" xfId="24953"/>
    <cellStyle name="Currency 7 2 3 3 2 2 2 2" xfId="24954"/>
    <cellStyle name="Currency 7 2 3 3 2 2 2 3" xfId="24955"/>
    <cellStyle name="Currency 7 2 3 3 2 2 2 4" xfId="24956"/>
    <cellStyle name="Currency 7 2 3 3 2 2 2 5" xfId="24957"/>
    <cellStyle name="Currency 7 2 3 3 2 2 2 6" xfId="24958"/>
    <cellStyle name="Currency 7 2 3 3 2 2 3" xfId="24959"/>
    <cellStyle name="Currency 7 2 3 3 2 2 4" xfId="24960"/>
    <cellStyle name="Currency 7 2 3 3 2 2 5" xfId="24961"/>
    <cellStyle name="Currency 7 2 3 3 2 2 6" xfId="24962"/>
    <cellStyle name="Currency 7 2 3 3 2 2 7" xfId="24963"/>
    <cellStyle name="Currency 7 2 3 3 2 3" xfId="24964"/>
    <cellStyle name="Currency 7 2 3 3 2 3 2" xfId="24965"/>
    <cellStyle name="Currency 7 2 3 3 2 3 3" xfId="24966"/>
    <cellStyle name="Currency 7 2 3 3 2 3 4" xfId="24967"/>
    <cellStyle name="Currency 7 2 3 3 2 3 5" xfId="24968"/>
    <cellStyle name="Currency 7 2 3 3 2 3 6" xfId="24969"/>
    <cellStyle name="Currency 7 2 3 3 2 4" xfId="24970"/>
    <cellStyle name="Currency 7 2 3 3 2 5" xfId="24971"/>
    <cellStyle name="Currency 7 2 3 3 2 6" xfId="24972"/>
    <cellStyle name="Currency 7 2 3 3 2 7" xfId="24973"/>
    <cellStyle name="Currency 7 2 3 3 2 8" xfId="24974"/>
    <cellStyle name="Currency 7 2 3 3 3" xfId="24975"/>
    <cellStyle name="Currency 7 2 3 3 3 2" xfId="24976"/>
    <cellStyle name="Currency 7 2 3 3 3 2 2" xfId="24977"/>
    <cellStyle name="Currency 7 2 3 3 3 2 3" xfId="24978"/>
    <cellStyle name="Currency 7 2 3 3 3 2 4" xfId="24979"/>
    <cellStyle name="Currency 7 2 3 3 3 2 5" xfId="24980"/>
    <cellStyle name="Currency 7 2 3 3 3 2 6" xfId="24981"/>
    <cellStyle name="Currency 7 2 3 3 3 3" xfId="24982"/>
    <cellStyle name="Currency 7 2 3 3 3 4" xfId="24983"/>
    <cellStyle name="Currency 7 2 3 3 3 5" xfId="24984"/>
    <cellStyle name="Currency 7 2 3 3 3 6" xfId="24985"/>
    <cellStyle name="Currency 7 2 3 3 3 7" xfId="24986"/>
    <cellStyle name="Currency 7 2 3 3 4" xfId="24987"/>
    <cellStyle name="Currency 7 2 3 3 4 2" xfId="24988"/>
    <cellStyle name="Currency 7 2 3 3 4 3" xfId="24989"/>
    <cellStyle name="Currency 7 2 3 3 4 4" xfId="24990"/>
    <cellStyle name="Currency 7 2 3 3 4 5" xfId="24991"/>
    <cellStyle name="Currency 7 2 3 3 4 6" xfId="24992"/>
    <cellStyle name="Currency 7 2 3 3 5" xfId="24993"/>
    <cellStyle name="Currency 7 2 3 3 6" xfId="24994"/>
    <cellStyle name="Currency 7 2 3 3 7" xfId="24995"/>
    <cellStyle name="Currency 7 2 3 3 8" xfId="24996"/>
    <cellStyle name="Currency 7 2 3 3 9" xfId="24997"/>
    <cellStyle name="Currency 7 2 3 4" xfId="24998"/>
    <cellStyle name="Currency 7 2 3 4 2" xfId="24999"/>
    <cellStyle name="Currency 7 2 3 4 2 2" xfId="25000"/>
    <cellStyle name="Currency 7 2 3 4 2 2 2" xfId="25001"/>
    <cellStyle name="Currency 7 2 3 4 2 2 2 2" xfId="25002"/>
    <cellStyle name="Currency 7 2 3 4 2 2 2 3" xfId="25003"/>
    <cellStyle name="Currency 7 2 3 4 2 2 2 4" xfId="25004"/>
    <cellStyle name="Currency 7 2 3 4 2 2 2 5" xfId="25005"/>
    <cellStyle name="Currency 7 2 3 4 2 2 2 6" xfId="25006"/>
    <cellStyle name="Currency 7 2 3 4 2 2 3" xfId="25007"/>
    <cellStyle name="Currency 7 2 3 4 2 2 4" xfId="25008"/>
    <cellStyle name="Currency 7 2 3 4 2 2 5" xfId="25009"/>
    <cellStyle name="Currency 7 2 3 4 2 2 6" xfId="25010"/>
    <cellStyle name="Currency 7 2 3 4 2 2 7" xfId="25011"/>
    <cellStyle name="Currency 7 2 3 4 2 3" xfId="25012"/>
    <cellStyle name="Currency 7 2 3 4 2 3 2" xfId="25013"/>
    <cellStyle name="Currency 7 2 3 4 2 3 3" xfId="25014"/>
    <cellStyle name="Currency 7 2 3 4 2 3 4" xfId="25015"/>
    <cellStyle name="Currency 7 2 3 4 2 3 5" xfId="25016"/>
    <cellStyle name="Currency 7 2 3 4 2 3 6" xfId="25017"/>
    <cellStyle name="Currency 7 2 3 4 2 4" xfId="25018"/>
    <cellStyle name="Currency 7 2 3 4 2 5" xfId="25019"/>
    <cellStyle name="Currency 7 2 3 4 2 6" xfId="25020"/>
    <cellStyle name="Currency 7 2 3 4 2 7" xfId="25021"/>
    <cellStyle name="Currency 7 2 3 4 2 8" xfId="25022"/>
    <cellStyle name="Currency 7 2 3 4 3" xfId="25023"/>
    <cellStyle name="Currency 7 2 3 4 3 2" xfId="25024"/>
    <cellStyle name="Currency 7 2 3 4 3 2 2" xfId="25025"/>
    <cellStyle name="Currency 7 2 3 4 3 2 3" xfId="25026"/>
    <cellStyle name="Currency 7 2 3 4 3 2 4" xfId="25027"/>
    <cellStyle name="Currency 7 2 3 4 3 2 5" xfId="25028"/>
    <cellStyle name="Currency 7 2 3 4 3 2 6" xfId="25029"/>
    <cellStyle name="Currency 7 2 3 4 3 3" xfId="25030"/>
    <cellStyle name="Currency 7 2 3 4 3 4" xfId="25031"/>
    <cellStyle name="Currency 7 2 3 4 3 5" xfId="25032"/>
    <cellStyle name="Currency 7 2 3 4 3 6" xfId="25033"/>
    <cellStyle name="Currency 7 2 3 4 3 7" xfId="25034"/>
    <cellStyle name="Currency 7 2 3 4 4" xfId="25035"/>
    <cellStyle name="Currency 7 2 3 4 4 2" xfId="25036"/>
    <cellStyle name="Currency 7 2 3 4 4 3" xfId="25037"/>
    <cellStyle name="Currency 7 2 3 4 4 4" xfId="25038"/>
    <cellStyle name="Currency 7 2 3 4 4 5" xfId="25039"/>
    <cellStyle name="Currency 7 2 3 4 4 6" xfId="25040"/>
    <cellStyle name="Currency 7 2 3 4 5" xfId="25041"/>
    <cellStyle name="Currency 7 2 3 4 6" xfId="25042"/>
    <cellStyle name="Currency 7 2 3 4 7" xfId="25043"/>
    <cellStyle name="Currency 7 2 3 4 8" xfId="25044"/>
    <cellStyle name="Currency 7 2 3 4 9" xfId="25045"/>
    <cellStyle name="Currency 7 2 3 5" xfId="25046"/>
    <cellStyle name="Currency 7 2 3 5 2" xfId="25047"/>
    <cellStyle name="Currency 7 2 3 5 2 2" xfId="25048"/>
    <cellStyle name="Currency 7 2 3 5 2 2 2" xfId="25049"/>
    <cellStyle name="Currency 7 2 3 5 2 2 2 2" xfId="25050"/>
    <cellStyle name="Currency 7 2 3 5 2 2 2 3" xfId="25051"/>
    <cellStyle name="Currency 7 2 3 5 2 2 2 4" xfId="25052"/>
    <cellStyle name="Currency 7 2 3 5 2 2 2 5" xfId="25053"/>
    <cellStyle name="Currency 7 2 3 5 2 2 2 6" xfId="25054"/>
    <cellStyle name="Currency 7 2 3 5 2 2 3" xfId="25055"/>
    <cellStyle name="Currency 7 2 3 5 2 2 4" xfId="25056"/>
    <cellStyle name="Currency 7 2 3 5 2 2 5" xfId="25057"/>
    <cellStyle name="Currency 7 2 3 5 2 2 6" xfId="25058"/>
    <cellStyle name="Currency 7 2 3 5 2 2 7" xfId="25059"/>
    <cellStyle name="Currency 7 2 3 5 2 3" xfId="25060"/>
    <cellStyle name="Currency 7 2 3 5 2 3 2" xfId="25061"/>
    <cellStyle name="Currency 7 2 3 5 2 3 3" xfId="25062"/>
    <cellStyle name="Currency 7 2 3 5 2 3 4" xfId="25063"/>
    <cellStyle name="Currency 7 2 3 5 2 3 5" xfId="25064"/>
    <cellStyle name="Currency 7 2 3 5 2 3 6" xfId="25065"/>
    <cellStyle name="Currency 7 2 3 5 2 4" xfId="25066"/>
    <cellStyle name="Currency 7 2 3 5 2 5" xfId="25067"/>
    <cellStyle name="Currency 7 2 3 5 2 6" xfId="25068"/>
    <cellStyle name="Currency 7 2 3 5 2 7" xfId="25069"/>
    <cellStyle name="Currency 7 2 3 5 2 8" xfId="25070"/>
    <cellStyle name="Currency 7 2 3 5 3" xfId="25071"/>
    <cellStyle name="Currency 7 2 3 5 3 2" xfId="25072"/>
    <cellStyle name="Currency 7 2 3 5 3 2 2" xfId="25073"/>
    <cellStyle name="Currency 7 2 3 5 3 2 3" xfId="25074"/>
    <cellStyle name="Currency 7 2 3 5 3 2 4" xfId="25075"/>
    <cellStyle name="Currency 7 2 3 5 3 2 5" xfId="25076"/>
    <cellStyle name="Currency 7 2 3 5 3 2 6" xfId="25077"/>
    <cellStyle name="Currency 7 2 3 5 3 3" xfId="25078"/>
    <cellStyle name="Currency 7 2 3 5 3 4" xfId="25079"/>
    <cellStyle name="Currency 7 2 3 5 3 5" xfId="25080"/>
    <cellStyle name="Currency 7 2 3 5 3 6" xfId="25081"/>
    <cellStyle name="Currency 7 2 3 5 3 7" xfId="25082"/>
    <cellStyle name="Currency 7 2 3 5 4" xfId="25083"/>
    <cellStyle name="Currency 7 2 3 5 4 2" xfId="25084"/>
    <cellStyle name="Currency 7 2 3 5 4 3" xfId="25085"/>
    <cellStyle name="Currency 7 2 3 5 4 4" xfId="25086"/>
    <cellStyle name="Currency 7 2 3 5 4 5" xfId="25087"/>
    <cellStyle name="Currency 7 2 3 5 4 6" xfId="25088"/>
    <cellStyle name="Currency 7 2 3 5 5" xfId="25089"/>
    <cellStyle name="Currency 7 2 3 5 6" xfId="25090"/>
    <cellStyle name="Currency 7 2 3 5 7" xfId="25091"/>
    <cellStyle name="Currency 7 2 3 5 8" xfId="25092"/>
    <cellStyle name="Currency 7 2 3 5 9" xfId="25093"/>
    <cellStyle name="Currency 7 2 3 6" xfId="25094"/>
    <cellStyle name="Currency 7 2 3 6 2" xfId="25095"/>
    <cellStyle name="Currency 7 2 3 6 2 2" xfId="25096"/>
    <cellStyle name="Currency 7 2 3 6 2 2 2" xfId="25097"/>
    <cellStyle name="Currency 7 2 3 6 2 2 2 2" xfId="25098"/>
    <cellStyle name="Currency 7 2 3 6 2 2 2 3" xfId="25099"/>
    <cellStyle name="Currency 7 2 3 6 2 2 2 4" xfId="25100"/>
    <cellStyle name="Currency 7 2 3 6 2 2 2 5" xfId="25101"/>
    <cellStyle name="Currency 7 2 3 6 2 2 2 6" xfId="25102"/>
    <cellStyle name="Currency 7 2 3 6 2 2 3" xfId="25103"/>
    <cellStyle name="Currency 7 2 3 6 2 2 4" xfId="25104"/>
    <cellStyle name="Currency 7 2 3 6 2 2 5" xfId="25105"/>
    <cellStyle name="Currency 7 2 3 6 2 2 6" xfId="25106"/>
    <cellStyle name="Currency 7 2 3 6 2 2 7" xfId="25107"/>
    <cellStyle name="Currency 7 2 3 6 2 3" xfId="25108"/>
    <cellStyle name="Currency 7 2 3 6 2 3 2" xfId="25109"/>
    <cellStyle name="Currency 7 2 3 6 2 3 3" xfId="25110"/>
    <cellStyle name="Currency 7 2 3 6 2 3 4" xfId="25111"/>
    <cellStyle name="Currency 7 2 3 6 2 3 5" xfId="25112"/>
    <cellStyle name="Currency 7 2 3 6 2 3 6" xfId="25113"/>
    <cellStyle name="Currency 7 2 3 6 2 4" xfId="25114"/>
    <cellStyle name="Currency 7 2 3 6 2 5" xfId="25115"/>
    <cellStyle name="Currency 7 2 3 6 2 6" xfId="25116"/>
    <cellStyle name="Currency 7 2 3 6 2 7" xfId="25117"/>
    <cellStyle name="Currency 7 2 3 6 2 8" xfId="25118"/>
    <cellStyle name="Currency 7 2 3 6 3" xfId="25119"/>
    <cellStyle name="Currency 7 2 3 6 3 2" xfId="25120"/>
    <cellStyle name="Currency 7 2 3 6 3 2 2" xfId="25121"/>
    <cellStyle name="Currency 7 2 3 6 3 2 3" xfId="25122"/>
    <cellStyle name="Currency 7 2 3 6 3 2 4" xfId="25123"/>
    <cellStyle name="Currency 7 2 3 6 3 2 5" xfId="25124"/>
    <cellStyle name="Currency 7 2 3 6 3 2 6" xfId="25125"/>
    <cellStyle name="Currency 7 2 3 6 3 3" xfId="25126"/>
    <cellStyle name="Currency 7 2 3 6 3 4" xfId="25127"/>
    <cellStyle name="Currency 7 2 3 6 3 5" xfId="25128"/>
    <cellStyle name="Currency 7 2 3 6 3 6" xfId="25129"/>
    <cellStyle name="Currency 7 2 3 6 3 7" xfId="25130"/>
    <cellStyle name="Currency 7 2 3 6 4" xfId="25131"/>
    <cellStyle name="Currency 7 2 3 6 4 2" xfId="25132"/>
    <cellStyle name="Currency 7 2 3 6 4 3" xfId="25133"/>
    <cellStyle name="Currency 7 2 3 6 4 4" xfId="25134"/>
    <cellStyle name="Currency 7 2 3 6 4 5" xfId="25135"/>
    <cellStyle name="Currency 7 2 3 6 4 6" xfId="25136"/>
    <cellStyle name="Currency 7 2 3 6 5" xfId="25137"/>
    <cellStyle name="Currency 7 2 3 6 6" xfId="25138"/>
    <cellStyle name="Currency 7 2 3 6 7" xfId="25139"/>
    <cellStyle name="Currency 7 2 3 6 8" xfId="25140"/>
    <cellStyle name="Currency 7 2 3 6 9" xfId="25141"/>
    <cellStyle name="Currency 7 2 3 7" xfId="25142"/>
    <cellStyle name="Currency 7 2 3 7 2" xfId="25143"/>
    <cellStyle name="Currency 7 2 3 7 2 2" xfId="25144"/>
    <cellStyle name="Currency 7 2 3 7 2 2 2" xfId="25145"/>
    <cellStyle name="Currency 7 2 3 7 2 2 2 2" xfId="25146"/>
    <cellStyle name="Currency 7 2 3 7 2 2 2 3" xfId="25147"/>
    <cellStyle name="Currency 7 2 3 7 2 2 2 4" xfId="25148"/>
    <cellStyle name="Currency 7 2 3 7 2 2 2 5" xfId="25149"/>
    <cellStyle name="Currency 7 2 3 7 2 2 2 6" xfId="25150"/>
    <cellStyle name="Currency 7 2 3 7 2 2 3" xfId="25151"/>
    <cellStyle name="Currency 7 2 3 7 2 2 4" xfId="25152"/>
    <cellStyle name="Currency 7 2 3 7 2 2 5" xfId="25153"/>
    <cellStyle name="Currency 7 2 3 7 2 2 6" xfId="25154"/>
    <cellStyle name="Currency 7 2 3 7 2 2 7" xfId="25155"/>
    <cellStyle name="Currency 7 2 3 7 2 3" xfId="25156"/>
    <cellStyle name="Currency 7 2 3 7 2 3 2" xfId="25157"/>
    <cellStyle name="Currency 7 2 3 7 2 3 3" xfId="25158"/>
    <cellStyle name="Currency 7 2 3 7 2 3 4" xfId="25159"/>
    <cellStyle name="Currency 7 2 3 7 2 3 5" xfId="25160"/>
    <cellStyle name="Currency 7 2 3 7 2 3 6" xfId="25161"/>
    <cellStyle name="Currency 7 2 3 7 2 4" xfId="25162"/>
    <cellStyle name="Currency 7 2 3 7 2 5" xfId="25163"/>
    <cellStyle name="Currency 7 2 3 7 2 6" xfId="25164"/>
    <cellStyle name="Currency 7 2 3 7 2 7" xfId="25165"/>
    <cellStyle name="Currency 7 2 3 7 2 8" xfId="25166"/>
    <cellStyle name="Currency 7 2 3 7 3" xfId="25167"/>
    <cellStyle name="Currency 7 2 3 7 3 2" xfId="25168"/>
    <cellStyle name="Currency 7 2 3 7 3 2 2" xfId="25169"/>
    <cellStyle name="Currency 7 2 3 7 3 2 3" xfId="25170"/>
    <cellStyle name="Currency 7 2 3 7 3 2 4" xfId="25171"/>
    <cellStyle name="Currency 7 2 3 7 3 2 5" xfId="25172"/>
    <cellStyle name="Currency 7 2 3 7 3 2 6" xfId="25173"/>
    <cellStyle name="Currency 7 2 3 7 3 3" xfId="25174"/>
    <cellStyle name="Currency 7 2 3 7 3 4" xfId="25175"/>
    <cellStyle name="Currency 7 2 3 7 3 5" xfId="25176"/>
    <cellStyle name="Currency 7 2 3 7 3 6" xfId="25177"/>
    <cellStyle name="Currency 7 2 3 7 3 7" xfId="25178"/>
    <cellStyle name="Currency 7 2 3 7 4" xfId="25179"/>
    <cellStyle name="Currency 7 2 3 7 4 2" xfId="25180"/>
    <cellStyle name="Currency 7 2 3 7 4 3" xfId="25181"/>
    <cellStyle name="Currency 7 2 3 7 4 4" xfId="25182"/>
    <cellStyle name="Currency 7 2 3 7 4 5" xfId="25183"/>
    <cellStyle name="Currency 7 2 3 7 4 6" xfId="25184"/>
    <cellStyle name="Currency 7 2 3 7 5" xfId="25185"/>
    <cellStyle name="Currency 7 2 3 7 6" xfId="25186"/>
    <cellStyle name="Currency 7 2 3 7 7" xfId="25187"/>
    <cellStyle name="Currency 7 2 3 7 8" xfId="25188"/>
    <cellStyle name="Currency 7 2 3 7 9" xfId="25189"/>
    <cellStyle name="Currency 7 2 3 8" xfId="25190"/>
    <cellStyle name="Currency 7 2 3 8 2" xfId="25191"/>
    <cellStyle name="Currency 7 2 3 8 2 2" xfId="25192"/>
    <cellStyle name="Currency 7 2 3 8 2 2 2" xfId="25193"/>
    <cellStyle name="Currency 7 2 3 8 2 2 3" xfId="25194"/>
    <cellStyle name="Currency 7 2 3 8 2 2 4" xfId="25195"/>
    <cellStyle name="Currency 7 2 3 8 2 2 5" xfId="25196"/>
    <cellStyle name="Currency 7 2 3 8 2 2 6" xfId="25197"/>
    <cellStyle name="Currency 7 2 3 8 2 3" xfId="25198"/>
    <cellStyle name="Currency 7 2 3 8 2 4" xfId="25199"/>
    <cellStyle name="Currency 7 2 3 8 2 5" xfId="25200"/>
    <cellStyle name="Currency 7 2 3 8 2 6" xfId="25201"/>
    <cellStyle name="Currency 7 2 3 8 2 7" xfId="25202"/>
    <cellStyle name="Currency 7 2 3 8 3" xfId="25203"/>
    <cellStyle name="Currency 7 2 3 8 3 2" xfId="25204"/>
    <cellStyle name="Currency 7 2 3 8 3 3" xfId="25205"/>
    <cellStyle name="Currency 7 2 3 8 3 4" xfId="25206"/>
    <cellStyle name="Currency 7 2 3 8 3 5" xfId="25207"/>
    <cellStyle name="Currency 7 2 3 8 3 6" xfId="25208"/>
    <cellStyle name="Currency 7 2 3 8 4" xfId="25209"/>
    <cellStyle name="Currency 7 2 3 8 5" xfId="25210"/>
    <cellStyle name="Currency 7 2 3 8 6" xfId="25211"/>
    <cellStyle name="Currency 7 2 3 8 7" xfId="25212"/>
    <cellStyle name="Currency 7 2 3 8 8" xfId="25213"/>
    <cellStyle name="Currency 7 2 3 9" xfId="25214"/>
    <cellStyle name="Currency 7 2 3 9 2" xfId="25215"/>
    <cellStyle name="Currency 7 2 3 9 2 2" xfId="25216"/>
    <cellStyle name="Currency 7 2 3 9 2 3" xfId="25217"/>
    <cellStyle name="Currency 7 2 3 9 2 4" xfId="25218"/>
    <cellStyle name="Currency 7 2 3 9 2 5" xfId="25219"/>
    <cellStyle name="Currency 7 2 3 9 2 6" xfId="25220"/>
    <cellStyle name="Currency 7 2 3 9 3" xfId="25221"/>
    <cellStyle name="Currency 7 2 3 9 4" xfId="25222"/>
    <cellStyle name="Currency 7 2 3 9 5" xfId="25223"/>
    <cellStyle name="Currency 7 2 3 9 6" xfId="25224"/>
    <cellStyle name="Currency 7 2 3 9 7" xfId="25225"/>
    <cellStyle name="Currency 7 2 4" xfId="25226"/>
    <cellStyle name="Currency 7 2 4 10" xfId="25227"/>
    <cellStyle name="Currency 7 2 4 11" xfId="25228"/>
    <cellStyle name="Currency 7 2 4 12" xfId="25229"/>
    <cellStyle name="Currency 7 2 4 13" xfId="25230"/>
    <cellStyle name="Currency 7 2 4 14" xfId="25231"/>
    <cellStyle name="Currency 7 2 4 2" xfId="25232"/>
    <cellStyle name="Currency 7 2 4 2 2" xfId="25233"/>
    <cellStyle name="Currency 7 2 4 2 2 2" xfId="25234"/>
    <cellStyle name="Currency 7 2 4 2 2 2 2" xfId="25235"/>
    <cellStyle name="Currency 7 2 4 2 2 2 2 2" xfId="25236"/>
    <cellStyle name="Currency 7 2 4 2 2 2 2 3" xfId="25237"/>
    <cellStyle name="Currency 7 2 4 2 2 2 2 4" xfId="25238"/>
    <cellStyle name="Currency 7 2 4 2 2 2 2 5" xfId="25239"/>
    <cellStyle name="Currency 7 2 4 2 2 2 2 6" xfId="25240"/>
    <cellStyle name="Currency 7 2 4 2 2 2 3" xfId="25241"/>
    <cellStyle name="Currency 7 2 4 2 2 2 4" xfId="25242"/>
    <cellStyle name="Currency 7 2 4 2 2 2 5" xfId="25243"/>
    <cellStyle name="Currency 7 2 4 2 2 2 6" xfId="25244"/>
    <cellStyle name="Currency 7 2 4 2 2 2 7" xfId="25245"/>
    <cellStyle name="Currency 7 2 4 2 2 3" xfId="25246"/>
    <cellStyle name="Currency 7 2 4 2 2 3 2" xfId="25247"/>
    <cellStyle name="Currency 7 2 4 2 2 3 3" xfId="25248"/>
    <cellStyle name="Currency 7 2 4 2 2 3 4" xfId="25249"/>
    <cellStyle name="Currency 7 2 4 2 2 3 5" xfId="25250"/>
    <cellStyle name="Currency 7 2 4 2 2 3 6" xfId="25251"/>
    <cellStyle name="Currency 7 2 4 2 2 4" xfId="25252"/>
    <cellStyle name="Currency 7 2 4 2 2 5" xfId="25253"/>
    <cellStyle name="Currency 7 2 4 2 2 6" xfId="25254"/>
    <cellStyle name="Currency 7 2 4 2 2 7" xfId="25255"/>
    <cellStyle name="Currency 7 2 4 2 2 8" xfId="25256"/>
    <cellStyle name="Currency 7 2 4 2 3" xfId="25257"/>
    <cellStyle name="Currency 7 2 4 2 3 2" xfId="25258"/>
    <cellStyle name="Currency 7 2 4 2 3 2 2" xfId="25259"/>
    <cellStyle name="Currency 7 2 4 2 3 2 3" xfId="25260"/>
    <cellStyle name="Currency 7 2 4 2 3 2 4" xfId="25261"/>
    <cellStyle name="Currency 7 2 4 2 3 2 5" xfId="25262"/>
    <cellStyle name="Currency 7 2 4 2 3 2 6" xfId="25263"/>
    <cellStyle name="Currency 7 2 4 2 3 3" xfId="25264"/>
    <cellStyle name="Currency 7 2 4 2 3 4" xfId="25265"/>
    <cellStyle name="Currency 7 2 4 2 3 5" xfId="25266"/>
    <cellStyle name="Currency 7 2 4 2 3 6" xfId="25267"/>
    <cellStyle name="Currency 7 2 4 2 3 7" xfId="25268"/>
    <cellStyle name="Currency 7 2 4 2 4" xfId="25269"/>
    <cellStyle name="Currency 7 2 4 2 4 2" xfId="25270"/>
    <cellStyle name="Currency 7 2 4 2 4 3" xfId="25271"/>
    <cellStyle name="Currency 7 2 4 2 4 4" xfId="25272"/>
    <cellStyle name="Currency 7 2 4 2 4 5" xfId="25273"/>
    <cellStyle name="Currency 7 2 4 2 4 6" xfId="25274"/>
    <cellStyle name="Currency 7 2 4 2 5" xfId="25275"/>
    <cellStyle name="Currency 7 2 4 2 6" xfId="25276"/>
    <cellStyle name="Currency 7 2 4 2 7" xfId="25277"/>
    <cellStyle name="Currency 7 2 4 2 8" xfId="25278"/>
    <cellStyle name="Currency 7 2 4 2 9" xfId="25279"/>
    <cellStyle name="Currency 7 2 4 3" xfId="25280"/>
    <cellStyle name="Currency 7 2 4 3 2" xfId="25281"/>
    <cellStyle name="Currency 7 2 4 3 2 2" xfId="25282"/>
    <cellStyle name="Currency 7 2 4 3 2 2 2" xfId="25283"/>
    <cellStyle name="Currency 7 2 4 3 2 2 2 2" xfId="25284"/>
    <cellStyle name="Currency 7 2 4 3 2 2 2 3" xfId="25285"/>
    <cellStyle name="Currency 7 2 4 3 2 2 2 4" xfId="25286"/>
    <cellStyle name="Currency 7 2 4 3 2 2 2 5" xfId="25287"/>
    <cellStyle name="Currency 7 2 4 3 2 2 2 6" xfId="25288"/>
    <cellStyle name="Currency 7 2 4 3 2 2 3" xfId="25289"/>
    <cellStyle name="Currency 7 2 4 3 2 2 4" xfId="25290"/>
    <cellStyle name="Currency 7 2 4 3 2 2 5" xfId="25291"/>
    <cellStyle name="Currency 7 2 4 3 2 2 6" xfId="25292"/>
    <cellStyle name="Currency 7 2 4 3 2 2 7" xfId="25293"/>
    <cellStyle name="Currency 7 2 4 3 2 3" xfId="25294"/>
    <cellStyle name="Currency 7 2 4 3 2 3 2" xfId="25295"/>
    <cellStyle name="Currency 7 2 4 3 2 3 3" xfId="25296"/>
    <cellStyle name="Currency 7 2 4 3 2 3 4" xfId="25297"/>
    <cellStyle name="Currency 7 2 4 3 2 3 5" xfId="25298"/>
    <cellStyle name="Currency 7 2 4 3 2 3 6" xfId="25299"/>
    <cellStyle name="Currency 7 2 4 3 2 4" xfId="25300"/>
    <cellStyle name="Currency 7 2 4 3 2 5" xfId="25301"/>
    <cellStyle name="Currency 7 2 4 3 2 6" xfId="25302"/>
    <cellStyle name="Currency 7 2 4 3 2 7" xfId="25303"/>
    <cellStyle name="Currency 7 2 4 3 2 8" xfId="25304"/>
    <cellStyle name="Currency 7 2 4 3 3" xfId="25305"/>
    <cellStyle name="Currency 7 2 4 3 3 2" xfId="25306"/>
    <cellStyle name="Currency 7 2 4 3 3 2 2" xfId="25307"/>
    <cellStyle name="Currency 7 2 4 3 3 2 3" xfId="25308"/>
    <cellStyle name="Currency 7 2 4 3 3 2 4" xfId="25309"/>
    <cellStyle name="Currency 7 2 4 3 3 2 5" xfId="25310"/>
    <cellStyle name="Currency 7 2 4 3 3 2 6" xfId="25311"/>
    <cellStyle name="Currency 7 2 4 3 3 3" xfId="25312"/>
    <cellStyle name="Currency 7 2 4 3 3 4" xfId="25313"/>
    <cellStyle name="Currency 7 2 4 3 3 5" xfId="25314"/>
    <cellStyle name="Currency 7 2 4 3 3 6" xfId="25315"/>
    <cellStyle name="Currency 7 2 4 3 3 7" xfId="25316"/>
    <cellStyle name="Currency 7 2 4 3 4" xfId="25317"/>
    <cellStyle name="Currency 7 2 4 3 4 2" xfId="25318"/>
    <cellStyle name="Currency 7 2 4 3 4 3" xfId="25319"/>
    <cellStyle name="Currency 7 2 4 3 4 4" xfId="25320"/>
    <cellStyle name="Currency 7 2 4 3 4 5" xfId="25321"/>
    <cellStyle name="Currency 7 2 4 3 4 6" xfId="25322"/>
    <cellStyle name="Currency 7 2 4 3 5" xfId="25323"/>
    <cellStyle name="Currency 7 2 4 3 6" xfId="25324"/>
    <cellStyle name="Currency 7 2 4 3 7" xfId="25325"/>
    <cellStyle name="Currency 7 2 4 3 8" xfId="25326"/>
    <cellStyle name="Currency 7 2 4 3 9" xfId="25327"/>
    <cellStyle name="Currency 7 2 4 4" xfId="25328"/>
    <cellStyle name="Currency 7 2 4 4 2" xfId="25329"/>
    <cellStyle name="Currency 7 2 4 4 2 2" xfId="25330"/>
    <cellStyle name="Currency 7 2 4 4 2 2 2" xfId="25331"/>
    <cellStyle name="Currency 7 2 4 4 2 2 2 2" xfId="25332"/>
    <cellStyle name="Currency 7 2 4 4 2 2 2 3" xfId="25333"/>
    <cellStyle name="Currency 7 2 4 4 2 2 2 4" xfId="25334"/>
    <cellStyle name="Currency 7 2 4 4 2 2 2 5" xfId="25335"/>
    <cellStyle name="Currency 7 2 4 4 2 2 2 6" xfId="25336"/>
    <cellStyle name="Currency 7 2 4 4 2 2 3" xfId="25337"/>
    <cellStyle name="Currency 7 2 4 4 2 2 4" xfId="25338"/>
    <cellStyle name="Currency 7 2 4 4 2 2 5" xfId="25339"/>
    <cellStyle name="Currency 7 2 4 4 2 2 6" xfId="25340"/>
    <cellStyle name="Currency 7 2 4 4 2 2 7" xfId="25341"/>
    <cellStyle name="Currency 7 2 4 4 2 3" xfId="25342"/>
    <cellStyle name="Currency 7 2 4 4 2 3 2" xfId="25343"/>
    <cellStyle name="Currency 7 2 4 4 2 3 3" xfId="25344"/>
    <cellStyle name="Currency 7 2 4 4 2 3 4" xfId="25345"/>
    <cellStyle name="Currency 7 2 4 4 2 3 5" xfId="25346"/>
    <cellStyle name="Currency 7 2 4 4 2 3 6" xfId="25347"/>
    <cellStyle name="Currency 7 2 4 4 2 4" xfId="25348"/>
    <cellStyle name="Currency 7 2 4 4 2 5" xfId="25349"/>
    <cellStyle name="Currency 7 2 4 4 2 6" xfId="25350"/>
    <cellStyle name="Currency 7 2 4 4 2 7" xfId="25351"/>
    <cellStyle name="Currency 7 2 4 4 2 8" xfId="25352"/>
    <cellStyle name="Currency 7 2 4 4 3" xfId="25353"/>
    <cellStyle name="Currency 7 2 4 4 3 2" xfId="25354"/>
    <cellStyle name="Currency 7 2 4 4 3 2 2" xfId="25355"/>
    <cellStyle name="Currency 7 2 4 4 3 2 3" xfId="25356"/>
    <cellStyle name="Currency 7 2 4 4 3 2 4" xfId="25357"/>
    <cellStyle name="Currency 7 2 4 4 3 2 5" xfId="25358"/>
    <cellStyle name="Currency 7 2 4 4 3 2 6" xfId="25359"/>
    <cellStyle name="Currency 7 2 4 4 3 3" xfId="25360"/>
    <cellStyle name="Currency 7 2 4 4 3 4" xfId="25361"/>
    <cellStyle name="Currency 7 2 4 4 3 5" xfId="25362"/>
    <cellStyle name="Currency 7 2 4 4 3 6" xfId="25363"/>
    <cellStyle name="Currency 7 2 4 4 3 7" xfId="25364"/>
    <cellStyle name="Currency 7 2 4 4 4" xfId="25365"/>
    <cellStyle name="Currency 7 2 4 4 4 2" xfId="25366"/>
    <cellStyle name="Currency 7 2 4 4 4 3" xfId="25367"/>
    <cellStyle name="Currency 7 2 4 4 4 4" xfId="25368"/>
    <cellStyle name="Currency 7 2 4 4 4 5" xfId="25369"/>
    <cellStyle name="Currency 7 2 4 4 4 6" xfId="25370"/>
    <cellStyle name="Currency 7 2 4 4 5" xfId="25371"/>
    <cellStyle name="Currency 7 2 4 4 6" xfId="25372"/>
    <cellStyle name="Currency 7 2 4 4 7" xfId="25373"/>
    <cellStyle name="Currency 7 2 4 4 8" xfId="25374"/>
    <cellStyle name="Currency 7 2 4 4 9" xfId="25375"/>
    <cellStyle name="Currency 7 2 4 5" xfId="25376"/>
    <cellStyle name="Currency 7 2 4 5 2" xfId="25377"/>
    <cellStyle name="Currency 7 2 4 5 2 2" xfId="25378"/>
    <cellStyle name="Currency 7 2 4 5 2 2 2" xfId="25379"/>
    <cellStyle name="Currency 7 2 4 5 2 2 2 2" xfId="25380"/>
    <cellStyle name="Currency 7 2 4 5 2 2 2 3" xfId="25381"/>
    <cellStyle name="Currency 7 2 4 5 2 2 2 4" xfId="25382"/>
    <cellStyle name="Currency 7 2 4 5 2 2 2 5" xfId="25383"/>
    <cellStyle name="Currency 7 2 4 5 2 2 2 6" xfId="25384"/>
    <cellStyle name="Currency 7 2 4 5 2 2 3" xfId="25385"/>
    <cellStyle name="Currency 7 2 4 5 2 2 4" xfId="25386"/>
    <cellStyle name="Currency 7 2 4 5 2 2 5" xfId="25387"/>
    <cellStyle name="Currency 7 2 4 5 2 2 6" xfId="25388"/>
    <cellStyle name="Currency 7 2 4 5 2 2 7" xfId="25389"/>
    <cellStyle name="Currency 7 2 4 5 2 3" xfId="25390"/>
    <cellStyle name="Currency 7 2 4 5 2 3 2" xfId="25391"/>
    <cellStyle name="Currency 7 2 4 5 2 3 3" xfId="25392"/>
    <cellStyle name="Currency 7 2 4 5 2 3 4" xfId="25393"/>
    <cellStyle name="Currency 7 2 4 5 2 3 5" xfId="25394"/>
    <cellStyle name="Currency 7 2 4 5 2 3 6" xfId="25395"/>
    <cellStyle name="Currency 7 2 4 5 2 4" xfId="25396"/>
    <cellStyle name="Currency 7 2 4 5 2 5" xfId="25397"/>
    <cellStyle name="Currency 7 2 4 5 2 6" xfId="25398"/>
    <cellStyle name="Currency 7 2 4 5 2 7" xfId="25399"/>
    <cellStyle name="Currency 7 2 4 5 2 8" xfId="25400"/>
    <cellStyle name="Currency 7 2 4 5 3" xfId="25401"/>
    <cellStyle name="Currency 7 2 4 5 3 2" xfId="25402"/>
    <cellStyle name="Currency 7 2 4 5 3 2 2" xfId="25403"/>
    <cellStyle name="Currency 7 2 4 5 3 2 3" xfId="25404"/>
    <cellStyle name="Currency 7 2 4 5 3 2 4" xfId="25405"/>
    <cellStyle name="Currency 7 2 4 5 3 2 5" xfId="25406"/>
    <cellStyle name="Currency 7 2 4 5 3 2 6" xfId="25407"/>
    <cellStyle name="Currency 7 2 4 5 3 3" xfId="25408"/>
    <cellStyle name="Currency 7 2 4 5 3 4" xfId="25409"/>
    <cellStyle name="Currency 7 2 4 5 3 5" xfId="25410"/>
    <cellStyle name="Currency 7 2 4 5 3 6" xfId="25411"/>
    <cellStyle name="Currency 7 2 4 5 3 7" xfId="25412"/>
    <cellStyle name="Currency 7 2 4 5 4" xfId="25413"/>
    <cellStyle name="Currency 7 2 4 5 4 2" xfId="25414"/>
    <cellStyle name="Currency 7 2 4 5 4 3" xfId="25415"/>
    <cellStyle name="Currency 7 2 4 5 4 4" xfId="25416"/>
    <cellStyle name="Currency 7 2 4 5 4 5" xfId="25417"/>
    <cellStyle name="Currency 7 2 4 5 4 6" xfId="25418"/>
    <cellStyle name="Currency 7 2 4 5 5" xfId="25419"/>
    <cellStyle name="Currency 7 2 4 5 6" xfId="25420"/>
    <cellStyle name="Currency 7 2 4 5 7" xfId="25421"/>
    <cellStyle name="Currency 7 2 4 5 8" xfId="25422"/>
    <cellStyle name="Currency 7 2 4 5 9" xfId="25423"/>
    <cellStyle name="Currency 7 2 4 6" xfId="25424"/>
    <cellStyle name="Currency 7 2 4 6 2" xfId="25425"/>
    <cellStyle name="Currency 7 2 4 6 2 2" xfId="25426"/>
    <cellStyle name="Currency 7 2 4 6 2 2 2" xfId="25427"/>
    <cellStyle name="Currency 7 2 4 6 2 2 2 2" xfId="25428"/>
    <cellStyle name="Currency 7 2 4 6 2 2 2 3" xfId="25429"/>
    <cellStyle name="Currency 7 2 4 6 2 2 2 4" xfId="25430"/>
    <cellStyle name="Currency 7 2 4 6 2 2 2 5" xfId="25431"/>
    <cellStyle name="Currency 7 2 4 6 2 2 2 6" xfId="25432"/>
    <cellStyle name="Currency 7 2 4 6 2 2 3" xfId="25433"/>
    <cellStyle name="Currency 7 2 4 6 2 2 4" xfId="25434"/>
    <cellStyle name="Currency 7 2 4 6 2 2 5" xfId="25435"/>
    <cellStyle name="Currency 7 2 4 6 2 2 6" xfId="25436"/>
    <cellStyle name="Currency 7 2 4 6 2 2 7" xfId="25437"/>
    <cellStyle name="Currency 7 2 4 6 2 3" xfId="25438"/>
    <cellStyle name="Currency 7 2 4 6 2 3 2" xfId="25439"/>
    <cellStyle name="Currency 7 2 4 6 2 3 3" xfId="25440"/>
    <cellStyle name="Currency 7 2 4 6 2 3 4" xfId="25441"/>
    <cellStyle name="Currency 7 2 4 6 2 3 5" xfId="25442"/>
    <cellStyle name="Currency 7 2 4 6 2 3 6" xfId="25443"/>
    <cellStyle name="Currency 7 2 4 6 2 4" xfId="25444"/>
    <cellStyle name="Currency 7 2 4 6 2 5" xfId="25445"/>
    <cellStyle name="Currency 7 2 4 6 2 6" xfId="25446"/>
    <cellStyle name="Currency 7 2 4 6 2 7" xfId="25447"/>
    <cellStyle name="Currency 7 2 4 6 2 8" xfId="25448"/>
    <cellStyle name="Currency 7 2 4 6 3" xfId="25449"/>
    <cellStyle name="Currency 7 2 4 6 3 2" xfId="25450"/>
    <cellStyle name="Currency 7 2 4 6 3 2 2" xfId="25451"/>
    <cellStyle name="Currency 7 2 4 6 3 2 3" xfId="25452"/>
    <cellStyle name="Currency 7 2 4 6 3 2 4" xfId="25453"/>
    <cellStyle name="Currency 7 2 4 6 3 2 5" xfId="25454"/>
    <cellStyle name="Currency 7 2 4 6 3 2 6" xfId="25455"/>
    <cellStyle name="Currency 7 2 4 6 3 3" xfId="25456"/>
    <cellStyle name="Currency 7 2 4 6 3 4" xfId="25457"/>
    <cellStyle name="Currency 7 2 4 6 3 5" xfId="25458"/>
    <cellStyle name="Currency 7 2 4 6 3 6" xfId="25459"/>
    <cellStyle name="Currency 7 2 4 6 3 7" xfId="25460"/>
    <cellStyle name="Currency 7 2 4 6 4" xfId="25461"/>
    <cellStyle name="Currency 7 2 4 6 4 2" xfId="25462"/>
    <cellStyle name="Currency 7 2 4 6 4 3" xfId="25463"/>
    <cellStyle name="Currency 7 2 4 6 4 4" xfId="25464"/>
    <cellStyle name="Currency 7 2 4 6 4 5" xfId="25465"/>
    <cellStyle name="Currency 7 2 4 6 4 6" xfId="25466"/>
    <cellStyle name="Currency 7 2 4 6 5" xfId="25467"/>
    <cellStyle name="Currency 7 2 4 6 6" xfId="25468"/>
    <cellStyle name="Currency 7 2 4 6 7" xfId="25469"/>
    <cellStyle name="Currency 7 2 4 6 8" xfId="25470"/>
    <cellStyle name="Currency 7 2 4 6 9" xfId="25471"/>
    <cellStyle name="Currency 7 2 4 7" xfId="25472"/>
    <cellStyle name="Currency 7 2 4 7 2" xfId="25473"/>
    <cellStyle name="Currency 7 2 4 7 2 2" xfId="25474"/>
    <cellStyle name="Currency 7 2 4 7 2 2 2" xfId="25475"/>
    <cellStyle name="Currency 7 2 4 7 2 2 3" xfId="25476"/>
    <cellStyle name="Currency 7 2 4 7 2 2 4" xfId="25477"/>
    <cellStyle name="Currency 7 2 4 7 2 2 5" xfId="25478"/>
    <cellStyle name="Currency 7 2 4 7 2 2 6" xfId="25479"/>
    <cellStyle name="Currency 7 2 4 7 2 3" xfId="25480"/>
    <cellStyle name="Currency 7 2 4 7 2 4" xfId="25481"/>
    <cellStyle name="Currency 7 2 4 7 2 5" xfId="25482"/>
    <cellStyle name="Currency 7 2 4 7 2 6" xfId="25483"/>
    <cellStyle name="Currency 7 2 4 7 2 7" xfId="25484"/>
    <cellStyle name="Currency 7 2 4 7 3" xfId="25485"/>
    <cellStyle name="Currency 7 2 4 7 3 2" xfId="25486"/>
    <cellStyle name="Currency 7 2 4 7 3 3" xfId="25487"/>
    <cellStyle name="Currency 7 2 4 7 3 4" xfId="25488"/>
    <cellStyle name="Currency 7 2 4 7 3 5" xfId="25489"/>
    <cellStyle name="Currency 7 2 4 7 3 6" xfId="25490"/>
    <cellStyle name="Currency 7 2 4 7 4" xfId="25491"/>
    <cellStyle name="Currency 7 2 4 7 5" xfId="25492"/>
    <cellStyle name="Currency 7 2 4 7 6" xfId="25493"/>
    <cellStyle name="Currency 7 2 4 7 7" xfId="25494"/>
    <cellStyle name="Currency 7 2 4 7 8" xfId="25495"/>
    <cellStyle name="Currency 7 2 4 8" xfId="25496"/>
    <cellStyle name="Currency 7 2 4 8 2" xfId="25497"/>
    <cellStyle name="Currency 7 2 4 8 2 2" xfId="25498"/>
    <cellStyle name="Currency 7 2 4 8 2 3" xfId="25499"/>
    <cellStyle name="Currency 7 2 4 8 2 4" xfId="25500"/>
    <cellStyle name="Currency 7 2 4 8 2 5" xfId="25501"/>
    <cellStyle name="Currency 7 2 4 8 2 6" xfId="25502"/>
    <cellStyle name="Currency 7 2 4 8 3" xfId="25503"/>
    <cellStyle name="Currency 7 2 4 8 4" xfId="25504"/>
    <cellStyle name="Currency 7 2 4 8 5" xfId="25505"/>
    <cellStyle name="Currency 7 2 4 8 6" xfId="25506"/>
    <cellStyle name="Currency 7 2 4 8 7" xfId="25507"/>
    <cellStyle name="Currency 7 2 4 9" xfId="25508"/>
    <cellStyle name="Currency 7 2 4 9 2" xfId="25509"/>
    <cellStyle name="Currency 7 2 4 9 3" xfId="25510"/>
    <cellStyle name="Currency 7 2 4 9 4" xfId="25511"/>
    <cellStyle name="Currency 7 2 4 9 5" xfId="25512"/>
    <cellStyle name="Currency 7 2 4 9 6" xfId="25513"/>
    <cellStyle name="Currency 7 2 5" xfId="25514"/>
    <cellStyle name="Currency 7 2 5 10" xfId="25515"/>
    <cellStyle name="Currency 7 2 5 11" xfId="25516"/>
    <cellStyle name="Currency 7 2 5 12" xfId="25517"/>
    <cellStyle name="Currency 7 2 5 13" xfId="25518"/>
    <cellStyle name="Currency 7 2 5 14" xfId="25519"/>
    <cellStyle name="Currency 7 2 5 2" xfId="25520"/>
    <cellStyle name="Currency 7 2 5 2 2" xfId="25521"/>
    <cellStyle name="Currency 7 2 5 2 2 2" xfId="25522"/>
    <cellStyle name="Currency 7 2 5 2 2 2 2" xfId="25523"/>
    <cellStyle name="Currency 7 2 5 2 2 2 2 2" xfId="25524"/>
    <cellStyle name="Currency 7 2 5 2 2 2 2 3" xfId="25525"/>
    <cellStyle name="Currency 7 2 5 2 2 2 2 4" xfId="25526"/>
    <cellStyle name="Currency 7 2 5 2 2 2 2 5" xfId="25527"/>
    <cellStyle name="Currency 7 2 5 2 2 2 2 6" xfId="25528"/>
    <cellStyle name="Currency 7 2 5 2 2 2 3" xfId="25529"/>
    <cellStyle name="Currency 7 2 5 2 2 2 4" xfId="25530"/>
    <cellStyle name="Currency 7 2 5 2 2 2 5" xfId="25531"/>
    <cellStyle name="Currency 7 2 5 2 2 2 6" xfId="25532"/>
    <cellStyle name="Currency 7 2 5 2 2 2 7" xfId="25533"/>
    <cellStyle name="Currency 7 2 5 2 2 3" xfId="25534"/>
    <cellStyle name="Currency 7 2 5 2 2 3 2" xfId="25535"/>
    <cellStyle name="Currency 7 2 5 2 2 3 3" xfId="25536"/>
    <cellStyle name="Currency 7 2 5 2 2 3 4" xfId="25537"/>
    <cellStyle name="Currency 7 2 5 2 2 3 5" xfId="25538"/>
    <cellStyle name="Currency 7 2 5 2 2 3 6" xfId="25539"/>
    <cellStyle name="Currency 7 2 5 2 2 4" xfId="25540"/>
    <cellStyle name="Currency 7 2 5 2 2 5" xfId="25541"/>
    <cellStyle name="Currency 7 2 5 2 2 6" xfId="25542"/>
    <cellStyle name="Currency 7 2 5 2 2 7" xfId="25543"/>
    <cellStyle name="Currency 7 2 5 2 2 8" xfId="25544"/>
    <cellStyle name="Currency 7 2 5 2 3" xfId="25545"/>
    <cellStyle name="Currency 7 2 5 2 3 2" xfId="25546"/>
    <cellStyle name="Currency 7 2 5 2 3 2 2" xfId="25547"/>
    <cellStyle name="Currency 7 2 5 2 3 2 3" xfId="25548"/>
    <cellStyle name="Currency 7 2 5 2 3 2 4" xfId="25549"/>
    <cellStyle name="Currency 7 2 5 2 3 2 5" xfId="25550"/>
    <cellStyle name="Currency 7 2 5 2 3 2 6" xfId="25551"/>
    <cellStyle name="Currency 7 2 5 2 3 3" xfId="25552"/>
    <cellStyle name="Currency 7 2 5 2 3 4" xfId="25553"/>
    <cellStyle name="Currency 7 2 5 2 3 5" xfId="25554"/>
    <cellStyle name="Currency 7 2 5 2 3 6" xfId="25555"/>
    <cellStyle name="Currency 7 2 5 2 3 7" xfId="25556"/>
    <cellStyle name="Currency 7 2 5 2 4" xfId="25557"/>
    <cellStyle name="Currency 7 2 5 2 4 2" xfId="25558"/>
    <cellStyle name="Currency 7 2 5 2 4 3" xfId="25559"/>
    <cellStyle name="Currency 7 2 5 2 4 4" xfId="25560"/>
    <cellStyle name="Currency 7 2 5 2 4 5" xfId="25561"/>
    <cellStyle name="Currency 7 2 5 2 4 6" xfId="25562"/>
    <cellStyle name="Currency 7 2 5 2 5" xfId="25563"/>
    <cellStyle name="Currency 7 2 5 2 6" xfId="25564"/>
    <cellStyle name="Currency 7 2 5 2 7" xfId="25565"/>
    <cellStyle name="Currency 7 2 5 2 8" xfId="25566"/>
    <cellStyle name="Currency 7 2 5 2 9" xfId="25567"/>
    <cellStyle name="Currency 7 2 5 3" xfId="25568"/>
    <cellStyle name="Currency 7 2 5 3 2" xfId="25569"/>
    <cellStyle name="Currency 7 2 5 3 2 2" xfId="25570"/>
    <cellStyle name="Currency 7 2 5 3 2 2 2" xfId="25571"/>
    <cellStyle name="Currency 7 2 5 3 2 2 2 2" xfId="25572"/>
    <cellStyle name="Currency 7 2 5 3 2 2 2 3" xfId="25573"/>
    <cellStyle name="Currency 7 2 5 3 2 2 2 4" xfId="25574"/>
    <cellStyle name="Currency 7 2 5 3 2 2 2 5" xfId="25575"/>
    <cellStyle name="Currency 7 2 5 3 2 2 2 6" xfId="25576"/>
    <cellStyle name="Currency 7 2 5 3 2 2 3" xfId="25577"/>
    <cellStyle name="Currency 7 2 5 3 2 2 4" xfId="25578"/>
    <cellStyle name="Currency 7 2 5 3 2 2 5" xfId="25579"/>
    <cellStyle name="Currency 7 2 5 3 2 2 6" xfId="25580"/>
    <cellStyle name="Currency 7 2 5 3 2 2 7" xfId="25581"/>
    <cellStyle name="Currency 7 2 5 3 2 3" xfId="25582"/>
    <cellStyle name="Currency 7 2 5 3 2 3 2" xfId="25583"/>
    <cellStyle name="Currency 7 2 5 3 2 3 3" xfId="25584"/>
    <cellStyle name="Currency 7 2 5 3 2 3 4" xfId="25585"/>
    <cellStyle name="Currency 7 2 5 3 2 3 5" xfId="25586"/>
    <cellStyle name="Currency 7 2 5 3 2 3 6" xfId="25587"/>
    <cellStyle name="Currency 7 2 5 3 2 4" xfId="25588"/>
    <cellStyle name="Currency 7 2 5 3 2 5" xfId="25589"/>
    <cellStyle name="Currency 7 2 5 3 2 6" xfId="25590"/>
    <cellStyle name="Currency 7 2 5 3 2 7" xfId="25591"/>
    <cellStyle name="Currency 7 2 5 3 2 8" xfId="25592"/>
    <cellStyle name="Currency 7 2 5 3 3" xfId="25593"/>
    <cellStyle name="Currency 7 2 5 3 3 2" xfId="25594"/>
    <cellStyle name="Currency 7 2 5 3 3 2 2" xfId="25595"/>
    <cellStyle name="Currency 7 2 5 3 3 2 3" xfId="25596"/>
    <cellStyle name="Currency 7 2 5 3 3 2 4" xfId="25597"/>
    <cellStyle name="Currency 7 2 5 3 3 2 5" xfId="25598"/>
    <cellStyle name="Currency 7 2 5 3 3 2 6" xfId="25599"/>
    <cellStyle name="Currency 7 2 5 3 3 3" xfId="25600"/>
    <cellStyle name="Currency 7 2 5 3 3 4" xfId="25601"/>
    <cellStyle name="Currency 7 2 5 3 3 5" xfId="25602"/>
    <cellStyle name="Currency 7 2 5 3 3 6" xfId="25603"/>
    <cellStyle name="Currency 7 2 5 3 3 7" xfId="25604"/>
    <cellStyle name="Currency 7 2 5 3 4" xfId="25605"/>
    <cellStyle name="Currency 7 2 5 3 4 2" xfId="25606"/>
    <cellStyle name="Currency 7 2 5 3 4 3" xfId="25607"/>
    <cellStyle name="Currency 7 2 5 3 4 4" xfId="25608"/>
    <cellStyle name="Currency 7 2 5 3 4 5" xfId="25609"/>
    <cellStyle name="Currency 7 2 5 3 4 6" xfId="25610"/>
    <cellStyle name="Currency 7 2 5 3 5" xfId="25611"/>
    <cellStyle name="Currency 7 2 5 3 6" xfId="25612"/>
    <cellStyle name="Currency 7 2 5 3 7" xfId="25613"/>
    <cellStyle name="Currency 7 2 5 3 8" xfId="25614"/>
    <cellStyle name="Currency 7 2 5 3 9" xfId="25615"/>
    <cellStyle name="Currency 7 2 5 4" xfId="25616"/>
    <cellStyle name="Currency 7 2 5 4 2" xfId="25617"/>
    <cellStyle name="Currency 7 2 5 4 2 2" xfId="25618"/>
    <cellStyle name="Currency 7 2 5 4 2 2 2" xfId="25619"/>
    <cellStyle name="Currency 7 2 5 4 2 2 2 2" xfId="25620"/>
    <cellStyle name="Currency 7 2 5 4 2 2 2 3" xfId="25621"/>
    <cellStyle name="Currency 7 2 5 4 2 2 2 4" xfId="25622"/>
    <cellStyle name="Currency 7 2 5 4 2 2 2 5" xfId="25623"/>
    <cellStyle name="Currency 7 2 5 4 2 2 2 6" xfId="25624"/>
    <cellStyle name="Currency 7 2 5 4 2 2 3" xfId="25625"/>
    <cellStyle name="Currency 7 2 5 4 2 2 4" xfId="25626"/>
    <cellStyle name="Currency 7 2 5 4 2 2 5" xfId="25627"/>
    <cellStyle name="Currency 7 2 5 4 2 2 6" xfId="25628"/>
    <cellStyle name="Currency 7 2 5 4 2 2 7" xfId="25629"/>
    <cellStyle name="Currency 7 2 5 4 2 3" xfId="25630"/>
    <cellStyle name="Currency 7 2 5 4 2 3 2" xfId="25631"/>
    <cellStyle name="Currency 7 2 5 4 2 3 3" xfId="25632"/>
    <cellStyle name="Currency 7 2 5 4 2 3 4" xfId="25633"/>
    <cellStyle name="Currency 7 2 5 4 2 3 5" xfId="25634"/>
    <cellStyle name="Currency 7 2 5 4 2 3 6" xfId="25635"/>
    <cellStyle name="Currency 7 2 5 4 2 4" xfId="25636"/>
    <cellStyle name="Currency 7 2 5 4 2 5" xfId="25637"/>
    <cellStyle name="Currency 7 2 5 4 2 6" xfId="25638"/>
    <cellStyle name="Currency 7 2 5 4 2 7" xfId="25639"/>
    <cellStyle name="Currency 7 2 5 4 2 8" xfId="25640"/>
    <cellStyle name="Currency 7 2 5 4 3" xfId="25641"/>
    <cellStyle name="Currency 7 2 5 4 3 2" xfId="25642"/>
    <cellStyle name="Currency 7 2 5 4 3 2 2" xfId="25643"/>
    <cellStyle name="Currency 7 2 5 4 3 2 3" xfId="25644"/>
    <cellStyle name="Currency 7 2 5 4 3 2 4" xfId="25645"/>
    <cellStyle name="Currency 7 2 5 4 3 2 5" xfId="25646"/>
    <cellStyle name="Currency 7 2 5 4 3 2 6" xfId="25647"/>
    <cellStyle name="Currency 7 2 5 4 3 3" xfId="25648"/>
    <cellStyle name="Currency 7 2 5 4 3 4" xfId="25649"/>
    <cellStyle name="Currency 7 2 5 4 3 5" xfId="25650"/>
    <cellStyle name="Currency 7 2 5 4 3 6" xfId="25651"/>
    <cellStyle name="Currency 7 2 5 4 3 7" xfId="25652"/>
    <cellStyle name="Currency 7 2 5 4 4" xfId="25653"/>
    <cellStyle name="Currency 7 2 5 4 4 2" xfId="25654"/>
    <cellStyle name="Currency 7 2 5 4 4 3" xfId="25655"/>
    <cellStyle name="Currency 7 2 5 4 4 4" xfId="25656"/>
    <cellStyle name="Currency 7 2 5 4 4 5" xfId="25657"/>
    <cellStyle name="Currency 7 2 5 4 4 6" xfId="25658"/>
    <cellStyle name="Currency 7 2 5 4 5" xfId="25659"/>
    <cellStyle name="Currency 7 2 5 4 6" xfId="25660"/>
    <cellStyle name="Currency 7 2 5 4 7" xfId="25661"/>
    <cellStyle name="Currency 7 2 5 4 8" xfId="25662"/>
    <cellStyle name="Currency 7 2 5 4 9" xfId="25663"/>
    <cellStyle name="Currency 7 2 5 5" xfId="25664"/>
    <cellStyle name="Currency 7 2 5 5 2" xfId="25665"/>
    <cellStyle name="Currency 7 2 5 5 2 2" xfId="25666"/>
    <cellStyle name="Currency 7 2 5 5 2 2 2" xfId="25667"/>
    <cellStyle name="Currency 7 2 5 5 2 2 2 2" xfId="25668"/>
    <cellStyle name="Currency 7 2 5 5 2 2 2 3" xfId="25669"/>
    <cellStyle name="Currency 7 2 5 5 2 2 2 4" xfId="25670"/>
    <cellStyle name="Currency 7 2 5 5 2 2 2 5" xfId="25671"/>
    <cellStyle name="Currency 7 2 5 5 2 2 2 6" xfId="25672"/>
    <cellStyle name="Currency 7 2 5 5 2 2 3" xfId="25673"/>
    <cellStyle name="Currency 7 2 5 5 2 2 4" xfId="25674"/>
    <cellStyle name="Currency 7 2 5 5 2 2 5" xfId="25675"/>
    <cellStyle name="Currency 7 2 5 5 2 2 6" xfId="25676"/>
    <cellStyle name="Currency 7 2 5 5 2 2 7" xfId="25677"/>
    <cellStyle name="Currency 7 2 5 5 2 3" xfId="25678"/>
    <cellStyle name="Currency 7 2 5 5 2 3 2" xfId="25679"/>
    <cellStyle name="Currency 7 2 5 5 2 3 3" xfId="25680"/>
    <cellStyle name="Currency 7 2 5 5 2 3 4" xfId="25681"/>
    <cellStyle name="Currency 7 2 5 5 2 3 5" xfId="25682"/>
    <cellStyle name="Currency 7 2 5 5 2 3 6" xfId="25683"/>
    <cellStyle name="Currency 7 2 5 5 2 4" xfId="25684"/>
    <cellStyle name="Currency 7 2 5 5 2 5" xfId="25685"/>
    <cellStyle name="Currency 7 2 5 5 2 6" xfId="25686"/>
    <cellStyle name="Currency 7 2 5 5 2 7" xfId="25687"/>
    <cellStyle name="Currency 7 2 5 5 2 8" xfId="25688"/>
    <cellStyle name="Currency 7 2 5 5 3" xfId="25689"/>
    <cellStyle name="Currency 7 2 5 5 3 2" xfId="25690"/>
    <cellStyle name="Currency 7 2 5 5 3 2 2" xfId="25691"/>
    <cellStyle name="Currency 7 2 5 5 3 2 3" xfId="25692"/>
    <cellStyle name="Currency 7 2 5 5 3 2 4" xfId="25693"/>
    <cellStyle name="Currency 7 2 5 5 3 2 5" xfId="25694"/>
    <cellStyle name="Currency 7 2 5 5 3 2 6" xfId="25695"/>
    <cellStyle name="Currency 7 2 5 5 3 3" xfId="25696"/>
    <cellStyle name="Currency 7 2 5 5 3 4" xfId="25697"/>
    <cellStyle name="Currency 7 2 5 5 3 5" xfId="25698"/>
    <cellStyle name="Currency 7 2 5 5 3 6" xfId="25699"/>
    <cellStyle name="Currency 7 2 5 5 3 7" xfId="25700"/>
    <cellStyle name="Currency 7 2 5 5 4" xfId="25701"/>
    <cellStyle name="Currency 7 2 5 5 4 2" xfId="25702"/>
    <cellStyle name="Currency 7 2 5 5 4 3" xfId="25703"/>
    <cellStyle name="Currency 7 2 5 5 4 4" xfId="25704"/>
    <cellStyle name="Currency 7 2 5 5 4 5" xfId="25705"/>
    <cellStyle name="Currency 7 2 5 5 4 6" xfId="25706"/>
    <cellStyle name="Currency 7 2 5 5 5" xfId="25707"/>
    <cellStyle name="Currency 7 2 5 5 6" xfId="25708"/>
    <cellStyle name="Currency 7 2 5 5 7" xfId="25709"/>
    <cellStyle name="Currency 7 2 5 5 8" xfId="25710"/>
    <cellStyle name="Currency 7 2 5 5 9" xfId="25711"/>
    <cellStyle name="Currency 7 2 5 6" xfId="25712"/>
    <cellStyle name="Currency 7 2 5 6 2" xfId="25713"/>
    <cellStyle name="Currency 7 2 5 6 2 2" xfId="25714"/>
    <cellStyle name="Currency 7 2 5 6 2 2 2" xfId="25715"/>
    <cellStyle name="Currency 7 2 5 6 2 2 2 2" xfId="25716"/>
    <cellStyle name="Currency 7 2 5 6 2 2 2 3" xfId="25717"/>
    <cellStyle name="Currency 7 2 5 6 2 2 2 4" xfId="25718"/>
    <cellStyle name="Currency 7 2 5 6 2 2 2 5" xfId="25719"/>
    <cellStyle name="Currency 7 2 5 6 2 2 2 6" xfId="25720"/>
    <cellStyle name="Currency 7 2 5 6 2 2 3" xfId="25721"/>
    <cellStyle name="Currency 7 2 5 6 2 2 4" xfId="25722"/>
    <cellStyle name="Currency 7 2 5 6 2 2 5" xfId="25723"/>
    <cellStyle name="Currency 7 2 5 6 2 2 6" xfId="25724"/>
    <cellStyle name="Currency 7 2 5 6 2 2 7" xfId="25725"/>
    <cellStyle name="Currency 7 2 5 6 2 3" xfId="25726"/>
    <cellStyle name="Currency 7 2 5 6 2 3 2" xfId="25727"/>
    <cellStyle name="Currency 7 2 5 6 2 3 3" xfId="25728"/>
    <cellStyle name="Currency 7 2 5 6 2 3 4" xfId="25729"/>
    <cellStyle name="Currency 7 2 5 6 2 3 5" xfId="25730"/>
    <cellStyle name="Currency 7 2 5 6 2 3 6" xfId="25731"/>
    <cellStyle name="Currency 7 2 5 6 2 4" xfId="25732"/>
    <cellStyle name="Currency 7 2 5 6 2 5" xfId="25733"/>
    <cellStyle name="Currency 7 2 5 6 2 6" xfId="25734"/>
    <cellStyle name="Currency 7 2 5 6 2 7" xfId="25735"/>
    <cellStyle name="Currency 7 2 5 6 2 8" xfId="25736"/>
    <cellStyle name="Currency 7 2 5 6 3" xfId="25737"/>
    <cellStyle name="Currency 7 2 5 6 3 2" xfId="25738"/>
    <cellStyle name="Currency 7 2 5 6 3 2 2" xfId="25739"/>
    <cellStyle name="Currency 7 2 5 6 3 2 3" xfId="25740"/>
    <cellStyle name="Currency 7 2 5 6 3 2 4" xfId="25741"/>
    <cellStyle name="Currency 7 2 5 6 3 2 5" xfId="25742"/>
    <cellStyle name="Currency 7 2 5 6 3 2 6" xfId="25743"/>
    <cellStyle name="Currency 7 2 5 6 3 3" xfId="25744"/>
    <cellStyle name="Currency 7 2 5 6 3 4" xfId="25745"/>
    <cellStyle name="Currency 7 2 5 6 3 5" xfId="25746"/>
    <cellStyle name="Currency 7 2 5 6 3 6" xfId="25747"/>
    <cellStyle name="Currency 7 2 5 6 3 7" xfId="25748"/>
    <cellStyle name="Currency 7 2 5 6 4" xfId="25749"/>
    <cellStyle name="Currency 7 2 5 6 4 2" xfId="25750"/>
    <cellStyle name="Currency 7 2 5 6 4 3" xfId="25751"/>
    <cellStyle name="Currency 7 2 5 6 4 4" xfId="25752"/>
    <cellStyle name="Currency 7 2 5 6 4 5" xfId="25753"/>
    <cellStyle name="Currency 7 2 5 6 4 6" xfId="25754"/>
    <cellStyle name="Currency 7 2 5 6 5" xfId="25755"/>
    <cellStyle name="Currency 7 2 5 6 6" xfId="25756"/>
    <cellStyle name="Currency 7 2 5 6 7" xfId="25757"/>
    <cellStyle name="Currency 7 2 5 6 8" xfId="25758"/>
    <cellStyle name="Currency 7 2 5 6 9" xfId="25759"/>
    <cellStyle name="Currency 7 2 5 7" xfId="25760"/>
    <cellStyle name="Currency 7 2 5 7 2" xfId="25761"/>
    <cellStyle name="Currency 7 2 5 7 2 2" xfId="25762"/>
    <cellStyle name="Currency 7 2 5 7 2 2 2" xfId="25763"/>
    <cellStyle name="Currency 7 2 5 7 2 2 3" xfId="25764"/>
    <cellStyle name="Currency 7 2 5 7 2 2 4" xfId="25765"/>
    <cellStyle name="Currency 7 2 5 7 2 2 5" xfId="25766"/>
    <cellStyle name="Currency 7 2 5 7 2 2 6" xfId="25767"/>
    <cellStyle name="Currency 7 2 5 7 2 3" xfId="25768"/>
    <cellStyle name="Currency 7 2 5 7 2 4" xfId="25769"/>
    <cellStyle name="Currency 7 2 5 7 2 5" xfId="25770"/>
    <cellStyle name="Currency 7 2 5 7 2 6" xfId="25771"/>
    <cellStyle name="Currency 7 2 5 7 2 7" xfId="25772"/>
    <cellStyle name="Currency 7 2 5 7 3" xfId="25773"/>
    <cellStyle name="Currency 7 2 5 7 3 2" xfId="25774"/>
    <cellStyle name="Currency 7 2 5 7 3 3" xfId="25775"/>
    <cellStyle name="Currency 7 2 5 7 3 4" xfId="25776"/>
    <cellStyle name="Currency 7 2 5 7 3 5" xfId="25777"/>
    <cellStyle name="Currency 7 2 5 7 3 6" xfId="25778"/>
    <cellStyle name="Currency 7 2 5 7 4" xfId="25779"/>
    <cellStyle name="Currency 7 2 5 7 5" xfId="25780"/>
    <cellStyle name="Currency 7 2 5 7 6" xfId="25781"/>
    <cellStyle name="Currency 7 2 5 7 7" xfId="25782"/>
    <cellStyle name="Currency 7 2 5 7 8" xfId="25783"/>
    <cellStyle name="Currency 7 2 5 8" xfId="25784"/>
    <cellStyle name="Currency 7 2 5 8 2" xfId="25785"/>
    <cellStyle name="Currency 7 2 5 8 2 2" xfId="25786"/>
    <cellStyle name="Currency 7 2 5 8 2 3" xfId="25787"/>
    <cellStyle name="Currency 7 2 5 8 2 4" xfId="25788"/>
    <cellStyle name="Currency 7 2 5 8 2 5" xfId="25789"/>
    <cellStyle name="Currency 7 2 5 8 2 6" xfId="25790"/>
    <cellStyle name="Currency 7 2 5 8 3" xfId="25791"/>
    <cellStyle name="Currency 7 2 5 8 4" xfId="25792"/>
    <cellStyle name="Currency 7 2 5 8 5" xfId="25793"/>
    <cellStyle name="Currency 7 2 5 8 6" xfId="25794"/>
    <cellStyle name="Currency 7 2 5 8 7" xfId="25795"/>
    <cellStyle name="Currency 7 2 5 9" xfId="25796"/>
    <cellStyle name="Currency 7 2 5 9 2" xfId="25797"/>
    <cellStyle name="Currency 7 2 5 9 3" xfId="25798"/>
    <cellStyle name="Currency 7 2 5 9 4" xfId="25799"/>
    <cellStyle name="Currency 7 2 5 9 5" xfId="25800"/>
    <cellStyle name="Currency 7 2 5 9 6" xfId="25801"/>
    <cellStyle name="Currency 7 2 6" xfId="25802"/>
    <cellStyle name="Currency 7 2 6 2" xfId="25803"/>
    <cellStyle name="Currency 7 2 6 2 2" xfId="25804"/>
    <cellStyle name="Currency 7 2 6 2 2 2" xfId="25805"/>
    <cellStyle name="Currency 7 2 6 2 2 2 2" xfId="25806"/>
    <cellStyle name="Currency 7 2 6 2 2 2 3" xfId="25807"/>
    <cellStyle name="Currency 7 2 6 2 2 2 4" xfId="25808"/>
    <cellStyle name="Currency 7 2 6 2 2 2 5" xfId="25809"/>
    <cellStyle name="Currency 7 2 6 2 2 2 6" xfId="25810"/>
    <cellStyle name="Currency 7 2 6 2 2 3" xfId="25811"/>
    <cellStyle name="Currency 7 2 6 2 2 4" xfId="25812"/>
    <cellStyle name="Currency 7 2 6 2 2 5" xfId="25813"/>
    <cellStyle name="Currency 7 2 6 2 2 6" xfId="25814"/>
    <cellStyle name="Currency 7 2 6 2 2 7" xfId="25815"/>
    <cellStyle name="Currency 7 2 6 2 3" xfId="25816"/>
    <cellStyle name="Currency 7 2 6 2 3 2" xfId="25817"/>
    <cellStyle name="Currency 7 2 6 2 3 3" xfId="25818"/>
    <cellStyle name="Currency 7 2 6 2 3 4" xfId="25819"/>
    <cellStyle name="Currency 7 2 6 2 3 5" xfId="25820"/>
    <cellStyle name="Currency 7 2 6 2 3 6" xfId="25821"/>
    <cellStyle name="Currency 7 2 6 2 4" xfId="25822"/>
    <cellStyle name="Currency 7 2 6 2 5" xfId="25823"/>
    <cellStyle name="Currency 7 2 6 2 6" xfId="25824"/>
    <cellStyle name="Currency 7 2 6 2 7" xfId="25825"/>
    <cellStyle name="Currency 7 2 6 2 8" xfId="25826"/>
    <cellStyle name="Currency 7 2 6 3" xfId="25827"/>
    <cellStyle name="Currency 7 2 6 3 2" xfId="25828"/>
    <cellStyle name="Currency 7 2 6 3 2 2" xfId="25829"/>
    <cellStyle name="Currency 7 2 6 3 2 3" xfId="25830"/>
    <cellStyle name="Currency 7 2 6 3 2 4" xfId="25831"/>
    <cellStyle name="Currency 7 2 6 3 2 5" xfId="25832"/>
    <cellStyle name="Currency 7 2 6 3 2 6" xfId="25833"/>
    <cellStyle name="Currency 7 2 6 3 3" xfId="25834"/>
    <cellStyle name="Currency 7 2 6 3 4" xfId="25835"/>
    <cellStyle name="Currency 7 2 6 3 5" xfId="25836"/>
    <cellStyle name="Currency 7 2 6 3 6" xfId="25837"/>
    <cellStyle name="Currency 7 2 6 3 7" xfId="25838"/>
    <cellStyle name="Currency 7 2 6 4" xfId="25839"/>
    <cellStyle name="Currency 7 2 6 4 2" xfId="25840"/>
    <cellStyle name="Currency 7 2 6 4 3" xfId="25841"/>
    <cellStyle name="Currency 7 2 6 4 4" xfId="25842"/>
    <cellStyle name="Currency 7 2 6 4 5" xfId="25843"/>
    <cellStyle name="Currency 7 2 6 4 6" xfId="25844"/>
    <cellStyle name="Currency 7 2 6 5" xfId="25845"/>
    <cellStyle name="Currency 7 2 6 6" xfId="25846"/>
    <cellStyle name="Currency 7 2 6 7" xfId="25847"/>
    <cellStyle name="Currency 7 2 6 8" xfId="25848"/>
    <cellStyle name="Currency 7 2 6 9" xfId="25849"/>
    <cellStyle name="Currency 7 2 7" xfId="25850"/>
    <cellStyle name="Currency 7 2 7 2" xfId="25851"/>
    <cellStyle name="Currency 7 2 7 2 2" xfId="25852"/>
    <cellStyle name="Currency 7 2 7 2 2 2" xfId="25853"/>
    <cellStyle name="Currency 7 2 7 2 2 2 2" xfId="25854"/>
    <cellStyle name="Currency 7 2 7 2 2 2 3" xfId="25855"/>
    <cellStyle name="Currency 7 2 7 2 2 2 4" xfId="25856"/>
    <cellStyle name="Currency 7 2 7 2 2 2 5" xfId="25857"/>
    <cellStyle name="Currency 7 2 7 2 2 2 6" xfId="25858"/>
    <cellStyle name="Currency 7 2 7 2 2 3" xfId="25859"/>
    <cellStyle name="Currency 7 2 7 2 2 4" xfId="25860"/>
    <cellStyle name="Currency 7 2 7 2 2 5" xfId="25861"/>
    <cellStyle name="Currency 7 2 7 2 2 6" xfId="25862"/>
    <cellStyle name="Currency 7 2 7 2 2 7" xfId="25863"/>
    <cellStyle name="Currency 7 2 7 2 3" xfId="25864"/>
    <cellStyle name="Currency 7 2 7 2 3 2" xfId="25865"/>
    <cellStyle name="Currency 7 2 7 2 3 3" xfId="25866"/>
    <cellStyle name="Currency 7 2 7 2 3 4" xfId="25867"/>
    <cellStyle name="Currency 7 2 7 2 3 5" xfId="25868"/>
    <cellStyle name="Currency 7 2 7 2 3 6" xfId="25869"/>
    <cellStyle name="Currency 7 2 7 2 4" xfId="25870"/>
    <cellStyle name="Currency 7 2 7 2 5" xfId="25871"/>
    <cellStyle name="Currency 7 2 7 2 6" xfId="25872"/>
    <cellStyle name="Currency 7 2 7 2 7" xfId="25873"/>
    <cellStyle name="Currency 7 2 7 2 8" xfId="25874"/>
    <cellStyle name="Currency 7 2 7 3" xfId="25875"/>
    <cellStyle name="Currency 7 2 7 3 2" xfId="25876"/>
    <cellStyle name="Currency 7 2 7 3 2 2" xfId="25877"/>
    <cellStyle name="Currency 7 2 7 3 2 3" xfId="25878"/>
    <cellStyle name="Currency 7 2 7 3 2 4" xfId="25879"/>
    <cellStyle name="Currency 7 2 7 3 2 5" xfId="25880"/>
    <cellStyle name="Currency 7 2 7 3 2 6" xfId="25881"/>
    <cellStyle name="Currency 7 2 7 3 3" xfId="25882"/>
    <cellStyle name="Currency 7 2 7 3 4" xfId="25883"/>
    <cellStyle name="Currency 7 2 7 3 5" xfId="25884"/>
    <cellStyle name="Currency 7 2 7 3 6" xfId="25885"/>
    <cellStyle name="Currency 7 2 7 3 7" xfId="25886"/>
    <cellStyle name="Currency 7 2 7 4" xfId="25887"/>
    <cellStyle name="Currency 7 2 7 4 2" xfId="25888"/>
    <cellStyle name="Currency 7 2 7 4 3" xfId="25889"/>
    <cellStyle name="Currency 7 2 7 4 4" xfId="25890"/>
    <cellStyle name="Currency 7 2 7 4 5" xfId="25891"/>
    <cellStyle name="Currency 7 2 7 4 6" xfId="25892"/>
    <cellStyle name="Currency 7 2 7 5" xfId="25893"/>
    <cellStyle name="Currency 7 2 7 6" xfId="25894"/>
    <cellStyle name="Currency 7 2 7 7" xfId="25895"/>
    <cellStyle name="Currency 7 2 7 8" xfId="25896"/>
    <cellStyle name="Currency 7 2 7 9" xfId="25897"/>
    <cellStyle name="Currency 7 2 8" xfId="25898"/>
    <cellStyle name="Currency 7 2 8 2" xfId="25899"/>
    <cellStyle name="Currency 7 2 8 2 2" xfId="25900"/>
    <cellStyle name="Currency 7 2 8 2 2 2" xfId="25901"/>
    <cellStyle name="Currency 7 2 8 2 2 2 2" xfId="25902"/>
    <cellStyle name="Currency 7 2 8 2 2 2 3" xfId="25903"/>
    <cellStyle name="Currency 7 2 8 2 2 2 4" xfId="25904"/>
    <cellStyle name="Currency 7 2 8 2 2 2 5" xfId="25905"/>
    <cellStyle name="Currency 7 2 8 2 2 2 6" xfId="25906"/>
    <cellStyle name="Currency 7 2 8 2 2 3" xfId="25907"/>
    <cellStyle name="Currency 7 2 8 2 2 4" xfId="25908"/>
    <cellStyle name="Currency 7 2 8 2 2 5" xfId="25909"/>
    <cellStyle name="Currency 7 2 8 2 2 6" xfId="25910"/>
    <cellStyle name="Currency 7 2 8 2 2 7" xfId="25911"/>
    <cellStyle name="Currency 7 2 8 2 3" xfId="25912"/>
    <cellStyle name="Currency 7 2 8 2 3 2" xfId="25913"/>
    <cellStyle name="Currency 7 2 8 2 3 3" xfId="25914"/>
    <cellStyle name="Currency 7 2 8 2 3 4" xfId="25915"/>
    <cellStyle name="Currency 7 2 8 2 3 5" xfId="25916"/>
    <cellStyle name="Currency 7 2 8 2 3 6" xfId="25917"/>
    <cellStyle name="Currency 7 2 8 2 4" xfId="25918"/>
    <cellStyle name="Currency 7 2 8 2 5" xfId="25919"/>
    <cellStyle name="Currency 7 2 8 2 6" xfId="25920"/>
    <cellStyle name="Currency 7 2 8 2 7" xfId="25921"/>
    <cellStyle name="Currency 7 2 8 2 8" xfId="25922"/>
    <cellStyle name="Currency 7 2 8 3" xfId="25923"/>
    <cellStyle name="Currency 7 2 8 3 2" xfId="25924"/>
    <cellStyle name="Currency 7 2 8 3 2 2" xfId="25925"/>
    <cellStyle name="Currency 7 2 8 3 2 3" xfId="25926"/>
    <cellStyle name="Currency 7 2 8 3 2 4" xfId="25927"/>
    <cellStyle name="Currency 7 2 8 3 2 5" xfId="25928"/>
    <cellStyle name="Currency 7 2 8 3 2 6" xfId="25929"/>
    <cellStyle name="Currency 7 2 8 3 3" xfId="25930"/>
    <cellStyle name="Currency 7 2 8 3 4" xfId="25931"/>
    <cellStyle name="Currency 7 2 8 3 5" xfId="25932"/>
    <cellStyle name="Currency 7 2 8 3 6" xfId="25933"/>
    <cellStyle name="Currency 7 2 8 3 7" xfId="25934"/>
    <cellStyle name="Currency 7 2 8 4" xfId="25935"/>
    <cellStyle name="Currency 7 2 8 4 2" xfId="25936"/>
    <cellStyle name="Currency 7 2 8 4 3" xfId="25937"/>
    <cellStyle name="Currency 7 2 8 4 4" xfId="25938"/>
    <cellStyle name="Currency 7 2 8 4 5" xfId="25939"/>
    <cellStyle name="Currency 7 2 8 4 6" xfId="25940"/>
    <cellStyle name="Currency 7 2 8 5" xfId="25941"/>
    <cellStyle name="Currency 7 2 8 6" xfId="25942"/>
    <cellStyle name="Currency 7 2 8 7" xfId="25943"/>
    <cellStyle name="Currency 7 2 8 8" xfId="25944"/>
    <cellStyle name="Currency 7 2 8 9" xfId="25945"/>
    <cellStyle name="Currency 7 2 9" xfId="25946"/>
    <cellStyle name="Currency 7 2 9 2" xfId="25947"/>
    <cellStyle name="Currency 7 2 9 2 2" xfId="25948"/>
    <cellStyle name="Currency 7 2 9 2 2 2" xfId="25949"/>
    <cellStyle name="Currency 7 2 9 2 2 2 2" xfId="25950"/>
    <cellStyle name="Currency 7 2 9 2 2 2 3" xfId="25951"/>
    <cellStyle name="Currency 7 2 9 2 2 2 4" xfId="25952"/>
    <cellStyle name="Currency 7 2 9 2 2 2 5" xfId="25953"/>
    <cellStyle name="Currency 7 2 9 2 2 2 6" xfId="25954"/>
    <cellStyle name="Currency 7 2 9 2 2 3" xfId="25955"/>
    <cellStyle name="Currency 7 2 9 2 2 4" xfId="25956"/>
    <cellStyle name="Currency 7 2 9 2 2 5" xfId="25957"/>
    <cellStyle name="Currency 7 2 9 2 2 6" xfId="25958"/>
    <cellStyle name="Currency 7 2 9 2 2 7" xfId="25959"/>
    <cellStyle name="Currency 7 2 9 2 3" xfId="25960"/>
    <cellStyle name="Currency 7 2 9 2 3 2" xfId="25961"/>
    <cellStyle name="Currency 7 2 9 2 3 3" xfId="25962"/>
    <cellStyle name="Currency 7 2 9 2 3 4" xfId="25963"/>
    <cellStyle name="Currency 7 2 9 2 3 5" xfId="25964"/>
    <cellStyle name="Currency 7 2 9 2 3 6" xfId="25965"/>
    <cellStyle name="Currency 7 2 9 2 4" xfId="25966"/>
    <cellStyle name="Currency 7 2 9 2 5" xfId="25967"/>
    <cellStyle name="Currency 7 2 9 2 6" xfId="25968"/>
    <cellStyle name="Currency 7 2 9 2 7" xfId="25969"/>
    <cellStyle name="Currency 7 2 9 2 8" xfId="25970"/>
    <cellStyle name="Currency 7 2 9 3" xfId="25971"/>
    <cellStyle name="Currency 7 2 9 3 2" xfId="25972"/>
    <cellStyle name="Currency 7 2 9 3 2 2" xfId="25973"/>
    <cellStyle name="Currency 7 2 9 3 2 3" xfId="25974"/>
    <cellStyle name="Currency 7 2 9 3 2 4" xfId="25975"/>
    <cellStyle name="Currency 7 2 9 3 2 5" xfId="25976"/>
    <cellStyle name="Currency 7 2 9 3 2 6" xfId="25977"/>
    <cellStyle name="Currency 7 2 9 3 3" xfId="25978"/>
    <cellStyle name="Currency 7 2 9 3 4" xfId="25979"/>
    <cellStyle name="Currency 7 2 9 3 5" xfId="25980"/>
    <cellStyle name="Currency 7 2 9 3 6" xfId="25981"/>
    <cellStyle name="Currency 7 2 9 3 7" xfId="25982"/>
    <cellStyle name="Currency 7 2 9 4" xfId="25983"/>
    <cellStyle name="Currency 7 2 9 4 2" xfId="25984"/>
    <cellStyle name="Currency 7 2 9 4 3" xfId="25985"/>
    <cellStyle name="Currency 7 2 9 4 4" xfId="25986"/>
    <cellStyle name="Currency 7 2 9 4 5" xfId="25987"/>
    <cellStyle name="Currency 7 2 9 4 6" xfId="25988"/>
    <cellStyle name="Currency 7 2 9 5" xfId="25989"/>
    <cellStyle name="Currency 7 2 9 6" xfId="25990"/>
    <cellStyle name="Currency 7 2 9 7" xfId="25991"/>
    <cellStyle name="Currency 7 2 9 8" xfId="25992"/>
    <cellStyle name="Currency 7 2 9 9" xfId="25993"/>
    <cellStyle name="Currency 7 3" xfId="25994"/>
    <cellStyle name="Currency 7 3 10" xfId="25995"/>
    <cellStyle name="Currency 7 3 10 2" xfId="25996"/>
    <cellStyle name="Currency 7 3 10 3" xfId="25997"/>
    <cellStyle name="Currency 7 3 10 4" xfId="25998"/>
    <cellStyle name="Currency 7 3 10 5" xfId="25999"/>
    <cellStyle name="Currency 7 3 10 6" xfId="26000"/>
    <cellStyle name="Currency 7 3 11" xfId="26001"/>
    <cellStyle name="Currency 7 3 12" xfId="26002"/>
    <cellStyle name="Currency 7 3 13" xfId="26003"/>
    <cellStyle name="Currency 7 3 14" xfId="26004"/>
    <cellStyle name="Currency 7 3 15" xfId="26005"/>
    <cellStyle name="Currency 7 3 2" xfId="26006"/>
    <cellStyle name="Currency 7 3 2 10" xfId="26007"/>
    <cellStyle name="Currency 7 3 2 11" xfId="26008"/>
    <cellStyle name="Currency 7 3 2 12" xfId="26009"/>
    <cellStyle name="Currency 7 3 2 13" xfId="26010"/>
    <cellStyle name="Currency 7 3 2 14" xfId="26011"/>
    <cellStyle name="Currency 7 3 2 2" xfId="26012"/>
    <cellStyle name="Currency 7 3 2 2 2" xfId="26013"/>
    <cellStyle name="Currency 7 3 2 2 2 2" xfId="26014"/>
    <cellStyle name="Currency 7 3 2 2 2 2 2" xfId="26015"/>
    <cellStyle name="Currency 7 3 2 2 2 2 2 2" xfId="26016"/>
    <cellStyle name="Currency 7 3 2 2 2 2 2 3" xfId="26017"/>
    <cellStyle name="Currency 7 3 2 2 2 2 2 4" xfId="26018"/>
    <cellStyle name="Currency 7 3 2 2 2 2 2 5" xfId="26019"/>
    <cellStyle name="Currency 7 3 2 2 2 2 2 6" xfId="26020"/>
    <cellStyle name="Currency 7 3 2 2 2 2 3" xfId="26021"/>
    <cellStyle name="Currency 7 3 2 2 2 2 4" xfId="26022"/>
    <cellStyle name="Currency 7 3 2 2 2 2 5" xfId="26023"/>
    <cellStyle name="Currency 7 3 2 2 2 2 6" xfId="26024"/>
    <cellStyle name="Currency 7 3 2 2 2 2 7" xfId="26025"/>
    <cellStyle name="Currency 7 3 2 2 2 3" xfId="26026"/>
    <cellStyle name="Currency 7 3 2 2 2 3 2" xfId="26027"/>
    <cellStyle name="Currency 7 3 2 2 2 3 3" xfId="26028"/>
    <cellStyle name="Currency 7 3 2 2 2 3 4" xfId="26029"/>
    <cellStyle name="Currency 7 3 2 2 2 3 5" xfId="26030"/>
    <cellStyle name="Currency 7 3 2 2 2 3 6" xfId="26031"/>
    <cellStyle name="Currency 7 3 2 2 2 4" xfId="26032"/>
    <cellStyle name="Currency 7 3 2 2 2 5" xfId="26033"/>
    <cellStyle name="Currency 7 3 2 2 2 6" xfId="26034"/>
    <cellStyle name="Currency 7 3 2 2 2 7" xfId="26035"/>
    <cellStyle name="Currency 7 3 2 2 2 8" xfId="26036"/>
    <cellStyle name="Currency 7 3 2 2 3" xfId="26037"/>
    <cellStyle name="Currency 7 3 2 2 3 2" xfId="26038"/>
    <cellStyle name="Currency 7 3 2 2 3 2 2" xfId="26039"/>
    <cellStyle name="Currency 7 3 2 2 3 2 3" xfId="26040"/>
    <cellStyle name="Currency 7 3 2 2 3 2 4" xfId="26041"/>
    <cellStyle name="Currency 7 3 2 2 3 2 5" xfId="26042"/>
    <cellStyle name="Currency 7 3 2 2 3 2 6" xfId="26043"/>
    <cellStyle name="Currency 7 3 2 2 3 3" xfId="26044"/>
    <cellStyle name="Currency 7 3 2 2 3 4" xfId="26045"/>
    <cellStyle name="Currency 7 3 2 2 3 5" xfId="26046"/>
    <cellStyle name="Currency 7 3 2 2 3 6" xfId="26047"/>
    <cellStyle name="Currency 7 3 2 2 3 7" xfId="26048"/>
    <cellStyle name="Currency 7 3 2 2 4" xfId="26049"/>
    <cellStyle name="Currency 7 3 2 2 4 2" xfId="26050"/>
    <cellStyle name="Currency 7 3 2 2 4 3" xfId="26051"/>
    <cellStyle name="Currency 7 3 2 2 4 4" xfId="26052"/>
    <cellStyle name="Currency 7 3 2 2 4 5" xfId="26053"/>
    <cellStyle name="Currency 7 3 2 2 4 6" xfId="26054"/>
    <cellStyle name="Currency 7 3 2 2 5" xfId="26055"/>
    <cellStyle name="Currency 7 3 2 2 6" xfId="26056"/>
    <cellStyle name="Currency 7 3 2 2 7" xfId="26057"/>
    <cellStyle name="Currency 7 3 2 2 8" xfId="26058"/>
    <cellStyle name="Currency 7 3 2 2 9" xfId="26059"/>
    <cellStyle name="Currency 7 3 2 3" xfId="26060"/>
    <cellStyle name="Currency 7 3 2 3 2" xfId="26061"/>
    <cellStyle name="Currency 7 3 2 3 2 2" xfId="26062"/>
    <cellStyle name="Currency 7 3 2 3 2 2 2" xfId="26063"/>
    <cellStyle name="Currency 7 3 2 3 2 2 2 2" xfId="26064"/>
    <cellStyle name="Currency 7 3 2 3 2 2 2 3" xfId="26065"/>
    <cellStyle name="Currency 7 3 2 3 2 2 2 4" xfId="26066"/>
    <cellStyle name="Currency 7 3 2 3 2 2 2 5" xfId="26067"/>
    <cellStyle name="Currency 7 3 2 3 2 2 2 6" xfId="26068"/>
    <cellStyle name="Currency 7 3 2 3 2 2 3" xfId="26069"/>
    <cellStyle name="Currency 7 3 2 3 2 2 4" xfId="26070"/>
    <cellStyle name="Currency 7 3 2 3 2 2 5" xfId="26071"/>
    <cellStyle name="Currency 7 3 2 3 2 2 6" xfId="26072"/>
    <cellStyle name="Currency 7 3 2 3 2 2 7" xfId="26073"/>
    <cellStyle name="Currency 7 3 2 3 2 3" xfId="26074"/>
    <cellStyle name="Currency 7 3 2 3 2 3 2" xfId="26075"/>
    <cellStyle name="Currency 7 3 2 3 2 3 3" xfId="26076"/>
    <cellStyle name="Currency 7 3 2 3 2 3 4" xfId="26077"/>
    <cellStyle name="Currency 7 3 2 3 2 3 5" xfId="26078"/>
    <cellStyle name="Currency 7 3 2 3 2 3 6" xfId="26079"/>
    <cellStyle name="Currency 7 3 2 3 2 4" xfId="26080"/>
    <cellStyle name="Currency 7 3 2 3 2 5" xfId="26081"/>
    <cellStyle name="Currency 7 3 2 3 2 6" xfId="26082"/>
    <cellStyle name="Currency 7 3 2 3 2 7" xfId="26083"/>
    <cellStyle name="Currency 7 3 2 3 2 8" xfId="26084"/>
    <cellStyle name="Currency 7 3 2 3 3" xfId="26085"/>
    <cellStyle name="Currency 7 3 2 3 3 2" xfId="26086"/>
    <cellStyle name="Currency 7 3 2 3 3 2 2" xfId="26087"/>
    <cellStyle name="Currency 7 3 2 3 3 2 3" xfId="26088"/>
    <cellStyle name="Currency 7 3 2 3 3 2 4" xfId="26089"/>
    <cellStyle name="Currency 7 3 2 3 3 2 5" xfId="26090"/>
    <cellStyle name="Currency 7 3 2 3 3 2 6" xfId="26091"/>
    <cellStyle name="Currency 7 3 2 3 3 3" xfId="26092"/>
    <cellStyle name="Currency 7 3 2 3 3 4" xfId="26093"/>
    <cellStyle name="Currency 7 3 2 3 3 5" xfId="26094"/>
    <cellStyle name="Currency 7 3 2 3 3 6" xfId="26095"/>
    <cellStyle name="Currency 7 3 2 3 3 7" xfId="26096"/>
    <cellStyle name="Currency 7 3 2 3 4" xfId="26097"/>
    <cellStyle name="Currency 7 3 2 3 4 2" xfId="26098"/>
    <cellStyle name="Currency 7 3 2 3 4 3" xfId="26099"/>
    <cellStyle name="Currency 7 3 2 3 4 4" xfId="26100"/>
    <cellStyle name="Currency 7 3 2 3 4 5" xfId="26101"/>
    <cellStyle name="Currency 7 3 2 3 4 6" xfId="26102"/>
    <cellStyle name="Currency 7 3 2 3 5" xfId="26103"/>
    <cellStyle name="Currency 7 3 2 3 6" xfId="26104"/>
    <cellStyle name="Currency 7 3 2 3 7" xfId="26105"/>
    <cellStyle name="Currency 7 3 2 3 8" xfId="26106"/>
    <cellStyle name="Currency 7 3 2 3 9" xfId="26107"/>
    <cellStyle name="Currency 7 3 2 4" xfId="26108"/>
    <cellStyle name="Currency 7 3 2 4 2" xfId="26109"/>
    <cellStyle name="Currency 7 3 2 4 2 2" xfId="26110"/>
    <cellStyle name="Currency 7 3 2 4 2 2 2" xfId="26111"/>
    <cellStyle name="Currency 7 3 2 4 2 2 2 2" xfId="26112"/>
    <cellStyle name="Currency 7 3 2 4 2 2 2 3" xfId="26113"/>
    <cellStyle name="Currency 7 3 2 4 2 2 2 4" xfId="26114"/>
    <cellStyle name="Currency 7 3 2 4 2 2 2 5" xfId="26115"/>
    <cellStyle name="Currency 7 3 2 4 2 2 2 6" xfId="26116"/>
    <cellStyle name="Currency 7 3 2 4 2 2 3" xfId="26117"/>
    <cellStyle name="Currency 7 3 2 4 2 2 4" xfId="26118"/>
    <cellStyle name="Currency 7 3 2 4 2 2 5" xfId="26119"/>
    <cellStyle name="Currency 7 3 2 4 2 2 6" xfId="26120"/>
    <cellStyle name="Currency 7 3 2 4 2 2 7" xfId="26121"/>
    <cellStyle name="Currency 7 3 2 4 2 3" xfId="26122"/>
    <cellStyle name="Currency 7 3 2 4 2 3 2" xfId="26123"/>
    <cellStyle name="Currency 7 3 2 4 2 3 3" xfId="26124"/>
    <cellStyle name="Currency 7 3 2 4 2 3 4" xfId="26125"/>
    <cellStyle name="Currency 7 3 2 4 2 3 5" xfId="26126"/>
    <cellStyle name="Currency 7 3 2 4 2 3 6" xfId="26127"/>
    <cellStyle name="Currency 7 3 2 4 2 4" xfId="26128"/>
    <cellStyle name="Currency 7 3 2 4 2 5" xfId="26129"/>
    <cellStyle name="Currency 7 3 2 4 2 6" xfId="26130"/>
    <cellStyle name="Currency 7 3 2 4 2 7" xfId="26131"/>
    <cellStyle name="Currency 7 3 2 4 2 8" xfId="26132"/>
    <cellStyle name="Currency 7 3 2 4 3" xfId="26133"/>
    <cellStyle name="Currency 7 3 2 4 3 2" xfId="26134"/>
    <cellStyle name="Currency 7 3 2 4 3 2 2" xfId="26135"/>
    <cellStyle name="Currency 7 3 2 4 3 2 3" xfId="26136"/>
    <cellStyle name="Currency 7 3 2 4 3 2 4" xfId="26137"/>
    <cellStyle name="Currency 7 3 2 4 3 2 5" xfId="26138"/>
    <cellStyle name="Currency 7 3 2 4 3 2 6" xfId="26139"/>
    <cellStyle name="Currency 7 3 2 4 3 3" xfId="26140"/>
    <cellStyle name="Currency 7 3 2 4 3 4" xfId="26141"/>
    <cellStyle name="Currency 7 3 2 4 3 5" xfId="26142"/>
    <cellStyle name="Currency 7 3 2 4 3 6" xfId="26143"/>
    <cellStyle name="Currency 7 3 2 4 3 7" xfId="26144"/>
    <cellStyle name="Currency 7 3 2 4 4" xfId="26145"/>
    <cellStyle name="Currency 7 3 2 4 4 2" xfId="26146"/>
    <cellStyle name="Currency 7 3 2 4 4 3" xfId="26147"/>
    <cellStyle name="Currency 7 3 2 4 4 4" xfId="26148"/>
    <cellStyle name="Currency 7 3 2 4 4 5" xfId="26149"/>
    <cellStyle name="Currency 7 3 2 4 4 6" xfId="26150"/>
    <cellStyle name="Currency 7 3 2 4 5" xfId="26151"/>
    <cellStyle name="Currency 7 3 2 4 6" xfId="26152"/>
    <cellStyle name="Currency 7 3 2 4 7" xfId="26153"/>
    <cellStyle name="Currency 7 3 2 4 8" xfId="26154"/>
    <cellStyle name="Currency 7 3 2 4 9" xfId="26155"/>
    <cellStyle name="Currency 7 3 2 5" xfId="26156"/>
    <cellStyle name="Currency 7 3 2 5 2" xfId="26157"/>
    <cellStyle name="Currency 7 3 2 5 2 2" xfId="26158"/>
    <cellStyle name="Currency 7 3 2 5 2 2 2" xfId="26159"/>
    <cellStyle name="Currency 7 3 2 5 2 2 2 2" xfId="26160"/>
    <cellStyle name="Currency 7 3 2 5 2 2 2 3" xfId="26161"/>
    <cellStyle name="Currency 7 3 2 5 2 2 2 4" xfId="26162"/>
    <cellStyle name="Currency 7 3 2 5 2 2 2 5" xfId="26163"/>
    <cellStyle name="Currency 7 3 2 5 2 2 2 6" xfId="26164"/>
    <cellStyle name="Currency 7 3 2 5 2 2 3" xfId="26165"/>
    <cellStyle name="Currency 7 3 2 5 2 2 4" xfId="26166"/>
    <cellStyle name="Currency 7 3 2 5 2 2 5" xfId="26167"/>
    <cellStyle name="Currency 7 3 2 5 2 2 6" xfId="26168"/>
    <cellStyle name="Currency 7 3 2 5 2 2 7" xfId="26169"/>
    <cellStyle name="Currency 7 3 2 5 2 3" xfId="26170"/>
    <cellStyle name="Currency 7 3 2 5 2 3 2" xfId="26171"/>
    <cellStyle name="Currency 7 3 2 5 2 3 3" xfId="26172"/>
    <cellStyle name="Currency 7 3 2 5 2 3 4" xfId="26173"/>
    <cellStyle name="Currency 7 3 2 5 2 3 5" xfId="26174"/>
    <cellStyle name="Currency 7 3 2 5 2 3 6" xfId="26175"/>
    <cellStyle name="Currency 7 3 2 5 2 4" xfId="26176"/>
    <cellStyle name="Currency 7 3 2 5 2 5" xfId="26177"/>
    <cellStyle name="Currency 7 3 2 5 2 6" xfId="26178"/>
    <cellStyle name="Currency 7 3 2 5 2 7" xfId="26179"/>
    <cellStyle name="Currency 7 3 2 5 2 8" xfId="26180"/>
    <cellStyle name="Currency 7 3 2 5 3" xfId="26181"/>
    <cellStyle name="Currency 7 3 2 5 3 2" xfId="26182"/>
    <cellStyle name="Currency 7 3 2 5 3 2 2" xfId="26183"/>
    <cellStyle name="Currency 7 3 2 5 3 2 3" xfId="26184"/>
    <cellStyle name="Currency 7 3 2 5 3 2 4" xfId="26185"/>
    <cellStyle name="Currency 7 3 2 5 3 2 5" xfId="26186"/>
    <cellStyle name="Currency 7 3 2 5 3 2 6" xfId="26187"/>
    <cellStyle name="Currency 7 3 2 5 3 3" xfId="26188"/>
    <cellStyle name="Currency 7 3 2 5 3 4" xfId="26189"/>
    <cellStyle name="Currency 7 3 2 5 3 5" xfId="26190"/>
    <cellStyle name="Currency 7 3 2 5 3 6" xfId="26191"/>
    <cellStyle name="Currency 7 3 2 5 3 7" xfId="26192"/>
    <cellStyle name="Currency 7 3 2 5 4" xfId="26193"/>
    <cellStyle name="Currency 7 3 2 5 4 2" xfId="26194"/>
    <cellStyle name="Currency 7 3 2 5 4 3" xfId="26195"/>
    <cellStyle name="Currency 7 3 2 5 4 4" xfId="26196"/>
    <cellStyle name="Currency 7 3 2 5 4 5" xfId="26197"/>
    <cellStyle name="Currency 7 3 2 5 4 6" xfId="26198"/>
    <cellStyle name="Currency 7 3 2 5 5" xfId="26199"/>
    <cellStyle name="Currency 7 3 2 5 6" xfId="26200"/>
    <cellStyle name="Currency 7 3 2 5 7" xfId="26201"/>
    <cellStyle name="Currency 7 3 2 5 8" xfId="26202"/>
    <cellStyle name="Currency 7 3 2 5 9" xfId="26203"/>
    <cellStyle name="Currency 7 3 2 6" xfId="26204"/>
    <cellStyle name="Currency 7 3 2 6 2" xfId="26205"/>
    <cellStyle name="Currency 7 3 2 6 2 2" xfId="26206"/>
    <cellStyle name="Currency 7 3 2 6 2 2 2" xfId="26207"/>
    <cellStyle name="Currency 7 3 2 6 2 2 2 2" xfId="26208"/>
    <cellStyle name="Currency 7 3 2 6 2 2 2 3" xfId="26209"/>
    <cellStyle name="Currency 7 3 2 6 2 2 2 4" xfId="26210"/>
    <cellStyle name="Currency 7 3 2 6 2 2 2 5" xfId="26211"/>
    <cellStyle name="Currency 7 3 2 6 2 2 2 6" xfId="26212"/>
    <cellStyle name="Currency 7 3 2 6 2 2 3" xfId="26213"/>
    <cellStyle name="Currency 7 3 2 6 2 2 4" xfId="26214"/>
    <cellStyle name="Currency 7 3 2 6 2 2 5" xfId="26215"/>
    <cellStyle name="Currency 7 3 2 6 2 2 6" xfId="26216"/>
    <cellStyle name="Currency 7 3 2 6 2 2 7" xfId="26217"/>
    <cellStyle name="Currency 7 3 2 6 2 3" xfId="26218"/>
    <cellStyle name="Currency 7 3 2 6 2 3 2" xfId="26219"/>
    <cellStyle name="Currency 7 3 2 6 2 3 3" xfId="26220"/>
    <cellStyle name="Currency 7 3 2 6 2 3 4" xfId="26221"/>
    <cellStyle name="Currency 7 3 2 6 2 3 5" xfId="26222"/>
    <cellStyle name="Currency 7 3 2 6 2 3 6" xfId="26223"/>
    <cellStyle name="Currency 7 3 2 6 2 4" xfId="26224"/>
    <cellStyle name="Currency 7 3 2 6 2 5" xfId="26225"/>
    <cellStyle name="Currency 7 3 2 6 2 6" xfId="26226"/>
    <cellStyle name="Currency 7 3 2 6 2 7" xfId="26227"/>
    <cellStyle name="Currency 7 3 2 6 2 8" xfId="26228"/>
    <cellStyle name="Currency 7 3 2 6 3" xfId="26229"/>
    <cellStyle name="Currency 7 3 2 6 3 2" xfId="26230"/>
    <cellStyle name="Currency 7 3 2 6 3 2 2" xfId="26231"/>
    <cellStyle name="Currency 7 3 2 6 3 2 3" xfId="26232"/>
    <cellStyle name="Currency 7 3 2 6 3 2 4" xfId="26233"/>
    <cellStyle name="Currency 7 3 2 6 3 2 5" xfId="26234"/>
    <cellStyle name="Currency 7 3 2 6 3 2 6" xfId="26235"/>
    <cellStyle name="Currency 7 3 2 6 3 3" xfId="26236"/>
    <cellStyle name="Currency 7 3 2 6 3 4" xfId="26237"/>
    <cellStyle name="Currency 7 3 2 6 3 5" xfId="26238"/>
    <cellStyle name="Currency 7 3 2 6 3 6" xfId="26239"/>
    <cellStyle name="Currency 7 3 2 6 3 7" xfId="26240"/>
    <cellStyle name="Currency 7 3 2 6 4" xfId="26241"/>
    <cellStyle name="Currency 7 3 2 6 4 2" xfId="26242"/>
    <cellStyle name="Currency 7 3 2 6 4 3" xfId="26243"/>
    <cellStyle name="Currency 7 3 2 6 4 4" xfId="26244"/>
    <cellStyle name="Currency 7 3 2 6 4 5" xfId="26245"/>
    <cellStyle name="Currency 7 3 2 6 4 6" xfId="26246"/>
    <cellStyle name="Currency 7 3 2 6 5" xfId="26247"/>
    <cellStyle name="Currency 7 3 2 6 6" xfId="26248"/>
    <cellStyle name="Currency 7 3 2 6 7" xfId="26249"/>
    <cellStyle name="Currency 7 3 2 6 8" xfId="26250"/>
    <cellStyle name="Currency 7 3 2 6 9" xfId="26251"/>
    <cellStyle name="Currency 7 3 2 7" xfId="26252"/>
    <cellStyle name="Currency 7 3 2 7 2" xfId="26253"/>
    <cellStyle name="Currency 7 3 2 7 2 2" xfId="26254"/>
    <cellStyle name="Currency 7 3 2 7 2 2 2" xfId="26255"/>
    <cellStyle name="Currency 7 3 2 7 2 2 3" xfId="26256"/>
    <cellStyle name="Currency 7 3 2 7 2 2 4" xfId="26257"/>
    <cellStyle name="Currency 7 3 2 7 2 2 5" xfId="26258"/>
    <cellStyle name="Currency 7 3 2 7 2 2 6" xfId="26259"/>
    <cellStyle name="Currency 7 3 2 7 2 3" xfId="26260"/>
    <cellStyle name="Currency 7 3 2 7 2 4" xfId="26261"/>
    <cellStyle name="Currency 7 3 2 7 2 5" xfId="26262"/>
    <cellStyle name="Currency 7 3 2 7 2 6" xfId="26263"/>
    <cellStyle name="Currency 7 3 2 7 2 7" xfId="26264"/>
    <cellStyle name="Currency 7 3 2 7 3" xfId="26265"/>
    <cellStyle name="Currency 7 3 2 7 3 2" xfId="26266"/>
    <cellStyle name="Currency 7 3 2 7 3 3" xfId="26267"/>
    <cellStyle name="Currency 7 3 2 7 3 4" xfId="26268"/>
    <cellStyle name="Currency 7 3 2 7 3 5" xfId="26269"/>
    <cellStyle name="Currency 7 3 2 7 3 6" xfId="26270"/>
    <cellStyle name="Currency 7 3 2 7 4" xfId="26271"/>
    <cellStyle name="Currency 7 3 2 7 5" xfId="26272"/>
    <cellStyle name="Currency 7 3 2 7 6" xfId="26273"/>
    <cellStyle name="Currency 7 3 2 7 7" xfId="26274"/>
    <cellStyle name="Currency 7 3 2 7 8" xfId="26275"/>
    <cellStyle name="Currency 7 3 2 8" xfId="26276"/>
    <cellStyle name="Currency 7 3 2 8 2" xfId="26277"/>
    <cellStyle name="Currency 7 3 2 8 2 2" xfId="26278"/>
    <cellStyle name="Currency 7 3 2 8 2 3" xfId="26279"/>
    <cellStyle name="Currency 7 3 2 8 2 4" xfId="26280"/>
    <cellStyle name="Currency 7 3 2 8 2 5" xfId="26281"/>
    <cellStyle name="Currency 7 3 2 8 2 6" xfId="26282"/>
    <cellStyle name="Currency 7 3 2 8 3" xfId="26283"/>
    <cellStyle name="Currency 7 3 2 8 4" xfId="26284"/>
    <cellStyle name="Currency 7 3 2 8 5" xfId="26285"/>
    <cellStyle name="Currency 7 3 2 8 6" xfId="26286"/>
    <cellStyle name="Currency 7 3 2 8 7" xfId="26287"/>
    <cellStyle name="Currency 7 3 2 9" xfId="26288"/>
    <cellStyle name="Currency 7 3 2 9 2" xfId="26289"/>
    <cellStyle name="Currency 7 3 2 9 3" xfId="26290"/>
    <cellStyle name="Currency 7 3 2 9 4" xfId="26291"/>
    <cellStyle name="Currency 7 3 2 9 5" xfId="26292"/>
    <cellStyle name="Currency 7 3 2 9 6" xfId="26293"/>
    <cellStyle name="Currency 7 3 3" xfId="26294"/>
    <cellStyle name="Currency 7 3 3 2" xfId="26295"/>
    <cellStyle name="Currency 7 3 3 2 2" xfId="26296"/>
    <cellStyle name="Currency 7 3 3 2 2 2" xfId="26297"/>
    <cellStyle name="Currency 7 3 3 2 2 2 2" xfId="26298"/>
    <cellStyle name="Currency 7 3 3 2 2 2 3" xfId="26299"/>
    <cellStyle name="Currency 7 3 3 2 2 2 4" xfId="26300"/>
    <cellStyle name="Currency 7 3 3 2 2 2 5" xfId="26301"/>
    <cellStyle name="Currency 7 3 3 2 2 2 6" xfId="26302"/>
    <cellStyle name="Currency 7 3 3 2 2 3" xfId="26303"/>
    <cellStyle name="Currency 7 3 3 2 2 4" xfId="26304"/>
    <cellStyle name="Currency 7 3 3 2 2 5" xfId="26305"/>
    <cellStyle name="Currency 7 3 3 2 2 6" xfId="26306"/>
    <cellStyle name="Currency 7 3 3 2 2 7" xfId="26307"/>
    <cellStyle name="Currency 7 3 3 2 3" xfId="26308"/>
    <cellStyle name="Currency 7 3 3 2 3 2" xfId="26309"/>
    <cellStyle name="Currency 7 3 3 2 3 3" xfId="26310"/>
    <cellStyle name="Currency 7 3 3 2 3 4" xfId="26311"/>
    <cellStyle name="Currency 7 3 3 2 3 5" xfId="26312"/>
    <cellStyle name="Currency 7 3 3 2 3 6" xfId="26313"/>
    <cellStyle name="Currency 7 3 3 2 4" xfId="26314"/>
    <cellStyle name="Currency 7 3 3 2 5" xfId="26315"/>
    <cellStyle name="Currency 7 3 3 2 6" xfId="26316"/>
    <cellStyle name="Currency 7 3 3 2 7" xfId="26317"/>
    <cellStyle name="Currency 7 3 3 2 8" xfId="26318"/>
    <cellStyle name="Currency 7 3 3 3" xfId="26319"/>
    <cellStyle name="Currency 7 3 3 3 2" xfId="26320"/>
    <cellStyle name="Currency 7 3 3 3 2 2" xfId="26321"/>
    <cellStyle name="Currency 7 3 3 3 2 3" xfId="26322"/>
    <cellStyle name="Currency 7 3 3 3 2 4" xfId="26323"/>
    <cellStyle name="Currency 7 3 3 3 2 5" xfId="26324"/>
    <cellStyle name="Currency 7 3 3 3 2 6" xfId="26325"/>
    <cellStyle name="Currency 7 3 3 3 3" xfId="26326"/>
    <cellStyle name="Currency 7 3 3 3 4" xfId="26327"/>
    <cellStyle name="Currency 7 3 3 3 5" xfId="26328"/>
    <cellStyle name="Currency 7 3 3 3 6" xfId="26329"/>
    <cellStyle name="Currency 7 3 3 3 7" xfId="26330"/>
    <cellStyle name="Currency 7 3 3 4" xfId="26331"/>
    <cellStyle name="Currency 7 3 3 4 2" xfId="26332"/>
    <cellStyle name="Currency 7 3 3 4 3" xfId="26333"/>
    <cellStyle name="Currency 7 3 3 4 4" xfId="26334"/>
    <cellStyle name="Currency 7 3 3 4 5" xfId="26335"/>
    <cellStyle name="Currency 7 3 3 4 6" xfId="26336"/>
    <cellStyle name="Currency 7 3 3 5" xfId="26337"/>
    <cellStyle name="Currency 7 3 3 6" xfId="26338"/>
    <cellStyle name="Currency 7 3 3 7" xfId="26339"/>
    <cellStyle name="Currency 7 3 3 8" xfId="26340"/>
    <cellStyle name="Currency 7 3 3 9" xfId="26341"/>
    <cellStyle name="Currency 7 3 4" xfId="26342"/>
    <cellStyle name="Currency 7 3 4 2" xfId="26343"/>
    <cellStyle name="Currency 7 3 4 2 2" xfId="26344"/>
    <cellStyle name="Currency 7 3 4 2 2 2" xfId="26345"/>
    <cellStyle name="Currency 7 3 4 2 2 2 2" xfId="26346"/>
    <cellStyle name="Currency 7 3 4 2 2 2 3" xfId="26347"/>
    <cellStyle name="Currency 7 3 4 2 2 2 4" xfId="26348"/>
    <cellStyle name="Currency 7 3 4 2 2 2 5" xfId="26349"/>
    <cellStyle name="Currency 7 3 4 2 2 2 6" xfId="26350"/>
    <cellStyle name="Currency 7 3 4 2 2 3" xfId="26351"/>
    <cellStyle name="Currency 7 3 4 2 2 4" xfId="26352"/>
    <cellStyle name="Currency 7 3 4 2 2 5" xfId="26353"/>
    <cellStyle name="Currency 7 3 4 2 2 6" xfId="26354"/>
    <cellStyle name="Currency 7 3 4 2 2 7" xfId="26355"/>
    <cellStyle name="Currency 7 3 4 2 3" xfId="26356"/>
    <cellStyle name="Currency 7 3 4 2 3 2" xfId="26357"/>
    <cellStyle name="Currency 7 3 4 2 3 3" xfId="26358"/>
    <cellStyle name="Currency 7 3 4 2 3 4" xfId="26359"/>
    <cellStyle name="Currency 7 3 4 2 3 5" xfId="26360"/>
    <cellStyle name="Currency 7 3 4 2 3 6" xfId="26361"/>
    <cellStyle name="Currency 7 3 4 2 4" xfId="26362"/>
    <cellStyle name="Currency 7 3 4 2 5" xfId="26363"/>
    <cellStyle name="Currency 7 3 4 2 6" xfId="26364"/>
    <cellStyle name="Currency 7 3 4 2 7" xfId="26365"/>
    <cellStyle name="Currency 7 3 4 2 8" xfId="26366"/>
    <cellStyle name="Currency 7 3 4 3" xfId="26367"/>
    <cellStyle name="Currency 7 3 4 3 2" xfId="26368"/>
    <cellStyle name="Currency 7 3 4 3 2 2" xfId="26369"/>
    <cellStyle name="Currency 7 3 4 3 2 3" xfId="26370"/>
    <cellStyle name="Currency 7 3 4 3 2 4" xfId="26371"/>
    <cellStyle name="Currency 7 3 4 3 2 5" xfId="26372"/>
    <cellStyle name="Currency 7 3 4 3 2 6" xfId="26373"/>
    <cellStyle name="Currency 7 3 4 3 3" xfId="26374"/>
    <cellStyle name="Currency 7 3 4 3 4" xfId="26375"/>
    <cellStyle name="Currency 7 3 4 3 5" xfId="26376"/>
    <cellStyle name="Currency 7 3 4 3 6" xfId="26377"/>
    <cellStyle name="Currency 7 3 4 3 7" xfId="26378"/>
    <cellStyle name="Currency 7 3 4 4" xfId="26379"/>
    <cellStyle name="Currency 7 3 4 4 2" xfId="26380"/>
    <cellStyle name="Currency 7 3 4 4 3" xfId="26381"/>
    <cellStyle name="Currency 7 3 4 4 4" xfId="26382"/>
    <cellStyle name="Currency 7 3 4 4 5" xfId="26383"/>
    <cellStyle name="Currency 7 3 4 4 6" xfId="26384"/>
    <cellStyle name="Currency 7 3 4 5" xfId="26385"/>
    <cellStyle name="Currency 7 3 4 6" xfId="26386"/>
    <cellStyle name="Currency 7 3 4 7" xfId="26387"/>
    <cellStyle name="Currency 7 3 4 8" xfId="26388"/>
    <cellStyle name="Currency 7 3 4 9" xfId="26389"/>
    <cellStyle name="Currency 7 3 5" xfId="26390"/>
    <cellStyle name="Currency 7 3 5 2" xfId="26391"/>
    <cellStyle name="Currency 7 3 5 2 2" xfId="26392"/>
    <cellStyle name="Currency 7 3 5 2 2 2" xfId="26393"/>
    <cellStyle name="Currency 7 3 5 2 2 2 2" xfId="26394"/>
    <cellStyle name="Currency 7 3 5 2 2 2 3" xfId="26395"/>
    <cellStyle name="Currency 7 3 5 2 2 2 4" xfId="26396"/>
    <cellStyle name="Currency 7 3 5 2 2 2 5" xfId="26397"/>
    <cellStyle name="Currency 7 3 5 2 2 2 6" xfId="26398"/>
    <cellStyle name="Currency 7 3 5 2 2 3" xfId="26399"/>
    <cellStyle name="Currency 7 3 5 2 2 4" xfId="26400"/>
    <cellStyle name="Currency 7 3 5 2 2 5" xfId="26401"/>
    <cellStyle name="Currency 7 3 5 2 2 6" xfId="26402"/>
    <cellStyle name="Currency 7 3 5 2 2 7" xfId="26403"/>
    <cellStyle name="Currency 7 3 5 2 3" xfId="26404"/>
    <cellStyle name="Currency 7 3 5 2 3 2" xfId="26405"/>
    <cellStyle name="Currency 7 3 5 2 3 3" xfId="26406"/>
    <cellStyle name="Currency 7 3 5 2 3 4" xfId="26407"/>
    <cellStyle name="Currency 7 3 5 2 3 5" xfId="26408"/>
    <cellStyle name="Currency 7 3 5 2 3 6" xfId="26409"/>
    <cellStyle name="Currency 7 3 5 2 4" xfId="26410"/>
    <cellStyle name="Currency 7 3 5 2 5" xfId="26411"/>
    <cellStyle name="Currency 7 3 5 2 6" xfId="26412"/>
    <cellStyle name="Currency 7 3 5 2 7" xfId="26413"/>
    <cellStyle name="Currency 7 3 5 2 8" xfId="26414"/>
    <cellStyle name="Currency 7 3 5 3" xfId="26415"/>
    <cellStyle name="Currency 7 3 5 3 2" xfId="26416"/>
    <cellStyle name="Currency 7 3 5 3 2 2" xfId="26417"/>
    <cellStyle name="Currency 7 3 5 3 2 3" xfId="26418"/>
    <cellStyle name="Currency 7 3 5 3 2 4" xfId="26419"/>
    <cellStyle name="Currency 7 3 5 3 2 5" xfId="26420"/>
    <cellStyle name="Currency 7 3 5 3 2 6" xfId="26421"/>
    <cellStyle name="Currency 7 3 5 3 3" xfId="26422"/>
    <cellStyle name="Currency 7 3 5 3 4" xfId="26423"/>
    <cellStyle name="Currency 7 3 5 3 5" xfId="26424"/>
    <cellStyle name="Currency 7 3 5 3 6" xfId="26425"/>
    <cellStyle name="Currency 7 3 5 3 7" xfId="26426"/>
    <cellStyle name="Currency 7 3 5 4" xfId="26427"/>
    <cellStyle name="Currency 7 3 5 4 2" xfId="26428"/>
    <cellStyle name="Currency 7 3 5 4 3" xfId="26429"/>
    <cellStyle name="Currency 7 3 5 4 4" xfId="26430"/>
    <cellStyle name="Currency 7 3 5 4 5" xfId="26431"/>
    <cellStyle name="Currency 7 3 5 4 6" xfId="26432"/>
    <cellStyle name="Currency 7 3 5 5" xfId="26433"/>
    <cellStyle name="Currency 7 3 5 6" xfId="26434"/>
    <cellStyle name="Currency 7 3 5 7" xfId="26435"/>
    <cellStyle name="Currency 7 3 5 8" xfId="26436"/>
    <cellStyle name="Currency 7 3 5 9" xfId="26437"/>
    <cellStyle name="Currency 7 3 6" xfId="26438"/>
    <cellStyle name="Currency 7 3 6 2" xfId="26439"/>
    <cellStyle name="Currency 7 3 6 2 2" xfId="26440"/>
    <cellStyle name="Currency 7 3 6 2 2 2" xfId="26441"/>
    <cellStyle name="Currency 7 3 6 2 2 2 2" xfId="26442"/>
    <cellStyle name="Currency 7 3 6 2 2 2 3" xfId="26443"/>
    <cellStyle name="Currency 7 3 6 2 2 2 4" xfId="26444"/>
    <cellStyle name="Currency 7 3 6 2 2 2 5" xfId="26445"/>
    <cellStyle name="Currency 7 3 6 2 2 2 6" xfId="26446"/>
    <cellStyle name="Currency 7 3 6 2 2 3" xfId="26447"/>
    <cellStyle name="Currency 7 3 6 2 2 4" xfId="26448"/>
    <cellStyle name="Currency 7 3 6 2 2 5" xfId="26449"/>
    <cellStyle name="Currency 7 3 6 2 2 6" xfId="26450"/>
    <cellStyle name="Currency 7 3 6 2 2 7" xfId="26451"/>
    <cellStyle name="Currency 7 3 6 2 3" xfId="26452"/>
    <cellStyle name="Currency 7 3 6 2 3 2" xfId="26453"/>
    <cellStyle name="Currency 7 3 6 2 3 3" xfId="26454"/>
    <cellStyle name="Currency 7 3 6 2 3 4" xfId="26455"/>
    <cellStyle name="Currency 7 3 6 2 3 5" xfId="26456"/>
    <cellStyle name="Currency 7 3 6 2 3 6" xfId="26457"/>
    <cellStyle name="Currency 7 3 6 2 4" xfId="26458"/>
    <cellStyle name="Currency 7 3 6 2 5" xfId="26459"/>
    <cellStyle name="Currency 7 3 6 2 6" xfId="26460"/>
    <cellStyle name="Currency 7 3 6 2 7" xfId="26461"/>
    <cellStyle name="Currency 7 3 6 2 8" xfId="26462"/>
    <cellStyle name="Currency 7 3 6 3" xfId="26463"/>
    <cellStyle name="Currency 7 3 6 3 2" xfId="26464"/>
    <cellStyle name="Currency 7 3 6 3 2 2" xfId="26465"/>
    <cellStyle name="Currency 7 3 6 3 2 3" xfId="26466"/>
    <cellStyle name="Currency 7 3 6 3 2 4" xfId="26467"/>
    <cellStyle name="Currency 7 3 6 3 2 5" xfId="26468"/>
    <cellStyle name="Currency 7 3 6 3 2 6" xfId="26469"/>
    <cellStyle name="Currency 7 3 6 3 3" xfId="26470"/>
    <cellStyle name="Currency 7 3 6 3 4" xfId="26471"/>
    <cellStyle name="Currency 7 3 6 3 5" xfId="26472"/>
    <cellStyle name="Currency 7 3 6 3 6" xfId="26473"/>
    <cellStyle name="Currency 7 3 6 3 7" xfId="26474"/>
    <cellStyle name="Currency 7 3 6 4" xfId="26475"/>
    <cellStyle name="Currency 7 3 6 4 2" xfId="26476"/>
    <cellStyle name="Currency 7 3 6 4 3" xfId="26477"/>
    <cellStyle name="Currency 7 3 6 4 4" xfId="26478"/>
    <cellStyle name="Currency 7 3 6 4 5" xfId="26479"/>
    <cellStyle name="Currency 7 3 6 4 6" xfId="26480"/>
    <cellStyle name="Currency 7 3 6 5" xfId="26481"/>
    <cellStyle name="Currency 7 3 6 6" xfId="26482"/>
    <cellStyle name="Currency 7 3 6 7" xfId="26483"/>
    <cellStyle name="Currency 7 3 6 8" xfId="26484"/>
    <cellStyle name="Currency 7 3 6 9" xfId="26485"/>
    <cellStyle name="Currency 7 3 7" xfId="26486"/>
    <cellStyle name="Currency 7 3 7 2" xfId="26487"/>
    <cellStyle name="Currency 7 3 7 2 2" xfId="26488"/>
    <cellStyle name="Currency 7 3 7 2 2 2" xfId="26489"/>
    <cellStyle name="Currency 7 3 7 2 2 2 2" xfId="26490"/>
    <cellStyle name="Currency 7 3 7 2 2 2 3" xfId="26491"/>
    <cellStyle name="Currency 7 3 7 2 2 2 4" xfId="26492"/>
    <cellStyle name="Currency 7 3 7 2 2 2 5" xfId="26493"/>
    <cellStyle name="Currency 7 3 7 2 2 2 6" xfId="26494"/>
    <cellStyle name="Currency 7 3 7 2 2 3" xfId="26495"/>
    <cellStyle name="Currency 7 3 7 2 2 4" xfId="26496"/>
    <cellStyle name="Currency 7 3 7 2 2 5" xfId="26497"/>
    <cellStyle name="Currency 7 3 7 2 2 6" xfId="26498"/>
    <cellStyle name="Currency 7 3 7 2 2 7" xfId="26499"/>
    <cellStyle name="Currency 7 3 7 2 3" xfId="26500"/>
    <cellStyle name="Currency 7 3 7 2 3 2" xfId="26501"/>
    <cellStyle name="Currency 7 3 7 2 3 3" xfId="26502"/>
    <cellStyle name="Currency 7 3 7 2 3 4" xfId="26503"/>
    <cellStyle name="Currency 7 3 7 2 3 5" xfId="26504"/>
    <cellStyle name="Currency 7 3 7 2 3 6" xfId="26505"/>
    <cellStyle name="Currency 7 3 7 2 4" xfId="26506"/>
    <cellStyle name="Currency 7 3 7 2 5" xfId="26507"/>
    <cellStyle name="Currency 7 3 7 2 6" xfId="26508"/>
    <cellStyle name="Currency 7 3 7 2 7" xfId="26509"/>
    <cellStyle name="Currency 7 3 7 2 8" xfId="26510"/>
    <cellStyle name="Currency 7 3 7 3" xfId="26511"/>
    <cellStyle name="Currency 7 3 7 3 2" xfId="26512"/>
    <cellStyle name="Currency 7 3 7 3 2 2" xfId="26513"/>
    <cellStyle name="Currency 7 3 7 3 2 3" xfId="26514"/>
    <cellStyle name="Currency 7 3 7 3 2 4" xfId="26515"/>
    <cellStyle name="Currency 7 3 7 3 2 5" xfId="26516"/>
    <cellStyle name="Currency 7 3 7 3 2 6" xfId="26517"/>
    <cellStyle name="Currency 7 3 7 3 3" xfId="26518"/>
    <cellStyle name="Currency 7 3 7 3 4" xfId="26519"/>
    <cellStyle name="Currency 7 3 7 3 5" xfId="26520"/>
    <cellStyle name="Currency 7 3 7 3 6" xfId="26521"/>
    <cellStyle name="Currency 7 3 7 3 7" xfId="26522"/>
    <cellStyle name="Currency 7 3 7 4" xfId="26523"/>
    <cellStyle name="Currency 7 3 7 4 2" xfId="26524"/>
    <cellStyle name="Currency 7 3 7 4 3" xfId="26525"/>
    <cellStyle name="Currency 7 3 7 4 4" xfId="26526"/>
    <cellStyle name="Currency 7 3 7 4 5" xfId="26527"/>
    <cellStyle name="Currency 7 3 7 4 6" xfId="26528"/>
    <cellStyle name="Currency 7 3 7 5" xfId="26529"/>
    <cellStyle name="Currency 7 3 7 6" xfId="26530"/>
    <cellStyle name="Currency 7 3 7 7" xfId="26531"/>
    <cellStyle name="Currency 7 3 7 8" xfId="26532"/>
    <cellStyle name="Currency 7 3 7 9" xfId="26533"/>
    <cellStyle name="Currency 7 3 8" xfId="26534"/>
    <cellStyle name="Currency 7 3 8 2" xfId="26535"/>
    <cellStyle name="Currency 7 3 8 2 2" xfId="26536"/>
    <cellStyle name="Currency 7 3 8 2 2 2" xfId="26537"/>
    <cellStyle name="Currency 7 3 8 2 2 3" xfId="26538"/>
    <cellStyle name="Currency 7 3 8 2 2 4" xfId="26539"/>
    <cellStyle name="Currency 7 3 8 2 2 5" xfId="26540"/>
    <cellStyle name="Currency 7 3 8 2 2 6" xfId="26541"/>
    <cellStyle name="Currency 7 3 8 2 3" xfId="26542"/>
    <cellStyle name="Currency 7 3 8 2 4" xfId="26543"/>
    <cellStyle name="Currency 7 3 8 2 5" xfId="26544"/>
    <cellStyle name="Currency 7 3 8 2 6" xfId="26545"/>
    <cellStyle name="Currency 7 3 8 2 7" xfId="26546"/>
    <cellStyle name="Currency 7 3 8 3" xfId="26547"/>
    <cellStyle name="Currency 7 3 8 3 2" xfId="26548"/>
    <cellStyle name="Currency 7 3 8 3 3" xfId="26549"/>
    <cellStyle name="Currency 7 3 8 3 4" xfId="26550"/>
    <cellStyle name="Currency 7 3 8 3 5" xfId="26551"/>
    <cellStyle name="Currency 7 3 8 3 6" xfId="26552"/>
    <cellStyle name="Currency 7 3 8 4" xfId="26553"/>
    <cellStyle name="Currency 7 3 8 5" xfId="26554"/>
    <cellStyle name="Currency 7 3 8 6" xfId="26555"/>
    <cellStyle name="Currency 7 3 8 7" xfId="26556"/>
    <cellStyle name="Currency 7 3 8 8" xfId="26557"/>
    <cellStyle name="Currency 7 3 9" xfId="26558"/>
    <cellStyle name="Currency 7 3 9 2" xfId="26559"/>
    <cellStyle name="Currency 7 3 9 2 2" xfId="26560"/>
    <cellStyle name="Currency 7 3 9 2 3" xfId="26561"/>
    <cellStyle name="Currency 7 3 9 2 4" xfId="26562"/>
    <cellStyle name="Currency 7 3 9 2 5" xfId="26563"/>
    <cellStyle name="Currency 7 3 9 2 6" xfId="26564"/>
    <cellStyle name="Currency 7 3 9 3" xfId="26565"/>
    <cellStyle name="Currency 7 3 9 4" xfId="26566"/>
    <cellStyle name="Currency 7 3 9 5" xfId="26567"/>
    <cellStyle name="Currency 7 3 9 6" xfId="26568"/>
    <cellStyle name="Currency 7 3 9 7" xfId="26569"/>
    <cellStyle name="Currency 7 4" xfId="26570"/>
    <cellStyle name="Currency 7 4 10" xfId="26571"/>
    <cellStyle name="Currency 7 4 10 2" xfId="26572"/>
    <cellStyle name="Currency 7 4 10 3" xfId="26573"/>
    <cellStyle name="Currency 7 4 10 4" xfId="26574"/>
    <cellStyle name="Currency 7 4 10 5" xfId="26575"/>
    <cellStyle name="Currency 7 4 10 6" xfId="26576"/>
    <cellStyle name="Currency 7 4 11" xfId="26577"/>
    <cellStyle name="Currency 7 4 12" xfId="26578"/>
    <cellStyle name="Currency 7 4 13" xfId="26579"/>
    <cellStyle name="Currency 7 4 14" xfId="26580"/>
    <cellStyle name="Currency 7 4 15" xfId="26581"/>
    <cellStyle name="Currency 7 4 2" xfId="26582"/>
    <cellStyle name="Currency 7 4 2 10" xfId="26583"/>
    <cellStyle name="Currency 7 4 2 11" xfId="26584"/>
    <cellStyle name="Currency 7 4 2 12" xfId="26585"/>
    <cellStyle name="Currency 7 4 2 13" xfId="26586"/>
    <cellStyle name="Currency 7 4 2 14" xfId="26587"/>
    <cellStyle name="Currency 7 4 2 2" xfId="26588"/>
    <cellStyle name="Currency 7 4 2 2 2" xfId="26589"/>
    <cellStyle name="Currency 7 4 2 2 2 2" xfId="26590"/>
    <cellStyle name="Currency 7 4 2 2 2 2 2" xfId="26591"/>
    <cellStyle name="Currency 7 4 2 2 2 2 2 2" xfId="26592"/>
    <cellStyle name="Currency 7 4 2 2 2 2 2 3" xfId="26593"/>
    <cellStyle name="Currency 7 4 2 2 2 2 2 4" xfId="26594"/>
    <cellStyle name="Currency 7 4 2 2 2 2 2 5" xfId="26595"/>
    <cellStyle name="Currency 7 4 2 2 2 2 2 6" xfId="26596"/>
    <cellStyle name="Currency 7 4 2 2 2 2 3" xfId="26597"/>
    <cellStyle name="Currency 7 4 2 2 2 2 4" xfId="26598"/>
    <cellStyle name="Currency 7 4 2 2 2 2 5" xfId="26599"/>
    <cellStyle name="Currency 7 4 2 2 2 2 6" xfId="26600"/>
    <cellStyle name="Currency 7 4 2 2 2 2 7" xfId="26601"/>
    <cellStyle name="Currency 7 4 2 2 2 3" xfId="26602"/>
    <cellStyle name="Currency 7 4 2 2 2 3 2" xfId="26603"/>
    <cellStyle name="Currency 7 4 2 2 2 3 3" xfId="26604"/>
    <cellStyle name="Currency 7 4 2 2 2 3 4" xfId="26605"/>
    <cellStyle name="Currency 7 4 2 2 2 3 5" xfId="26606"/>
    <cellStyle name="Currency 7 4 2 2 2 3 6" xfId="26607"/>
    <cellStyle name="Currency 7 4 2 2 2 4" xfId="26608"/>
    <cellStyle name="Currency 7 4 2 2 2 5" xfId="26609"/>
    <cellStyle name="Currency 7 4 2 2 2 6" xfId="26610"/>
    <cellStyle name="Currency 7 4 2 2 2 7" xfId="26611"/>
    <cellStyle name="Currency 7 4 2 2 2 8" xfId="26612"/>
    <cellStyle name="Currency 7 4 2 2 3" xfId="26613"/>
    <cellStyle name="Currency 7 4 2 2 3 2" xfId="26614"/>
    <cellStyle name="Currency 7 4 2 2 3 2 2" xfId="26615"/>
    <cellStyle name="Currency 7 4 2 2 3 2 3" xfId="26616"/>
    <cellStyle name="Currency 7 4 2 2 3 2 4" xfId="26617"/>
    <cellStyle name="Currency 7 4 2 2 3 2 5" xfId="26618"/>
    <cellStyle name="Currency 7 4 2 2 3 2 6" xfId="26619"/>
    <cellStyle name="Currency 7 4 2 2 3 3" xfId="26620"/>
    <cellStyle name="Currency 7 4 2 2 3 4" xfId="26621"/>
    <cellStyle name="Currency 7 4 2 2 3 5" xfId="26622"/>
    <cellStyle name="Currency 7 4 2 2 3 6" xfId="26623"/>
    <cellStyle name="Currency 7 4 2 2 3 7" xfId="26624"/>
    <cellStyle name="Currency 7 4 2 2 4" xfId="26625"/>
    <cellStyle name="Currency 7 4 2 2 4 2" xfId="26626"/>
    <cellStyle name="Currency 7 4 2 2 4 3" xfId="26627"/>
    <cellStyle name="Currency 7 4 2 2 4 4" xfId="26628"/>
    <cellStyle name="Currency 7 4 2 2 4 5" xfId="26629"/>
    <cellStyle name="Currency 7 4 2 2 4 6" xfId="26630"/>
    <cellStyle name="Currency 7 4 2 2 5" xfId="26631"/>
    <cellStyle name="Currency 7 4 2 2 6" xfId="26632"/>
    <cellStyle name="Currency 7 4 2 2 7" xfId="26633"/>
    <cellStyle name="Currency 7 4 2 2 8" xfId="26634"/>
    <cellStyle name="Currency 7 4 2 2 9" xfId="26635"/>
    <cellStyle name="Currency 7 4 2 3" xfId="26636"/>
    <cellStyle name="Currency 7 4 2 3 2" xfId="26637"/>
    <cellStyle name="Currency 7 4 2 3 2 2" xfId="26638"/>
    <cellStyle name="Currency 7 4 2 3 2 2 2" xfId="26639"/>
    <cellStyle name="Currency 7 4 2 3 2 2 2 2" xfId="26640"/>
    <cellStyle name="Currency 7 4 2 3 2 2 2 3" xfId="26641"/>
    <cellStyle name="Currency 7 4 2 3 2 2 2 4" xfId="26642"/>
    <cellStyle name="Currency 7 4 2 3 2 2 2 5" xfId="26643"/>
    <cellStyle name="Currency 7 4 2 3 2 2 2 6" xfId="26644"/>
    <cellStyle name="Currency 7 4 2 3 2 2 3" xfId="26645"/>
    <cellStyle name="Currency 7 4 2 3 2 2 4" xfId="26646"/>
    <cellStyle name="Currency 7 4 2 3 2 2 5" xfId="26647"/>
    <cellStyle name="Currency 7 4 2 3 2 2 6" xfId="26648"/>
    <cellStyle name="Currency 7 4 2 3 2 2 7" xfId="26649"/>
    <cellStyle name="Currency 7 4 2 3 2 3" xfId="26650"/>
    <cellStyle name="Currency 7 4 2 3 2 3 2" xfId="26651"/>
    <cellStyle name="Currency 7 4 2 3 2 3 3" xfId="26652"/>
    <cellStyle name="Currency 7 4 2 3 2 3 4" xfId="26653"/>
    <cellStyle name="Currency 7 4 2 3 2 3 5" xfId="26654"/>
    <cellStyle name="Currency 7 4 2 3 2 3 6" xfId="26655"/>
    <cellStyle name="Currency 7 4 2 3 2 4" xfId="26656"/>
    <cellStyle name="Currency 7 4 2 3 2 5" xfId="26657"/>
    <cellStyle name="Currency 7 4 2 3 2 6" xfId="26658"/>
    <cellStyle name="Currency 7 4 2 3 2 7" xfId="26659"/>
    <cellStyle name="Currency 7 4 2 3 2 8" xfId="26660"/>
    <cellStyle name="Currency 7 4 2 3 3" xfId="26661"/>
    <cellStyle name="Currency 7 4 2 3 3 2" xfId="26662"/>
    <cellStyle name="Currency 7 4 2 3 3 2 2" xfId="26663"/>
    <cellStyle name="Currency 7 4 2 3 3 2 3" xfId="26664"/>
    <cellStyle name="Currency 7 4 2 3 3 2 4" xfId="26665"/>
    <cellStyle name="Currency 7 4 2 3 3 2 5" xfId="26666"/>
    <cellStyle name="Currency 7 4 2 3 3 2 6" xfId="26667"/>
    <cellStyle name="Currency 7 4 2 3 3 3" xfId="26668"/>
    <cellStyle name="Currency 7 4 2 3 3 4" xfId="26669"/>
    <cellStyle name="Currency 7 4 2 3 3 5" xfId="26670"/>
    <cellStyle name="Currency 7 4 2 3 3 6" xfId="26671"/>
    <cellStyle name="Currency 7 4 2 3 3 7" xfId="26672"/>
    <cellStyle name="Currency 7 4 2 3 4" xfId="26673"/>
    <cellStyle name="Currency 7 4 2 3 4 2" xfId="26674"/>
    <cellStyle name="Currency 7 4 2 3 4 3" xfId="26675"/>
    <cellStyle name="Currency 7 4 2 3 4 4" xfId="26676"/>
    <cellStyle name="Currency 7 4 2 3 4 5" xfId="26677"/>
    <cellStyle name="Currency 7 4 2 3 4 6" xfId="26678"/>
    <cellStyle name="Currency 7 4 2 3 5" xfId="26679"/>
    <cellStyle name="Currency 7 4 2 3 6" xfId="26680"/>
    <cellStyle name="Currency 7 4 2 3 7" xfId="26681"/>
    <cellStyle name="Currency 7 4 2 3 8" xfId="26682"/>
    <cellStyle name="Currency 7 4 2 3 9" xfId="26683"/>
    <cellStyle name="Currency 7 4 2 4" xfId="26684"/>
    <cellStyle name="Currency 7 4 2 4 2" xfId="26685"/>
    <cellStyle name="Currency 7 4 2 4 2 2" xfId="26686"/>
    <cellStyle name="Currency 7 4 2 4 2 2 2" xfId="26687"/>
    <cellStyle name="Currency 7 4 2 4 2 2 2 2" xfId="26688"/>
    <cellStyle name="Currency 7 4 2 4 2 2 2 3" xfId="26689"/>
    <cellStyle name="Currency 7 4 2 4 2 2 2 4" xfId="26690"/>
    <cellStyle name="Currency 7 4 2 4 2 2 2 5" xfId="26691"/>
    <cellStyle name="Currency 7 4 2 4 2 2 2 6" xfId="26692"/>
    <cellStyle name="Currency 7 4 2 4 2 2 3" xfId="26693"/>
    <cellStyle name="Currency 7 4 2 4 2 2 4" xfId="26694"/>
    <cellStyle name="Currency 7 4 2 4 2 2 5" xfId="26695"/>
    <cellStyle name="Currency 7 4 2 4 2 2 6" xfId="26696"/>
    <cellStyle name="Currency 7 4 2 4 2 2 7" xfId="26697"/>
    <cellStyle name="Currency 7 4 2 4 2 3" xfId="26698"/>
    <cellStyle name="Currency 7 4 2 4 2 3 2" xfId="26699"/>
    <cellStyle name="Currency 7 4 2 4 2 3 3" xfId="26700"/>
    <cellStyle name="Currency 7 4 2 4 2 3 4" xfId="26701"/>
    <cellStyle name="Currency 7 4 2 4 2 3 5" xfId="26702"/>
    <cellStyle name="Currency 7 4 2 4 2 3 6" xfId="26703"/>
    <cellStyle name="Currency 7 4 2 4 2 4" xfId="26704"/>
    <cellStyle name="Currency 7 4 2 4 2 5" xfId="26705"/>
    <cellStyle name="Currency 7 4 2 4 2 6" xfId="26706"/>
    <cellStyle name="Currency 7 4 2 4 2 7" xfId="26707"/>
    <cellStyle name="Currency 7 4 2 4 2 8" xfId="26708"/>
    <cellStyle name="Currency 7 4 2 4 3" xfId="26709"/>
    <cellStyle name="Currency 7 4 2 4 3 2" xfId="26710"/>
    <cellStyle name="Currency 7 4 2 4 3 2 2" xfId="26711"/>
    <cellStyle name="Currency 7 4 2 4 3 2 3" xfId="26712"/>
    <cellStyle name="Currency 7 4 2 4 3 2 4" xfId="26713"/>
    <cellStyle name="Currency 7 4 2 4 3 2 5" xfId="26714"/>
    <cellStyle name="Currency 7 4 2 4 3 2 6" xfId="26715"/>
    <cellStyle name="Currency 7 4 2 4 3 3" xfId="26716"/>
    <cellStyle name="Currency 7 4 2 4 3 4" xfId="26717"/>
    <cellStyle name="Currency 7 4 2 4 3 5" xfId="26718"/>
    <cellStyle name="Currency 7 4 2 4 3 6" xfId="26719"/>
    <cellStyle name="Currency 7 4 2 4 3 7" xfId="26720"/>
    <cellStyle name="Currency 7 4 2 4 4" xfId="26721"/>
    <cellStyle name="Currency 7 4 2 4 4 2" xfId="26722"/>
    <cellStyle name="Currency 7 4 2 4 4 3" xfId="26723"/>
    <cellStyle name="Currency 7 4 2 4 4 4" xfId="26724"/>
    <cellStyle name="Currency 7 4 2 4 4 5" xfId="26725"/>
    <cellStyle name="Currency 7 4 2 4 4 6" xfId="26726"/>
    <cellStyle name="Currency 7 4 2 4 5" xfId="26727"/>
    <cellStyle name="Currency 7 4 2 4 6" xfId="26728"/>
    <cellStyle name="Currency 7 4 2 4 7" xfId="26729"/>
    <cellStyle name="Currency 7 4 2 4 8" xfId="26730"/>
    <cellStyle name="Currency 7 4 2 4 9" xfId="26731"/>
    <cellStyle name="Currency 7 4 2 5" xfId="26732"/>
    <cellStyle name="Currency 7 4 2 5 2" xfId="26733"/>
    <cellStyle name="Currency 7 4 2 5 2 2" xfId="26734"/>
    <cellStyle name="Currency 7 4 2 5 2 2 2" xfId="26735"/>
    <cellStyle name="Currency 7 4 2 5 2 2 2 2" xfId="26736"/>
    <cellStyle name="Currency 7 4 2 5 2 2 2 3" xfId="26737"/>
    <cellStyle name="Currency 7 4 2 5 2 2 2 4" xfId="26738"/>
    <cellStyle name="Currency 7 4 2 5 2 2 2 5" xfId="26739"/>
    <cellStyle name="Currency 7 4 2 5 2 2 2 6" xfId="26740"/>
    <cellStyle name="Currency 7 4 2 5 2 2 3" xfId="26741"/>
    <cellStyle name="Currency 7 4 2 5 2 2 4" xfId="26742"/>
    <cellStyle name="Currency 7 4 2 5 2 2 5" xfId="26743"/>
    <cellStyle name="Currency 7 4 2 5 2 2 6" xfId="26744"/>
    <cellStyle name="Currency 7 4 2 5 2 2 7" xfId="26745"/>
    <cellStyle name="Currency 7 4 2 5 2 3" xfId="26746"/>
    <cellStyle name="Currency 7 4 2 5 2 3 2" xfId="26747"/>
    <cellStyle name="Currency 7 4 2 5 2 3 3" xfId="26748"/>
    <cellStyle name="Currency 7 4 2 5 2 3 4" xfId="26749"/>
    <cellStyle name="Currency 7 4 2 5 2 3 5" xfId="26750"/>
    <cellStyle name="Currency 7 4 2 5 2 3 6" xfId="26751"/>
    <cellStyle name="Currency 7 4 2 5 2 4" xfId="26752"/>
    <cellStyle name="Currency 7 4 2 5 2 5" xfId="26753"/>
    <cellStyle name="Currency 7 4 2 5 2 6" xfId="26754"/>
    <cellStyle name="Currency 7 4 2 5 2 7" xfId="26755"/>
    <cellStyle name="Currency 7 4 2 5 2 8" xfId="26756"/>
    <cellStyle name="Currency 7 4 2 5 3" xfId="26757"/>
    <cellStyle name="Currency 7 4 2 5 3 2" xfId="26758"/>
    <cellStyle name="Currency 7 4 2 5 3 2 2" xfId="26759"/>
    <cellStyle name="Currency 7 4 2 5 3 2 3" xfId="26760"/>
    <cellStyle name="Currency 7 4 2 5 3 2 4" xfId="26761"/>
    <cellStyle name="Currency 7 4 2 5 3 2 5" xfId="26762"/>
    <cellStyle name="Currency 7 4 2 5 3 2 6" xfId="26763"/>
    <cellStyle name="Currency 7 4 2 5 3 3" xfId="26764"/>
    <cellStyle name="Currency 7 4 2 5 3 4" xfId="26765"/>
    <cellStyle name="Currency 7 4 2 5 3 5" xfId="26766"/>
    <cellStyle name="Currency 7 4 2 5 3 6" xfId="26767"/>
    <cellStyle name="Currency 7 4 2 5 3 7" xfId="26768"/>
    <cellStyle name="Currency 7 4 2 5 4" xfId="26769"/>
    <cellStyle name="Currency 7 4 2 5 4 2" xfId="26770"/>
    <cellStyle name="Currency 7 4 2 5 4 3" xfId="26771"/>
    <cellStyle name="Currency 7 4 2 5 4 4" xfId="26772"/>
    <cellStyle name="Currency 7 4 2 5 4 5" xfId="26773"/>
    <cellStyle name="Currency 7 4 2 5 4 6" xfId="26774"/>
    <cellStyle name="Currency 7 4 2 5 5" xfId="26775"/>
    <cellStyle name="Currency 7 4 2 5 6" xfId="26776"/>
    <cellStyle name="Currency 7 4 2 5 7" xfId="26777"/>
    <cellStyle name="Currency 7 4 2 5 8" xfId="26778"/>
    <cellStyle name="Currency 7 4 2 5 9" xfId="26779"/>
    <cellStyle name="Currency 7 4 2 6" xfId="26780"/>
    <cellStyle name="Currency 7 4 2 6 2" xfId="26781"/>
    <cellStyle name="Currency 7 4 2 6 2 2" xfId="26782"/>
    <cellStyle name="Currency 7 4 2 6 2 2 2" xfId="26783"/>
    <cellStyle name="Currency 7 4 2 6 2 2 2 2" xfId="26784"/>
    <cellStyle name="Currency 7 4 2 6 2 2 2 3" xfId="26785"/>
    <cellStyle name="Currency 7 4 2 6 2 2 2 4" xfId="26786"/>
    <cellStyle name="Currency 7 4 2 6 2 2 2 5" xfId="26787"/>
    <cellStyle name="Currency 7 4 2 6 2 2 2 6" xfId="26788"/>
    <cellStyle name="Currency 7 4 2 6 2 2 3" xfId="26789"/>
    <cellStyle name="Currency 7 4 2 6 2 2 4" xfId="26790"/>
    <cellStyle name="Currency 7 4 2 6 2 2 5" xfId="26791"/>
    <cellStyle name="Currency 7 4 2 6 2 2 6" xfId="26792"/>
    <cellStyle name="Currency 7 4 2 6 2 2 7" xfId="26793"/>
    <cellStyle name="Currency 7 4 2 6 2 3" xfId="26794"/>
    <cellStyle name="Currency 7 4 2 6 2 3 2" xfId="26795"/>
    <cellStyle name="Currency 7 4 2 6 2 3 3" xfId="26796"/>
    <cellStyle name="Currency 7 4 2 6 2 3 4" xfId="26797"/>
    <cellStyle name="Currency 7 4 2 6 2 3 5" xfId="26798"/>
    <cellStyle name="Currency 7 4 2 6 2 3 6" xfId="26799"/>
    <cellStyle name="Currency 7 4 2 6 2 4" xfId="26800"/>
    <cellStyle name="Currency 7 4 2 6 2 5" xfId="26801"/>
    <cellStyle name="Currency 7 4 2 6 2 6" xfId="26802"/>
    <cellStyle name="Currency 7 4 2 6 2 7" xfId="26803"/>
    <cellStyle name="Currency 7 4 2 6 2 8" xfId="26804"/>
    <cellStyle name="Currency 7 4 2 6 3" xfId="26805"/>
    <cellStyle name="Currency 7 4 2 6 3 2" xfId="26806"/>
    <cellStyle name="Currency 7 4 2 6 3 2 2" xfId="26807"/>
    <cellStyle name="Currency 7 4 2 6 3 2 3" xfId="26808"/>
    <cellStyle name="Currency 7 4 2 6 3 2 4" xfId="26809"/>
    <cellStyle name="Currency 7 4 2 6 3 2 5" xfId="26810"/>
    <cellStyle name="Currency 7 4 2 6 3 2 6" xfId="26811"/>
    <cellStyle name="Currency 7 4 2 6 3 3" xfId="26812"/>
    <cellStyle name="Currency 7 4 2 6 3 4" xfId="26813"/>
    <cellStyle name="Currency 7 4 2 6 3 5" xfId="26814"/>
    <cellStyle name="Currency 7 4 2 6 3 6" xfId="26815"/>
    <cellStyle name="Currency 7 4 2 6 3 7" xfId="26816"/>
    <cellStyle name="Currency 7 4 2 6 4" xfId="26817"/>
    <cellStyle name="Currency 7 4 2 6 4 2" xfId="26818"/>
    <cellStyle name="Currency 7 4 2 6 4 3" xfId="26819"/>
    <cellStyle name="Currency 7 4 2 6 4 4" xfId="26820"/>
    <cellStyle name="Currency 7 4 2 6 4 5" xfId="26821"/>
    <cellStyle name="Currency 7 4 2 6 4 6" xfId="26822"/>
    <cellStyle name="Currency 7 4 2 6 5" xfId="26823"/>
    <cellStyle name="Currency 7 4 2 6 6" xfId="26824"/>
    <cellStyle name="Currency 7 4 2 6 7" xfId="26825"/>
    <cellStyle name="Currency 7 4 2 6 8" xfId="26826"/>
    <cellStyle name="Currency 7 4 2 6 9" xfId="26827"/>
    <cellStyle name="Currency 7 4 2 7" xfId="26828"/>
    <cellStyle name="Currency 7 4 2 7 2" xfId="26829"/>
    <cellStyle name="Currency 7 4 2 7 2 2" xfId="26830"/>
    <cellStyle name="Currency 7 4 2 7 2 2 2" xfId="26831"/>
    <cellStyle name="Currency 7 4 2 7 2 2 3" xfId="26832"/>
    <cellStyle name="Currency 7 4 2 7 2 2 4" xfId="26833"/>
    <cellStyle name="Currency 7 4 2 7 2 2 5" xfId="26834"/>
    <cellStyle name="Currency 7 4 2 7 2 2 6" xfId="26835"/>
    <cellStyle name="Currency 7 4 2 7 2 3" xfId="26836"/>
    <cellStyle name="Currency 7 4 2 7 2 4" xfId="26837"/>
    <cellStyle name="Currency 7 4 2 7 2 5" xfId="26838"/>
    <cellStyle name="Currency 7 4 2 7 2 6" xfId="26839"/>
    <cellStyle name="Currency 7 4 2 7 2 7" xfId="26840"/>
    <cellStyle name="Currency 7 4 2 7 3" xfId="26841"/>
    <cellStyle name="Currency 7 4 2 7 3 2" xfId="26842"/>
    <cellStyle name="Currency 7 4 2 7 3 3" xfId="26843"/>
    <cellStyle name="Currency 7 4 2 7 3 4" xfId="26844"/>
    <cellStyle name="Currency 7 4 2 7 3 5" xfId="26845"/>
    <cellStyle name="Currency 7 4 2 7 3 6" xfId="26846"/>
    <cellStyle name="Currency 7 4 2 7 4" xfId="26847"/>
    <cellStyle name="Currency 7 4 2 7 5" xfId="26848"/>
    <cellStyle name="Currency 7 4 2 7 6" xfId="26849"/>
    <cellStyle name="Currency 7 4 2 7 7" xfId="26850"/>
    <cellStyle name="Currency 7 4 2 7 8" xfId="26851"/>
    <cellStyle name="Currency 7 4 2 8" xfId="26852"/>
    <cellStyle name="Currency 7 4 2 8 2" xfId="26853"/>
    <cellStyle name="Currency 7 4 2 8 2 2" xfId="26854"/>
    <cellStyle name="Currency 7 4 2 8 2 3" xfId="26855"/>
    <cellStyle name="Currency 7 4 2 8 2 4" xfId="26856"/>
    <cellStyle name="Currency 7 4 2 8 2 5" xfId="26857"/>
    <cellStyle name="Currency 7 4 2 8 2 6" xfId="26858"/>
    <cellStyle name="Currency 7 4 2 8 3" xfId="26859"/>
    <cellStyle name="Currency 7 4 2 8 4" xfId="26860"/>
    <cellStyle name="Currency 7 4 2 8 5" xfId="26861"/>
    <cellStyle name="Currency 7 4 2 8 6" xfId="26862"/>
    <cellStyle name="Currency 7 4 2 8 7" xfId="26863"/>
    <cellStyle name="Currency 7 4 2 9" xfId="26864"/>
    <cellStyle name="Currency 7 4 2 9 2" xfId="26865"/>
    <cellStyle name="Currency 7 4 2 9 3" xfId="26866"/>
    <cellStyle name="Currency 7 4 2 9 4" xfId="26867"/>
    <cellStyle name="Currency 7 4 2 9 5" xfId="26868"/>
    <cellStyle name="Currency 7 4 2 9 6" xfId="26869"/>
    <cellStyle name="Currency 7 4 3" xfId="26870"/>
    <cellStyle name="Currency 7 4 3 2" xfId="26871"/>
    <cellStyle name="Currency 7 4 3 2 2" xfId="26872"/>
    <cellStyle name="Currency 7 4 3 2 2 2" xfId="26873"/>
    <cellStyle name="Currency 7 4 3 2 2 2 2" xfId="26874"/>
    <cellStyle name="Currency 7 4 3 2 2 2 3" xfId="26875"/>
    <cellStyle name="Currency 7 4 3 2 2 2 4" xfId="26876"/>
    <cellStyle name="Currency 7 4 3 2 2 2 5" xfId="26877"/>
    <cellStyle name="Currency 7 4 3 2 2 2 6" xfId="26878"/>
    <cellStyle name="Currency 7 4 3 2 2 3" xfId="26879"/>
    <cellStyle name="Currency 7 4 3 2 2 4" xfId="26880"/>
    <cellStyle name="Currency 7 4 3 2 2 5" xfId="26881"/>
    <cellStyle name="Currency 7 4 3 2 2 6" xfId="26882"/>
    <cellStyle name="Currency 7 4 3 2 2 7" xfId="26883"/>
    <cellStyle name="Currency 7 4 3 2 3" xfId="26884"/>
    <cellStyle name="Currency 7 4 3 2 3 2" xfId="26885"/>
    <cellStyle name="Currency 7 4 3 2 3 3" xfId="26886"/>
    <cellStyle name="Currency 7 4 3 2 3 4" xfId="26887"/>
    <cellStyle name="Currency 7 4 3 2 3 5" xfId="26888"/>
    <cellStyle name="Currency 7 4 3 2 3 6" xfId="26889"/>
    <cellStyle name="Currency 7 4 3 2 4" xfId="26890"/>
    <cellStyle name="Currency 7 4 3 2 5" xfId="26891"/>
    <cellStyle name="Currency 7 4 3 2 6" xfId="26892"/>
    <cellStyle name="Currency 7 4 3 2 7" xfId="26893"/>
    <cellStyle name="Currency 7 4 3 2 8" xfId="26894"/>
    <cellStyle name="Currency 7 4 3 3" xfId="26895"/>
    <cellStyle name="Currency 7 4 3 3 2" xfId="26896"/>
    <cellStyle name="Currency 7 4 3 3 2 2" xfId="26897"/>
    <cellStyle name="Currency 7 4 3 3 2 3" xfId="26898"/>
    <cellStyle name="Currency 7 4 3 3 2 4" xfId="26899"/>
    <cellStyle name="Currency 7 4 3 3 2 5" xfId="26900"/>
    <cellStyle name="Currency 7 4 3 3 2 6" xfId="26901"/>
    <cellStyle name="Currency 7 4 3 3 3" xfId="26902"/>
    <cellStyle name="Currency 7 4 3 3 4" xfId="26903"/>
    <cellStyle name="Currency 7 4 3 3 5" xfId="26904"/>
    <cellStyle name="Currency 7 4 3 3 6" xfId="26905"/>
    <cellStyle name="Currency 7 4 3 3 7" xfId="26906"/>
    <cellStyle name="Currency 7 4 3 4" xfId="26907"/>
    <cellStyle name="Currency 7 4 3 4 2" xfId="26908"/>
    <cellStyle name="Currency 7 4 3 4 3" xfId="26909"/>
    <cellStyle name="Currency 7 4 3 4 4" xfId="26910"/>
    <cellStyle name="Currency 7 4 3 4 5" xfId="26911"/>
    <cellStyle name="Currency 7 4 3 4 6" xfId="26912"/>
    <cellStyle name="Currency 7 4 3 5" xfId="26913"/>
    <cellStyle name="Currency 7 4 3 6" xfId="26914"/>
    <cellStyle name="Currency 7 4 3 7" xfId="26915"/>
    <cellStyle name="Currency 7 4 3 8" xfId="26916"/>
    <cellStyle name="Currency 7 4 3 9" xfId="26917"/>
    <cellStyle name="Currency 7 4 4" xfId="26918"/>
    <cellStyle name="Currency 7 4 4 2" xfId="26919"/>
    <cellStyle name="Currency 7 4 4 2 2" xfId="26920"/>
    <cellStyle name="Currency 7 4 4 2 2 2" xfId="26921"/>
    <cellStyle name="Currency 7 4 4 2 2 2 2" xfId="26922"/>
    <cellStyle name="Currency 7 4 4 2 2 2 3" xfId="26923"/>
    <cellStyle name="Currency 7 4 4 2 2 2 4" xfId="26924"/>
    <cellStyle name="Currency 7 4 4 2 2 2 5" xfId="26925"/>
    <cellStyle name="Currency 7 4 4 2 2 2 6" xfId="26926"/>
    <cellStyle name="Currency 7 4 4 2 2 3" xfId="26927"/>
    <cellStyle name="Currency 7 4 4 2 2 4" xfId="26928"/>
    <cellStyle name="Currency 7 4 4 2 2 5" xfId="26929"/>
    <cellStyle name="Currency 7 4 4 2 2 6" xfId="26930"/>
    <cellStyle name="Currency 7 4 4 2 2 7" xfId="26931"/>
    <cellStyle name="Currency 7 4 4 2 3" xfId="26932"/>
    <cellStyle name="Currency 7 4 4 2 3 2" xfId="26933"/>
    <cellStyle name="Currency 7 4 4 2 3 3" xfId="26934"/>
    <cellStyle name="Currency 7 4 4 2 3 4" xfId="26935"/>
    <cellStyle name="Currency 7 4 4 2 3 5" xfId="26936"/>
    <cellStyle name="Currency 7 4 4 2 3 6" xfId="26937"/>
    <cellStyle name="Currency 7 4 4 2 4" xfId="26938"/>
    <cellStyle name="Currency 7 4 4 2 5" xfId="26939"/>
    <cellStyle name="Currency 7 4 4 2 6" xfId="26940"/>
    <cellStyle name="Currency 7 4 4 2 7" xfId="26941"/>
    <cellStyle name="Currency 7 4 4 2 8" xfId="26942"/>
    <cellStyle name="Currency 7 4 4 3" xfId="26943"/>
    <cellStyle name="Currency 7 4 4 3 2" xfId="26944"/>
    <cellStyle name="Currency 7 4 4 3 2 2" xfId="26945"/>
    <cellStyle name="Currency 7 4 4 3 2 3" xfId="26946"/>
    <cellStyle name="Currency 7 4 4 3 2 4" xfId="26947"/>
    <cellStyle name="Currency 7 4 4 3 2 5" xfId="26948"/>
    <cellStyle name="Currency 7 4 4 3 2 6" xfId="26949"/>
    <cellStyle name="Currency 7 4 4 3 3" xfId="26950"/>
    <cellStyle name="Currency 7 4 4 3 4" xfId="26951"/>
    <cellStyle name="Currency 7 4 4 3 5" xfId="26952"/>
    <cellStyle name="Currency 7 4 4 3 6" xfId="26953"/>
    <cellStyle name="Currency 7 4 4 3 7" xfId="26954"/>
    <cellStyle name="Currency 7 4 4 4" xfId="26955"/>
    <cellStyle name="Currency 7 4 4 4 2" xfId="26956"/>
    <cellStyle name="Currency 7 4 4 4 3" xfId="26957"/>
    <cellStyle name="Currency 7 4 4 4 4" xfId="26958"/>
    <cellStyle name="Currency 7 4 4 4 5" xfId="26959"/>
    <cellStyle name="Currency 7 4 4 4 6" xfId="26960"/>
    <cellStyle name="Currency 7 4 4 5" xfId="26961"/>
    <cellStyle name="Currency 7 4 4 6" xfId="26962"/>
    <cellStyle name="Currency 7 4 4 7" xfId="26963"/>
    <cellStyle name="Currency 7 4 4 8" xfId="26964"/>
    <cellStyle name="Currency 7 4 4 9" xfId="26965"/>
    <cellStyle name="Currency 7 4 5" xfId="26966"/>
    <cellStyle name="Currency 7 4 5 2" xfId="26967"/>
    <cellStyle name="Currency 7 4 5 2 2" xfId="26968"/>
    <cellStyle name="Currency 7 4 5 2 2 2" xfId="26969"/>
    <cellStyle name="Currency 7 4 5 2 2 2 2" xfId="26970"/>
    <cellStyle name="Currency 7 4 5 2 2 2 3" xfId="26971"/>
    <cellStyle name="Currency 7 4 5 2 2 2 4" xfId="26972"/>
    <cellStyle name="Currency 7 4 5 2 2 2 5" xfId="26973"/>
    <cellStyle name="Currency 7 4 5 2 2 2 6" xfId="26974"/>
    <cellStyle name="Currency 7 4 5 2 2 3" xfId="26975"/>
    <cellStyle name="Currency 7 4 5 2 2 4" xfId="26976"/>
    <cellStyle name="Currency 7 4 5 2 2 5" xfId="26977"/>
    <cellStyle name="Currency 7 4 5 2 2 6" xfId="26978"/>
    <cellStyle name="Currency 7 4 5 2 2 7" xfId="26979"/>
    <cellStyle name="Currency 7 4 5 2 3" xfId="26980"/>
    <cellStyle name="Currency 7 4 5 2 3 2" xfId="26981"/>
    <cellStyle name="Currency 7 4 5 2 3 3" xfId="26982"/>
    <cellStyle name="Currency 7 4 5 2 3 4" xfId="26983"/>
    <cellStyle name="Currency 7 4 5 2 3 5" xfId="26984"/>
    <cellStyle name="Currency 7 4 5 2 3 6" xfId="26985"/>
    <cellStyle name="Currency 7 4 5 2 4" xfId="26986"/>
    <cellStyle name="Currency 7 4 5 2 5" xfId="26987"/>
    <cellStyle name="Currency 7 4 5 2 6" xfId="26988"/>
    <cellStyle name="Currency 7 4 5 2 7" xfId="26989"/>
    <cellStyle name="Currency 7 4 5 2 8" xfId="26990"/>
    <cellStyle name="Currency 7 4 5 3" xfId="26991"/>
    <cellStyle name="Currency 7 4 5 3 2" xfId="26992"/>
    <cellStyle name="Currency 7 4 5 3 2 2" xfId="26993"/>
    <cellStyle name="Currency 7 4 5 3 2 3" xfId="26994"/>
    <cellStyle name="Currency 7 4 5 3 2 4" xfId="26995"/>
    <cellStyle name="Currency 7 4 5 3 2 5" xfId="26996"/>
    <cellStyle name="Currency 7 4 5 3 2 6" xfId="26997"/>
    <cellStyle name="Currency 7 4 5 3 3" xfId="26998"/>
    <cellStyle name="Currency 7 4 5 3 4" xfId="26999"/>
    <cellStyle name="Currency 7 4 5 3 5" xfId="27000"/>
    <cellStyle name="Currency 7 4 5 3 6" xfId="27001"/>
    <cellStyle name="Currency 7 4 5 3 7" xfId="27002"/>
    <cellStyle name="Currency 7 4 5 4" xfId="27003"/>
    <cellStyle name="Currency 7 4 5 4 2" xfId="27004"/>
    <cellStyle name="Currency 7 4 5 4 3" xfId="27005"/>
    <cellStyle name="Currency 7 4 5 4 4" xfId="27006"/>
    <cellStyle name="Currency 7 4 5 4 5" xfId="27007"/>
    <cellStyle name="Currency 7 4 5 4 6" xfId="27008"/>
    <cellStyle name="Currency 7 4 5 5" xfId="27009"/>
    <cellStyle name="Currency 7 4 5 6" xfId="27010"/>
    <cellStyle name="Currency 7 4 5 7" xfId="27011"/>
    <cellStyle name="Currency 7 4 5 8" xfId="27012"/>
    <cellStyle name="Currency 7 4 5 9" xfId="27013"/>
    <cellStyle name="Currency 7 4 6" xfId="27014"/>
    <cellStyle name="Currency 7 4 6 2" xfId="27015"/>
    <cellStyle name="Currency 7 4 6 2 2" xfId="27016"/>
    <cellStyle name="Currency 7 4 6 2 2 2" xfId="27017"/>
    <cellStyle name="Currency 7 4 6 2 2 2 2" xfId="27018"/>
    <cellStyle name="Currency 7 4 6 2 2 2 3" xfId="27019"/>
    <cellStyle name="Currency 7 4 6 2 2 2 4" xfId="27020"/>
    <cellStyle name="Currency 7 4 6 2 2 2 5" xfId="27021"/>
    <cellStyle name="Currency 7 4 6 2 2 2 6" xfId="27022"/>
    <cellStyle name="Currency 7 4 6 2 2 3" xfId="27023"/>
    <cellStyle name="Currency 7 4 6 2 2 4" xfId="27024"/>
    <cellStyle name="Currency 7 4 6 2 2 5" xfId="27025"/>
    <cellStyle name="Currency 7 4 6 2 2 6" xfId="27026"/>
    <cellStyle name="Currency 7 4 6 2 2 7" xfId="27027"/>
    <cellStyle name="Currency 7 4 6 2 3" xfId="27028"/>
    <cellStyle name="Currency 7 4 6 2 3 2" xfId="27029"/>
    <cellStyle name="Currency 7 4 6 2 3 3" xfId="27030"/>
    <cellStyle name="Currency 7 4 6 2 3 4" xfId="27031"/>
    <cellStyle name="Currency 7 4 6 2 3 5" xfId="27032"/>
    <cellStyle name="Currency 7 4 6 2 3 6" xfId="27033"/>
    <cellStyle name="Currency 7 4 6 2 4" xfId="27034"/>
    <cellStyle name="Currency 7 4 6 2 5" xfId="27035"/>
    <cellStyle name="Currency 7 4 6 2 6" xfId="27036"/>
    <cellStyle name="Currency 7 4 6 2 7" xfId="27037"/>
    <cellStyle name="Currency 7 4 6 2 8" xfId="27038"/>
    <cellStyle name="Currency 7 4 6 3" xfId="27039"/>
    <cellStyle name="Currency 7 4 6 3 2" xfId="27040"/>
    <cellStyle name="Currency 7 4 6 3 2 2" xfId="27041"/>
    <cellStyle name="Currency 7 4 6 3 2 3" xfId="27042"/>
    <cellStyle name="Currency 7 4 6 3 2 4" xfId="27043"/>
    <cellStyle name="Currency 7 4 6 3 2 5" xfId="27044"/>
    <cellStyle name="Currency 7 4 6 3 2 6" xfId="27045"/>
    <cellStyle name="Currency 7 4 6 3 3" xfId="27046"/>
    <cellStyle name="Currency 7 4 6 3 4" xfId="27047"/>
    <cellStyle name="Currency 7 4 6 3 5" xfId="27048"/>
    <cellStyle name="Currency 7 4 6 3 6" xfId="27049"/>
    <cellStyle name="Currency 7 4 6 3 7" xfId="27050"/>
    <cellStyle name="Currency 7 4 6 4" xfId="27051"/>
    <cellStyle name="Currency 7 4 6 4 2" xfId="27052"/>
    <cellStyle name="Currency 7 4 6 4 3" xfId="27053"/>
    <cellStyle name="Currency 7 4 6 4 4" xfId="27054"/>
    <cellStyle name="Currency 7 4 6 4 5" xfId="27055"/>
    <cellStyle name="Currency 7 4 6 4 6" xfId="27056"/>
    <cellStyle name="Currency 7 4 6 5" xfId="27057"/>
    <cellStyle name="Currency 7 4 6 6" xfId="27058"/>
    <cellStyle name="Currency 7 4 6 7" xfId="27059"/>
    <cellStyle name="Currency 7 4 6 8" xfId="27060"/>
    <cellStyle name="Currency 7 4 6 9" xfId="27061"/>
    <cellStyle name="Currency 7 4 7" xfId="27062"/>
    <cellStyle name="Currency 7 4 7 2" xfId="27063"/>
    <cellStyle name="Currency 7 4 7 2 2" xfId="27064"/>
    <cellStyle name="Currency 7 4 7 2 2 2" xfId="27065"/>
    <cellStyle name="Currency 7 4 7 2 2 2 2" xfId="27066"/>
    <cellStyle name="Currency 7 4 7 2 2 2 3" xfId="27067"/>
    <cellStyle name="Currency 7 4 7 2 2 2 4" xfId="27068"/>
    <cellStyle name="Currency 7 4 7 2 2 2 5" xfId="27069"/>
    <cellStyle name="Currency 7 4 7 2 2 2 6" xfId="27070"/>
    <cellStyle name="Currency 7 4 7 2 2 3" xfId="27071"/>
    <cellStyle name="Currency 7 4 7 2 2 4" xfId="27072"/>
    <cellStyle name="Currency 7 4 7 2 2 5" xfId="27073"/>
    <cellStyle name="Currency 7 4 7 2 2 6" xfId="27074"/>
    <cellStyle name="Currency 7 4 7 2 2 7" xfId="27075"/>
    <cellStyle name="Currency 7 4 7 2 3" xfId="27076"/>
    <cellStyle name="Currency 7 4 7 2 3 2" xfId="27077"/>
    <cellStyle name="Currency 7 4 7 2 3 3" xfId="27078"/>
    <cellStyle name="Currency 7 4 7 2 3 4" xfId="27079"/>
    <cellStyle name="Currency 7 4 7 2 3 5" xfId="27080"/>
    <cellStyle name="Currency 7 4 7 2 3 6" xfId="27081"/>
    <cellStyle name="Currency 7 4 7 2 4" xfId="27082"/>
    <cellStyle name="Currency 7 4 7 2 5" xfId="27083"/>
    <cellStyle name="Currency 7 4 7 2 6" xfId="27084"/>
    <cellStyle name="Currency 7 4 7 2 7" xfId="27085"/>
    <cellStyle name="Currency 7 4 7 2 8" xfId="27086"/>
    <cellStyle name="Currency 7 4 7 3" xfId="27087"/>
    <cellStyle name="Currency 7 4 7 3 2" xfId="27088"/>
    <cellStyle name="Currency 7 4 7 3 2 2" xfId="27089"/>
    <cellStyle name="Currency 7 4 7 3 2 3" xfId="27090"/>
    <cellStyle name="Currency 7 4 7 3 2 4" xfId="27091"/>
    <cellStyle name="Currency 7 4 7 3 2 5" xfId="27092"/>
    <cellStyle name="Currency 7 4 7 3 2 6" xfId="27093"/>
    <cellStyle name="Currency 7 4 7 3 3" xfId="27094"/>
    <cellStyle name="Currency 7 4 7 3 4" xfId="27095"/>
    <cellStyle name="Currency 7 4 7 3 5" xfId="27096"/>
    <cellStyle name="Currency 7 4 7 3 6" xfId="27097"/>
    <cellStyle name="Currency 7 4 7 3 7" xfId="27098"/>
    <cellStyle name="Currency 7 4 7 4" xfId="27099"/>
    <cellStyle name="Currency 7 4 7 4 2" xfId="27100"/>
    <cellStyle name="Currency 7 4 7 4 3" xfId="27101"/>
    <cellStyle name="Currency 7 4 7 4 4" xfId="27102"/>
    <cellStyle name="Currency 7 4 7 4 5" xfId="27103"/>
    <cellStyle name="Currency 7 4 7 4 6" xfId="27104"/>
    <cellStyle name="Currency 7 4 7 5" xfId="27105"/>
    <cellStyle name="Currency 7 4 7 6" xfId="27106"/>
    <cellStyle name="Currency 7 4 7 7" xfId="27107"/>
    <cellStyle name="Currency 7 4 7 8" xfId="27108"/>
    <cellStyle name="Currency 7 4 7 9" xfId="27109"/>
    <cellStyle name="Currency 7 4 8" xfId="27110"/>
    <cellStyle name="Currency 7 4 8 2" xfId="27111"/>
    <cellStyle name="Currency 7 4 8 2 2" xfId="27112"/>
    <cellStyle name="Currency 7 4 8 2 2 2" xfId="27113"/>
    <cellStyle name="Currency 7 4 8 2 2 3" xfId="27114"/>
    <cellStyle name="Currency 7 4 8 2 2 4" xfId="27115"/>
    <cellStyle name="Currency 7 4 8 2 2 5" xfId="27116"/>
    <cellStyle name="Currency 7 4 8 2 2 6" xfId="27117"/>
    <cellStyle name="Currency 7 4 8 2 3" xfId="27118"/>
    <cellStyle name="Currency 7 4 8 2 4" xfId="27119"/>
    <cellStyle name="Currency 7 4 8 2 5" xfId="27120"/>
    <cellStyle name="Currency 7 4 8 2 6" xfId="27121"/>
    <cellStyle name="Currency 7 4 8 2 7" xfId="27122"/>
    <cellStyle name="Currency 7 4 8 3" xfId="27123"/>
    <cellStyle name="Currency 7 4 8 3 2" xfId="27124"/>
    <cellStyle name="Currency 7 4 8 3 3" xfId="27125"/>
    <cellStyle name="Currency 7 4 8 3 4" xfId="27126"/>
    <cellStyle name="Currency 7 4 8 3 5" xfId="27127"/>
    <cellStyle name="Currency 7 4 8 3 6" xfId="27128"/>
    <cellStyle name="Currency 7 4 8 4" xfId="27129"/>
    <cellStyle name="Currency 7 4 8 5" xfId="27130"/>
    <cellStyle name="Currency 7 4 8 6" xfId="27131"/>
    <cellStyle name="Currency 7 4 8 7" xfId="27132"/>
    <cellStyle name="Currency 7 4 8 8" xfId="27133"/>
    <cellStyle name="Currency 7 4 9" xfId="27134"/>
    <cellStyle name="Currency 7 4 9 2" xfId="27135"/>
    <cellStyle name="Currency 7 4 9 2 2" xfId="27136"/>
    <cellStyle name="Currency 7 4 9 2 3" xfId="27137"/>
    <cellStyle name="Currency 7 4 9 2 4" xfId="27138"/>
    <cellStyle name="Currency 7 4 9 2 5" xfId="27139"/>
    <cellStyle name="Currency 7 4 9 2 6" xfId="27140"/>
    <cellStyle name="Currency 7 4 9 3" xfId="27141"/>
    <cellStyle name="Currency 7 4 9 4" xfId="27142"/>
    <cellStyle name="Currency 7 4 9 5" xfId="27143"/>
    <cellStyle name="Currency 7 4 9 6" xfId="27144"/>
    <cellStyle name="Currency 7 4 9 7" xfId="27145"/>
    <cellStyle name="Currency 7 5" xfId="27146"/>
    <cellStyle name="Currency 7 5 10" xfId="27147"/>
    <cellStyle name="Currency 7 5 11" xfId="27148"/>
    <cellStyle name="Currency 7 5 12" xfId="27149"/>
    <cellStyle name="Currency 7 5 13" xfId="27150"/>
    <cellStyle name="Currency 7 5 14" xfId="27151"/>
    <cellStyle name="Currency 7 5 2" xfId="27152"/>
    <cellStyle name="Currency 7 5 2 2" xfId="27153"/>
    <cellStyle name="Currency 7 5 2 2 2" xfId="27154"/>
    <cellStyle name="Currency 7 5 2 2 2 2" xfId="27155"/>
    <cellStyle name="Currency 7 5 2 2 2 2 2" xfId="27156"/>
    <cellStyle name="Currency 7 5 2 2 2 2 3" xfId="27157"/>
    <cellStyle name="Currency 7 5 2 2 2 2 4" xfId="27158"/>
    <cellStyle name="Currency 7 5 2 2 2 2 5" xfId="27159"/>
    <cellStyle name="Currency 7 5 2 2 2 2 6" xfId="27160"/>
    <cellStyle name="Currency 7 5 2 2 2 3" xfId="27161"/>
    <cellStyle name="Currency 7 5 2 2 2 4" xfId="27162"/>
    <cellStyle name="Currency 7 5 2 2 2 5" xfId="27163"/>
    <cellStyle name="Currency 7 5 2 2 2 6" xfId="27164"/>
    <cellStyle name="Currency 7 5 2 2 2 7" xfId="27165"/>
    <cellStyle name="Currency 7 5 2 2 3" xfId="27166"/>
    <cellStyle name="Currency 7 5 2 2 3 2" xfId="27167"/>
    <cellStyle name="Currency 7 5 2 2 3 3" xfId="27168"/>
    <cellStyle name="Currency 7 5 2 2 3 4" xfId="27169"/>
    <cellStyle name="Currency 7 5 2 2 3 5" xfId="27170"/>
    <cellStyle name="Currency 7 5 2 2 3 6" xfId="27171"/>
    <cellStyle name="Currency 7 5 2 2 4" xfId="27172"/>
    <cellStyle name="Currency 7 5 2 2 5" xfId="27173"/>
    <cellStyle name="Currency 7 5 2 2 6" xfId="27174"/>
    <cellStyle name="Currency 7 5 2 2 7" xfId="27175"/>
    <cellStyle name="Currency 7 5 2 2 8" xfId="27176"/>
    <cellStyle name="Currency 7 5 2 3" xfId="27177"/>
    <cellStyle name="Currency 7 5 2 3 2" xfId="27178"/>
    <cellStyle name="Currency 7 5 2 3 2 2" xfId="27179"/>
    <cellStyle name="Currency 7 5 2 3 2 3" xfId="27180"/>
    <cellStyle name="Currency 7 5 2 3 2 4" xfId="27181"/>
    <cellStyle name="Currency 7 5 2 3 2 5" xfId="27182"/>
    <cellStyle name="Currency 7 5 2 3 2 6" xfId="27183"/>
    <cellStyle name="Currency 7 5 2 3 3" xfId="27184"/>
    <cellStyle name="Currency 7 5 2 3 4" xfId="27185"/>
    <cellStyle name="Currency 7 5 2 3 5" xfId="27186"/>
    <cellStyle name="Currency 7 5 2 3 6" xfId="27187"/>
    <cellStyle name="Currency 7 5 2 3 7" xfId="27188"/>
    <cellStyle name="Currency 7 5 2 4" xfId="27189"/>
    <cellStyle name="Currency 7 5 2 4 2" xfId="27190"/>
    <cellStyle name="Currency 7 5 2 4 3" xfId="27191"/>
    <cellStyle name="Currency 7 5 2 4 4" xfId="27192"/>
    <cellStyle name="Currency 7 5 2 4 5" xfId="27193"/>
    <cellStyle name="Currency 7 5 2 4 6" xfId="27194"/>
    <cellStyle name="Currency 7 5 2 5" xfId="27195"/>
    <cellStyle name="Currency 7 5 2 6" xfId="27196"/>
    <cellStyle name="Currency 7 5 2 7" xfId="27197"/>
    <cellStyle name="Currency 7 5 2 8" xfId="27198"/>
    <cellStyle name="Currency 7 5 2 9" xfId="27199"/>
    <cellStyle name="Currency 7 5 3" xfId="27200"/>
    <cellStyle name="Currency 7 5 3 2" xfId="27201"/>
    <cellStyle name="Currency 7 5 3 2 2" xfId="27202"/>
    <cellStyle name="Currency 7 5 3 2 2 2" xfId="27203"/>
    <cellStyle name="Currency 7 5 3 2 2 2 2" xfId="27204"/>
    <cellStyle name="Currency 7 5 3 2 2 2 3" xfId="27205"/>
    <cellStyle name="Currency 7 5 3 2 2 2 4" xfId="27206"/>
    <cellStyle name="Currency 7 5 3 2 2 2 5" xfId="27207"/>
    <cellStyle name="Currency 7 5 3 2 2 2 6" xfId="27208"/>
    <cellStyle name="Currency 7 5 3 2 2 3" xfId="27209"/>
    <cellStyle name="Currency 7 5 3 2 2 4" xfId="27210"/>
    <cellStyle name="Currency 7 5 3 2 2 5" xfId="27211"/>
    <cellStyle name="Currency 7 5 3 2 2 6" xfId="27212"/>
    <cellStyle name="Currency 7 5 3 2 2 7" xfId="27213"/>
    <cellStyle name="Currency 7 5 3 2 3" xfId="27214"/>
    <cellStyle name="Currency 7 5 3 2 3 2" xfId="27215"/>
    <cellStyle name="Currency 7 5 3 2 3 3" xfId="27216"/>
    <cellStyle name="Currency 7 5 3 2 3 4" xfId="27217"/>
    <cellStyle name="Currency 7 5 3 2 3 5" xfId="27218"/>
    <cellStyle name="Currency 7 5 3 2 3 6" xfId="27219"/>
    <cellStyle name="Currency 7 5 3 2 4" xfId="27220"/>
    <cellStyle name="Currency 7 5 3 2 5" xfId="27221"/>
    <cellStyle name="Currency 7 5 3 2 6" xfId="27222"/>
    <cellStyle name="Currency 7 5 3 2 7" xfId="27223"/>
    <cellStyle name="Currency 7 5 3 2 8" xfId="27224"/>
    <cellStyle name="Currency 7 5 3 3" xfId="27225"/>
    <cellStyle name="Currency 7 5 3 3 2" xfId="27226"/>
    <cellStyle name="Currency 7 5 3 3 2 2" xfId="27227"/>
    <cellStyle name="Currency 7 5 3 3 2 3" xfId="27228"/>
    <cellStyle name="Currency 7 5 3 3 2 4" xfId="27229"/>
    <cellStyle name="Currency 7 5 3 3 2 5" xfId="27230"/>
    <cellStyle name="Currency 7 5 3 3 2 6" xfId="27231"/>
    <cellStyle name="Currency 7 5 3 3 3" xfId="27232"/>
    <cellStyle name="Currency 7 5 3 3 4" xfId="27233"/>
    <cellStyle name="Currency 7 5 3 3 5" xfId="27234"/>
    <cellStyle name="Currency 7 5 3 3 6" xfId="27235"/>
    <cellStyle name="Currency 7 5 3 3 7" xfId="27236"/>
    <cellStyle name="Currency 7 5 3 4" xfId="27237"/>
    <cellStyle name="Currency 7 5 3 4 2" xfId="27238"/>
    <cellStyle name="Currency 7 5 3 4 3" xfId="27239"/>
    <cellStyle name="Currency 7 5 3 4 4" xfId="27240"/>
    <cellStyle name="Currency 7 5 3 4 5" xfId="27241"/>
    <cellStyle name="Currency 7 5 3 4 6" xfId="27242"/>
    <cellStyle name="Currency 7 5 3 5" xfId="27243"/>
    <cellStyle name="Currency 7 5 3 6" xfId="27244"/>
    <cellStyle name="Currency 7 5 3 7" xfId="27245"/>
    <cellStyle name="Currency 7 5 3 8" xfId="27246"/>
    <cellStyle name="Currency 7 5 3 9" xfId="27247"/>
    <cellStyle name="Currency 7 5 4" xfId="27248"/>
    <cellStyle name="Currency 7 5 4 2" xfId="27249"/>
    <cellStyle name="Currency 7 5 4 2 2" xfId="27250"/>
    <cellStyle name="Currency 7 5 4 2 2 2" xfId="27251"/>
    <cellStyle name="Currency 7 5 4 2 2 2 2" xfId="27252"/>
    <cellStyle name="Currency 7 5 4 2 2 2 3" xfId="27253"/>
    <cellStyle name="Currency 7 5 4 2 2 2 4" xfId="27254"/>
    <cellStyle name="Currency 7 5 4 2 2 2 5" xfId="27255"/>
    <cellStyle name="Currency 7 5 4 2 2 2 6" xfId="27256"/>
    <cellStyle name="Currency 7 5 4 2 2 3" xfId="27257"/>
    <cellStyle name="Currency 7 5 4 2 2 4" xfId="27258"/>
    <cellStyle name="Currency 7 5 4 2 2 5" xfId="27259"/>
    <cellStyle name="Currency 7 5 4 2 2 6" xfId="27260"/>
    <cellStyle name="Currency 7 5 4 2 2 7" xfId="27261"/>
    <cellStyle name="Currency 7 5 4 2 3" xfId="27262"/>
    <cellStyle name="Currency 7 5 4 2 3 2" xfId="27263"/>
    <cellStyle name="Currency 7 5 4 2 3 3" xfId="27264"/>
    <cellStyle name="Currency 7 5 4 2 3 4" xfId="27265"/>
    <cellStyle name="Currency 7 5 4 2 3 5" xfId="27266"/>
    <cellStyle name="Currency 7 5 4 2 3 6" xfId="27267"/>
    <cellStyle name="Currency 7 5 4 2 4" xfId="27268"/>
    <cellStyle name="Currency 7 5 4 2 5" xfId="27269"/>
    <cellStyle name="Currency 7 5 4 2 6" xfId="27270"/>
    <cellStyle name="Currency 7 5 4 2 7" xfId="27271"/>
    <cellStyle name="Currency 7 5 4 2 8" xfId="27272"/>
    <cellStyle name="Currency 7 5 4 3" xfId="27273"/>
    <cellStyle name="Currency 7 5 4 3 2" xfId="27274"/>
    <cellStyle name="Currency 7 5 4 3 2 2" xfId="27275"/>
    <cellStyle name="Currency 7 5 4 3 2 3" xfId="27276"/>
    <cellStyle name="Currency 7 5 4 3 2 4" xfId="27277"/>
    <cellStyle name="Currency 7 5 4 3 2 5" xfId="27278"/>
    <cellStyle name="Currency 7 5 4 3 2 6" xfId="27279"/>
    <cellStyle name="Currency 7 5 4 3 3" xfId="27280"/>
    <cellStyle name="Currency 7 5 4 3 4" xfId="27281"/>
    <cellStyle name="Currency 7 5 4 3 5" xfId="27282"/>
    <cellStyle name="Currency 7 5 4 3 6" xfId="27283"/>
    <cellStyle name="Currency 7 5 4 3 7" xfId="27284"/>
    <cellStyle name="Currency 7 5 4 4" xfId="27285"/>
    <cellStyle name="Currency 7 5 4 4 2" xfId="27286"/>
    <cellStyle name="Currency 7 5 4 4 3" xfId="27287"/>
    <cellStyle name="Currency 7 5 4 4 4" xfId="27288"/>
    <cellStyle name="Currency 7 5 4 4 5" xfId="27289"/>
    <cellStyle name="Currency 7 5 4 4 6" xfId="27290"/>
    <cellStyle name="Currency 7 5 4 5" xfId="27291"/>
    <cellStyle name="Currency 7 5 4 6" xfId="27292"/>
    <cellStyle name="Currency 7 5 4 7" xfId="27293"/>
    <cellStyle name="Currency 7 5 4 8" xfId="27294"/>
    <cellStyle name="Currency 7 5 4 9" xfId="27295"/>
    <cellStyle name="Currency 7 5 5" xfId="27296"/>
    <cellStyle name="Currency 7 5 5 2" xfId="27297"/>
    <cellStyle name="Currency 7 5 5 2 2" xfId="27298"/>
    <cellStyle name="Currency 7 5 5 2 2 2" xfId="27299"/>
    <cellStyle name="Currency 7 5 5 2 2 2 2" xfId="27300"/>
    <cellStyle name="Currency 7 5 5 2 2 2 3" xfId="27301"/>
    <cellStyle name="Currency 7 5 5 2 2 2 4" xfId="27302"/>
    <cellStyle name="Currency 7 5 5 2 2 2 5" xfId="27303"/>
    <cellStyle name="Currency 7 5 5 2 2 2 6" xfId="27304"/>
    <cellStyle name="Currency 7 5 5 2 2 3" xfId="27305"/>
    <cellStyle name="Currency 7 5 5 2 2 4" xfId="27306"/>
    <cellStyle name="Currency 7 5 5 2 2 5" xfId="27307"/>
    <cellStyle name="Currency 7 5 5 2 2 6" xfId="27308"/>
    <cellStyle name="Currency 7 5 5 2 2 7" xfId="27309"/>
    <cellStyle name="Currency 7 5 5 2 3" xfId="27310"/>
    <cellStyle name="Currency 7 5 5 2 3 2" xfId="27311"/>
    <cellStyle name="Currency 7 5 5 2 3 3" xfId="27312"/>
    <cellStyle name="Currency 7 5 5 2 3 4" xfId="27313"/>
    <cellStyle name="Currency 7 5 5 2 3 5" xfId="27314"/>
    <cellStyle name="Currency 7 5 5 2 3 6" xfId="27315"/>
    <cellStyle name="Currency 7 5 5 2 4" xfId="27316"/>
    <cellStyle name="Currency 7 5 5 2 5" xfId="27317"/>
    <cellStyle name="Currency 7 5 5 2 6" xfId="27318"/>
    <cellStyle name="Currency 7 5 5 2 7" xfId="27319"/>
    <cellStyle name="Currency 7 5 5 2 8" xfId="27320"/>
    <cellStyle name="Currency 7 5 5 3" xfId="27321"/>
    <cellStyle name="Currency 7 5 5 3 2" xfId="27322"/>
    <cellStyle name="Currency 7 5 5 3 2 2" xfId="27323"/>
    <cellStyle name="Currency 7 5 5 3 2 3" xfId="27324"/>
    <cellStyle name="Currency 7 5 5 3 2 4" xfId="27325"/>
    <cellStyle name="Currency 7 5 5 3 2 5" xfId="27326"/>
    <cellStyle name="Currency 7 5 5 3 2 6" xfId="27327"/>
    <cellStyle name="Currency 7 5 5 3 3" xfId="27328"/>
    <cellStyle name="Currency 7 5 5 3 4" xfId="27329"/>
    <cellStyle name="Currency 7 5 5 3 5" xfId="27330"/>
    <cellStyle name="Currency 7 5 5 3 6" xfId="27331"/>
    <cellStyle name="Currency 7 5 5 3 7" xfId="27332"/>
    <cellStyle name="Currency 7 5 5 4" xfId="27333"/>
    <cellStyle name="Currency 7 5 5 4 2" xfId="27334"/>
    <cellStyle name="Currency 7 5 5 4 3" xfId="27335"/>
    <cellStyle name="Currency 7 5 5 4 4" xfId="27336"/>
    <cellStyle name="Currency 7 5 5 4 5" xfId="27337"/>
    <cellStyle name="Currency 7 5 5 4 6" xfId="27338"/>
    <cellStyle name="Currency 7 5 5 5" xfId="27339"/>
    <cellStyle name="Currency 7 5 5 6" xfId="27340"/>
    <cellStyle name="Currency 7 5 5 7" xfId="27341"/>
    <cellStyle name="Currency 7 5 5 8" xfId="27342"/>
    <cellStyle name="Currency 7 5 5 9" xfId="27343"/>
    <cellStyle name="Currency 7 5 6" xfId="27344"/>
    <cellStyle name="Currency 7 5 6 2" xfId="27345"/>
    <cellStyle name="Currency 7 5 6 2 2" xfId="27346"/>
    <cellStyle name="Currency 7 5 6 2 2 2" xfId="27347"/>
    <cellStyle name="Currency 7 5 6 2 2 2 2" xfId="27348"/>
    <cellStyle name="Currency 7 5 6 2 2 2 3" xfId="27349"/>
    <cellStyle name="Currency 7 5 6 2 2 2 4" xfId="27350"/>
    <cellStyle name="Currency 7 5 6 2 2 2 5" xfId="27351"/>
    <cellStyle name="Currency 7 5 6 2 2 2 6" xfId="27352"/>
    <cellStyle name="Currency 7 5 6 2 2 3" xfId="27353"/>
    <cellStyle name="Currency 7 5 6 2 2 4" xfId="27354"/>
    <cellStyle name="Currency 7 5 6 2 2 5" xfId="27355"/>
    <cellStyle name="Currency 7 5 6 2 2 6" xfId="27356"/>
    <cellStyle name="Currency 7 5 6 2 2 7" xfId="27357"/>
    <cellStyle name="Currency 7 5 6 2 3" xfId="27358"/>
    <cellStyle name="Currency 7 5 6 2 3 2" xfId="27359"/>
    <cellStyle name="Currency 7 5 6 2 3 3" xfId="27360"/>
    <cellStyle name="Currency 7 5 6 2 3 4" xfId="27361"/>
    <cellStyle name="Currency 7 5 6 2 3 5" xfId="27362"/>
    <cellStyle name="Currency 7 5 6 2 3 6" xfId="27363"/>
    <cellStyle name="Currency 7 5 6 2 4" xfId="27364"/>
    <cellStyle name="Currency 7 5 6 2 5" xfId="27365"/>
    <cellStyle name="Currency 7 5 6 2 6" xfId="27366"/>
    <cellStyle name="Currency 7 5 6 2 7" xfId="27367"/>
    <cellStyle name="Currency 7 5 6 2 8" xfId="27368"/>
    <cellStyle name="Currency 7 5 6 3" xfId="27369"/>
    <cellStyle name="Currency 7 5 6 3 2" xfId="27370"/>
    <cellStyle name="Currency 7 5 6 3 2 2" xfId="27371"/>
    <cellStyle name="Currency 7 5 6 3 2 3" xfId="27372"/>
    <cellStyle name="Currency 7 5 6 3 2 4" xfId="27373"/>
    <cellStyle name="Currency 7 5 6 3 2 5" xfId="27374"/>
    <cellStyle name="Currency 7 5 6 3 2 6" xfId="27375"/>
    <cellStyle name="Currency 7 5 6 3 3" xfId="27376"/>
    <cellStyle name="Currency 7 5 6 3 4" xfId="27377"/>
    <cellStyle name="Currency 7 5 6 3 5" xfId="27378"/>
    <cellStyle name="Currency 7 5 6 3 6" xfId="27379"/>
    <cellStyle name="Currency 7 5 6 3 7" xfId="27380"/>
    <cellStyle name="Currency 7 5 6 4" xfId="27381"/>
    <cellStyle name="Currency 7 5 6 4 2" xfId="27382"/>
    <cellStyle name="Currency 7 5 6 4 3" xfId="27383"/>
    <cellStyle name="Currency 7 5 6 4 4" xfId="27384"/>
    <cellStyle name="Currency 7 5 6 4 5" xfId="27385"/>
    <cellStyle name="Currency 7 5 6 4 6" xfId="27386"/>
    <cellStyle name="Currency 7 5 6 5" xfId="27387"/>
    <cellStyle name="Currency 7 5 6 6" xfId="27388"/>
    <cellStyle name="Currency 7 5 6 7" xfId="27389"/>
    <cellStyle name="Currency 7 5 6 8" xfId="27390"/>
    <cellStyle name="Currency 7 5 6 9" xfId="27391"/>
    <cellStyle name="Currency 7 5 7" xfId="27392"/>
    <cellStyle name="Currency 7 5 7 2" xfId="27393"/>
    <cellStyle name="Currency 7 5 7 2 2" xfId="27394"/>
    <cellStyle name="Currency 7 5 7 2 2 2" xfId="27395"/>
    <cellStyle name="Currency 7 5 7 2 2 3" xfId="27396"/>
    <cellStyle name="Currency 7 5 7 2 2 4" xfId="27397"/>
    <cellStyle name="Currency 7 5 7 2 2 5" xfId="27398"/>
    <cellStyle name="Currency 7 5 7 2 2 6" xfId="27399"/>
    <cellStyle name="Currency 7 5 7 2 3" xfId="27400"/>
    <cellStyle name="Currency 7 5 7 2 4" xfId="27401"/>
    <cellStyle name="Currency 7 5 7 2 5" xfId="27402"/>
    <cellStyle name="Currency 7 5 7 2 6" xfId="27403"/>
    <cellStyle name="Currency 7 5 7 2 7" xfId="27404"/>
    <cellStyle name="Currency 7 5 7 3" xfId="27405"/>
    <cellStyle name="Currency 7 5 7 3 2" xfId="27406"/>
    <cellStyle name="Currency 7 5 7 3 3" xfId="27407"/>
    <cellStyle name="Currency 7 5 7 3 4" xfId="27408"/>
    <cellStyle name="Currency 7 5 7 3 5" xfId="27409"/>
    <cellStyle name="Currency 7 5 7 3 6" xfId="27410"/>
    <cellStyle name="Currency 7 5 7 4" xfId="27411"/>
    <cellStyle name="Currency 7 5 7 5" xfId="27412"/>
    <cellStyle name="Currency 7 5 7 6" xfId="27413"/>
    <cellStyle name="Currency 7 5 7 7" xfId="27414"/>
    <cellStyle name="Currency 7 5 7 8" xfId="27415"/>
    <cellStyle name="Currency 7 5 8" xfId="27416"/>
    <cellStyle name="Currency 7 5 8 2" xfId="27417"/>
    <cellStyle name="Currency 7 5 8 2 2" xfId="27418"/>
    <cellStyle name="Currency 7 5 8 2 3" xfId="27419"/>
    <cellStyle name="Currency 7 5 8 2 4" xfId="27420"/>
    <cellStyle name="Currency 7 5 8 2 5" xfId="27421"/>
    <cellStyle name="Currency 7 5 8 2 6" xfId="27422"/>
    <cellStyle name="Currency 7 5 8 3" xfId="27423"/>
    <cellStyle name="Currency 7 5 8 4" xfId="27424"/>
    <cellStyle name="Currency 7 5 8 5" xfId="27425"/>
    <cellStyle name="Currency 7 5 8 6" xfId="27426"/>
    <cellStyle name="Currency 7 5 8 7" xfId="27427"/>
    <cellStyle name="Currency 7 5 9" xfId="27428"/>
    <cellStyle name="Currency 7 5 9 2" xfId="27429"/>
    <cellStyle name="Currency 7 5 9 3" xfId="27430"/>
    <cellStyle name="Currency 7 5 9 4" xfId="27431"/>
    <cellStyle name="Currency 7 5 9 5" xfId="27432"/>
    <cellStyle name="Currency 7 5 9 6" xfId="27433"/>
    <cellStyle name="Currency 7 6" xfId="27434"/>
    <cellStyle name="Currency 7 6 10" xfId="27435"/>
    <cellStyle name="Currency 7 6 11" xfId="27436"/>
    <cellStyle name="Currency 7 6 12" xfId="27437"/>
    <cellStyle name="Currency 7 6 13" xfId="27438"/>
    <cellStyle name="Currency 7 6 14" xfId="27439"/>
    <cellStyle name="Currency 7 6 2" xfId="27440"/>
    <cellStyle name="Currency 7 6 2 2" xfId="27441"/>
    <cellStyle name="Currency 7 6 2 2 2" xfId="27442"/>
    <cellStyle name="Currency 7 6 2 2 2 2" xfId="27443"/>
    <cellStyle name="Currency 7 6 2 2 2 2 2" xfId="27444"/>
    <cellStyle name="Currency 7 6 2 2 2 2 3" xfId="27445"/>
    <cellStyle name="Currency 7 6 2 2 2 2 4" xfId="27446"/>
    <cellStyle name="Currency 7 6 2 2 2 2 5" xfId="27447"/>
    <cellStyle name="Currency 7 6 2 2 2 2 6" xfId="27448"/>
    <cellStyle name="Currency 7 6 2 2 2 3" xfId="27449"/>
    <cellStyle name="Currency 7 6 2 2 2 4" xfId="27450"/>
    <cellStyle name="Currency 7 6 2 2 2 5" xfId="27451"/>
    <cellStyle name="Currency 7 6 2 2 2 6" xfId="27452"/>
    <cellStyle name="Currency 7 6 2 2 2 7" xfId="27453"/>
    <cellStyle name="Currency 7 6 2 2 3" xfId="27454"/>
    <cellStyle name="Currency 7 6 2 2 3 2" xfId="27455"/>
    <cellStyle name="Currency 7 6 2 2 3 3" xfId="27456"/>
    <cellStyle name="Currency 7 6 2 2 3 4" xfId="27457"/>
    <cellStyle name="Currency 7 6 2 2 3 5" xfId="27458"/>
    <cellStyle name="Currency 7 6 2 2 3 6" xfId="27459"/>
    <cellStyle name="Currency 7 6 2 2 4" xfId="27460"/>
    <cellStyle name="Currency 7 6 2 2 5" xfId="27461"/>
    <cellStyle name="Currency 7 6 2 2 6" xfId="27462"/>
    <cellStyle name="Currency 7 6 2 2 7" xfId="27463"/>
    <cellStyle name="Currency 7 6 2 2 8" xfId="27464"/>
    <cellStyle name="Currency 7 6 2 3" xfId="27465"/>
    <cellStyle name="Currency 7 6 2 3 2" xfId="27466"/>
    <cellStyle name="Currency 7 6 2 3 2 2" xfId="27467"/>
    <cellStyle name="Currency 7 6 2 3 2 3" xfId="27468"/>
    <cellStyle name="Currency 7 6 2 3 2 4" xfId="27469"/>
    <cellStyle name="Currency 7 6 2 3 2 5" xfId="27470"/>
    <cellStyle name="Currency 7 6 2 3 2 6" xfId="27471"/>
    <cellStyle name="Currency 7 6 2 3 3" xfId="27472"/>
    <cellStyle name="Currency 7 6 2 3 4" xfId="27473"/>
    <cellStyle name="Currency 7 6 2 3 5" xfId="27474"/>
    <cellStyle name="Currency 7 6 2 3 6" xfId="27475"/>
    <cellStyle name="Currency 7 6 2 3 7" xfId="27476"/>
    <cellStyle name="Currency 7 6 2 4" xfId="27477"/>
    <cellStyle name="Currency 7 6 2 4 2" xfId="27478"/>
    <cellStyle name="Currency 7 6 2 4 3" xfId="27479"/>
    <cellStyle name="Currency 7 6 2 4 4" xfId="27480"/>
    <cellStyle name="Currency 7 6 2 4 5" xfId="27481"/>
    <cellStyle name="Currency 7 6 2 4 6" xfId="27482"/>
    <cellStyle name="Currency 7 6 2 5" xfId="27483"/>
    <cellStyle name="Currency 7 6 2 6" xfId="27484"/>
    <cellStyle name="Currency 7 6 2 7" xfId="27485"/>
    <cellStyle name="Currency 7 6 2 8" xfId="27486"/>
    <cellStyle name="Currency 7 6 2 9" xfId="27487"/>
    <cellStyle name="Currency 7 6 3" xfId="27488"/>
    <cellStyle name="Currency 7 6 3 2" xfId="27489"/>
    <cellStyle name="Currency 7 6 3 2 2" xfId="27490"/>
    <cellStyle name="Currency 7 6 3 2 2 2" xfId="27491"/>
    <cellStyle name="Currency 7 6 3 2 2 2 2" xfId="27492"/>
    <cellStyle name="Currency 7 6 3 2 2 2 3" xfId="27493"/>
    <cellStyle name="Currency 7 6 3 2 2 2 4" xfId="27494"/>
    <cellStyle name="Currency 7 6 3 2 2 2 5" xfId="27495"/>
    <cellStyle name="Currency 7 6 3 2 2 2 6" xfId="27496"/>
    <cellStyle name="Currency 7 6 3 2 2 3" xfId="27497"/>
    <cellStyle name="Currency 7 6 3 2 2 4" xfId="27498"/>
    <cellStyle name="Currency 7 6 3 2 2 5" xfId="27499"/>
    <cellStyle name="Currency 7 6 3 2 2 6" xfId="27500"/>
    <cellStyle name="Currency 7 6 3 2 2 7" xfId="27501"/>
    <cellStyle name="Currency 7 6 3 2 3" xfId="27502"/>
    <cellStyle name="Currency 7 6 3 2 3 2" xfId="27503"/>
    <cellStyle name="Currency 7 6 3 2 3 3" xfId="27504"/>
    <cellStyle name="Currency 7 6 3 2 3 4" xfId="27505"/>
    <cellStyle name="Currency 7 6 3 2 3 5" xfId="27506"/>
    <cellStyle name="Currency 7 6 3 2 3 6" xfId="27507"/>
    <cellStyle name="Currency 7 6 3 2 4" xfId="27508"/>
    <cellStyle name="Currency 7 6 3 2 5" xfId="27509"/>
    <cellStyle name="Currency 7 6 3 2 6" xfId="27510"/>
    <cellStyle name="Currency 7 6 3 2 7" xfId="27511"/>
    <cellStyle name="Currency 7 6 3 2 8" xfId="27512"/>
    <cellStyle name="Currency 7 6 3 3" xfId="27513"/>
    <cellStyle name="Currency 7 6 3 3 2" xfId="27514"/>
    <cellStyle name="Currency 7 6 3 3 2 2" xfId="27515"/>
    <cellStyle name="Currency 7 6 3 3 2 3" xfId="27516"/>
    <cellStyle name="Currency 7 6 3 3 2 4" xfId="27517"/>
    <cellStyle name="Currency 7 6 3 3 2 5" xfId="27518"/>
    <cellStyle name="Currency 7 6 3 3 2 6" xfId="27519"/>
    <cellStyle name="Currency 7 6 3 3 3" xfId="27520"/>
    <cellStyle name="Currency 7 6 3 3 4" xfId="27521"/>
    <cellStyle name="Currency 7 6 3 3 5" xfId="27522"/>
    <cellStyle name="Currency 7 6 3 3 6" xfId="27523"/>
    <cellStyle name="Currency 7 6 3 3 7" xfId="27524"/>
    <cellStyle name="Currency 7 6 3 4" xfId="27525"/>
    <cellStyle name="Currency 7 6 3 4 2" xfId="27526"/>
    <cellStyle name="Currency 7 6 3 4 3" xfId="27527"/>
    <cellStyle name="Currency 7 6 3 4 4" xfId="27528"/>
    <cellStyle name="Currency 7 6 3 4 5" xfId="27529"/>
    <cellStyle name="Currency 7 6 3 4 6" xfId="27530"/>
    <cellStyle name="Currency 7 6 3 5" xfId="27531"/>
    <cellStyle name="Currency 7 6 3 6" xfId="27532"/>
    <cellStyle name="Currency 7 6 3 7" xfId="27533"/>
    <cellStyle name="Currency 7 6 3 8" xfId="27534"/>
    <cellStyle name="Currency 7 6 3 9" xfId="27535"/>
    <cellStyle name="Currency 7 6 4" xfId="27536"/>
    <cellStyle name="Currency 7 6 4 2" xfId="27537"/>
    <cellStyle name="Currency 7 6 4 2 2" xfId="27538"/>
    <cellStyle name="Currency 7 6 4 2 2 2" xfId="27539"/>
    <cellStyle name="Currency 7 6 4 2 2 2 2" xfId="27540"/>
    <cellStyle name="Currency 7 6 4 2 2 2 3" xfId="27541"/>
    <cellStyle name="Currency 7 6 4 2 2 2 4" xfId="27542"/>
    <cellStyle name="Currency 7 6 4 2 2 2 5" xfId="27543"/>
    <cellStyle name="Currency 7 6 4 2 2 2 6" xfId="27544"/>
    <cellStyle name="Currency 7 6 4 2 2 3" xfId="27545"/>
    <cellStyle name="Currency 7 6 4 2 2 4" xfId="27546"/>
    <cellStyle name="Currency 7 6 4 2 2 5" xfId="27547"/>
    <cellStyle name="Currency 7 6 4 2 2 6" xfId="27548"/>
    <cellStyle name="Currency 7 6 4 2 2 7" xfId="27549"/>
    <cellStyle name="Currency 7 6 4 2 3" xfId="27550"/>
    <cellStyle name="Currency 7 6 4 2 3 2" xfId="27551"/>
    <cellStyle name="Currency 7 6 4 2 3 3" xfId="27552"/>
    <cellStyle name="Currency 7 6 4 2 3 4" xfId="27553"/>
    <cellStyle name="Currency 7 6 4 2 3 5" xfId="27554"/>
    <cellStyle name="Currency 7 6 4 2 3 6" xfId="27555"/>
    <cellStyle name="Currency 7 6 4 2 4" xfId="27556"/>
    <cellStyle name="Currency 7 6 4 2 5" xfId="27557"/>
    <cellStyle name="Currency 7 6 4 2 6" xfId="27558"/>
    <cellStyle name="Currency 7 6 4 2 7" xfId="27559"/>
    <cellStyle name="Currency 7 6 4 2 8" xfId="27560"/>
    <cellStyle name="Currency 7 6 4 3" xfId="27561"/>
    <cellStyle name="Currency 7 6 4 3 2" xfId="27562"/>
    <cellStyle name="Currency 7 6 4 3 2 2" xfId="27563"/>
    <cellStyle name="Currency 7 6 4 3 2 3" xfId="27564"/>
    <cellStyle name="Currency 7 6 4 3 2 4" xfId="27565"/>
    <cellStyle name="Currency 7 6 4 3 2 5" xfId="27566"/>
    <cellStyle name="Currency 7 6 4 3 2 6" xfId="27567"/>
    <cellStyle name="Currency 7 6 4 3 3" xfId="27568"/>
    <cellStyle name="Currency 7 6 4 3 4" xfId="27569"/>
    <cellStyle name="Currency 7 6 4 3 5" xfId="27570"/>
    <cellStyle name="Currency 7 6 4 3 6" xfId="27571"/>
    <cellStyle name="Currency 7 6 4 3 7" xfId="27572"/>
    <cellStyle name="Currency 7 6 4 4" xfId="27573"/>
    <cellStyle name="Currency 7 6 4 4 2" xfId="27574"/>
    <cellStyle name="Currency 7 6 4 4 3" xfId="27575"/>
    <cellStyle name="Currency 7 6 4 4 4" xfId="27576"/>
    <cellStyle name="Currency 7 6 4 4 5" xfId="27577"/>
    <cellStyle name="Currency 7 6 4 4 6" xfId="27578"/>
    <cellStyle name="Currency 7 6 4 5" xfId="27579"/>
    <cellStyle name="Currency 7 6 4 6" xfId="27580"/>
    <cellStyle name="Currency 7 6 4 7" xfId="27581"/>
    <cellStyle name="Currency 7 6 4 8" xfId="27582"/>
    <cellStyle name="Currency 7 6 4 9" xfId="27583"/>
    <cellStyle name="Currency 7 6 5" xfId="27584"/>
    <cellStyle name="Currency 7 6 5 2" xfId="27585"/>
    <cellStyle name="Currency 7 6 5 2 2" xfId="27586"/>
    <cellStyle name="Currency 7 6 5 2 2 2" xfId="27587"/>
    <cellStyle name="Currency 7 6 5 2 2 2 2" xfId="27588"/>
    <cellStyle name="Currency 7 6 5 2 2 2 3" xfId="27589"/>
    <cellStyle name="Currency 7 6 5 2 2 2 4" xfId="27590"/>
    <cellStyle name="Currency 7 6 5 2 2 2 5" xfId="27591"/>
    <cellStyle name="Currency 7 6 5 2 2 2 6" xfId="27592"/>
    <cellStyle name="Currency 7 6 5 2 2 3" xfId="27593"/>
    <cellStyle name="Currency 7 6 5 2 2 4" xfId="27594"/>
    <cellStyle name="Currency 7 6 5 2 2 5" xfId="27595"/>
    <cellStyle name="Currency 7 6 5 2 2 6" xfId="27596"/>
    <cellStyle name="Currency 7 6 5 2 2 7" xfId="27597"/>
    <cellStyle name="Currency 7 6 5 2 3" xfId="27598"/>
    <cellStyle name="Currency 7 6 5 2 3 2" xfId="27599"/>
    <cellStyle name="Currency 7 6 5 2 3 3" xfId="27600"/>
    <cellStyle name="Currency 7 6 5 2 3 4" xfId="27601"/>
    <cellStyle name="Currency 7 6 5 2 3 5" xfId="27602"/>
    <cellStyle name="Currency 7 6 5 2 3 6" xfId="27603"/>
    <cellStyle name="Currency 7 6 5 2 4" xfId="27604"/>
    <cellStyle name="Currency 7 6 5 2 5" xfId="27605"/>
    <cellStyle name="Currency 7 6 5 2 6" xfId="27606"/>
    <cellStyle name="Currency 7 6 5 2 7" xfId="27607"/>
    <cellStyle name="Currency 7 6 5 2 8" xfId="27608"/>
    <cellStyle name="Currency 7 6 5 3" xfId="27609"/>
    <cellStyle name="Currency 7 6 5 3 2" xfId="27610"/>
    <cellStyle name="Currency 7 6 5 3 2 2" xfId="27611"/>
    <cellStyle name="Currency 7 6 5 3 2 3" xfId="27612"/>
    <cellStyle name="Currency 7 6 5 3 2 4" xfId="27613"/>
    <cellStyle name="Currency 7 6 5 3 2 5" xfId="27614"/>
    <cellStyle name="Currency 7 6 5 3 2 6" xfId="27615"/>
    <cellStyle name="Currency 7 6 5 3 3" xfId="27616"/>
    <cellStyle name="Currency 7 6 5 3 4" xfId="27617"/>
    <cellStyle name="Currency 7 6 5 3 5" xfId="27618"/>
    <cellStyle name="Currency 7 6 5 3 6" xfId="27619"/>
    <cellStyle name="Currency 7 6 5 3 7" xfId="27620"/>
    <cellStyle name="Currency 7 6 5 4" xfId="27621"/>
    <cellStyle name="Currency 7 6 5 4 2" xfId="27622"/>
    <cellStyle name="Currency 7 6 5 4 3" xfId="27623"/>
    <cellStyle name="Currency 7 6 5 4 4" xfId="27624"/>
    <cellStyle name="Currency 7 6 5 4 5" xfId="27625"/>
    <cellStyle name="Currency 7 6 5 4 6" xfId="27626"/>
    <cellStyle name="Currency 7 6 5 5" xfId="27627"/>
    <cellStyle name="Currency 7 6 5 6" xfId="27628"/>
    <cellStyle name="Currency 7 6 5 7" xfId="27629"/>
    <cellStyle name="Currency 7 6 5 8" xfId="27630"/>
    <cellStyle name="Currency 7 6 5 9" xfId="27631"/>
    <cellStyle name="Currency 7 6 6" xfId="27632"/>
    <cellStyle name="Currency 7 6 6 2" xfId="27633"/>
    <cellStyle name="Currency 7 6 6 2 2" xfId="27634"/>
    <cellStyle name="Currency 7 6 6 2 2 2" xfId="27635"/>
    <cellStyle name="Currency 7 6 6 2 2 2 2" xfId="27636"/>
    <cellStyle name="Currency 7 6 6 2 2 2 3" xfId="27637"/>
    <cellStyle name="Currency 7 6 6 2 2 2 4" xfId="27638"/>
    <cellStyle name="Currency 7 6 6 2 2 2 5" xfId="27639"/>
    <cellStyle name="Currency 7 6 6 2 2 2 6" xfId="27640"/>
    <cellStyle name="Currency 7 6 6 2 2 3" xfId="27641"/>
    <cellStyle name="Currency 7 6 6 2 2 4" xfId="27642"/>
    <cellStyle name="Currency 7 6 6 2 2 5" xfId="27643"/>
    <cellStyle name="Currency 7 6 6 2 2 6" xfId="27644"/>
    <cellStyle name="Currency 7 6 6 2 2 7" xfId="27645"/>
    <cellStyle name="Currency 7 6 6 2 3" xfId="27646"/>
    <cellStyle name="Currency 7 6 6 2 3 2" xfId="27647"/>
    <cellStyle name="Currency 7 6 6 2 3 3" xfId="27648"/>
    <cellStyle name="Currency 7 6 6 2 3 4" xfId="27649"/>
    <cellStyle name="Currency 7 6 6 2 3 5" xfId="27650"/>
    <cellStyle name="Currency 7 6 6 2 3 6" xfId="27651"/>
    <cellStyle name="Currency 7 6 6 2 4" xfId="27652"/>
    <cellStyle name="Currency 7 6 6 2 5" xfId="27653"/>
    <cellStyle name="Currency 7 6 6 2 6" xfId="27654"/>
    <cellStyle name="Currency 7 6 6 2 7" xfId="27655"/>
    <cellStyle name="Currency 7 6 6 2 8" xfId="27656"/>
    <cellStyle name="Currency 7 6 6 3" xfId="27657"/>
    <cellStyle name="Currency 7 6 6 3 2" xfId="27658"/>
    <cellStyle name="Currency 7 6 6 3 2 2" xfId="27659"/>
    <cellStyle name="Currency 7 6 6 3 2 3" xfId="27660"/>
    <cellStyle name="Currency 7 6 6 3 2 4" xfId="27661"/>
    <cellStyle name="Currency 7 6 6 3 2 5" xfId="27662"/>
    <cellStyle name="Currency 7 6 6 3 2 6" xfId="27663"/>
    <cellStyle name="Currency 7 6 6 3 3" xfId="27664"/>
    <cellStyle name="Currency 7 6 6 3 4" xfId="27665"/>
    <cellStyle name="Currency 7 6 6 3 5" xfId="27666"/>
    <cellStyle name="Currency 7 6 6 3 6" xfId="27667"/>
    <cellStyle name="Currency 7 6 6 3 7" xfId="27668"/>
    <cellStyle name="Currency 7 6 6 4" xfId="27669"/>
    <cellStyle name="Currency 7 6 6 4 2" xfId="27670"/>
    <cellStyle name="Currency 7 6 6 4 3" xfId="27671"/>
    <cellStyle name="Currency 7 6 6 4 4" xfId="27672"/>
    <cellStyle name="Currency 7 6 6 4 5" xfId="27673"/>
    <cellStyle name="Currency 7 6 6 4 6" xfId="27674"/>
    <cellStyle name="Currency 7 6 6 5" xfId="27675"/>
    <cellStyle name="Currency 7 6 6 6" xfId="27676"/>
    <cellStyle name="Currency 7 6 6 7" xfId="27677"/>
    <cellStyle name="Currency 7 6 6 8" xfId="27678"/>
    <cellStyle name="Currency 7 6 6 9" xfId="27679"/>
    <cellStyle name="Currency 7 6 7" xfId="27680"/>
    <cellStyle name="Currency 7 6 7 2" xfId="27681"/>
    <cellStyle name="Currency 7 6 7 2 2" xfId="27682"/>
    <cellStyle name="Currency 7 6 7 2 2 2" xfId="27683"/>
    <cellStyle name="Currency 7 6 7 2 2 3" xfId="27684"/>
    <cellStyle name="Currency 7 6 7 2 2 4" xfId="27685"/>
    <cellStyle name="Currency 7 6 7 2 2 5" xfId="27686"/>
    <cellStyle name="Currency 7 6 7 2 2 6" xfId="27687"/>
    <cellStyle name="Currency 7 6 7 2 3" xfId="27688"/>
    <cellStyle name="Currency 7 6 7 2 4" xfId="27689"/>
    <cellStyle name="Currency 7 6 7 2 5" xfId="27690"/>
    <cellStyle name="Currency 7 6 7 2 6" xfId="27691"/>
    <cellStyle name="Currency 7 6 7 2 7" xfId="27692"/>
    <cellStyle name="Currency 7 6 7 3" xfId="27693"/>
    <cellStyle name="Currency 7 6 7 3 2" xfId="27694"/>
    <cellStyle name="Currency 7 6 7 3 3" xfId="27695"/>
    <cellStyle name="Currency 7 6 7 3 4" xfId="27696"/>
    <cellStyle name="Currency 7 6 7 3 5" xfId="27697"/>
    <cellStyle name="Currency 7 6 7 3 6" xfId="27698"/>
    <cellStyle name="Currency 7 6 7 4" xfId="27699"/>
    <cellStyle name="Currency 7 6 7 5" xfId="27700"/>
    <cellStyle name="Currency 7 6 7 6" xfId="27701"/>
    <cellStyle name="Currency 7 6 7 7" xfId="27702"/>
    <cellStyle name="Currency 7 6 7 8" xfId="27703"/>
    <cellStyle name="Currency 7 6 8" xfId="27704"/>
    <cellStyle name="Currency 7 6 8 2" xfId="27705"/>
    <cellStyle name="Currency 7 6 8 2 2" xfId="27706"/>
    <cellStyle name="Currency 7 6 8 2 3" xfId="27707"/>
    <cellStyle name="Currency 7 6 8 2 4" xfId="27708"/>
    <cellStyle name="Currency 7 6 8 2 5" xfId="27709"/>
    <cellStyle name="Currency 7 6 8 2 6" xfId="27710"/>
    <cellStyle name="Currency 7 6 8 3" xfId="27711"/>
    <cellStyle name="Currency 7 6 8 4" xfId="27712"/>
    <cellStyle name="Currency 7 6 8 5" xfId="27713"/>
    <cellStyle name="Currency 7 6 8 6" xfId="27714"/>
    <cellStyle name="Currency 7 6 8 7" xfId="27715"/>
    <cellStyle name="Currency 7 6 9" xfId="27716"/>
    <cellStyle name="Currency 7 6 9 2" xfId="27717"/>
    <cellStyle name="Currency 7 6 9 3" xfId="27718"/>
    <cellStyle name="Currency 7 6 9 4" xfId="27719"/>
    <cellStyle name="Currency 7 6 9 5" xfId="27720"/>
    <cellStyle name="Currency 7 6 9 6" xfId="27721"/>
    <cellStyle name="Currency 7 7" xfId="27722"/>
    <cellStyle name="Currency 7 7 2" xfId="27723"/>
    <cellStyle name="Currency 7 7 2 2" xfId="27724"/>
    <cellStyle name="Currency 7 7 2 2 2" xfId="27725"/>
    <cellStyle name="Currency 7 7 2 2 2 2" xfId="27726"/>
    <cellStyle name="Currency 7 7 2 2 2 3" xfId="27727"/>
    <cellStyle name="Currency 7 7 2 2 2 4" xfId="27728"/>
    <cellStyle name="Currency 7 7 2 2 2 5" xfId="27729"/>
    <cellStyle name="Currency 7 7 2 2 2 6" xfId="27730"/>
    <cellStyle name="Currency 7 7 2 2 3" xfId="27731"/>
    <cellStyle name="Currency 7 7 2 2 4" xfId="27732"/>
    <cellStyle name="Currency 7 7 2 2 5" xfId="27733"/>
    <cellStyle name="Currency 7 7 2 2 6" xfId="27734"/>
    <cellStyle name="Currency 7 7 2 2 7" xfId="27735"/>
    <cellStyle name="Currency 7 7 2 3" xfId="27736"/>
    <cellStyle name="Currency 7 7 2 3 2" xfId="27737"/>
    <cellStyle name="Currency 7 7 2 3 3" xfId="27738"/>
    <cellStyle name="Currency 7 7 2 3 4" xfId="27739"/>
    <cellStyle name="Currency 7 7 2 3 5" xfId="27740"/>
    <cellStyle name="Currency 7 7 2 3 6" xfId="27741"/>
    <cellStyle name="Currency 7 7 2 4" xfId="27742"/>
    <cellStyle name="Currency 7 7 2 5" xfId="27743"/>
    <cellStyle name="Currency 7 7 2 6" xfId="27744"/>
    <cellStyle name="Currency 7 7 2 7" xfId="27745"/>
    <cellStyle name="Currency 7 7 2 8" xfId="27746"/>
    <cellStyle name="Currency 7 7 3" xfId="27747"/>
    <cellStyle name="Currency 7 7 3 2" xfId="27748"/>
    <cellStyle name="Currency 7 7 3 2 2" xfId="27749"/>
    <cellStyle name="Currency 7 7 3 2 3" xfId="27750"/>
    <cellStyle name="Currency 7 7 3 2 4" xfId="27751"/>
    <cellStyle name="Currency 7 7 3 2 5" xfId="27752"/>
    <cellStyle name="Currency 7 7 3 2 6" xfId="27753"/>
    <cellStyle name="Currency 7 7 3 3" xfId="27754"/>
    <cellStyle name="Currency 7 7 3 4" xfId="27755"/>
    <cellStyle name="Currency 7 7 3 5" xfId="27756"/>
    <cellStyle name="Currency 7 7 3 6" xfId="27757"/>
    <cellStyle name="Currency 7 7 3 7" xfId="27758"/>
    <cellStyle name="Currency 7 7 4" xfId="27759"/>
    <cellStyle name="Currency 7 7 4 2" xfId="27760"/>
    <cellStyle name="Currency 7 7 4 3" xfId="27761"/>
    <cellStyle name="Currency 7 7 4 4" xfId="27762"/>
    <cellStyle name="Currency 7 7 4 5" xfId="27763"/>
    <cellStyle name="Currency 7 7 4 6" xfId="27764"/>
    <cellStyle name="Currency 7 7 5" xfId="27765"/>
    <cellStyle name="Currency 7 7 6" xfId="27766"/>
    <cellStyle name="Currency 7 7 7" xfId="27767"/>
    <cellStyle name="Currency 7 7 8" xfId="27768"/>
    <cellStyle name="Currency 7 7 9" xfId="27769"/>
    <cellStyle name="Currency 7 8" xfId="27770"/>
    <cellStyle name="Currency 7 8 2" xfId="27771"/>
    <cellStyle name="Currency 7 8 2 2" xfId="27772"/>
    <cellStyle name="Currency 7 8 2 2 2" xfId="27773"/>
    <cellStyle name="Currency 7 8 2 2 2 2" xfId="27774"/>
    <cellStyle name="Currency 7 8 2 2 2 3" xfId="27775"/>
    <cellStyle name="Currency 7 8 2 2 2 4" xfId="27776"/>
    <cellStyle name="Currency 7 8 2 2 2 5" xfId="27777"/>
    <cellStyle name="Currency 7 8 2 2 2 6" xfId="27778"/>
    <cellStyle name="Currency 7 8 2 2 3" xfId="27779"/>
    <cellStyle name="Currency 7 8 2 2 4" xfId="27780"/>
    <cellStyle name="Currency 7 8 2 2 5" xfId="27781"/>
    <cellStyle name="Currency 7 8 2 2 6" xfId="27782"/>
    <cellStyle name="Currency 7 8 2 2 7" xfId="27783"/>
    <cellStyle name="Currency 7 8 2 3" xfId="27784"/>
    <cellStyle name="Currency 7 8 2 3 2" xfId="27785"/>
    <cellStyle name="Currency 7 8 2 3 3" xfId="27786"/>
    <cellStyle name="Currency 7 8 2 3 4" xfId="27787"/>
    <cellStyle name="Currency 7 8 2 3 5" xfId="27788"/>
    <cellStyle name="Currency 7 8 2 3 6" xfId="27789"/>
    <cellStyle name="Currency 7 8 2 4" xfId="27790"/>
    <cellStyle name="Currency 7 8 2 5" xfId="27791"/>
    <cellStyle name="Currency 7 8 2 6" xfId="27792"/>
    <cellStyle name="Currency 7 8 2 7" xfId="27793"/>
    <cellStyle name="Currency 7 8 2 8" xfId="27794"/>
    <cellStyle name="Currency 7 8 3" xfId="27795"/>
    <cellStyle name="Currency 7 8 3 2" xfId="27796"/>
    <cellStyle name="Currency 7 8 3 2 2" xfId="27797"/>
    <cellStyle name="Currency 7 8 3 2 3" xfId="27798"/>
    <cellStyle name="Currency 7 8 3 2 4" xfId="27799"/>
    <cellStyle name="Currency 7 8 3 2 5" xfId="27800"/>
    <cellStyle name="Currency 7 8 3 2 6" xfId="27801"/>
    <cellStyle name="Currency 7 8 3 3" xfId="27802"/>
    <cellStyle name="Currency 7 8 3 4" xfId="27803"/>
    <cellStyle name="Currency 7 8 3 5" xfId="27804"/>
    <cellStyle name="Currency 7 8 3 6" xfId="27805"/>
    <cellStyle name="Currency 7 8 3 7" xfId="27806"/>
    <cellStyle name="Currency 7 8 4" xfId="27807"/>
    <cellStyle name="Currency 7 8 4 2" xfId="27808"/>
    <cellStyle name="Currency 7 8 4 3" xfId="27809"/>
    <cellStyle name="Currency 7 8 4 4" xfId="27810"/>
    <cellStyle name="Currency 7 8 4 5" xfId="27811"/>
    <cellStyle name="Currency 7 8 4 6" xfId="27812"/>
    <cellStyle name="Currency 7 8 5" xfId="27813"/>
    <cellStyle name="Currency 7 8 6" xfId="27814"/>
    <cellStyle name="Currency 7 8 7" xfId="27815"/>
    <cellStyle name="Currency 7 8 8" xfId="27816"/>
    <cellStyle name="Currency 7 8 9" xfId="27817"/>
    <cellStyle name="Currency 7 9" xfId="27818"/>
    <cellStyle name="Currency 7 9 2" xfId="27819"/>
    <cellStyle name="Currency 7 9 2 2" xfId="27820"/>
    <cellStyle name="Currency 7 9 2 2 2" xfId="27821"/>
    <cellStyle name="Currency 7 9 2 2 2 2" xfId="27822"/>
    <cellStyle name="Currency 7 9 2 2 2 3" xfId="27823"/>
    <cellStyle name="Currency 7 9 2 2 2 4" xfId="27824"/>
    <cellStyle name="Currency 7 9 2 2 2 5" xfId="27825"/>
    <cellStyle name="Currency 7 9 2 2 2 6" xfId="27826"/>
    <cellStyle name="Currency 7 9 2 2 3" xfId="27827"/>
    <cellStyle name="Currency 7 9 2 2 4" xfId="27828"/>
    <cellStyle name="Currency 7 9 2 2 5" xfId="27829"/>
    <cellStyle name="Currency 7 9 2 2 6" xfId="27830"/>
    <cellStyle name="Currency 7 9 2 2 7" xfId="27831"/>
    <cellStyle name="Currency 7 9 2 3" xfId="27832"/>
    <cellStyle name="Currency 7 9 2 3 2" xfId="27833"/>
    <cellStyle name="Currency 7 9 2 3 3" xfId="27834"/>
    <cellStyle name="Currency 7 9 2 3 4" xfId="27835"/>
    <cellStyle name="Currency 7 9 2 3 5" xfId="27836"/>
    <cellStyle name="Currency 7 9 2 3 6" xfId="27837"/>
    <cellStyle name="Currency 7 9 2 4" xfId="27838"/>
    <cellStyle name="Currency 7 9 2 5" xfId="27839"/>
    <cellStyle name="Currency 7 9 2 6" xfId="27840"/>
    <cellStyle name="Currency 7 9 2 7" xfId="27841"/>
    <cellStyle name="Currency 7 9 2 8" xfId="27842"/>
    <cellStyle name="Currency 7 9 3" xfId="27843"/>
    <cellStyle name="Currency 7 9 3 2" xfId="27844"/>
    <cellStyle name="Currency 7 9 3 2 2" xfId="27845"/>
    <cellStyle name="Currency 7 9 3 2 3" xfId="27846"/>
    <cellStyle name="Currency 7 9 3 2 4" xfId="27847"/>
    <cellStyle name="Currency 7 9 3 2 5" xfId="27848"/>
    <cellStyle name="Currency 7 9 3 2 6" xfId="27849"/>
    <cellStyle name="Currency 7 9 3 3" xfId="27850"/>
    <cellStyle name="Currency 7 9 3 4" xfId="27851"/>
    <cellStyle name="Currency 7 9 3 5" xfId="27852"/>
    <cellStyle name="Currency 7 9 3 6" xfId="27853"/>
    <cellStyle name="Currency 7 9 3 7" xfId="27854"/>
    <cellStyle name="Currency 7 9 4" xfId="27855"/>
    <cellStyle name="Currency 7 9 4 2" xfId="27856"/>
    <cellStyle name="Currency 7 9 4 3" xfId="27857"/>
    <cellStyle name="Currency 7 9 4 4" xfId="27858"/>
    <cellStyle name="Currency 7 9 4 5" xfId="27859"/>
    <cellStyle name="Currency 7 9 4 6" xfId="27860"/>
    <cellStyle name="Currency 7 9 5" xfId="27861"/>
    <cellStyle name="Currency 7 9 6" xfId="27862"/>
    <cellStyle name="Currency 7 9 7" xfId="27863"/>
    <cellStyle name="Currency 7 9 8" xfId="27864"/>
    <cellStyle name="Currency 7 9 9" xfId="27865"/>
    <cellStyle name="Currency 8" xfId="27866"/>
    <cellStyle name="Currency 8 10" xfId="27867"/>
    <cellStyle name="Currency 8 10 2" xfId="27868"/>
    <cellStyle name="Currency 8 10 3" xfId="27869"/>
    <cellStyle name="Currency 8 10 4" xfId="27870"/>
    <cellStyle name="Currency 8 10 5" xfId="27871"/>
    <cellStyle name="Currency 8 10 6" xfId="27872"/>
    <cellStyle name="Currency 8 11" xfId="27873"/>
    <cellStyle name="Currency 8 12" xfId="27874"/>
    <cellStyle name="Currency 8 13" xfId="27875"/>
    <cellStyle name="Currency 8 14" xfId="27876"/>
    <cellStyle name="Currency 8 15" xfId="27877"/>
    <cellStyle name="Currency 8 2" xfId="27878"/>
    <cellStyle name="Currency 8 2 10" xfId="27879"/>
    <cellStyle name="Currency 8 2 11" xfId="27880"/>
    <cellStyle name="Currency 8 2 12" xfId="27881"/>
    <cellStyle name="Currency 8 2 13" xfId="27882"/>
    <cellStyle name="Currency 8 2 14" xfId="27883"/>
    <cellStyle name="Currency 8 2 2" xfId="27884"/>
    <cellStyle name="Currency 8 2 2 2" xfId="27885"/>
    <cellStyle name="Currency 8 2 2 2 2" xfId="27886"/>
    <cellStyle name="Currency 8 2 2 2 2 2" xfId="27887"/>
    <cellStyle name="Currency 8 2 2 2 2 2 2" xfId="27888"/>
    <cellStyle name="Currency 8 2 2 2 2 2 3" xfId="27889"/>
    <cellStyle name="Currency 8 2 2 2 2 2 4" xfId="27890"/>
    <cellStyle name="Currency 8 2 2 2 2 2 5" xfId="27891"/>
    <cellStyle name="Currency 8 2 2 2 2 2 6" xfId="27892"/>
    <cellStyle name="Currency 8 2 2 2 2 3" xfId="27893"/>
    <cellStyle name="Currency 8 2 2 2 2 4" xfId="27894"/>
    <cellStyle name="Currency 8 2 2 2 2 5" xfId="27895"/>
    <cellStyle name="Currency 8 2 2 2 2 6" xfId="27896"/>
    <cellStyle name="Currency 8 2 2 2 2 7" xfId="27897"/>
    <cellStyle name="Currency 8 2 2 2 3" xfId="27898"/>
    <cellStyle name="Currency 8 2 2 2 3 2" xfId="27899"/>
    <cellStyle name="Currency 8 2 2 2 3 3" xfId="27900"/>
    <cellStyle name="Currency 8 2 2 2 3 4" xfId="27901"/>
    <cellStyle name="Currency 8 2 2 2 3 5" xfId="27902"/>
    <cellStyle name="Currency 8 2 2 2 3 6" xfId="27903"/>
    <cellStyle name="Currency 8 2 2 2 4" xfId="27904"/>
    <cellStyle name="Currency 8 2 2 2 5" xfId="27905"/>
    <cellStyle name="Currency 8 2 2 2 6" xfId="27906"/>
    <cellStyle name="Currency 8 2 2 2 7" xfId="27907"/>
    <cellStyle name="Currency 8 2 2 2 8" xfId="27908"/>
    <cellStyle name="Currency 8 2 2 3" xfId="27909"/>
    <cellStyle name="Currency 8 2 2 3 2" xfId="27910"/>
    <cellStyle name="Currency 8 2 2 3 2 2" xfId="27911"/>
    <cellStyle name="Currency 8 2 2 3 2 3" xfId="27912"/>
    <cellStyle name="Currency 8 2 2 3 2 4" xfId="27913"/>
    <cellStyle name="Currency 8 2 2 3 2 5" xfId="27914"/>
    <cellStyle name="Currency 8 2 2 3 2 6" xfId="27915"/>
    <cellStyle name="Currency 8 2 2 3 3" xfId="27916"/>
    <cellStyle name="Currency 8 2 2 3 4" xfId="27917"/>
    <cellStyle name="Currency 8 2 2 3 5" xfId="27918"/>
    <cellStyle name="Currency 8 2 2 3 6" xfId="27919"/>
    <cellStyle name="Currency 8 2 2 3 7" xfId="27920"/>
    <cellStyle name="Currency 8 2 2 4" xfId="27921"/>
    <cellStyle name="Currency 8 2 2 4 2" xfId="27922"/>
    <cellStyle name="Currency 8 2 2 4 3" xfId="27923"/>
    <cellStyle name="Currency 8 2 2 4 4" xfId="27924"/>
    <cellStyle name="Currency 8 2 2 4 5" xfId="27925"/>
    <cellStyle name="Currency 8 2 2 4 6" xfId="27926"/>
    <cellStyle name="Currency 8 2 2 5" xfId="27927"/>
    <cellStyle name="Currency 8 2 2 6" xfId="27928"/>
    <cellStyle name="Currency 8 2 2 7" xfId="27929"/>
    <cellStyle name="Currency 8 2 2 8" xfId="27930"/>
    <cellStyle name="Currency 8 2 2 9" xfId="27931"/>
    <cellStyle name="Currency 8 2 3" xfId="27932"/>
    <cellStyle name="Currency 8 2 3 2" xfId="27933"/>
    <cellStyle name="Currency 8 2 3 2 2" xfId="27934"/>
    <cellStyle name="Currency 8 2 3 2 2 2" xfId="27935"/>
    <cellStyle name="Currency 8 2 3 2 2 2 2" xfId="27936"/>
    <cellStyle name="Currency 8 2 3 2 2 2 3" xfId="27937"/>
    <cellStyle name="Currency 8 2 3 2 2 2 4" xfId="27938"/>
    <cellStyle name="Currency 8 2 3 2 2 2 5" xfId="27939"/>
    <cellStyle name="Currency 8 2 3 2 2 2 6" xfId="27940"/>
    <cellStyle name="Currency 8 2 3 2 2 3" xfId="27941"/>
    <cellStyle name="Currency 8 2 3 2 2 4" xfId="27942"/>
    <cellStyle name="Currency 8 2 3 2 2 5" xfId="27943"/>
    <cellStyle name="Currency 8 2 3 2 2 6" xfId="27944"/>
    <cellStyle name="Currency 8 2 3 2 2 7" xfId="27945"/>
    <cellStyle name="Currency 8 2 3 2 3" xfId="27946"/>
    <cellStyle name="Currency 8 2 3 2 3 2" xfId="27947"/>
    <cellStyle name="Currency 8 2 3 2 3 3" xfId="27948"/>
    <cellStyle name="Currency 8 2 3 2 3 4" xfId="27949"/>
    <cellStyle name="Currency 8 2 3 2 3 5" xfId="27950"/>
    <cellStyle name="Currency 8 2 3 2 3 6" xfId="27951"/>
    <cellStyle name="Currency 8 2 3 2 4" xfId="27952"/>
    <cellStyle name="Currency 8 2 3 2 5" xfId="27953"/>
    <cellStyle name="Currency 8 2 3 2 6" xfId="27954"/>
    <cellStyle name="Currency 8 2 3 2 7" xfId="27955"/>
    <cellStyle name="Currency 8 2 3 2 8" xfId="27956"/>
    <cellStyle name="Currency 8 2 3 3" xfId="27957"/>
    <cellStyle name="Currency 8 2 3 3 2" xfId="27958"/>
    <cellStyle name="Currency 8 2 3 3 2 2" xfId="27959"/>
    <cellStyle name="Currency 8 2 3 3 2 3" xfId="27960"/>
    <cellStyle name="Currency 8 2 3 3 2 4" xfId="27961"/>
    <cellStyle name="Currency 8 2 3 3 2 5" xfId="27962"/>
    <cellStyle name="Currency 8 2 3 3 2 6" xfId="27963"/>
    <cellStyle name="Currency 8 2 3 3 3" xfId="27964"/>
    <cellStyle name="Currency 8 2 3 3 4" xfId="27965"/>
    <cellStyle name="Currency 8 2 3 3 5" xfId="27966"/>
    <cellStyle name="Currency 8 2 3 3 6" xfId="27967"/>
    <cellStyle name="Currency 8 2 3 3 7" xfId="27968"/>
    <cellStyle name="Currency 8 2 3 4" xfId="27969"/>
    <cellStyle name="Currency 8 2 3 4 2" xfId="27970"/>
    <cellStyle name="Currency 8 2 3 4 3" xfId="27971"/>
    <cellStyle name="Currency 8 2 3 4 4" xfId="27972"/>
    <cellStyle name="Currency 8 2 3 4 5" xfId="27973"/>
    <cellStyle name="Currency 8 2 3 4 6" xfId="27974"/>
    <cellStyle name="Currency 8 2 3 5" xfId="27975"/>
    <cellStyle name="Currency 8 2 3 6" xfId="27976"/>
    <cellStyle name="Currency 8 2 3 7" xfId="27977"/>
    <cellStyle name="Currency 8 2 3 8" xfId="27978"/>
    <cellStyle name="Currency 8 2 3 9" xfId="27979"/>
    <cellStyle name="Currency 8 2 4" xfId="27980"/>
    <cellStyle name="Currency 8 2 4 2" xfId="27981"/>
    <cellStyle name="Currency 8 2 4 2 2" xfId="27982"/>
    <cellStyle name="Currency 8 2 4 2 2 2" xfId="27983"/>
    <cellStyle name="Currency 8 2 4 2 2 2 2" xfId="27984"/>
    <cellStyle name="Currency 8 2 4 2 2 2 3" xfId="27985"/>
    <cellStyle name="Currency 8 2 4 2 2 2 4" xfId="27986"/>
    <cellStyle name="Currency 8 2 4 2 2 2 5" xfId="27987"/>
    <cellStyle name="Currency 8 2 4 2 2 2 6" xfId="27988"/>
    <cellStyle name="Currency 8 2 4 2 2 3" xfId="27989"/>
    <cellStyle name="Currency 8 2 4 2 2 4" xfId="27990"/>
    <cellStyle name="Currency 8 2 4 2 2 5" xfId="27991"/>
    <cellStyle name="Currency 8 2 4 2 2 6" xfId="27992"/>
    <cellStyle name="Currency 8 2 4 2 2 7" xfId="27993"/>
    <cellStyle name="Currency 8 2 4 2 3" xfId="27994"/>
    <cellStyle name="Currency 8 2 4 2 3 2" xfId="27995"/>
    <cellStyle name="Currency 8 2 4 2 3 3" xfId="27996"/>
    <cellStyle name="Currency 8 2 4 2 3 4" xfId="27997"/>
    <cellStyle name="Currency 8 2 4 2 3 5" xfId="27998"/>
    <cellStyle name="Currency 8 2 4 2 3 6" xfId="27999"/>
    <cellStyle name="Currency 8 2 4 2 4" xfId="28000"/>
    <cellStyle name="Currency 8 2 4 2 5" xfId="28001"/>
    <cellStyle name="Currency 8 2 4 2 6" xfId="28002"/>
    <cellStyle name="Currency 8 2 4 2 7" xfId="28003"/>
    <cellStyle name="Currency 8 2 4 2 8" xfId="28004"/>
    <cellStyle name="Currency 8 2 4 3" xfId="28005"/>
    <cellStyle name="Currency 8 2 4 3 2" xfId="28006"/>
    <cellStyle name="Currency 8 2 4 3 2 2" xfId="28007"/>
    <cellStyle name="Currency 8 2 4 3 2 3" xfId="28008"/>
    <cellStyle name="Currency 8 2 4 3 2 4" xfId="28009"/>
    <cellStyle name="Currency 8 2 4 3 2 5" xfId="28010"/>
    <cellStyle name="Currency 8 2 4 3 2 6" xfId="28011"/>
    <cellStyle name="Currency 8 2 4 3 3" xfId="28012"/>
    <cellStyle name="Currency 8 2 4 3 4" xfId="28013"/>
    <cellStyle name="Currency 8 2 4 3 5" xfId="28014"/>
    <cellStyle name="Currency 8 2 4 3 6" xfId="28015"/>
    <cellStyle name="Currency 8 2 4 3 7" xfId="28016"/>
    <cellStyle name="Currency 8 2 4 4" xfId="28017"/>
    <cellStyle name="Currency 8 2 4 4 2" xfId="28018"/>
    <cellStyle name="Currency 8 2 4 4 3" xfId="28019"/>
    <cellStyle name="Currency 8 2 4 4 4" xfId="28020"/>
    <cellStyle name="Currency 8 2 4 4 5" xfId="28021"/>
    <cellStyle name="Currency 8 2 4 4 6" xfId="28022"/>
    <cellStyle name="Currency 8 2 4 5" xfId="28023"/>
    <cellStyle name="Currency 8 2 4 6" xfId="28024"/>
    <cellStyle name="Currency 8 2 4 7" xfId="28025"/>
    <cellStyle name="Currency 8 2 4 8" xfId="28026"/>
    <cellStyle name="Currency 8 2 4 9" xfId="28027"/>
    <cellStyle name="Currency 8 2 5" xfId="28028"/>
    <cellStyle name="Currency 8 2 5 2" xfId="28029"/>
    <cellStyle name="Currency 8 2 5 2 2" xfId="28030"/>
    <cellStyle name="Currency 8 2 5 2 2 2" xfId="28031"/>
    <cellStyle name="Currency 8 2 5 2 2 2 2" xfId="28032"/>
    <cellStyle name="Currency 8 2 5 2 2 2 3" xfId="28033"/>
    <cellStyle name="Currency 8 2 5 2 2 2 4" xfId="28034"/>
    <cellStyle name="Currency 8 2 5 2 2 2 5" xfId="28035"/>
    <cellStyle name="Currency 8 2 5 2 2 2 6" xfId="28036"/>
    <cellStyle name="Currency 8 2 5 2 2 3" xfId="28037"/>
    <cellStyle name="Currency 8 2 5 2 2 4" xfId="28038"/>
    <cellStyle name="Currency 8 2 5 2 2 5" xfId="28039"/>
    <cellStyle name="Currency 8 2 5 2 2 6" xfId="28040"/>
    <cellStyle name="Currency 8 2 5 2 2 7" xfId="28041"/>
    <cellStyle name="Currency 8 2 5 2 3" xfId="28042"/>
    <cellStyle name="Currency 8 2 5 2 3 2" xfId="28043"/>
    <cellStyle name="Currency 8 2 5 2 3 3" xfId="28044"/>
    <cellStyle name="Currency 8 2 5 2 3 4" xfId="28045"/>
    <cellStyle name="Currency 8 2 5 2 3 5" xfId="28046"/>
    <cellStyle name="Currency 8 2 5 2 3 6" xfId="28047"/>
    <cellStyle name="Currency 8 2 5 2 4" xfId="28048"/>
    <cellStyle name="Currency 8 2 5 2 5" xfId="28049"/>
    <cellStyle name="Currency 8 2 5 2 6" xfId="28050"/>
    <cellStyle name="Currency 8 2 5 2 7" xfId="28051"/>
    <cellStyle name="Currency 8 2 5 2 8" xfId="28052"/>
    <cellStyle name="Currency 8 2 5 3" xfId="28053"/>
    <cellStyle name="Currency 8 2 5 3 2" xfId="28054"/>
    <cellStyle name="Currency 8 2 5 3 2 2" xfId="28055"/>
    <cellStyle name="Currency 8 2 5 3 2 3" xfId="28056"/>
    <cellStyle name="Currency 8 2 5 3 2 4" xfId="28057"/>
    <cellStyle name="Currency 8 2 5 3 2 5" xfId="28058"/>
    <cellStyle name="Currency 8 2 5 3 2 6" xfId="28059"/>
    <cellStyle name="Currency 8 2 5 3 3" xfId="28060"/>
    <cellStyle name="Currency 8 2 5 3 4" xfId="28061"/>
    <cellStyle name="Currency 8 2 5 3 5" xfId="28062"/>
    <cellStyle name="Currency 8 2 5 3 6" xfId="28063"/>
    <cellStyle name="Currency 8 2 5 3 7" xfId="28064"/>
    <cellStyle name="Currency 8 2 5 4" xfId="28065"/>
    <cellStyle name="Currency 8 2 5 4 2" xfId="28066"/>
    <cellStyle name="Currency 8 2 5 4 3" xfId="28067"/>
    <cellStyle name="Currency 8 2 5 4 4" xfId="28068"/>
    <cellStyle name="Currency 8 2 5 4 5" xfId="28069"/>
    <cellStyle name="Currency 8 2 5 4 6" xfId="28070"/>
    <cellStyle name="Currency 8 2 5 5" xfId="28071"/>
    <cellStyle name="Currency 8 2 5 6" xfId="28072"/>
    <cellStyle name="Currency 8 2 5 7" xfId="28073"/>
    <cellStyle name="Currency 8 2 5 8" xfId="28074"/>
    <cellStyle name="Currency 8 2 5 9" xfId="28075"/>
    <cellStyle name="Currency 8 2 6" xfId="28076"/>
    <cellStyle name="Currency 8 2 6 2" xfId="28077"/>
    <cellStyle name="Currency 8 2 6 2 2" xfId="28078"/>
    <cellStyle name="Currency 8 2 6 2 2 2" xfId="28079"/>
    <cellStyle name="Currency 8 2 6 2 2 2 2" xfId="28080"/>
    <cellStyle name="Currency 8 2 6 2 2 2 3" xfId="28081"/>
    <cellStyle name="Currency 8 2 6 2 2 2 4" xfId="28082"/>
    <cellStyle name="Currency 8 2 6 2 2 2 5" xfId="28083"/>
    <cellStyle name="Currency 8 2 6 2 2 2 6" xfId="28084"/>
    <cellStyle name="Currency 8 2 6 2 2 3" xfId="28085"/>
    <cellStyle name="Currency 8 2 6 2 2 4" xfId="28086"/>
    <cellStyle name="Currency 8 2 6 2 2 5" xfId="28087"/>
    <cellStyle name="Currency 8 2 6 2 2 6" xfId="28088"/>
    <cellStyle name="Currency 8 2 6 2 2 7" xfId="28089"/>
    <cellStyle name="Currency 8 2 6 2 3" xfId="28090"/>
    <cellStyle name="Currency 8 2 6 2 3 2" xfId="28091"/>
    <cellStyle name="Currency 8 2 6 2 3 3" xfId="28092"/>
    <cellStyle name="Currency 8 2 6 2 3 4" xfId="28093"/>
    <cellStyle name="Currency 8 2 6 2 3 5" xfId="28094"/>
    <cellStyle name="Currency 8 2 6 2 3 6" xfId="28095"/>
    <cellStyle name="Currency 8 2 6 2 4" xfId="28096"/>
    <cellStyle name="Currency 8 2 6 2 5" xfId="28097"/>
    <cellStyle name="Currency 8 2 6 2 6" xfId="28098"/>
    <cellStyle name="Currency 8 2 6 2 7" xfId="28099"/>
    <cellStyle name="Currency 8 2 6 2 8" xfId="28100"/>
    <cellStyle name="Currency 8 2 6 3" xfId="28101"/>
    <cellStyle name="Currency 8 2 6 3 2" xfId="28102"/>
    <cellStyle name="Currency 8 2 6 3 2 2" xfId="28103"/>
    <cellStyle name="Currency 8 2 6 3 2 3" xfId="28104"/>
    <cellStyle name="Currency 8 2 6 3 2 4" xfId="28105"/>
    <cellStyle name="Currency 8 2 6 3 2 5" xfId="28106"/>
    <cellStyle name="Currency 8 2 6 3 2 6" xfId="28107"/>
    <cellStyle name="Currency 8 2 6 3 3" xfId="28108"/>
    <cellStyle name="Currency 8 2 6 3 4" xfId="28109"/>
    <cellStyle name="Currency 8 2 6 3 5" xfId="28110"/>
    <cellStyle name="Currency 8 2 6 3 6" xfId="28111"/>
    <cellStyle name="Currency 8 2 6 3 7" xfId="28112"/>
    <cellStyle name="Currency 8 2 6 4" xfId="28113"/>
    <cellStyle name="Currency 8 2 6 4 2" xfId="28114"/>
    <cellStyle name="Currency 8 2 6 4 3" xfId="28115"/>
    <cellStyle name="Currency 8 2 6 4 4" xfId="28116"/>
    <cellStyle name="Currency 8 2 6 4 5" xfId="28117"/>
    <cellStyle name="Currency 8 2 6 4 6" xfId="28118"/>
    <cellStyle name="Currency 8 2 6 5" xfId="28119"/>
    <cellStyle name="Currency 8 2 6 6" xfId="28120"/>
    <cellStyle name="Currency 8 2 6 7" xfId="28121"/>
    <cellStyle name="Currency 8 2 6 8" xfId="28122"/>
    <cellStyle name="Currency 8 2 6 9" xfId="28123"/>
    <cellStyle name="Currency 8 2 7" xfId="28124"/>
    <cellStyle name="Currency 8 2 7 2" xfId="28125"/>
    <cellStyle name="Currency 8 2 7 2 2" xfId="28126"/>
    <cellStyle name="Currency 8 2 7 2 2 2" xfId="28127"/>
    <cellStyle name="Currency 8 2 7 2 2 3" xfId="28128"/>
    <cellStyle name="Currency 8 2 7 2 2 4" xfId="28129"/>
    <cellStyle name="Currency 8 2 7 2 2 5" xfId="28130"/>
    <cellStyle name="Currency 8 2 7 2 2 6" xfId="28131"/>
    <cellStyle name="Currency 8 2 7 2 3" xfId="28132"/>
    <cellStyle name="Currency 8 2 7 2 4" xfId="28133"/>
    <cellStyle name="Currency 8 2 7 2 5" xfId="28134"/>
    <cellStyle name="Currency 8 2 7 2 6" xfId="28135"/>
    <cellStyle name="Currency 8 2 7 2 7" xfId="28136"/>
    <cellStyle name="Currency 8 2 7 3" xfId="28137"/>
    <cellStyle name="Currency 8 2 7 3 2" xfId="28138"/>
    <cellStyle name="Currency 8 2 7 3 3" xfId="28139"/>
    <cellStyle name="Currency 8 2 7 3 4" xfId="28140"/>
    <cellStyle name="Currency 8 2 7 3 5" xfId="28141"/>
    <cellStyle name="Currency 8 2 7 3 6" xfId="28142"/>
    <cellStyle name="Currency 8 2 7 4" xfId="28143"/>
    <cellStyle name="Currency 8 2 7 5" xfId="28144"/>
    <cellStyle name="Currency 8 2 7 6" xfId="28145"/>
    <cellStyle name="Currency 8 2 7 7" xfId="28146"/>
    <cellStyle name="Currency 8 2 7 8" xfId="28147"/>
    <cellStyle name="Currency 8 2 8" xfId="28148"/>
    <cellStyle name="Currency 8 2 8 2" xfId="28149"/>
    <cellStyle name="Currency 8 2 8 2 2" xfId="28150"/>
    <cellStyle name="Currency 8 2 8 2 3" xfId="28151"/>
    <cellStyle name="Currency 8 2 8 2 4" xfId="28152"/>
    <cellStyle name="Currency 8 2 8 2 5" xfId="28153"/>
    <cellStyle name="Currency 8 2 8 2 6" xfId="28154"/>
    <cellStyle name="Currency 8 2 8 3" xfId="28155"/>
    <cellStyle name="Currency 8 2 8 4" xfId="28156"/>
    <cellStyle name="Currency 8 2 8 5" xfId="28157"/>
    <cellStyle name="Currency 8 2 8 6" xfId="28158"/>
    <cellStyle name="Currency 8 2 8 7" xfId="28159"/>
    <cellStyle name="Currency 8 2 9" xfId="28160"/>
    <cellStyle name="Currency 8 2 9 2" xfId="28161"/>
    <cellStyle name="Currency 8 2 9 3" xfId="28162"/>
    <cellStyle name="Currency 8 2 9 4" xfId="28163"/>
    <cellStyle name="Currency 8 2 9 5" xfId="28164"/>
    <cellStyle name="Currency 8 2 9 6" xfId="28165"/>
    <cellStyle name="Currency 8 3" xfId="28166"/>
    <cellStyle name="Currency 8 3 2" xfId="28167"/>
    <cellStyle name="Currency 8 3 2 2" xfId="28168"/>
    <cellStyle name="Currency 8 3 2 2 2" xfId="28169"/>
    <cellStyle name="Currency 8 3 2 2 2 2" xfId="28170"/>
    <cellStyle name="Currency 8 3 2 2 2 3" xfId="28171"/>
    <cellStyle name="Currency 8 3 2 2 2 4" xfId="28172"/>
    <cellStyle name="Currency 8 3 2 2 2 5" xfId="28173"/>
    <cellStyle name="Currency 8 3 2 2 2 6" xfId="28174"/>
    <cellStyle name="Currency 8 3 2 2 3" xfId="28175"/>
    <cellStyle name="Currency 8 3 2 2 4" xfId="28176"/>
    <cellStyle name="Currency 8 3 2 2 5" xfId="28177"/>
    <cellStyle name="Currency 8 3 2 2 6" xfId="28178"/>
    <cellStyle name="Currency 8 3 2 2 7" xfId="28179"/>
    <cellStyle name="Currency 8 3 2 3" xfId="28180"/>
    <cellStyle name="Currency 8 3 2 3 2" xfId="28181"/>
    <cellStyle name="Currency 8 3 2 3 3" xfId="28182"/>
    <cellStyle name="Currency 8 3 2 3 4" xfId="28183"/>
    <cellStyle name="Currency 8 3 2 3 5" xfId="28184"/>
    <cellStyle name="Currency 8 3 2 3 6" xfId="28185"/>
    <cellStyle name="Currency 8 3 2 4" xfId="28186"/>
    <cellStyle name="Currency 8 3 2 5" xfId="28187"/>
    <cellStyle name="Currency 8 3 2 6" xfId="28188"/>
    <cellStyle name="Currency 8 3 2 7" xfId="28189"/>
    <cellStyle name="Currency 8 3 2 8" xfId="28190"/>
    <cellStyle name="Currency 8 3 3" xfId="28191"/>
    <cellStyle name="Currency 8 3 3 2" xfId="28192"/>
    <cellStyle name="Currency 8 3 3 2 2" xfId="28193"/>
    <cellStyle name="Currency 8 3 3 2 3" xfId="28194"/>
    <cellStyle name="Currency 8 3 3 2 4" xfId="28195"/>
    <cellStyle name="Currency 8 3 3 2 5" xfId="28196"/>
    <cellStyle name="Currency 8 3 3 2 6" xfId="28197"/>
    <cellStyle name="Currency 8 3 3 3" xfId="28198"/>
    <cellStyle name="Currency 8 3 3 4" xfId="28199"/>
    <cellStyle name="Currency 8 3 3 5" xfId="28200"/>
    <cellStyle name="Currency 8 3 3 6" xfId="28201"/>
    <cellStyle name="Currency 8 3 3 7" xfId="28202"/>
    <cellStyle name="Currency 8 3 4" xfId="28203"/>
    <cellStyle name="Currency 8 3 4 2" xfId="28204"/>
    <cellStyle name="Currency 8 3 4 3" xfId="28205"/>
    <cellStyle name="Currency 8 3 4 4" xfId="28206"/>
    <cellStyle name="Currency 8 3 4 5" xfId="28207"/>
    <cellStyle name="Currency 8 3 4 6" xfId="28208"/>
    <cellStyle name="Currency 8 3 5" xfId="28209"/>
    <cellStyle name="Currency 8 3 6" xfId="28210"/>
    <cellStyle name="Currency 8 3 7" xfId="28211"/>
    <cellStyle name="Currency 8 3 8" xfId="28212"/>
    <cellStyle name="Currency 8 3 9" xfId="28213"/>
    <cellStyle name="Currency 8 4" xfId="28214"/>
    <cellStyle name="Currency 8 4 2" xfId="28215"/>
    <cellStyle name="Currency 8 4 2 2" xfId="28216"/>
    <cellStyle name="Currency 8 4 2 2 2" xfId="28217"/>
    <cellStyle name="Currency 8 4 2 2 2 2" xfId="28218"/>
    <cellStyle name="Currency 8 4 2 2 2 3" xfId="28219"/>
    <cellStyle name="Currency 8 4 2 2 2 4" xfId="28220"/>
    <cellStyle name="Currency 8 4 2 2 2 5" xfId="28221"/>
    <cellStyle name="Currency 8 4 2 2 2 6" xfId="28222"/>
    <cellStyle name="Currency 8 4 2 2 3" xfId="28223"/>
    <cellStyle name="Currency 8 4 2 2 4" xfId="28224"/>
    <cellStyle name="Currency 8 4 2 2 5" xfId="28225"/>
    <cellStyle name="Currency 8 4 2 2 6" xfId="28226"/>
    <cellStyle name="Currency 8 4 2 2 7" xfId="28227"/>
    <cellStyle name="Currency 8 4 2 3" xfId="28228"/>
    <cellStyle name="Currency 8 4 2 3 2" xfId="28229"/>
    <cellStyle name="Currency 8 4 2 3 3" xfId="28230"/>
    <cellStyle name="Currency 8 4 2 3 4" xfId="28231"/>
    <cellStyle name="Currency 8 4 2 3 5" xfId="28232"/>
    <cellStyle name="Currency 8 4 2 3 6" xfId="28233"/>
    <cellStyle name="Currency 8 4 2 4" xfId="28234"/>
    <cellStyle name="Currency 8 4 2 5" xfId="28235"/>
    <cellStyle name="Currency 8 4 2 6" xfId="28236"/>
    <cellStyle name="Currency 8 4 2 7" xfId="28237"/>
    <cellStyle name="Currency 8 4 2 8" xfId="28238"/>
    <cellStyle name="Currency 8 4 3" xfId="28239"/>
    <cellStyle name="Currency 8 4 3 2" xfId="28240"/>
    <cellStyle name="Currency 8 4 3 2 2" xfId="28241"/>
    <cellStyle name="Currency 8 4 3 2 3" xfId="28242"/>
    <cellStyle name="Currency 8 4 3 2 4" xfId="28243"/>
    <cellStyle name="Currency 8 4 3 2 5" xfId="28244"/>
    <cellStyle name="Currency 8 4 3 2 6" xfId="28245"/>
    <cellStyle name="Currency 8 4 3 3" xfId="28246"/>
    <cellStyle name="Currency 8 4 3 4" xfId="28247"/>
    <cellStyle name="Currency 8 4 3 5" xfId="28248"/>
    <cellStyle name="Currency 8 4 3 6" xfId="28249"/>
    <cellStyle name="Currency 8 4 3 7" xfId="28250"/>
    <cellStyle name="Currency 8 4 4" xfId="28251"/>
    <cellStyle name="Currency 8 4 4 2" xfId="28252"/>
    <cellStyle name="Currency 8 4 4 3" xfId="28253"/>
    <cellStyle name="Currency 8 4 4 4" xfId="28254"/>
    <cellStyle name="Currency 8 4 4 5" xfId="28255"/>
    <cellStyle name="Currency 8 4 4 6" xfId="28256"/>
    <cellStyle name="Currency 8 4 5" xfId="28257"/>
    <cellStyle name="Currency 8 4 6" xfId="28258"/>
    <cellStyle name="Currency 8 4 7" xfId="28259"/>
    <cellStyle name="Currency 8 4 8" xfId="28260"/>
    <cellStyle name="Currency 8 4 9" xfId="28261"/>
    <cellStyle name="Currency 8 5" xfId="28262"/>
    <cellStyle name="Currency 8 5 2" xfId="28263"/>
    <cellStyle name="Currency 8 5 2 2" xfId="28264"/>
    <cellStyle name="Currency 8 5 2 2 2" xfId="28265"/>
    <cellStyle name="Currency 8 5 2 2 2 2" xfId="28266"/>
    <cellStyle name="Currency 8 5 2 2 2 3" xfId="28267"/>
    <cellStyle name="Currency 8 5 2 2 2 4" xfId="28268"/>
    <cellStyle name="Currency 8 5 2 2 2 5" xfId="28269"/>
    <cellStyle name="Currency 8 5 2 2 2 6" xfId="28270"/>
    <cellStyle name="Currency 8 5 2 2 3" xfId="28271"/>
    <cellStyle name="Currency 8 5 2 2 4" xfId="28272"/>
    <cellStyle name="Currency 8 5 2 2 5" xfId="28273"/>
    <cellStyle name="Currency 8 5 2 2 6" xfId="28274"/>
    <cellStyle name="Currency 8 5 2 2 7" xfId="28275"/>
    <cellStyle name="Currency 8 5 2 3" xfId="28276"/>
    <cellStyle name="Currency 8 5 2 3 2" xfId="28277"/>
    <cellStyle name="Currency 8 5 2 3 3" xfId="28278"/>
    <cellStyle name="Currency 8 5 2 3 4" xfId="28279"/>
    <cellStyle name="Currency 8 5 2 3 5" xfId="28280"/>
    <cellStyle name="Currency 8 5 2 3 6" xfId="28281"/>
    <cellStyle name="Currency 8 5 2 4" xfId="28282"/>
    <cellStyle name="Currency 8 5 2 5" xfId="28283"/>
    <cellStyle name="Currency 8 5 2 6" xfId="28284"/>
    <cellStyle name="Currency 8 5 2 7" xfId="28285"/>
    <cellStyle name="Currency 8 5 2 8" xfId="28286"/>
    <cellStyle name="Currency 8 5 3" xfId="28287"/>
    <cellStyle name="Currency 8 5 3 2" xfId="28288"/>
    <cellStyle name="Currency 8 5 3 2 2" xfId="28289"/>
    <cellStyle name="Currency 8 5 3 2 3" xfId="28290"/>
    <cellStyle name="Currency 8 5 3 2 4" xfId="28291"/>
    <cellStyle name="Currency 8 5 3 2 5" xfId="28292"/>
    <cellStyle name="Currency 8 5 3 2 6" xfId="28293"/>
    <cellStyle name="Currency 8 5 3 3" xfId="28294"/>
    <cellStyle name="Currency 8 5 3 4" xfId="28295"/>
    <cellStyle name="Currency 8 5 3 5" xfId="28296"/>
    <cellStyle name="Currency 8 5 3 6" xfId="28297"/>
    <cellStyle name="Currency 8 5 3 7" xfId="28298"/>
    <cellStyle name="Currency 8 5 4" xfId="28299"/>
    <cellStyle name="Currency 8 5 4 2" xfId="28300"/>
    <cellStyle name="Currency 8 5 4 3" xfId="28301"/>
    <cellStyle name="Currency 8 5 4 4" xfId="28302"/>
    <cellStyle name="Currency 8 5 4 5" xfId="28303"/>
    <cellStyle name="Currency 8 5 4 6" xfId="28304"/>
    <cellStyle name="Currency 8 5 5" xfId="28305"/>
    <cellStyle name="Currency 8 5 6" xfId="28306"/>
    <cellStyle name="Currency 8 5 7" xfId="28307"/>
    <cellStyle name="Currency 8 5 8" xfId="28308"/>
    <cellStyle name="Currency 8 5 9" xfId="28309"/>
    <cellStyle name="Currency 8 6" xfId="28310"/>
    <cellStyle name="Currency 8 6 2" xfId="28311"/>
    <cellStyle name="Currency 8 6 2 2" xfId="28312"/>
    <cellStyle name="Currency 8 6 2 2 2" xfId="28313"/>
    <cellStyle name="Currency 8 6 2 2 2 2" xfId="28314"/>
    <cellStyle name="Currency 8 6 2 2 2 3" xfId="28315"/>
    <cellStyle name="Currency 8 6 2 2 2 4" xfId="28316"/>
    <cellStyle name="Currency 8 6 2 2 2 5" xfId="28317"/>
    <cellStyle name="Currency 8 6 2 2 2 6" xfId="28318"/>
    <cellStyle name="Currency 8 6 2 2 3" xfId="28319"/>
    <cellStyle name="Currency 8 6 2 2 4" xfId="28320"/>
    <cellStyle name="Currency 8 6 2 2 5" xfId="28321"/>
    <cellStyle name="Currency 8 6 2 2 6" xfId="28322"/>
    <cellStyle name="Currency 8 6 2 2 7" xfId="28323"/>
    <cellStyle name="Currency 8 6 2 3" xfId="28324"/>
    <cellStyle name="Currency 8 6 2 3 2" xfId="28325"/>
    <cellStyle name="Currency 8 6 2 3 3" xfId="28326"/>
    <cellStyle name="Currency 8 6 2 3 4" xfId="28327"/>
    <cellStyle name="Currency 8 6 2 3 5" xfId="28328"/>
    <cellStyle name="Currency 8 6 2 3 6" xfId="28329"/>
    <cellStyle name="Currency 8 6 2 4" xfId="28330"/>
    <cellStyle name="Currency 8 6 2 5" xfId="28331"/>
    <cellStyle name="Currency 8 6 2 6" xfId="28332"/>
    <cellStyle name="Currency 8 6 2 7" xfId="28333"/>
    <cellStyle name="Currency 8 6 2 8" xfId="28334"/>
    <cellStyle name="Currency 8 6 3" xfId="28335"/>
    <cellStyle name="Currency 8 6 3 2" xfId="28336"/>
    <cellStyle name="Currency 8 6 3 2 2" xfId="28337"/>
    <cellStyle name="Currency 8 6 3 2 3" xfId="28338"/>
    <cellStyle name="Currency 8 6 3 2 4" xfId="28339"/>
    <cellStyle name="Currency 8 6 3 2 5" xfId="28340"/>
    <cellStyle name="Currency 8 6 3 2 6" xfId="28341"/>
    <cellStyle name="Currency 8 6 3 3" xfId="28342"/>
    <cellStyle name="Currency 8 6 3 4" xfId="28343"/>
    <cellStyle name="Currency 8 6 3 5" xfId="28344"/>
    <cellStyle name="Currency 8 6 3 6" xfId="28345"/>
    <cellStyle name="Currency 8 6 3 7" xfId="28346"/>
    <cellStyle name="Currency 8 6 4" xfId="28347"/>
    <cellStyle name="Currency 8 6 4 2" xfId="28348"/>
    <cellStyle name="Currency 8 6 4 3" xfId="28349"/>
    <cellStyle name="Currency 8 6 4 4" xfId="28350"/>
    <cellStyle name="Currency 8 6 4 5" xfId="28351"/>
    <cellStyle name="Currency 8 6 4 6" xfId="28352"/>
    <cellStyle name="Currency 8 6 5" xfId="28353"/>
    <cellStyle name="Currency 8 6 6" xfId="28354"/>
    <cellStyle name="Currency 8 6 7" xfId="28355"/>
    <cellStyle name="Currency 8 6 8" xfId="28356"/>
    <cellStyle name="Currency 8 6 9" xfId="28357"/>
    <cellStyle name="Currency 8 7" xfId="28358"/>
    <cellStyle name="Currency 8 7 2" xfId="28359"/>
    <cellStyle name="Currency 8 7 2 2" xfId="28360"/>
    <cellStyle name="Currency 8 7 2 2 2" xfId="28361"/>
    <cellStyle name="Currency 8 7 2 2 2 2" xfId="28362"/>
    <cellStyle name="Currency 8 7 2 2 2 3" xfId="28363"/>
    <cellStyle name="Currency 8 7 2 2 2 4" xfId="28364"/>
    <cellStyle name="Currency 8 7 2 2 2 5" xfId="28365"/>
    <cellStyle name="Currency 8 7 2 2 2 6" xfId="28366"/>
    <cellStyle name="Currency 8 7 2 2 3" xfId="28367"/>
    <cellStyle name="Currency 8 7 2 2 4" xfId="28368"/>
    <cellStyle name="Currency 8 7 2 2 5" xfId="28369"/>
    <cellStyle name="Currency 8 7 2 2 6" xfId="28370"/>
    <cellStyle name="Currency 8 7 2 2 7" xfId="28371"/>
    <cellStyle name="Currency 8 7 2 3" xfId="28372"/>
    <cellStyle name="Currency 8 7 2 3 2" xfId="28373"/>
    <cellStyle name="Currency 8 7 2 3 3" xfId="28374"/>
    <cellStyle name="Currency 8 7 2 3 4" xfId="28375"/>
    <cellStyle name="Currency 8 7 2 3 5" xfId="28376"/>
    <cellStyle name="Currency 8 7 2 3 6" xfId="28377"/>
    <cellStyle name="Currency 8 7 2 4" xfId="28378"/>
    <cellStyle name="Currency 8 7 2 5" xfId="28379"/>
    <cellStyle name="Currency 8 7 2 6" xfId="28380"/>
    <cellStyle name="Currency 8 7 2 7" xfId="28381"/>
    <cellStyle name="Currency 8 7 2 8" xfId="28382"/>
    <cellStyle name="Currency 8 7 3" xfId="28383"/>
    <cellStyle name="Currency 8 7 3 2" xfId="28384"/>
    <cellStyle name="Currency 8 7 3 2 2" xfId="28385"/>
    <cellStyle name="Currency 8 7 3 2 3" xfId="28386"/>
    <cellStyle name="Currency 8 7 3 2 4" xfId="28387"/>
    <cellStyle name="Currency 8 7 3 2 5" xfId="28388"/>
    <cellStyle name="Currency 8 7 3 2 6" xfId="28389"/>
    <cellStyle name="Currency 8 7 3 3" xfId="28390"/>
    <cellStyle name="Currency 8 7 3 4" xfId="28391"/>
    <cellStyle name="Currency 8 7 3 5" xfId="28392"/>
    <cellStyle name="Currency 8 7 3 6" xfId="28393"/>
    <cellStyle name="Currency 8 7 3 7" xfId="28394"/>
    <cellStyle name="Currency 8 7 4" xfId="28395"/>
    <cellStyle name="Currency 8 7 4 2" xfId="28396"/>
    <cellStyle name="Currency 8 7 4 3" xfId="28397"/>
    <cellStyle name="Currency 8 7 4 4" xfId="28398"/>
    <cellStyle name="Currency 8 7 4 5" xfId="28399"/>
    <cellStyle name="Currency 8 7 4 6" xfId="28400"/>
    <cellStyle name="Currency 8 7 5" xfId="28401"/>
    <cellStyle name="Currency 8 7 6" xfId="28402"/>
    <cellStyle name="Currency 8 7 7" xfId="28403"/>
    <cellStyle name="Currency 8 7 8" xfId="28404"/>
    <cellStyle name="Currency 8 7 9" xfId="28405"/>
    <cellStyle name="Currency 8 8" xfId="28406"/>
    <cellStyle name="Currency 8 8 2" xfId="28407"/>
    <cellStyle name="Currency 8 8 2 2" xfId="28408"/>
    <cellStyle name="Currency 8 8 2 2 2" xfId="28409"/>
    <cellStyle name="Currency 8 8 2 2 3" xfId="28410"/>
    <cellStyle name="Currency 8 8 2 2 4" xfId="28411"/>
    <cellStyle name="Currency 8 8 2 2 5" xfId="28412"/>
    <cellStyle name="Currency 8 8 2 2 6" xfId="28413"/>
    <cellStyle name="Currency 8 8 2 3" xfId="28414"/>
    <cellStyle name="Currency 8 8 2 4" xfId="28415"/>
    <cellStyle name="Currency 8 8 2 5" xfId="28416"/>
    <cellStyle name="Currency 8 8 2 6" xfId="28417"/>
    <cellStyle name="Currency 8 8 2 7" xfId="28418"/>
    <cellStyle name="Currency 8 8 3" xfId="28419"/>
    <cellStyle name="Currency 8 8 3 2" xfId="28420"/>
    <cellStyle name="Currency 8 8 3 3" xfId="28421"/>
    <cellStyle name="Currency 8 8 3 4" xfId="28422"/>
    <cellStyle name="Currency 8 8 3 5" xfId="28423"/>
    <cellStyle name="Currency 8 8 3 6" xfId="28424"/>
    <cellStyle name="Currency 8 8 4" xfId="28425"/>
    <cellStyle name="Currency 8 8 5" xfId="28426"/>
    <cellStyle name="Currency 8 8 6" xfId="28427"/>
    <cellStyle name="Currency 8 8 7" xfId="28428"/>
    <cellStyle name="Currency 8 8 8" xfId="28429"/>
    <cellStyle name="Currency 8 9" xfId="28430"/>
    <cellStyle name="Currency 8 9 2" xfId="28431"/>
    <cellStyle name="Currency 8 9 2 2" xfId="28432"/>
    <cellStyle name="Currency 8 9 2 3" xfId="28433"/>
    <cellStyle name="Currency 8 9 2 4" xfId="28434"/>
    <cellStyle name="Currency 8 9 2 5" xfId="28435"/>
    <cellStyle name="Currency 8 9 2 6" xfId="28436"/>
    <cellStyle name="Currency 8 9 3" xfId="28437"/>
    <cellStyle name="Currency 8 9 4" xfId="28438"/>
    <cellStyle name="Currency 8 9 5" xfId="28439"/>
    <cellStyle name="Currency 8 9 6" xfId="28440"/>
    <cellStyle name="Currency 8 9 7" xfId="28441"/>
    <cellStyle name="Currency 9" xfId="28442"/>
    <cellStyle name="Currency." xfId="28443"/>
    <cellStyle name="Currency. 2" xfId="28444"/>
    <cellStyle name="D4_B8B1_005004B79812_.wvu.PrintTitlest" xfId="28445"/>
    <cellStyle name="Date" xfId="28446"/>
    <cellStyle name="Date [mmm-d-yyyy]" xfId="58821"/>
    <cellStyle name="Date [mmm-yyyy]" xfId="58822"/>
    <cellStyle name="Date 2" xfId="28447"/>
    <cellStyle name="Date Aligned" xfId="28448"/>
    <cellStyle name="Date." xfId="28449"/>
    <cellStyle name="Date. 2" xfId="28450"/>
    <cellStyle name="Date_Connection volumes and load report_Master data" xfId="58823"/>
    <cellStyle name="DateMonth" xfId="58824"/>
    <cellStyle name="Dezimal_Utopia 5_1 to 5_22 update 21" xfId="28451"/>
    <cellStyle name="Dotted Line" xfId="28452"/>
    <cellStyle name="Emphasis 1" xfId="28453"/>
    <cellStyle name="Emphasis 2" xfId="28454"/>
    <cellStyle name="Emphasis 3" xfId="28455"/>
    <cellStyle name="Euro" xfId="28456"/>
    <cellStyle name="Explanatory Text 2" xfId="28457"/>
    <cellStyle name="Explanatory Text 3" xfId="28458"/>
    <cellStyle name="Explanatory Text 4" xfId="28459"/>
    <cellStyle name="Explanatory Text 5" xfId="28460"/>
    <cellStyle name="Explanatory Text 6" xfId="28461"/>
    <cellStyle name="FAS Input Currency" xfId="28462"/>
    <cellStyle name="FAS Input Currency 2" xfId="28463"/>
    <cellStyle name="FAS Input Date" xfId="28464"/>
    <cellStyle name="FAS Input Date 2" xfId="28465"/>
    <cellStyle name="FAS Input Multiple" xfId="28466"/>
    <cellStyle name="FAS Input Multiple 2" xfId="28467"/>
    <cellStyle name="FAS Input Number" xfId="28468"/>
    <cellStyle name="FAS Input Number 2" xfId="28469"/>
    <cellStyle name="FAS Input Percentage" xfId="28470"/>
    <cellStyle name="FAS Input Percentage 2" xfId="28471"/>
    <cellStyle name="FAS Input Title / Name" xfId="28472"/>
    <cellStyle name="FAS Input Title / Name 2" xfId="28473"/>
    <cellStyle name="FAS Input Year" xfId="28474"/>
    <cellStyle name="FAS Input Year 2" xfId="28475"/>
    <cellStyle name="Fixed" xfId="28476"/>
    <cellStyle name="Fixed 2" xfId="28477"/>
    <cellStyle name="Footnote" xfId="28478"/>
    <cellStyle name="Forecast Currency" xfId="28479"/>
    <cellStyle name="Forecast Date" xfId="28480"/>
    <cellStyle name="Forecast Multiple" xfId="28481"/>
    <cellStyle name="Forecast Number" xfId="28482"/>
    <cellStyle name="Forecast Percentage" xfId="28483"/>
    <cellStyle name="Forecast Period Title" xfId="28484"/>
    <cellStyle name="Forecast Year" xfId="28485"/>
    <cellStyle name="Gilsans" xfId="28486"/>
    <cellStyle name="Gilsansl" xfId="28487"/>
    <cellStyle name="Good 2" xfId="28488"/>
    <cellStyle name="Good 3" xfId="28489"/>
    <cellStyle name="Good 4" xfId="28490"/>
    <cellStyle name="Good 5" xfId="28491"/>
    <cellStyle name="Hard Percent" xfId="28492"/>
    <cellStyle name="Header" xfId="28493"/>
    <cellStyle name="Heading" xfId="58825"/>
    <cellStyle name="Heading 1 2" xfId="28494"/>
    <cellStyle name="Heading 1 2 2" xfId="28495"/>
    <cellStyle name="Heading 1 3" xfId="28496"/>
    <cellStyle name="Heading 1 4" xfId="28497"/>
    <cellStyle name="Heading 1 5" xfId="28498"/>
    <cellStyle name="Heading 1 6" xfId="28499"/>
    <cellStyle name="Heading 1 7" xfId="28500"/>
    <cellStyle name="Heading 1 8" xfId="28501"/>
    <cellStyle name="Heading 1." xfId="28502"/>
    <cellStyle name="Heading 1. 2" xfId="28503"/>
    <cellStyle name="Heading 2 2" xfId="28504"/>
    <cellStyle name="Heading 2 2 2" xfId="28505"/>
    <cellStyle name="Heading 2 3" xfId="28506"/>
    <cellStyle name="Heading 2 4" xfId="28507"/>
    <cellStyle name="Heading 2 5" xfId="28508"/>
    <cellStyle name="Heading 2 6" xfId="28509"/>
    <cellStyle name="Heading 2 7" xfId="28510"/>
    <cellStyle name="Heading 2 8" xfId="28511"/>
    <cellStyle name="Heading 2." xfId="28512"/>
    <cellStyle name="Heading 2. 2" xfId="28513"/>
    <cellStyle name="Heading 3 2" xfId="28514"/>
    <cellStyle name="Heading 3 2 2" xfId="28515"/>
    <cellStyle name="Heading 3 3" xfId="28516"/>
    <cellStyle name="Heading 3 4" xfId="28517"/>
    <cellStyle name="Heading 3 5" xfId="28518"/>
    <cellStyle name="Heading 3 6" xfId="28519"/>
    <cellStyle name="Heading 3 7" xfId="28520"/>
    <cellStyle name="Heading 3 8" xfId="28521"/>
    <cellStyle name="Heading 3." xfId="28522"/>
    <cellStyle name="Heading 3. 2" xfId="28523"/>
    <cellStyle name="Heading 4 2" xfId="28524"/>
    <cellStyle name="Heading 4 2 2" xfId="28525"/>
    <cellStyle name="Heading 4 2 3" xfId="28526"/>
    <cellStyle name="Heading 4 3" xfId="28527"/>
    <cellStyle name="Heading 4 3 2" xfId="28528"/>
    <cellStyle name="Heading 4 4" xfId="28529"/>
    <cellStyle name="Heading 4 4 2" xfId="28530"/>
    <cellStyle name="Heading 4 5" xfId="28531"/>
    <cellStyle name="Heading 4 5 2" xfId="28532"/>
    <cellStyle name="Heading 4 6" xfId="28533"/>
    <cellStyle name="Heading 4 7" xfId="28534"/>
    <cellStyle name="Heading 4 8" xfId="28535"/>
    <cellStyle name="Heading 4." xfId="28536"/>
    <cellStyle name="Heading 4. 2" xfId="28537"/>
    <cellStyle name="Heading(4)" xfId="28538"/>
    <cellStyle name="Heading2" xfId="58826"/>
    <cellStyle name="Heading3" xfId="58827"/>
    <cellStyle name="Hyperlink" xfId="5" builtinId="8"/>
    <cellStyle name="Hyperlink 2" xfId="28539"/>
    <cellStyle name="Hyperlink 2 2" xfId="28540"/>
    <cellStyle name="Hyperlink 2 3" xfId="28541"/>
    <cellStyle name="Hyperlink 3" xfId="28542"/>
    <cellStyle name="Hyperlink 3 2" xfId="28543"/>
    <cellStyle name="Hyperlink 4" xfId="28544"/>
    <cellStyle name="Hyperlink 5" xfId="28545"/>
    <cellStyle name="Hyperlink Arrow" xfId="28546"/>
    <cellStyle name="Hyperlink Arrow 2" xfId="28547"/>
    <cellStyle name="Hyperlink Arrow 3" xfId="28548"/>
    <cellStyle name="Hyperlink Arrow 4" xfId="28549"/>
    <cellStyle name="Hyperlink Arrow." xfId="28550"/>
    <cellStyle name="Hyperlink Arrow_Current_Yr" xfId="28551"/>
    <cellStyle name="Hyperlink Check" xfId="28552"/>
    <cellStyle name="Hyperlink Check 2" xfId="28553"/>
    <cellStyle name="Hyperlink Check." xfId="28554"/>
    <cellStyle name="Hyperlink Check_Current_Yr" xfId="28555"/>
    <cellStyle name="Hyperlink Text" xfId="28556"/>
    <cellStyle name="Hyperlink Text 2" xfId="28557"/>
    <cellStyle name="Hyperlink Text 3" xfId="28558"/>
    <cellStyle name="Hyperlink Text 4" xfId="28559"/>
    <cellStyle name="Hyperlink Text." xfId="28560"/>
    <cellStyle name="Hyperlink Text. 2" xfId="28561"/>
    <cellStyle name="Hyperlink Text_Current_Yr" xfId="28562"/>
    <cellStyle name="Hyperlink TOC 1." xfId="28563"/>
    <cellStyle name="Hyperlink TOC 2." xfId="28564"/>
    <cellStyle name="Hyperlink TOC 2. 2" xfId="28565"/>
    <cellStyle name="Hyperlink TOC 3." xfId="28566"/>
    <cellStyle name="Hyperlink TOC 3. 2" xfId="28567"/>
    <cellStyle name="Hyperlink TOC 4." xfId="28568"/>
    <cellStyle name="Hyperlink TOC 4. 2" xfId="28569"/>
    <cellStyle name="Input [# - 00]" xfId="58828"/>
    <cellStyle name="Input [#]" xfId="58829"/>
    <cellStyle name="Input [% - 00]" xfId="58830"/>
    <cellStyle name="Input [%]" xfId="58831"/>
    <cellStyle name="Input 10" xfId="28570"/>
    <cellStyle name="Input 10 10" xfId="28571"/>
    <cellStyle name="Input 10 11" xfId="28572"/>
    <cellStyle name="Input 10 12" xfId="28573"/>
    <cellStyle name="Input 10 2" xfId="28574"/>
    <cellStyle name="Input 10 2 10" xfId="28575"/>
    <cellStyle name="Input 10 2 11" xfId="28576"/>
    <cellStyle name="Input 10 2 2" xfId="28577"/>
    <cellStyle name="Input 10 2 2 10" xfId="28578"/>
    <cellStyle name="Input 10 2 2 11" xfId="28579"/>
    <cellStyle name="Input 10 2 2 2" xfId="28580"/>
    <cellStyle name="Input 10 2 2 3" xfId="28581"/>
    <cellStyle name="Input 10 2 2 4" xfId="28582"/>
    <cellStyle name="Input 10 2 2 5" xfId="28583"/>
    <cellStyle name="Input 10 2 2 6" xfId="28584"/>
    <cellStyle name="Input 10 2 2 7" xfId="28585"/>
    <cellStyle name="Input 10 2 2 8" xfId="28586"/>
    <cellStyle name="Input 10 2 2 9" xfId="28587"/>
    <cellStyle name="Input 10 2 3" xfId="28588"/>
    <cellStyle name="Input 10 2 4" xfId="28589"/>
    <cellStyle name="Input 10 2 5" xfId="28590"/>
    <cellStyle name="Input 10 2 6" xfId="28591"/>
    <cellStyle name="Input 10 2 7" xfId="28592"/>
    <cellStyle name="Input 10 2 8" xfId="28593"/>
    <cellStyle name="Input 10 2 9" xfId="28594"/>
    <cellStyle name="Input 10 3" xfId="28595"/>
    <cellStyle name="Input 10 3 10" xfId="28596"/>
    <cellStyle name="Input 10 3 11" xfId="28597"/>
    <cellStyle name="Input 10 3 2" xfId="28598"/>
    <cellStyle name="Input 10 3 3" xfId="28599"/>
    <cellStyle name="Input 10 3 4" xfId="28600"/>
    <cellStyle name="Input 10 3 5" xfId="28601"/>
    <cellStyle name="Input 10 3 6" xfId="28602"/>
    <cellStyle name="Input 10 3 7" xfId="28603"/>
    <cellStyle name="Input 10 3 8" xfId="28604"/>
    <cellStyle name="Input 10 3 9" xfId="28605"/>
    <cellStyle name="Input 10 4" xfId="28606"/>
    <cellStyle name="Input 10 5" xfId="28607"/>
    <cellStyle name="Input 10 6" xfId="28608"/>
    <cellStyle name="Input 10 7" xfId="28609"/>
    <cellStyle name="Input 10 8" xfId="28610"/>
    <cellStyle name="Input 10 9" xfId="28611"/>
    <cellStyle name="Input 11" xfId="28612"/>
    <cellStyle name="Input 2" xfId="28613"/>
    <cellStyle name="Input 2 2" xfId="28614"/>
    <cellStyle name="Input 2 2 10" xfId="28615"/>
    <cellStyle name="Input 2 2 11" xfId="28616"/>
    <cellStyle name="Input 2 2 12" xfId="28617"/>
    <cellStyle name="Input 2 2 13" xfId="28618"/>
    <cellStyle name="Input 2 2 2" xfId="28619"/>
    <cellStyle name="Input 2 2 2 10" xfId="28620"/>
    <cellStyle name="Input 2 2 2 11" xfId="28621"/>
    <cellStyle name="Input 2 2 2 12" xfId="28622"/>
    <cellStyle name="Input 2 2 2 2" xfId="28623"/>
    <cellStyle name="Input 2 2 2 2 10" xfId="28624"/>
    <cellStyle name="Input 2 2 2 2 11" xfId="28625"/>
    <cellStyle name="Input 2 2 2 2 2" xfId="28626"/>
    <cellStyle name="Input 2 2 2 2 2 10" xfId="28627"/>
    <cellStyle name="Input 2 2 2 2 2 11" xfId="28628"/>
    <cellStyle name="Input 2 2 2 2 2 2" xfId="28629"/>
    <cellStyle name="Input 2 2 2 2 2 3" xfId="28630"/>
    <cellStyle name="Input 2 2 2 2 2 4" xfId="28631"/>
    <cellStyle name="Input 2 2 2 2 2 5" xfId="28632"/>
    <cellStyle name="Input 2 2 2 2 2 6" xfId="28633"/>
    <cellStyle name="Input 2 2 2 2 2 7" xfId="28634"/>
    <cellStyle name="Input 2 2 2 2 2 8" xfId="28635"/>
    <cellStyle name="Input 2 2 2 2 2 9" xfId="28636"/>
    <cellStyle name="Input 2 2 2 2 3" xfId="28637"/>
    <cellStyle name="Input 2 2 2 2 4" xfId="28638"/>
    <cellStyle name="Input 2 2 2 2 5" xfId="28639"/>
    <cellStyle name="Input 2 2 2 2 6" xfId="28640"/>
    <cellStyle name="Input 2 2 2 2 7" xfId="28641"/>
    <cellStyle name="Input 2 2 2 2 8" xfId="28642"/>
    <cellStyle name="Input 2 2 2 2 9" xfId="28643"/>
    <cellStyle name="Input 2 2 2 3" xfId="28644"/>
    <cellStyle name="Input 2 2 2 3 10" xfId="28645"/>
    <cellStyle name="Input 2 2 2 3 11" xfId="28646"/>
    <cellStyle name="Input 2 2 2 3 2" xfId="28647"/>
    <cellStyle name="Input 2 2 2 3 3" xfId="28648"/>
    <cellStyle name="Input 2 2 2 3 4" xfId="28649"/>
    <cellStyle name="Input 2 2 2 3 5" xfId="28650"/>
    <cellStyle name="Input 2 2 2 3 6" xfId="28651"/>
    <cellStyle name="Input 2 2 2 3 7" xfId="28652"/>
    <cellStyle name="Input 2 2 2 3 8" xfId="28653"/>
    <cellStyle name="Input 2 2 2 3 9" xfId="28654"/>
    <cellStyle name="Input 2 2 2 4" xfId="28655"/>
    <cellStyle name="Input 2 2 2 5" xfId="28656"/>
    <cellStyle name="Input 2 2 2 6" xfId="28657"/>
    <cellStyle name="Input 2 2 2 7" xfId="28658"/>
    <cellStyle name="Input 2 2 2 8" xfId="28659"/>
    <cellStyle name="Input 2 2 2 9" xfId="28660"/>
    <cellStyle name="Input 2 2 3" xfId="28661"/>
    <cellStyle name="Input 2 2 3 10" xfId="28662"/>
    <cellStyle name="Input 2 2 3 11" xfId="28663"/>
    <cellStyle name="Input 2 2 3 2" xfId="28664"/>
    <cellStyle name="Input 2 2 3 2 10" xfId="28665"/>
    <cellStyle name="Input 2 2 3 2 11" xfId="28666"/>
    <cellStyle name="Input 2 2 3 2 2" xfId="28667"/>
    <cellStyle name="Input 2 2 3 2 3" xfId="28668"/>
    <cellStyle name="Input 2 2 3 2 4" xfId="28669"/>
    <cellStyle name="Input 2 2 3 2 5" xfId="28670"/>
    <cellStyle name="Input 2 2 3 2 6" xfId="28671"/>
    <cellStyle name="Input 2 2 3 2 7" xfId="28672"/>
    <cellStyle name="Input 2 2 3 2 8" xfId="28673"/>
    <cellStyle name="Input 2 2 3 2 9" xfId="28674"/>
    <cellStyle name="Input 2 2 3 3" xfId="28675"/>
    <cellStyle name="Input 2 2 3 4" xfId="28676"/>
    <cellStyle name="Input 2 2 3 5" xfId="28677"/>
    <cellStyle name="Input 2 2 3 6" xfId="28678"/>
    <cellStyle name="Input 2 2 3 7" xfId="28679"/>
    <cellStyle name="Input 2 2 3 8" xfId="28680"/>
    <cellStyle name="Input 2 2 3 9" xfId="28681"/>
    <cellStyle name="Input 2 2 4" xfId="28682"/>
    <cellStyle name="Input 2 2 4 10" xfId="28683"/>
    <cellStyle name="Input 2 2 4 11" xfId="28684"/>
    <cellStyle name="Input 2 2 4 2" xfId="28685"/>
    <cellStyle name="Input 2 2 4 3" xfId="28686"/>
    <cellStyle name="Input 2 2 4 4" xfId="28687"/>
    <cellStyle name="Input 2 2 4 5" xfId="28688"/>
    <cellStyle name="Input 2 2 4 6" xfId="28689"/>
    <cellStyle name="Input 2 2 4 7" xfId="28690"/>
    <cellStyle name="Input 2 2 4 8" xfId="28691"/>
    <cellStyle name="Input 2 2 4 9" xfId="28692"/>
    <cellStyle name="Input 2 2 5" xfId="28693"/>
    <cellStyle name="Input 2 2 6" xfId="28694"/>
    <cellStyle name="Input 2 2 7" xfId="28695"/>
    <cellStyle name="Input 2 2 8" xfId="28696"/>
    <cellStyle name="Input 2 2 9" xfId="28697"/>
    <cellStyle name="Input 2 3" xfId="28698"/>
    <cellStyle name="Input 2 3 10" xfId="28699"/>
    <cellStyle name="Input 2 3 11" xfId="28700"/>
    <cellStyle name="Input 2 3 12" xfId="28701"/>
    <cellStyle name="Input 2 3 13" xfId="28702"/>
    <cellStyle name="Input 2 3 2" xfId="28703"/>
    <cellStyle name="Input 2 3 2 10" xfId="28704"/>
    <cellStyle name="Input 2 3 2 11" xfId="28705"/>
    <cellStyle name="Input 2 3 2 12" xfId="28706"/>
    <cellStyle name="Input 2 3 2 2" xfId="28707"/>
    <cellStyle name="Input 2 3 2 2 10" xfId="28708"/>
    <cellStyle name="Input 2 3 2 2 11" xfId="28709"/>
    <cellStyle name="Input 2 3 2 2 2" xfId="28710"/>
    <cellStyle name="Input 2 3 2 2 2 10" xfId="28711"/>
    <cellStyle name="Input 2 3 2 2 2 11" xfId="28712"/>
    <cellStyle name="Input 2 3 2 2 2 2" xfId="28713"/>
    <cellStyle name="Input 2 3 2 2 2 3" xfId="28714"/>
    <cellStyle name="Input 2 3 2 2 2 4" xfId="28715"/>
    <cellStyle name="Input 2 3 2 2 2 5" xfId="28716"/>
    <cellStyle name="Input 2 3 2 2 2 6" xfId="28717"/>
    <cellStyle name="Input 2 3 2 2 2 7" xfId="28718"/>
    <cellStyle name="Input 2 3 2 2 2 8" xfId="28719"/>
    <cellStyle name="Input 2 3 2 2 2 9" xfId="28720"/>
    <cellStyle name="Input 2 3 2 2 3" xfId="28721"/>
    <cellStyle name="Input 2 3 2 2 4" xfId="28722"/>
    <cellStyle name="Input 2 3 2 2 5" xfId="28723"/>
    <cellStyle name="Input 2 3 2 2 6" xfId="28724"/>
    <cellStyle name="Input 2 3 2 2 7" xfId="28725"/>
    <cellStyle name="Input 2 3 2 2 8" xfId="28726"/>
    <cellStyle name="Input 2 3 2 2 9" xfId="28727"/>
    <cellStyle name="Input 2 3 2 3" xfId="28728"/>
    <cellStyle name="Input 2 3 2 3 10" xfId="28729"/>
    <cellStyle name="Input 2 3 2 3 11" xfId="28730"/>
    <cellStyle name="Input 2 3 2 3 2" xfId="28731"/>
    <cellStyle name="Input 2 3 2 3 3" xfId="28732"/>
    <cellStyle name="Input 2 3 2 3 4" xfId="28733"/>
    <cellStyle name="Input 2 3 2 3 5" xfId="28734"/>
    <cellStyle name="Input 2 3 2 3 6" xfId="28735"/>
    <cellStyle name="Input 2 3 2 3 7" xfId="28736"/>
    <cellStyle name="Input 2 3 2 3 8" xfId="28737"/>
    <cellStyle name="Input 2 3 2 3 9" xfId="28738"/>
    <cellStyle name="Input 2 3 2 4" xfId="28739"/>
    <cellStyle name="Input 2 3 2 5" xfId="28740"/>
    <cellStyle name="Input 2 3 2 6" xfId="28741"/>
    <cellStyle name="Input 2 3 2 7" xfId="28742"/>
    <cellStyle name="Input 2 3 2 8" xfId="28743"/>
    <cellStyle name="Input 2 3 2 9" xfId="28744"/>
    <cellStyle name="Input 2 3 3" xfId="28745"/>
    <cellStyle name="Input 2 3 3 10" xfId="28746"/>
    <cellStyle name="Input 2 3 3 11" xfId="28747"/>
    <cellStyle name="Input 2 3 3 2" xfId="28748"/>
    <cellStyle name="Input 2 3 3 2 10" xfId="28749"/>
    <cellStyle name="Input 2 3 3 2 11" xfId="28750"/>
    <cellStyle name="Input 2 3 3 2 2" xfId="28751"/>
    <cellStyle name="Input 2 3 3 2 3" xfId="28752"/>
    <cellStyle name="Input 2 3 3 2 4" xfId="28753"/>
    <cellStyle name="Input 2 3 3 2 5" xfId="28754"/>
    <cellStyle name="Input 2 3 3 2 6" xfId="28755"/>
    <cellStyle name="Input 2 3 3 2 7" xfId="28756"/>
    <cellStyle name="Input 2 3 3 2 8" xfId="28757"/>
    <cellStyle name="Input 2 3 3 2 9" xfId="28758"/>
    <cellStyle name="Input 2 3 3 3" xfId="28759"/>
    <cellStyle name="Input 2 3 3 4" xfId="28760"/>
    <cellStyle name="Input 2 3 3 5" xfId="28761"/>
    <cellStyle name="Input 2 3 3 6" xfId="28762"/>
    <cellStyle name="Input 2 3 3 7" xfId="28763"/>
    <cellStyle name="Input 2 3 3 8" xfId="28764"/>
    <cellStyle name="Input 2 3 3 9" xfId="28765"/>
    <cellStyle name="Input 2 3 4" xfId="28766"/>
    <cellStyle name="Input 2 3 4 10" xfId="28767"/>
    <cellStyle name="Input 2 3 4 11" xfId="28768"/>
    <cellStyle name="Input 2 3 4 2" xfId="28769"/>
    <cellStyle name="Input 2 3 4 3" xfId="28770"/>
    <cellStyle name="Input 2 3 4 4" xfId="28771"/>
    <cellStyle name="Input 2 3 4 5" xfId="28772"/>
    <cellStyle name="Input 2 3 4 6" xfId="28773"/>
    <cellStyle name="Input 2 3 4 7" xfId="28774"/>
    <cellStyle name="Input 2 3 4 8" xfId="28775"/>
    <cellStyle name="Input 2 3 4 9" xfId="28776"/>
    <cellStyle name="Input 2 3 5" xfId="28777"/>
    <cellStyle name="Input 2 3 6" xfId="28778"/>
    <cellStyle name="Input 2 3 7" xfId="28779"/>
    <cellStyle name="Input 2 3 8" xfId="28780"/>
    <cellStyle name="Input 2 3 9" xfId="28781"/>
    <cellStyle name="Input 2 4" xfId="28782"/>
    <cellStyle name="Input 2 4 10" xfId="28783"/>
    <cellStyle name="Input 2 4 11" xfId="28784"/>
    <cellStyle name="Input 2 4 12" xfId="28785"/>
    <cellStyle name="Input 2 4 13" xfId="28786"/>
    <cellStyle name="Input 2 4 2" xfId="28787"/>
    <cellStyle name="Input 2 4 2 10" xfId="28788"/>
    <cellStyle name="Input 2 4 2 11" xfId="28789"/>
    <cellStyle name="Input 2 4 2 12" xfId="28790"/>
    <cellStyle name="Input 2 4 2 2" xfId="28791"/>
    <cellStyle name="Input 2 4 2 2 10" xfId="28792"/>
    <cellStyle name="Input 2 4 2 2 11" xfId="28793"/>
    <cellStyle name="Input 2 4 2 2 2" xfId="28794"/>
    <cellStyle name="Input 2 4 2 2 2 10" xfId="28795"/>
    <cellStyle name="Input 2 4 2 2 2 11" xfId="28796"/>
    <cellStyle name="Input 2 4 2 2 2 2" xfId="28797"/>
    <cellStyle name="Input 2 4 2 2 2 3" xfId="28798"/>
    <cellStyle name="Input 2 4 2 2 2 4" xfId="28799"/>
    <cellStyle name="Input 2 4 2 2 2 5" xfId="28800"/>
    <cellStyle name="Input 2 4 2 2 2 6" xfId="28801"/>
    <cellStyle name="Input 2 4 2 2 2 7" xfId="28802"/>
    <cellStyle name="Input 2 4 2 2 2 8" xfId="28803"/>
    <cellStyle name="Input 2 4 2 2 2 9" xfId="28804"/>
    <cellStyle name="Input 2 4 2 2 3" xfId="28805"/>
    <cellStyle name="Input 2 4 2 2 4" xfId="28806"/>
    <cellStyle name="Input 2 4 2 2 5" xfId="28807"/>
    <cellStyle name="Input 2 4 2 2 6" xfId="28808"/>
    <cellStyle name="Input 2 4 2 2 7" xfId="28809"/>
    <cellStyle name="Input 2 4 2 2 8" xfId="28810"/>
    <cellStyle name="Input 2 4 2 2 9" xfId="28811"/>
    <cellStyle name="Input 2 4 2 3" xfId="28812"/>
    <cellStyle name="Input 2 4 2 3 10" xfId="28813"/>
    <cellStyle name="Input 2 4 2 3 11" xfId="28814"/>
    <cellStyle name="Input 2 4 2 3 2" xfId="28815"/>
    <cellStyle name="Input 2 4 2 3 3" xfId="28816"/>
    <cellStyle name="Input 2 4 2 3 4" xfId="28817"/>
    <cellStyle name="Input 2 4 2 3 5" xfId="28818"/>
    <cellStyle name="Input 2 4 2 3 6" xfId="28819"/>
    <cellStyle name="Input 2 4 2 3 7" xfId="28820"/>
    <cellStyle name="Input 2 4 2 3 8" xfId="28821"/>
    <cellStyle name="Input 2 4 2 3 9" xfId="28822"/>
    <cellStyle name="Input 2 4 2 4" xfId="28823"/>
    <cellStyle name="Input 2 4 2 5" xfId="28824"/>
    <cellStyle name="Input 2 4 2 6" xfId="28825"/>
    <cellStyle name="Input 2 4 2 7" xfId="28826"/>
    <cellStyle name="Input 2 4 2 8" xfId="28827"/>
    <cellStyle name="Input 2 4 2 9" xfId="28828"/>
    <cellStyle name="Input 2 4 3" xfId="28829"/>
    <cellStyle name="Input 2 4 3 10" xfId="28830"/>
    <cellStyle name="Input 2 4 3 11" xfId="28831"/>
    <cellStyle name="Input 2 4 3 2" xfId="28832"/>
    <cellStyle name="Input 2 4 3 2 10" xfId="28833"/>
    <cellStyle name="Input 2 4 3 2 11" xfId="28834"/>
    <cellStyle name="Input 2 4 3 2 2" xfId="28835"/>
    <cellStyle name="Input 2 4 3 2 3" xfId="28836"/>
    <cellStyle name="Input 2 4 3 2 4" xfId="28837"/>
    <cellStyle name="Input 2 4 3 2 5" xfId="28838"/>
    <cellStyle name="Input 2 4 3 2 6" xfId="28839"/>
    <cellStyle name="Input 2 4 3 2 7" xfId="28840"/>
    <cellStyle name="Input 2 4 3 2 8" xfId="28841"/>
    <cellStyle name="Input 2 4 3 2 9" xfId="28842"/>
    <cellStyle name="Input 2 4 3 3" xfId="28843"/>
    <cellStyle name="Input 2 4 3 4" xfId="28844"/>
    <cellStyle name="Input 2 4 3 5" xfId="28845"/>
    <cellStyle name="Input 2 4 3 6" xfId="28846"/>
    <cellStyle name="Input 2 4 3 7" xfId="28847"/>
    <cellStyle name="Input 2 4 3 8" xfId="28848"/>
    <cellStyle name="Input 2 4 3 9" xfId="28849"/>
    <cellStyle name="Input 2 4 4" xfId="28850"/>
    <cellStyle name="Input 2 4 4 10" xfId="28851"/>
    <cellStyle name="Input 2 4 4 11" xfId="28852"/>
    <cellStyle name="Input 2 4 4 2" xfId="28853"/>
    <cellStyle name="Input 2 4 4 3" xfId="28854"/>
    <cellStyle name="Input 2 4 4 4" xfId="28855"/>
    <cellStyle name="Input 2 4 4 5" xfId="28856"/>
    <cellStyle name="Input 2 4 4 6" xfId="28857"/>
    <cellStyle name="Input 2 4 4 7" xfId="28858"/>
    <cellStyle name="Input 2 4 4 8" xfId="28859"/>
    <cellStyle name="Input 2 4 4 9" xfId="28860"/>
    <cellStyle name="Input 2 4 5" xfId="28861"/>
    <cellStyle name="Input 2 4 6" xfId="28862"/>
    <cellStyle name="Input 2 4 7" xfId="28863"/>
    <cellStyle name="Input 2 4 8" xfId="28864"/>
    <cellStyle name="Input 2 4 9" xfId="28865"/>
    <cellStyle name="Input 2 5" xfId="28866"/>
    <cellStyle name="Input 2 5 10" xfId="28867"/>
    <cellStyle name="Input 2 5 11" xfId="28868"/>
    <cellStyle name="Input 2 5 12" xfId="28869"/>
    <cellStyle name="Input 2 5 13" xfId="28870"/>
    <cellStyle name="Input 2 5 2" xfId="28871"/>
    <cellStyle name="Input 2 5 2 10" xfId="28872"/>
    <cellStyle name="Input 2 5 2 11" xfId="28873"/>
    <cellStyle name="Input 2 5 2 12" xfId="28874"/>
    <cellStyle name="Input 2 5 2 2" xfId="28875"/>
    <cellStyle name="Input 2 5 2 2 10" xfId="28876"/>
    <cellStyle name="Input 2 5 2 2 11" xfId="28877"/>
    <cellStyle name="Input 2 5 2 2 2" xfId="28878"/>
    <cellStyle name="Input 2 5 2 2 2 10" xfId="28879"/>
    <cellStyle name="Input 2 5 2 2 2 11" xfId="28880"/>
    <cellStyle name="Input 2 5 2 2 2 2" xfId="28881"/>
    <cellStyle name="Input 2 5 2 2 2 3" xfId="28882"/>
    <cellStyle name="Input 2 5 2 2 2 4" xfId="28883"/>
    <cellStyle name="Input 2 5 2 2 2 5" xfId="28884"/>
    <cellStyle name="Input 2 5 2 2 2 6" xfId="28885"/>
    <cellStyle name="Input 2 5 2 2 2 7" xfId="28886"/>
    <cellStyle name="Input 2 5 2 2 2 8" xfId="28887"/>
    <cellStyle name="Input 2 5 2 2 2 9" xfId="28888"/>
    <cellStyle name="Input 2 5 2 2 3" xfId="28889"/>
    <cellStyle name="Input 2 5 2 2 4" xfId="28890"/>
    <cellStyle name="Input 2 5 2 2 5" xfId="28891"/>
    <cellStyle name="Input 2 5 2 2 6" xfId="28892"/>
    <cellStyle name="Input 2 5 2 2 7" xfId="28893"/>
    <cellStyle name="Input 2 5 2 2 8" xfId="28894"/>
    <cellStyle name="Input 2 5 2 2 9" xfId="28895"/>
    <cellStyle name="Input 2 5 2 3" xfId="28896"/>
    <cellStyle name="Input 2 5 2 3 10" xfId="28897"/>
    <cellStyle name="Input 2 5 2 3 11" xfId="28898"/>
    <cellStyle name="Input 2 5 2 3 2" xfId="28899"/>
    <cellStyle name="Input 2 5 2 3 3" xfId="28900"/>
    <cellStyle name="Input 2 5 2 3 4" xfId="28901"/>
    <cellStyle name="Input 2 5 2 3 5" xfId="28902"/>
    <cellStyle name="Input 2 5 2 3 6" xfId="28903"/>
    <cellStyle name="Input 2 5 2 3 7" xfId="28904"/>
    <cellStyle name="Input 2 5 2 3 8" xfId="28905"/>
    <cellStyle name="Input 2 5 2 3 9" xfId="28906"/>
    <cellStyle name="Input 2 5 2 4" xfId="28907"/>
    <cellStyle name="Input 2 5 2 5" xfId="28908"/>
    <cellStyle name="Input 2 5 2 6" xfId="28909"/>
    <cellStyle name="Input 2 5 2 7" xfId="28910"/>
    <cellStyle name="Input 2 5 2 8" xfId="28911"/>
    <cellStyle name="Input 2 5 2 9" xfId="28912"/>
    <cellStyle name="Input 2 5 3" xfId="28913"/>
    <cellStyle name="Input 2 5 3 10" xfId="28914"/>
    <cellStyle name="Input 2 5 3 11" xfId="28915"/>
    <cellStyle name="Input 2 5 3 2" xfId="28916"/>
    <cellStyle name="Input 2 5 3 2 10" xfId="28917"/>
    <cellStyle name="Input 2 5 3 2 11" xfId="28918"/>
    <cellStyle name="Input 2 5 3 2 2" xfId="28919"/>
    <cellStyle name="Input 2 5 3 2 3" xfId="28920"/>
    <cellStyle name="Input 2 5 3 2 4" xfId="28921"/>
    <cellStyle name="Input 2 5 3 2 5" xfId="28922"/>
    <cellStyle name="Input 2 5 3 2 6" xfId="28923"/>
    <cellStyle name="Input 2 5 3 2 7" xfId="28924"/>
    <cellStyle name="Input 2 5 3 2 8" xfId="28925"/>
    <cellStyle name="Input 2 5 3 2 9" xfId="28926"/>
    <cellStyle name="Input 2 5 3 3" xfId="28927"/>
    <cellStyle name="Input 2 5 3 4" xfId="28928"/>
    <cellStyle name="Input 2 5 3 5" xfId="28929"/>
    <cellStyle name="Input 2 5 3 6" xfId="28930"/>
    <cellStyle name="Input 2 5 3 7" xfId="28931"/>
    <cellStyle name="Input 2 5 3 8" xfId="28932"/>
    <cellStyle name="Input 2 5 3 9" xfId="28933"/>
    <cellStyle name="Input 2 5 4" xfId="28934"/>
    <cellStyle name="Input 2 5 4 10" xfId="28935"/>
    <cellStyle name="Input 2 5 4 11" xfId="28936"/>
    <cellStyle name="Input 2 5 4 2" xfId="28937"/>
    <cellStyle name="Input 2 5 4 3" xfId="28938"/>
    <cellStyle name="Input 2 5 4 4" xfId="28939"/>
    <cellStyle name="Input 2 5 4 5" xfId="28940"/>
    <cellStyle name="Input 2 5 4 6" xfId="28941"/>
    <cellStyle name="Input 2 5 4 7" xfId="28942"/>
    <cellStyle name="Input 2 5 4 8" xfId="28943"/>
    <cellStyle name="Input 2 5 4 9" xfId="28944"/>
    <cellStyle name="Input 2 5 5" xfId="28945"/>
    <cellStyle name="Input 2 5 6" xfId="28946"/>
    <cellStyle name="Input 2 5 7" xfId="28947"/>
    <cellStyle name="Input 2 5 8" xfId="28948"/>
    <cellStyle name="Input 2 5 9" xfId="28949"/>
    <cellStyle name="Input 2 6" xfId="28950"/>
    <cellStyle name="Input 2 6 10" xfId="28951"/>
    <cellStyle name="Input 2 6 11" xfId="28952"/>
    <cellStyle name="Input 2 6 12" xfId="28953"/>
    <cellStyle name="Input 2 6 13" xfId="28954"/>
    <cellStyle name="Input 2 6 2" xfId="28955"/>
    <cellStyle name="Input 2 6 2 10" xfId="28956"/>
    <cellStyle name="Input 2 6 2 11" xfId="28957"/>
    <cellStyle name="Input 2 6 2 12" xfId="28958"/>
    <cellStyle name="Input 2 6 2 2" xfId="28959"/>
    <cellStyle name="Input 2 6 2 2 10" xfId="28960"/>
    <cellStyle name="Input 2 6 2 2 11" xfId="28961"/>
    <cellStyle name="Input 2 6 2 2 2" xfId="28962"/>
    <cellStyle name="Input 2 6 2 2 2 10" xfId="28963"/>
    <cellStyle name="Input 2 6 2 2 2 11" xfId="28964"/>
    <cellStyle name="Input 2 6 2 2 2 2" xfId="28965"/>
    <cellStyle name="Input 2 6 2 2 2 3" xfId="28966"/>
    <cellStyle name="Input 2 6 2 2 2 4" xfId="28967"/>
    <cellStyle name="Input 2 6 2 2 2 5" xfId="28968"/>
    <cellStyle name="Input 2 6 2 2 2 6" xfId="28969"/>
    <cellStyle name="Input 2 6 2 2 2 7" xfId="28970"/>
    <cellStyle name="Input 2 6 2 2 2 8" xfId="28971"/>
    <cellStyle name="Input 2 6 2 2 2 9" xfId="28972"/>
    <cellStyle name="Input 2 6 2 2 3" xfId="28973"/>
    <cellStyle name="Input 2 6 2 2 4" xfId="28974"/>
    <cellStyle name="Input 2 6 2 2 5" xfId="28975"/>
    <cellStyle name="Input 2 6 2 2 6" xfId="28976"/>
    <cellStyle name="Input 2 6 2 2 7" xfId="28977"/>
    <cellStyle name="Input 2 6 2 2 8" xfId="28978"/>
    <cellStyle name="Input 2 6 2 2 9" xfId="28979"/>
    <cellStyle name="Input 2 6 2 3" xfId="28980"/>
    <cellStyle name="Input 2 6 2 3 10" xfId="28981"/>
    <cellStyle name="Input 2 6 2 3 11" xfId="28982"/>
    <cellStyle name="Input 2 6 2 3 2" xfId="28983"/>
    <cellStyle name="Input 2 6 2 3 3" xfId="28984"/>
    <cellStyle name="Input 2 6 2 3 4" xfId="28985"/>
    <cellStyle name="Input 2 6 2 3 5" xfId="28986"/>
    <cellStyle name="Input 2 6 2 3 6" xfId="28987"/>
    <cellStyle name="Input 2 6 2 3 7" xfId="28988"/>
    <cellStyle name="Input 2 6 2 3 8" xfId="28989"/>
    <cellStyle name="Input 2 6 2 3 9" xfId="28990"/>
    <cellStyle name="Input 2 6 2 4" xfId="28991"/>
    <cellStyle name="Input 2 6 2 5" xfId="28992"/>
    <cellStyle name="Input 2 6 2 6" xfId="28993"/>
    <cellStyle name="Input 2 6 2 7" xfId="28994"/>
    <cellStyle name="Input 2 6 2 8" xfId="28995"/>
    <cellStyle name="Input 2 6 2 9" xfId="28996"/>
    <cellStyle name="Input 2 6 3" xfId="28997"/>
    <cellStyle name="Input 2 6 3 10" xfId="28998"/>
    <cellStyle name="Input 2 6 3 11" xfId="28999"/>
    <cellStyle name="Input 2 6 3 2" xfId="29000"/>
    <cellStyle name="Input 2 6 3 2 10" xfId="29001"/>
    <cellStyle name="Input 2 6 3 2 11" xfId="29002"/>
    <cellStyle name="Input 2 6 3 2 2" xfId="29003"/>
    <cellStyle name="Input 2 6 3 2 3" xfId="29004"/>
    <cellStyle name="Input 2 6 3 2 4" xfId="29005"/>
    <cellStyle name="Input 2 6 3 2 5" xfId="29006"/>
    <cellStyle name="Input 2 6 3 2 6" xfId="29007"/>
    <cellStyle name="Input 2 6 3 2 7" xfId="29008"/>
    <cellStyle name="Input 2 6 3 2 8" xfId="29009"/>
    <cellStyle name="Input 2 6 3 2 9" xfId="29010"/>
    <cellStyle name="Input 2 6 3 3" xfId="29011"/>
    <cellStyle name="Input 2 6 3 4" xfId="29012"/>
    <cellStyle name="Input 2 6 3 5" xfId="29013"/>
    <cellStyle name="Input 2 6 3 6" xfId="29014"/>
    <cellStyle name="Input 2 6 3 7" xfId="29015"/>
    <cellStyle name="Input 2 6 3 8" xfId="29016"/>
    <cellStyle name="Input 2 6 3 9" xfId="29017"/>
    <cellStyle name="Input 2 6 4" xfId="29018"/>
    <cellStyle name="Input 2 6 4 10" xfId="29019"/>
    <cellStyle name="Input 2 6 4 11" xfId="29020"/>
    <cellStyle name="Input 2 6 4 2" xfId="29021"/>
    <cellStyle name="Input 2 6 4 3" xfId="29022"/>
    <cellStyle name="Input 2 6 4 4" xfId="29023"/>
    <cellStyle name="Input 2 6 4 5" xfId="29024"/>
    <cellStyle name="Input 2 6 4 6" xfId="29025"/>
    <cellStyle name="Input 2 6 4 7" xfId="29026"/>
    <cellStyle name="Input 2 6 4 8" xfId="29027"/>
    <cellStyle name="Input 2 6 4 9" xfId="29028"/>
    <cellStyle name="Input 2 6 5" xfId="29029"/>
    <cellStyle name="Input 2 6 6" xfId="29030"/>
    <cellStyle name="Input 2 6 7" xfId="29031"/>
    <cellStyle name="Input 2 6 8" xfId="29032"/>
    <cellStyle name="Input 2 6 9" xfId="29033"/>
    <cellStyle name="Input 2 7" xfId="29034"/>
    <cellStyle name="Input 2 7 10" xfId="29035"/>
    <cellStyle name="Input 2 7 11" xfId="29036"/>
    <cellStyle name="Input 2 7 12" xfId="29037"/>
    <cellStyle name="Input 2 7 13" xfId="29038"/>
    <cellStyle name="Input 2 7 2" xfId="29039"/>
    <cellStyle name="Input 2 7 2 10" xfId="29040"/>
    <cellStyle name="Input 2 7 2 11" xfId="29041"/>
    <cellStyle name="Input 2 7 2 12" xfId="29042"/>
    <cellStyle name="Input 2 7 2 2" xfId="29043"/>
    <cellStyle name="Input 2 7 2 2 10" xfId="29044"/>
    <cellStyle name="Input 2 7 2 2 11" xfId="29045"/>
    <cellStyle name="Input 2 7 2 2 2" xfId="29046"/>
    <cellStyle name="Input 2 7 2 2 2 10" xfId="29047"/>
    <cellStyle name="Input 2 7 2 2 2 11" xfId="29048"/>
    <cellStyle name="Input 2 7 2 2 2 2" xfId="29049"/>
    <cellStyle name="Input 2 7 2 2 2 3" xfId="29050"/>
    <cellStyle name="Input 2 7 2 2 2 4" xfId="29051"/>
    <cellStyle name="Input 2 7 2 2 2 5" xfId="29052"/>
    <cellStyle name="Input 2 7 2 2 2 6" xfId="29053"/>
    <cellStyle name="Input 2 7 2 2 2 7" xfId="29054"/>
    <cellStyle name="Input 2 7 2 2 2 8" xfId="29055"/>
    <cellStyle name="Input 2 7 2 2 2 9" xfId="29056"/>
    <cellStyle name="Input 2 7 2 2 3" xfId="29057"/>
    <cellStyle name="Input 2 7 2 2 4" xfId="29058"/>
    <cellStyle name="Input 2 7 2 2 5" xfId="29059"/>
    <cellStyle name="Input 2 7 2 2 6" xfId="29060"/>
    <cellStyle name="Input 2 7 2 2 7" xfId="29061"/>
    <cellStyle name="Input 2 7 2 2 8" xfId="29062"/>
    <cellStyle name="Input 2 7 2 2 9" xfId="29063"/>
    <cellStyle name="Input 2 7 2 3" xfId="29064"/>
    <cellStyle name="Input 2 7 2 3 10" xfId="29065"/>
    <cellStyle name="Input 2 7 2 3 11" xfId="29066"/>
    <cellStyle name="Input 2 7 2 3 2" xfId="29067"/>
    <cellStyle name="Input 2 7 2 3 3" xfId="29068"/>
    <cellStyle name="Input 2 7 2 3 4" xfId="29069"/>
    <cellStyle name="Input 2 7 2 3 5" xfId="29070"/>
    <cellStyle name="Input 2 7 2 3 6" xfId="29071"/>
    <cellStyle name="Input 2 7 2 3 7" xfId="29072"/>
    <cellStyle name="Input 2 7 2 3 8" xfId="29073"/>
    <cellStyle name="Input 2 7 2 3 9" xfId="29074"/>
    <cellStyle name="Input 2 7 2 4" xfId="29075"/>
    <cellStyle name="Input 2 7 2 5" xfId="29076"/>
    <cellStyle name="Input 2 7 2 6" xfId="29077"/>
    <cellStyle name="Input 2 7 2 7" xfId="29078"/>
    <cellStyle name="Input 2 7 2 8" xfId="29079"/>
    <cellStyle name="Input 2 7 2 9" xfId="29080"/>
    <cellStyle name="Input 2 7 3" xfId="29081"/>
    <cellStyle name="Input 2 7 3 10" xfId="29082"/>
    <cellStyle name="Input 2 7 3 11" xfId="29083"/>
    <cellStyle name="Input 2 7 3 2" xfId="29084"/>
    <cellStyle name="Input 2 7 3 2 10" xfId="29085"/>
    <cellStyle name="Input 2 7 3 2 11" xfId="29086"/>
    <cellStyle name="Input 2 7 3 2 2" xfId="29087"/>
    <cellStyle name="Input 2 7 3 2 3" xfId="29088"/>
    <cellStyle name="Input 2 7 3 2 4" xfId="29089"/>
    <cellStyle name="Input 2 7 3 2 5" xfId="29090"/>
    <cellStyle name="Input 2 7 3 2 6" xfId="29091"/>
    <cellStyle name="Input 2 7 3 2 7" xfId="29092"/>
    <cellStyle name="Input 2 7 3 2 8" xfId="29093"/>
    <cellStyle name="Input 2 7 3 2 9" xfId="29094"/>
    <cellStyle name="Input 2 7 3 3" xfId="29095"/>
    <cellStyle name="Input 2 7 3 4" xfId="29096"/>
    <cellStyle name="Input 2 7 3 5" xfId="29097"/>
    <cellStyle name="Input 2 7 3 6" xfId="29098"/>
    <cellStyle name="Input 2 7 3 7" xfId="29099"/>
    <cellStyle name="Input 2 7 3 8" xfId="29100"/>
    <cellStyle name="Input 2 7 3 9" xfId="29101"/>
    <cellStyle name="Input 2 7 4" xfId="29102"/>
    <cellStyle name="Input 2 7 4 10" xfId="29103"/>
    <cellStyle name="Input 2 7 4 11" xfId="29104"/>
    <cellStyle name="Input 2 7 4 2" xfId="29105"/>
    <cellStyle name="Input 2 7 4 3" xfId="29106"/>
    <cellStyle name="Input 2 7 4 4" xfId="29107"/>
    <cellStyle name="Input 2 7 4 5" xfId="29108"/>
    <cellStyle name="Input 2 7 4 6" xfId="29109"/>
    <cellStyle name="Input 2 7 4 7" xfId="29110"/>
    <cellStyle name="Input 2 7 4 8" xfId="29111"/>
    <cellStyle name="Input 2 7 4 9" xfId="29112"/>
    <cellStyle name="Input 2 7 5" xfId="29113"/>
    <cellStyle name="Input 2 7 6" xfId="29114"/>
    <cellStyle name="Input 2 7 7" xfId="29115"/>
    <cellStyle name="Input 2 7 8" xfId="29116"/>
    <cellStyle name="Input 2 7 9" xfId="29117"/>
    <cellStyle name="Input 2 8" xfId="29118"/>
    <cellStyle name="Input 3" xfId="29119"/>
    <cellStyle name="Input 3 2" xfId="29120"/>
    <cellStyle name="Input 3 2 10" xfId="29121"/>
    <cellStyle name="Input 3 2 11" xfId="29122"/>
    <cellStyle name="Input 3 2 12" xfId="29123"/>
    <cellStyle name="Input 3 2 13" xfId="29124"/>
    <cellStyle name="Input 3 2 2" xfId="29125"/>
    <cellStyle name="Input 3 2 2 10" xfId="29126"/>
    <cellStyle name="Input 3 2 2 11" xfId="29127"/>
    <cellStyle name="Input 3 2 2 12" xfId="29128"/>
    <cellStyle name="Input 3 2 2 2" xfId="29129"/>
    <cellStyle name="Input 3 2 2 2 10" xfId="29130"/>
    <cellStyle name="Input 3 2 2 2 11" xfId="29131"/>
    <cellStyle name="Input 3 2 2 2 2" xfId="29132"/>
    <cellStyle name="Input 3 2 2 2 2 10" xfId="29133"/>
    <cellStyle name="Input 3 2 2 2 2 11" xfId="29134"/>
    <cellStyle name="Input 3 2 2 2 2 2" xfId="29135"/>
    <cellStyle name="Input 3 2 2 2 2 3" xfId="29136"/>
    <cellStyle name="Input 3 2 2 2 2 4" xfId="29137"/>
    <cellStyle name="Input 3 2 2 2 2 5" xfId="29138"/>
    <cellStyle name="Input 3 2 2 2 2 6" xfId="29139"/>
    <cellStyle name="Input 3 2 2 2 2 7" xfId="29140"/>
    <cellStyle name="Input 3 2 2 2 2 8" xfId="29141"/>
    <cellStyle name="Input 3 2 2 2 2 9" xfId="29142"/>
    <cellStyle name="Input 3 2 2 2 3" xfId="29143"/>
    <cellStyle name="Input 3 2 2 2 4" xfId="29144"/>
    <cellStyle name="Input 3 2 2 2 5" xfId="29145"/>
    <cellStyle name="Input 3 2 2 2 6" xfId="29146"/>
    <cellStyle name="Input 3 2 2 2 7" xfId="29147"/>
    <cellStyle name="Input 3 2 2 2 8" xfId="29148"/>
    <cellStyle name="Input 3 2 2 2 9" xfId="29149"/>
    <cellStyle name="Input 3 2 2 3" xfId="29150"/>
    <cellStyle name="Input 3 2 2 3 10" xfId="29151"/>
    <cellStyle name="Input 3 2 2 3 11" xfId="29152"/>
    <cellStyle name="Input 3 2 2 3 2" xfId="29153"/>
    <cellStyle name="Input 3 2 2 3 3" xfId="29154"/>
    <cellStyle name="Input 3 2 2 3 4" xfId="29155"/>
    <cellStyle name="Input 3 2 2 3 5" xfId="29156"/>
    <cellStyle name="Input 3 2 2 3 6" xfId="29157"/>
    <cellStyle name="Input 3 2 2 3 7" xfId="29158"/>
    <cellStyle name="Input 3 2 2 3 8" xfId="29159"/>
    <cellStyle name="Input 3 2 2 3 9" xfId="29160"/>
    <cellStyle name="Input 3 2 2 4" xfId="29161"/>
    <cellStyle name="Input 3 2 2 5" xfId="29162"/>
    <cellStyle name="Input 3 2 2 6" xfId="29163"/>
    <cellStyle name="Input 3 2 2 7" xfId="29164"/>
    <cellStyle name="Input 3 2 2 8" xfId="29165"/>
    <cellStyle name="Input 3 2 2 9" xfId="29166"/>
    <cellStyle name="Input 3 2 3" xfId="29167"/>
    <cellStyle name="Input 3 2 3 10" xfId="29168"/>
    <cellStyle name="Input 3 2 3 11" xfId="29169"/>
    <cellStyle name="Input 3 2 3 2" xfId="29170"/>
    <cellStyle name="Input 3 2 3 2 10" xfId="29171"/>
    <cellStyle name="Input 3 2 3 2 11" xfId="29172"/>
    <cellStyle name="Input 3 2 3 2 2" xfId="29173"/>
    <cellStyle name="Input 3 2 3 2 3" xfId="29174"/>
    <cellStyle name="Input 3 2 3 2 4" xfId="29175"/>
    <cellStyle name="Input 3 2 3 2 5" xfId="29176"/>
    <cellStyle name="Input 3 2 3 2 6" xfId="29177"/>
    <cellStyle name="Input 3 2 3 2 7" xfId="29178"/>
    <cellStyle name="Input 3 2 3 2 8" xfId="29179"/>
    <cellStyle name="Input 3 2 3 2 9" xfId="29180"/>
    <cellStyle name="Input 3 2 3 3" xfId="29181"/>
    <cellStyle name="Input 3 2 3 4" xfId="29182"/>
    <cellStyle name="Input 3 2 3 5" xfId="29183"/>
    <cellStyle name="Input 3 2 3 6" xfId="29184"/>
    <cellStyle name="Input 3 2 3 7" xfId="29185"/>
    <cellStyle name="Input 3 2 3 8" xfId="29186"/>
    <cellStyle name="Input 3 2 3 9" xfId="29187"/>
    <cellStyle name="Input 3 2 4" xfId="29188"/>
    <cellStyle name="Input 3 2 4 10" xfId="29189"/>
    <cellStyle name="Input 3 2 4 11" xfId="29190"/>
    <cellStyle name="Input 3 2 4 2" xfId="29191"/>
    <cellStyle name="Input 3 2 4 3" xfId="29192"/>
    <cellStyle name="Input 3 2 4 4" xfId="29193"/>
    <cellStyle name="Input 3 2 4 5" xfId="29194"/>
    <cellStyle name="Input 3 2 4 6" xfId="29195"/>
    <cellStyle name="Input 3 2 4 7" xfId="29196"/>
    <cellStyle name="Input 3 2 4 8" xfId="29197"/>
    <cellStyle name="Input 3 2 4 9" xfId="29198"/>
    <cellStyle name="Input 3 2 5" xfId="29199"/>
    <cellStyle name="Input 3 2 6" xfId="29200"/>
    <cellStyle name="Input 3 2 7" xfId="29201"/>
    <cellStyle name="Input 3 2 8" xfId="29202"/>
    <cellStyle name="Input 3 2 9" xfId="29203"/>
    <cellStyle name="Input 3 3" xfId="29204"/>
    <cellStyle name="Input 3 3 10" xfId="29205"/>
    <cellStyle name="Input 3 3 11" xfId="29206"/>
    <cellStyle name="Input 3 3 12" xfId="29207"/>
    <cellStyle name="Input 3 3 13" xfId="29208"/>
    <cellStyle name="Input 3 3 2" xfId="29209"/>
    <cellStyle name="Input 3 3 2 10" xfId="29210"/>
    <cellStyle name="Input 3 3 2 11" xfId="29211"/>
    <cellStyle name="Input 3 3 2 12" xfId="29212"/>
    <cellStyle name="Input 3 3 2 2" xfId="29213"/>
    <cellStyle name="Input 3 3 2 2 10" xfId="29214"/>
    <cellStyle name="Input 3 3 2 2 11" xfId="29215"/>
    <cellStyle name="Input 3 3 2 2 2" xfId="29216"/>
    <cellStyle name="Input 3 3 2 2 2 10" xfId="29217"/>
    <cellStyle name="Input 3 3 2 2 2 11" xfId="29218"/>
    <cellStyle name="Input 3 3 2 2 2 2" xfId="29219"/>
    <cellStyle name="Input 3 3 2 2 2 3" xfId="29220"/>
    <cellStyle name="Input 3 3 2 2 2 4" xfId="29221"/>
    <cellStyle name="Input 3 3 2 2 2 5" xfId="29222"/>
    <cellStyle name="Input 3 3 2 2 2 6" xfId="29223"/>
    <cellStyle name="Input 3 3 2 2 2 7" xfId="29224"/>
    <cellStyle name="Input 3 3 2 2 2 8" xfId="29225"/>
    <cellStyle name="Input 3 3 2 2 2 9" xfId="29226"/>
    <cellStyle name="Input 3 3 2 2 3" xfId="29227"/>
    <cellStyle name="Input 3 3 2 2 4" xfId="29228"/>
    <cellStyle name="Input 3 3 2 2 5" xfId="29229"/>
    <cellStyle name="Input 3 3 2 2 6" xfId="29230"/>
    <cellStyle name="Input 3 3 2 2 7" xfId="29231"/>
    <cellStyle name="Input 3 3 2 2 8" xfId="29232"/>
    <cellStyle name="Input 3 3 2 2 9" xfId="29233"/>
    <cellStyle name="Input 3 3 2 3" xfId="29234"/>
    <cellStyle name="Input 3 3 2 3 10" xfId="29235"/>
    <cellStyle name="Input 3 3 2 3 11" xfId="29236"/>
    <cellStyle name="Input 3 3 2 3 2" xfId="29237"/>
    <cellStyle name="Input 3 3 2 3 3" xfId="29238"/>
    <cellStyle name="Input 3 3 2 3 4" xfId="29239"/>
    <cellStyle name="Input 3 3 2 3 5" xfId="29240"/>
    <cellStyle name="Input 3 3 2 3 6" xfId="29241"/>
    <cellStyle name="Input 3 3 2 3 7" xfId="29242"/>
    <cellStyle name="Input 3 3 2 3 8" xfId="29243"/>
    <cellStyle name="Input 3 3 2 3 9" xfId="29244"/>
    <cellStyle name="Input 3 3 2 4" xfId="29245"/>
    <cellStyle name="Input 3 3 2 5" xfId="29246"/>
    <cellStyle name="Input 3 3 2 6" xfId="29247"/>
    <cellStyle name="Input 3 3 2 7" xfId="29248"/>
    <cellStyle name="Input 3 3 2 8" xfId="29249"/>
    <cellStyle name="Input 3 3 2 9" xfId="29250"/>
    <cellStyle name="Input 3 3 3" xfId="29251"/>
    <cellStyle name="Input 3 3 3 10" xfId="29252"/>
    <cellStyle name="Input 3 3 3 11" xfId="29253"/>
    <cellStyle name="Input 3 3 3 2" xfId="29254"/>
    <cellStyle name="Input 3 3 3 2 10" xfId="29255"/>
    <cellStyle name="Input 3 3 3 2 11" xfId="29256"/>
    <cellStyle name="Input 3 3 3 2 2" xfId="29257"/>
    <cellStyle name="Input 3 3 3 2 3" xfId="29258"/>
    <cellStyle name="Input 3 3 3 2 4" xfId="29259"/>
    <cellStyle name="Input 3 3 3 2 5" xfId="29260"/>
    <cellStyle name="Input 3 3 3 2 6" xfId="29261"/>
    <cellStyle name="Input 3 3 3 2 7" xfId="29262"/>
    <cellStyle name="Input 3 3 3 2 8" xfId="29263"/>
    <cellStyle name="Input 3 3 3 2 9" xfId="29264"/>
    <cellStyle name="Input 3 3 3 3" xfId="29265"/>
    <cellStyle name="Input 3 3 3 4" xfId="29266"/>
    <cellStyle name="Input 3 3 3 5" xfId="29267"/>
    <cellStyle name="Input 3 3 3 6" xfId="29268"/>
    <cellStyle name="Input 3 3 3 7" xfId="29269"/>
    <cellStyle name="Input 3 3 3 8" xfId="29270"/>
    <cellStyle name="Input 3 3 3 9" xfId="29271"/>
    <cellStyle name="Input 3 3 4" xfId="29272"/>
    <cellStyle name="Input 3 3 4 10" xfId="29273"/>
    <cellStyle name="Input 3 3 4 11" xfId="29274"/>
    <cellStyle name="Input 3 3 4 2" xfId="29275"/>
    <cellStyle name="Input 3 3 4 3" xfId="29276"/>
    <cellStyle name="Input 3 3 4 4" xfId="29277"/>
    <cellStyle name="Input 3 3 4 5" xfId="29278"/>
    <cellStyle name="Input 3 3 4 6" xfId="29279"/>
    <cellStyle name="Input 3 3 4 7" xfId="29280"/>
    <cellStyle name="Input 3 3 4 8" xfId="29281"/>
    <cellStyle name="Input 3 3 4 9" xfId="29282"/>
    <cellStyle name="Input 3 3 5" xfId="29283"/>
    <cellStyle name="Input 3 3 6" xfId="29284"/>
    <cellStyle name="Input 3 3 7" xfId="29285"/>
    <cellStyle name="Input 3 3 8" xfId="29286"/>
    <cellStyle name="Input 3 3 9" xfId="29287"/>
    <cellStyle name="Input 3 4" xfId="29288"/>
    <cellStyle name="Input 3 4 10" xfId="29289"/>
    <cellStyle name="Input 3 4 11" xfId="29290"/>
    <cellStyle name="Input 3 4 12" xfId="29291"/>
    <cellStyle name="Input 3 4 13" xfId="29292"/>
    <cellStyle name="Input 3 4 2" xfId="29293"/>
    <cellStyle name="Input 3 4 2 10" xfId="29294"/>
    <cellStyle name="Input 3 4 2 11" xfId="29295"/>
    <cellStyle name="Input 3 4 2 12" xfId="29296"/>
    <cellStyle name="Input 3 4 2 2" xfId="29297"/>
    <cellStyle name="Input 3 4 2 2 10" xfId="29298"/>
    <cellStyle name="Input 3 4 2 2 11" xfId="29299"/>
    <cellStyle name="Input 3 4 2 2 2" xfId="29300"/>
    <cellStyle name="Input 3 4 2 2 2 10" xfId="29301"/>
    <cellStyle name="Input 3 4 2 2 2 11" xfId="29302"/>
    <cellStyle name="Input 3 4 2 2 2 2" xfId="29303"/>
    <cellStyle name="Input 3 4 2 2 2 3" xfId="29304"/>
    <cellStyle name="Input 3 4 2 2 2 4" xfId="29305"/>
    <cellStyle name="Input 3 4 2 2 2 5" xfId="29306"/>
    <cellStyle name="Input 3 4 2 2 2 6" xfId="29307"/>
    <cellStyle name="Input 3 4 2 2 2 7" xfId="29308"/>
    <cellStyle name="Input 3 4 2 2 2 8" xfId="29309"/>
    <cellStyle name="Input 3 4 2 2 2 9" xfId="29310"/>
    <cellStyle name="Input 3 4 2 2 3" xfId="29311"/>
    <cellStyle name="Input 3 4 2 2 4" xfId="29312"/>
    <cellStyle name="Input 3 4 2 2 5" xfId="29313"/>
    <cellStyle name="Input 3 4 2 2 6" xfId="29314"/>
    <cellStyle name="Input 3 4 2 2 7" xfId="29315"/>
    <cellStyle name="Input 3 4 2 2 8" xfId="29316"/>
    <cellStyle name="Input 3 4 2 2 9" xfId="29317"/>
    <cellStyle name="Input 3 4 2 3" xfId="29318"/>
    <cellStyle name="Input 3 4 2 3 10" xfId="29319"/>
    <cellStyle name="Input 3 4 2 3 11" xfId="29320"/>
    <cellStyle name="Input 3 4 2 3 2" xfId="29321"/>
    <cellStyle name="Input 3 4 2 3 3" xfId="29322"/>
    <cellStyle name="Input 3 4 2 3 4" xfId="29323"/>
    <cellStyle name="Input 3 4 2 3 5" xfId="29324"/>
    <cellStyle name="Input 3 4 2 3 6" xfId="29325"/>
    <cellStyle name="Input 3 4 2 3 7" xfId="29326"/>
    <cellStyle name="Input 3 4 2 3 8" xfId="29327"/>
    <cellStyle name="Input 3 4 2 3 9" xfId="29328"/>
    <cellStyle name="Input 3 4 2 4" xfId="29329"/>
    <cellStyle name="Input 3 4 2 5" xfId="29330"/>
    <cellStyle name="Input 3 4 2 6" xfId="29331"/>
    <cellStyle name="Input 3 4 2 7" xfId="29332"/>
    <cellStyle name="Input 3 4 2 8" xfId="29333"/>
    <cellStyle name="Input 3 4 2 9" xfId="29334"/>
    <cellStyle name="Input 3 4 3" xfId="29335"/>
    <cellStyle name="Input 3 4 3 10" xfId="29336"/>
    <cellStyle name="Input 3 4 3 11" xfId="29337"/>
    <cellStyle name="Input 3 4 3 2" xfId="29338"/>
    <cellStyle name="Input 3 4 3 2 10" xfId="29339"/>
    <cellStyle name="Input 3 4 3 2 11" xfId="29340"/>
    <cellStyle name="Input 3 4 3 2 2" xfId="29341"/>
    <cellStyle name="Input 3 4 3 2 3" xfId="29342"/>
    <cellStyle name="Input 3 4 3 2 4" xfId="29343"/>
    <cellStyle name="Input 3 4 3 2 5" xfId="29344"/>
    <cellStyle name="Input 3 4 3 2 6" xfId="29345"/>
    <cellStyle name="Input 3 4 3 2 7" xfId="29346"/>
    <cellStyle name="Input 3 4 3 2 8" xfId="29347"/>
    <cellStyle name="Input 3 4 3 2 9" xfId="29348"/>
    <cellStyle name="Input 3 4 3 3" xfId="29349"/>
    <cellStyle name="Input 3 4 3 4" xfId="29350"/>
    <cellStyle name="Input 3 4 3 5" xfId="29351"/>
    <cellStyle name="Input 3 4 3 6" xfId="29352"/>
    <cellStyle name="Input 3 4 3 7" xfId="29353"/>
    <cellStyle name="Input 3 4 3 8" xfId="29354"/>
    <cellStyle name="Input 3 4 3 9" xfId="29355"/>
    <cellStyle name="Input 3 4 4" xfId="29356"/>
    <cellStyle name="Input 3 4 4 10" xfId="29357"/>
    <cellStyle name="Input 3 4 4 11" xfId="29358"/>
    <cellStyle name="Input 3 4 4 2" xfId="29359"/>
    <cellStyle name="Input 3 4 4 3" xfId="29360"/>
    <cellStyle name="Input 3 4 4 4" xfId="29361"/>
    <cellStyle name="Input 3 4 4 5" xfId="29362"/>
    <cellStyle name="Input 3 4 4 6" xfId="29363"/>
    <cellStyle name="Input 3 4 4 7" xfId="29364"/>
    <cellStyle name="Input 3 4 4 8" xfId="29365"/>
    <cellStyle name="Input 3 4 4 9" xfId="29366"/>
    <cellStyle name="Input 3 4 5" xfId="29367"/>
    <cellStyle name="Input 3 4 6" xfId="29368"/>
    <cellStyle name="Input 3 4 7" xfId="29369"/>
    <cellStyle name="Input 3 4 8" xfId="29370"/>
    <cellStyle name="Input 3 4 9" xfId="29371"/>
    <cellStyle name="Input 3 5" xfId="29372"/>
    <cellStyle name="Input 3 5 10" xfId="29373"/>
    <cellStyle name="Input 3 5 11" xfId="29374"/>
    <cellStyle name="Input 3 5 12" xfId="29375"/>
    <cellStyle name="Input 3 5 13" xfId="29376"/>
    <cellStyle name="Input 3 5 2" xfId="29377"/>
    <cellStyle name="Input 3 5 2 10" xfId="29378"/>
    <cellStyle name="Input 3 5 2 11" xfId="29379"/>
    <cellStyle name="Input 3 5 2 12" xfId="29380"/>
    <cellStyle name="Input 3 5 2 2" xfId="29381"/>
    <cellStyle name="Input 3 5 2 2 10" xfId="29382"/>
    <cellStyle name="Input 3 5 2 2 11" xfId="29383"/>
    <cellStyle name="Input 3 5 2 2 2" xfId="29384"/>
    <cellStyle name="Input 3 5 2 2 2 10" xfId="29385"/>
    <cellStyle name="Input 3 5 2 2 2 11" xfId="29386"/>
    <cellStyle name="Input 3 5 2 2 2 2" xfId="29387"/>
    <cellStyle name="Input 3 5 2 2 2 3" xfId="29388"/>
    <cellStyle name="Input 3 5 2 2 2 4" xfId="29389"/>
    <cellStyle name="Input 3 5 2 2 2 5" xfId="29390"/>
    <cellStyle name="Input 3 5 2 2 2 6" xfId="29391"/>
    <cellStyle name="Input 3 5 2 2 2 7" xfId="29392"/>
    <cellStyle name="Input 3 5 2 2 2 8" xfId="29393"/>
    <cellStyle name="Input 3 5 2 2 2 9" xfId="29394"/>
    <cellStyle name="Input 3 5 2 2 3" xfId="29395"/>
    <cellStyle name="Input 3 5 2 2 4" xfId="29396"/>
    <cellStyle name="Input 3 5 2 2 5" xfId="29397"/>
    <cellStyle name="Input 3 5 2 2 6" xfId="29398"/>
    <cellStyle name="Input 3 5 2 2 7" xfId="29399"/>
    <cellStyle name="Input 3 5 2 2 8" xfId="29400"/>
    <cellStyle name="Input 3 5 2 2 9" xfId="29401"/>
    <cellStyle name="Input 3 5 2 3" xfId="29402"/>
    <cellStyle name="Input 3 5 2 3 10" xfId="29403"/>
    <cellStyle name="Input 3 5 2 3 11" xfId="29404"/>
    <cellStyle name="Input 3 5 2 3 2" xfId="29405"/>
    <cellStyle name="Input 3 5 2 3 3" xfId="29406"/>
    <cellStyle name="Input 3 5 2 3 4" xfId="29407"/>
    <cellStyle name="Input 3 5 2 3 5" xfId="29408"/>
    <cellStyle name="Input 3 5 2 3 6" xfId="29409"/>
    <cellStyle name="Input 3 5 2 3 7" xfId="29410"/>
    <cellStyle name="Input 3 5 2 3 8" xfId="29411"/>
    <cellStyle name="Input 3 5 2 3 9" xfId="29412"/>
    <cellStyle name="Input 3 5 2 4" xfId="29413"/>
    <cellStyle name="Input 3 5 2 5" xfId="29414"/>
    <cellStyle name="Input 3 5 2 6" xfId="29415"/>
    <cellStyle name="Input 3 5 2 7" xfId="29416"/>
    <cellStyle name="Input 3 5 2 8" xfId="29417"/>
    <cellStyle name="Input 3 5 2 9" xfId="29418"/>
    <cellStyle name="Input 3 5 3" xfId="29419"/>
    <cellStyle name="Input 3 5 3 10" xfId="29420"/>
    <cellStyle name="Input 3 5 3 11" xfId="29421"/>
    <cellStyle name="Input 3 5 3 2" xfId="29422"/>
    <cellStyle name="Input 3 5 3 2 10" xfId="29423"/>
    <cellStyle name="Input 3 5 3 2 11" xfId="29424"/>
    <cellStyle name="Input 3 5 3 2 2" xfId="29425"/>
    <cellStyle name="Input 3 5 3 2 3" xfId="29426"/>
    <cellStyle name="Input 3 5 3 2 4" xfId="29427"/>
    <cellStyle name="Input 3 5 3 2 5" xfId="29428"/>
    <cellStyle name="Input 3 5 3 2 6" xfId="29429"/>
    <cellStyle name="Input 3 5 3 2 7" xfId="29430"/>
    <cellStyle name="Input 3 5 3 2 8" xfId="29431"/>
    <cellStyle name="Input 3 5 3 2 9" xfId="29432"/>
    <cellStyle name="Input 3 5 3 3" xfId="29433"/>
    <cellStyle name="Input 3 5 3 4" xfId="29434"/>
    <cellStyle name="Input 3 5 3 5" xfId="29435"/>
    <cellStyle name="Input 3 5 3 6" xfId="29436"/>
    <cellStyle name="Input 3 5 3 7" xfId="29437"/>
    <cellStyle name="Input 3 5 3 8" xfId="29438"/>
    <cellStyle name="Input 3 5 3 9" xfId="29439"/>
    <cellStyle name="Input 3 5 4" xfId="29440"/>
    <cellStyle name="Input 3 5 4 10" xfId="29441"/>
    <cellStyle name="Input 3 5 4 11" xfId="29442"/>
    <cellStyle name="Input 3 5 4 2" xfId="29443"/>
    <cellStyle name="Input 3 5 4 3" xfId="29444"/>
    <cellStyle name="Input 3 5 4 4" xfId="29445"/>
    <cellStyle name="Input 3 5 4 5" xfId="29446"/>
    <cellStyle name="Input 3 5 4 6" xfId="29447"/>
    <cellStyle name="Input 3 5 4 7" xfId="29448"/>
    <cellStyle name="Input 3 5 4 8" xfId="29449"/>
    <cellStyle name="Input 3 5 4 9" xfId="29450"/>
    <cellStyle name="Input 3 5 5" xfId="29451"/>
    <cellStyle name="Input 3 5 6" xfId="29452"/>
    <cellStyle name="Input 3 5 7" xfId="29453"/>
    <cellStyle name="Input 3 5 8" xfId="29454"/>
    <cellStyle name="Input 3 5 9" xfId="29455"/>
    <cellStyle name="Input 3 6" xfId="29456"/>
    <cellStyle name="Input 3 6 10" xfId="29457"/>
    <cellStyle name="Input 3 6 11" xfId="29458"/>
    <cellStyle name="Input 3 6 12" xfId="29459"/>
    <cellStyle name="Input 3 6 13" xfId="29460"/>
    <cellStyle name="Input 3 6 2" xfId="29461"/>
    <cellStyle name="Input 3 6 2 10" xfId="29462"/>
    <cellStyle name="Input 3 6 2 11" xfId="29463"/>
    <cellStyle name="Input 3 6 2 12" xfId="29464"/>
    <cellStyle name="Input 3 6 2 2" xfId="29465"/>
    <cellStyle name="Input 3 6 2 2 10" xfId="29466"/>
    <cellStyle name="Input 3 6 2 2 11" xfId="29467"/>
    <cellStyle name="Input 3 6 2 2 2" xfId="29468"/>
    <cellStyle name="Input 3 6 2 2 2 10" xfId="29469"/>
    <cellStyle name="Input 3 6 2 2 2 11" xfId="29470"/>
    <cellStyle name="Input 3 6 2 2 2 2" xfId="29471"/>
    <cellStyle name="Input 3 6 2 2 2 3" xfId="29472"/>
    <cellStyle name="Input 3 6 2 2 2 4" xfId="29473"/>
    <cellStyle name="Input 3 6 2 2 2 5" xfId="29474"/>
    <cellStyle name="Input 3 6 2 2 2 6" xfId="29475"/>
    <cellStyle name="Input 3 6 2 2 2 7" xfId="29476"/>
    <cellStyle name="Input 3 6 2 2 2 8" xfId="29477"/>
    <cellStyle name="Input 3 6 2 2 2 9" xfId="29478"/>
    <cellStyle name="Input 3 6 2 2 3" xfId="29479"/>
    <cellStyle name="Input 3 6 2 2 4" xfId="29480"/>
    <cellStyle name="Input 3 6 2 2 5" xfId="29481"/>
    <cellStyle name="Input 3 6 2 2 6" xfId="29482"/>
    <cellStyle name="Input 3 6 2 2 7" xfId="29483"/>
    <cellStyle name="Input 3 6 2 2 8" xfId="29484"/>
    <cellStyle name="Input 3 6 2 2 9" xfId="29485"/>
    <cellStyle name="Input 3 6 2 3" xfId="29486"/>
    <cellStyle name="Input 3 6 2 3 10" xfId="29487"/>
    <cellStyle name="Input 3 6 2 3 11" xfId="29488"/>
    <cellStyle name="Input 3 6 2 3 2" xfId="29489"/>
    <cellStyle name="Input 3 6 2 3 3" xfId="29490"/>
    <cellStyle name="Input 3 6 2 3 4" xfId="29491"/>
    <cellStyle name="Input 3 6 2 3 5" xfId="29492"/>
    <cellStyle name="Input 3 6 2 3 6" xfId="29493"/>
    <cellStyle name="Input 3 6 2 3 7" xfId="29494"/>
    <cellStyle name="Input 3 6 2 3 8" xfId="29495"/>
    <cellStyle name="Input 3 6 2 3 9" xfId="29496"/>
    <cellStyle name="Input 3 6 2 4" xfId="29497"/>
    <cellStyle name="Input 3 6 2 5" xfId="29498"/>
    <cellStyle name="Input 3 6 2 6" xfId="29499"/>
    <cellStyle name="Input 3 6 2 7" xfId="29500"/>
    <cellStyle name="Input 3 6 2 8" xfId="29501"/>
    <cellStyle name="Input 3 6 2 9" xfId="29502"/>
    <cellStyle name="Input 3 6 3" xfId="29503"/>
    <cellStyle name="Input 3 6 3 10" xfId="29504"/>
    <cellStyle name="Input 3 6 3 11" xfId="29505"/>
    <cellStyle name="Input 3 6 3 2" xfId="29506"/>
    <cellStyle name="Input 3 6 3 2 10" xfId="29507"/>
    <cellStyle name="Input 3 6 3 2 11" xfId="29508"/>
    <cellStyle name="Input 3 6 3 2 2" xfId="29509"/>
    <cellStyle name="Input 3 6 3 2 3" xfId="29510"/>
    <cellStyle name="Input 3 6 3 2 4" xfId="29511"/>
    <cellStyle name="Input 3 6 3 2 5" xfId="29512"/>
    <cellStyle name="Input 3 6 3 2 6" xfId="29513"/>
    <cellStyle name="Input 3 6 3 2 7" xfId="29514"/>
    <cellStyle name="Input 3 6 3 2 8" xfId="29515"/>
    <cellStyle name="Input 3 6 3 2 9" xfId="29516"/>
    <cellStyle name="Input 3 6 3 3" xfId="29517"/>
    <cellStyle name="Input 3 6 3 4" xfId="29518"/>
    <cellStyle name="Input 3 6 3 5" xfId="29519"/>
    <cellStyle name="Input 3 6 3 6" xfId="29520"/>
    <cellStyle name="Input 3 6 3 7" xfId="29521"/>
    <cellStyle name="Input 3 6 3 8" xfId="29522"/>
    <cellStyle name="Input 3 6 3 9" xfId="29523"/>
    <cellStyle name="Input 3 6 4" xfId="29524"/>
    <cellStyle name="Input 3 6 4 10" xfId="29525"/>
    <cellStyle name="Input 3 6 4 11" xfId="29526"/>
    <cellStyle name="Input 3 6 4 2" xfId="29527"/>
    <cellStyle name="Input 3 6 4 3" xfId="29528"/>
    <cellStyle name="Input 3 6 4 4" xfId="29529"/>
    <cellStyle name="Input 3 6 4 5" xfId="29530"/>
    <cellStyle name="Input 3 6 4 6" xfId="29531"/>
    <cellStyle name="Input 3 6 4 7" xfId="29532"/>
    <cellStyle name="Input 3 6 4 8" xfId="29533"/>
    <cellStyle name="Input 3 6 4 9" xfId="29534"/>
    <cellStyle name="Input 3 6 5" xfId="29535"/>
    <cellStyle name="Input 3 6 6" xfId="29536"/>
    <cellStyle name="Input 3 6 7" xfId="29537"/>
    <cellStyle name="Input 3 6 8" xfId="29538"/>
    <cellStyle name="Input 3 6 9" xfId="29539"/>
    <cellStyle name="Input 3 7" xfId="29540"/>
    <cellStyle name="Input 3 7 10" xfId="29541"/>
    <cellStyle name="Input 3 7 11" xfId="29542"/>
    <cellStyle name="Input 3 7 12" xfId="29543"/>
    <cellStyle name="Input 3 7 13" xfId="29544"/>
    <cellStyle name="Input 3 7 2" xfId="29545"/>
    <cellStyle name="Input 3 7 2 10" xfId="29546"/>
    <cellStyle name="Input 3 7 2 11" xfId="29547"/>
    <cellStyle name="Input 3 7 2 12" xfId="29548"/>
    <cellStyle name="Input 3 7 2 2" xfId="29549"/>
    <cellStyle name="Input 3 7 2 2 10" xfId="29550"/>
    <cellStyle name="Input 3 7 2 2 11" xfId="29551"/>
    <cellStyle name="Input 3 7 2 2 2" xfId="29552"/>
    <cellStyle name="Input 3 7 2 2 2 10" xfId="29553"/>
    <cellStyle name="Input 3 7 2 2 2 11" xfId="29554"/>
    <cellStyle name="Input 3 7 2 2 2 2" xfId="29555"/>
    <cellStyle name="Input 3 7 2 2 2 3" xfId="29556"/>
    <cellStyle name="Input 3 7 2 2 2 4" xfId="29557"/>
    <cellStyle name="Input 3 7 2 2 2 5" xfId="29558"/>
    <cellStyle name="Input 3 7 2 2 2 6" xfId="29559"/>
    <cellStyle name="Input 3 7 2 2 2 7" xfId="29560"/>
    <cellStyle name="Input 3 7 2 2 2 8" xfId="29561"/>
    <cellStyle name="Input 3 7 2 2 2 9" xfId="29562"/>
    <cellStyle name="Input 3 7 2 2 3" xfId="29563"/>
    <cellStyle name="Input 3 7 2 2 4" xfId="29564"/>
    <cellStyle name="Input 3 7 2 2 5" xfId="29565"/>
    <cellStyle name="Input 3 7 2 2 6" xfId="29566"/>
    <cellStyle name="Input 3 7 2 2 7" xfId="29567"/>
    <cellStyle name="Input 3 7 2 2 8" xfId="29568"/>
    <cellStyle name="Input 3 7 2 2 9" xfId="29569"/>
    <cellStyle name="Input 3 7 2 3" xfId="29570"/>
    <cellStyle name="Input 3 7 2 3 10" xfId="29571"/>
    <cellStyle name="Input 3 7 2 3 11" xfId="29572"/>
    <cellStyle name="Input 3 7 2 3 2" xfId="29573"/>
    <cellStyle name="Input 3 7 2 3 3" xfId="29574"/>
    <cellStyle name="Input 3 7 2 3 4" xfId="29575"/>
    <cellStyle name="Input 3 7 2 3 5" xfId="29576"/>
    <cellStyle name="Input 3 7 2 3 6" xfId="29577"/>
    <cellStyle name="Input 3 7 2 3 7" xfId="29578"/>
    <cellStyle name="Input 3 7 2 3 8" xfId="29579"/>
    <cellStyle name="Input 3 7 2 3 9" xfId="29580"/>
    <cellStyle name="Input 3 7 2 4" xfId="29581"/>
    <cellStyle name="Input 3 7 2 5" xfId="29582"/>
    <cellStyle name="Input 3 7 2 6" xfId="29583"/>
    <cellStyle name="Input 3 7 2 7" xfId="29584"/>
    <cellStyle name="Input 3 7 2 8" xfId="29585"/>
    <cellStyle name="Input 3 7 2 9" xfId="29586"/>
    <cellStyle name="Input 3 7 3" xfId="29587"/>
    <cellStyle name="Input 3 7 3 10" xfId="29588"/>
    <cellStyle name="Input 3 7 3 11" xfId="29589"/>
    <cellStyle name="Input 3 7 3 2" xfId="29590"/>
    <cellStyle name="Input 3 7 3 2 10" xfId="29591"/>
    <cellStyle name="Input 3 7 3 2 11" xfId="29592"/>
    <cellStyle name="Input 3 7 3 2 2" xfId="29593"/>
    <cellStyle name="Input 3 7 3 2 3" xfId="29594"/>
    <cellStyle name="Input 3 7 3 2 4" xfId="29595"/>
    <cellStyle name="Input 3 7 3 2 5" xfId="29596"/>
    <cellStyle name="Input 3 7 3 2 6" xfId="29597"/>
    <cellStyle name="Input 3 7 3 2 7" xfId="29598"/>
    <cellStyle name="Input 3 7 3 2 8" xfId="29599"/>
    <cellStyle name="Input 3 7 3 2 9" xfId="29600"/>
    <cellStyle name="Input 3 7 3 3" xfId="29601"/>
    <cellStyle name="Input 3 7 3 4" xfId="29602"/>
    <cellStyle name="Input 3 7 3 5" xfId="29603"/>
    <cellStyle name="Input 3 7 3 6" xfId="29604"/>
    <cellStyle name="Input 3 7 3 7" xfId="29605"/>
    <cellStyle name="Input 3 7 3 8" xfId="29606"/>
    <cellStyle name="Input 3 7 3 9" xfId="29607"/>
    <cellStyle name="Input 3 7 4" xfId="29608"/>
    <cellStyle name="Input 3 7 4 10" xfId="29609"/>
    <cellStyle name="Input 3 7 4 11" xfId="29610"/>
    <cellStyle name="Input 3 7 4 2" xfId="29611"/>
    <cellStyle name="Input 3 7 4 3" xfId="29612"/>
    <cellStyle name="Input 3 7 4 4" xfId="29613"/>
    <cellStyle name="Input 3 7 4 5" xfId="29614"/>
    <cellStyle name="Input 3 7 4 6" xfId="29615"/>
    <cellStyle name="Input 3 7 4 7" xfId="29616"/>
    <cellStyle name="Input 3 7 4 8" xfId="29617"/>
    <cellStyle name="Input 3 7 4 9" xfId="29618"/>
    <cellStyle name="Input 3 7 5" xfId="29619"/>
    <cellStyle name="Input 3 7 6" xfId="29620"/>
    <cellStyle name="Input 3 7 7" xfId="29621"/>
    <cellStyle name="Input 3 7 8" xfId="29622"/>
    <cellStyle name="Input 3 7 9" xfId="29623"/>
    <cellStyle name="Input 3 8" xfId="29624"/>
    <cellStyle name="Input 4" xfId="29625"/>
    <cellStyle name="Input 4 10" xfId="29626"/>
    <cellStyle name="Input 4 11" xfId="29627"/>
    <cellStyle name="Input 4 12" xfId="29628"/>
    <cellStyle name="Input 4 13" xfId="29629"/>
    <cellStyle name="Input 4 14" xfId="29630"/>
    <cellStyle name="Input 4 2" xfId="29631"/>
    <cellStyle name="Input 4 2 10" xfId="29632"/>
    <cellStyle name="Input 4 2 11" xfId="29633"/>
    <cellStyle name="Input 4 2 12" xfId="29634"/>
    <cellStyle name="Input 4 2 13" xfId="29635"/>
    <cellStyle name="Input 4 2 2" xfId="29636"/>
    <cellStyle name="Input 4 2 2 10" xfId="29637"/>
    <cellStyle name="Input 4 2 2 11" xfId="29638"/>
    <cellStyle name="Input 4 2 2 12" xfId="29639"/>
    <cellStyle name="Input 4 2 2 2" xfId="29640"/>
    <cellStyle name="Input 4 2 2 2 10" xfId="29641"/>
    <cellStyle name="Input 4 2 2 2 11" xfId="29642"/>
    <cellStyle name="Input 4 2 2 2 2" xfId="29643"/>
    <cellStyle name="Input 4 2 2 2 2 10" xfId="29644"/>
    <cellStyle name="Input 4 2 2 2 2 11" xfId="29645"/>
    <cellStyle name="Input 4 2 2 2 2 2" xfId="29646"/>
    <cellStyle name="Input 4 2 2 2 2 3" xfId="29647"/>
    <cellStyle name="Input 4 2 2 2 2 4" xfId="29648"/>
    <cellStyle name="Input 4 2 2 2 2 5" xfId="29649"/>
    <cellStyle name="Input 4 2 2 2 2 6" xfId="29650"/>
    <cellStyle name="Input 4 2 2 2 2 7" xfId="29651"/>
    <cellStyle name="Input 4 2 2 2 2 8" xfId="29652"/>
    <cellStyle name="Input 4 2 2 2 2 9" xfId="29653"/>
    <cellStyle name="Input 4 2 2 2 3" xfId="29654"/>
    <cellStyle name="Input 4 2 2 2 4" xfId="29655"/>
    <cellStyle name="Input 4 2 2 2 5" xfId="29656"/>
    <cellStyle name="Input 4 2 2 2 6" xfId="29657"/>
    <cellStyle name="Input 4 2 2 2 7" xfId="29658"/>
    <cellStyle name="Input 4 2 2 2 8" xfId="29659"/>
    <cellStyle name="Input 4 2 2 2 9" xfId="29660"/>
    <cellStyle name="Input 4 2 2 3" xfId="29661"/>
    <cellStyle name="Input 4 2 2 3 10" xfId="29662"/>
    <cellStyle name="Input 4 2 2 3 11" xfId="29663"/>
    <cellStyle name="Input 4 2 2 3 2" xfId="29664"/>
    <cellStyle name="Input 4 2 2 3 3" xfId="29665"/>
    <cellStyle name="Input 4 2 2 3 4" xfId="29666"/>
    <cellStyle name="Input 4 2 2 3 5" xfId="29667"/>
    <cellStyle name="Input 4 2 2 3 6" xfId="29668"/>
    <cellStyle name="Input 4 2 2 3 7" xfId="29669"/>
    <cellStyle name="Input 4 2 2 3 8" xfId="29670"/>
    <cellStyle name="Input 4 2 2 3 9" xfId="29671"/>
    <cellStyle name="Input 4 2 2 4" xfId="29672"/>
    <cellStyle name="Input 4 2 2 5" xfId="29673"/>
    <cellStyle name="Input 4 2 2 6" xfId="29674"/>
    <cellStyle name="Input 4 2 2 7" xfId="29675"/>
    <cellStyle name="Input 4 2 2 8" xfId="29676"/>
    <cellStyle name="Input 4 2 2 9" xfId="29677"/>
    <cellStyle name="Input 4 2 3" xfId="29678"/>
    <cellStyle name="Input 4 2 3 10" xfId="29679"/>
    <cellStyle name="Input 4 2 3 11" xfId="29680"/>
    <cellStyle name="Input 4 2 3 2" xfId="29681"/>
    <cellStyle name="Input 4 2 3 2 10" xfId="29682"/>
    <cellStyle name="Input 4 2 3 2 11" xfId="29683"/>
    <cellStyle name="Input 4 2 3 2 2" xfId="29684"/>
    <cellStyle name="Input 4 2 3 2 3" xfId="29685"/>
    <cellStyle name="Input 4 2 3 2 4" xfId="29686"/>
    <cellStyle name="Input 4 2 3 2 5" xfId="29687"/>
    <cellStyle name="Input 4 2 3 2 6" xfId="29688"/>
    <cellStyle name="Input 4 2 3 2 7" xfId="29689"/>
    <cellStyle name="Input 4 2 3 2 8" xfId="29690"/>
    <cellStyle name="Input 4 2 3 2 9" xfId="29691"/>
    <cellStyle name="Input 4 2 3 3" xfId="29692"/>
    <cellStyle name="Input 4 2 3 4" xfId="29693"/>
    <cellStyle name="Input 4 2 3 5" xfId="29694"/>
    <cellStyle name="Input 4 2 3 6" xfId="29695"/>
    <cellStyle name="Input 4 2 3 7" xfId="29696"/>
    <cellStyle name="Input 4 2 3 8" xfId="29697"/>
    <cellStyle name="Input 4 2 3 9" xfId="29698"/>
    <cellStyle name="Input 4 2 4" xfId="29699"/>
    <cellStyle name="Input 4 2 4 10" xfId="29700"/>
    <cellStyle name="Input 4 2 4 11" xfId="29701"/>
    <cellStyle name="Input 4 2 4 2" xfId="29702"/>
    <cellStyle name="Input 4 2 4 3" xfId="29703"/>
    <cellStyle name="Input 4 2 4 4" xfId="29704"/>
    <cellStyle name="Input 4 2 4 5" xfId="29705"/>
    <cellStyle name="Input 4 2 4 6" xfId="29706"/>
    <cellStyle name="Input 4 2 4 7" xfId="29707"/>
    <cellStyle name="Input 4 2 4 8" xfId="29708"/>
    <cellStyle name="Input 4 2 4 9" xfId="29709"/>
    <cellStyle name="Input 4 2 5" xfId="29710"/>
    <cellStyle name="Input 4 2 6" xfId="29711"/>
    <cellStyle name="Input 4 2 7" xfId="29712"/>
    <cellStyle name="Input 4 2 8" xfId="29713"/>
    <cellStyle name="Input 4 2 9" xfId="29714"/>
    <cellStyle name="Input 4 3" xfId="29715"/>
    <cellStyle name="Input 4 3 10" xfId="29716"/>
    <cellStyle name="Input 4 3 11" xfId="29717"/>
    <cellStyle name="Input 4 3 12" xfId="29718"/>
    <cellStyle name="Input 4 3 2" xfId="29719"/>
    <cellStyle name="Input 4 3 2 10" xfId="29720"/>
    <cellStyle name="Input 4 3 2 11" xfId="29721"/>
    <cellStyle name="Input 4 3 2 2" xfId="29722"/>
    <cellStyle name="Input 4 3 2 2 10" xfId="29723"/>
    <cellStyle name="Input 4 3 2 2 11" xfId="29724"/>
    <cellStyle name="Input 4 3 2 2 2" xfId="29725"/>
    <cellStyle name="Input 4 3 2 2 3" xfId="29726"/>
    <cellStyle name="Input 4 3 2 2 4" xfId="29727"/>
    <cellStyle name="Input 4 3 2 2 5" xfId="29728"/>
    <cellStyle name="Input 4 3 2 2 6" xfId="29729"/>
    <cellStyle name="Input 4 3 2 2 7" xfId="29730"/>
    <cellStyle name="Input 4 3 2 2 8" xfId="29731"/>
    <cellStyle name="Input 4 3 2 2 9" xfId="29732"/>
    <cellStyle name="Input 4 3 2 3" xfId="29733"/>
    <cellStyle name="Input 4 3 2 4" xfId="29734"/>
    <cellStyle name="Input 4 3 2 5" xfId="29735"/>
    <cellStyle name="Input 4 3 2 6" xfId="29736"/>
    <cellStyle name="Input 4 3 2 7" xfId="29737"/>
    <cellStyle name="Input 4 3 2 8" xfId="29738"/>
    <cellStyle name="Input 4 3 2 9" xfId="29739"/>
    <cellStyle name="Input 4 3 3" xfId="29740"/>
    <cellStyle name="Input 4 3 3 10" xfId="29741"/>
    <cellStyle name="Input 4 3 3 11" xfId="29742"/>
    <cellStyle name="Input 4 3 3 2" xfId="29743"/>
    <cellStyle name="Input 4 3 3 3" xfId="29744"/>
    <cellStyle name="Input 4 3 3 4" xfId="29745"/>
    <cellStyle name="Input 4 3 3 5" xfId="29746"/>
    <cellStyle name="Input 4 3 3 6" xfId="29747"/>
    <cellStyle name="Input 4 3 3 7" xfId="29748"/>
    <cellStyle name="Input 4 3 3 8" xfId="29749"/>
    <cellStyle name="Input 4 3 3 9" xfId="29750"/>
    <cellStyle name="Input 4 3 4" xfId="29751"/>
    <cellStyle name="Input 4 3 5" xfId="29752"/>
    <cellStyle name="Input 4 3 6" xfId="29753"/>
    <cellStyle name="Input 4 3 7" xfId="29754"/>
    <cellStyle name="Input 4 3 8" xfId="29755"/>
    <cellStyle name="Input 4 3 9" xfId="29756"/>
    <cellStyle name="Input 4 4" xfId="29757"/>
    <cellStyle name="Input 4 4 10" xfId="29758"/>
    <cellStyle name="Input 4 4 11" xfId="29759"/>
    <cellStyle name="Input 4 4 2" xfId="29760"/>
    <cellStyle name="Input 4 4 2 10" xfId="29761"/>
    <cellStyle name="Input 4 4 2 11" xfId="29762"/>
    <cellStyle name="Input 4 4 2 2" xfId="29763"/>
    <cellStyle name="Input 4 4 2 3" xfId="29764"/>
    <cellStyle name="Input 4 4 2 4" xfId="29765"/>
    <cellStyle name="Input 4 4 2 5" xfId="29766"/>
    <cellStyle name="Input 4 4 2 6" xfId="29767"/>
    <cellStyle name="Input 4 4 2 7" xfId="29768"/>
    <cellStyle name="Input 4 4 2 8" xfId="29769"/>
    <cellStyle name="Input 4 4 2 9" xfId="29770"/>
    <cellStyle name="Input 4 4 3" xfId="29771"/>
    <cellStyle name="Input 4 4 4" xfId="29772"/>
    <cellStyle name="Input 4 4 5" xfId="29773"/>
    <cellStyle name="Input 4 4 6" xfId="29774"/>
    <cellStyle name="Input 4 4 7" xfId="29775"/>
    <cellStyle name="Input 4 4 8" xfId="29776"/>
    <cellStyle name="Input 4 4 9" xfId="29777"/>
    <cellStyle name="Input 4 5" xfId="29778"/>
    <cellStyle name="Input 4 5 10" xfId="29779"/>
    <cellStyle name="Input 4 5 11" xfId="29780"/>
    <cellStyle name="Input 4 5 2" xfId="29781"/>
    <cellStyle name="Input 4 5 3" xfId="29782"/>
    <cellStyle name="Input 4 5 4" xfId="29783"/>
    <cellStyle name="Input 4 5 5" xfId="29784"/>
    <cellStyle name="Input 4 5 6" xfId="29785"/>
    <cellStyle name="Input 4 5 7" xfId="29786"/>
    <cellStyle name="Input 4 5 8" xfId="29787"/>
    <cellStyle name="Input 4 5 9" xfId="29788"/>
    <cellStyle name="Input 4 6" xfId="29789"/>
    <cellStyle name="Input 4 7" xfId="29790"/>
    <cellStyle name="Input 4 8" xfId="29791"/>
    <cellStyle name="Input 4 9" xfId="29792"/>
    <cellStyle name="Input 5" xfId="29793"/>
    <cellStyle name="Input 5 10" xfId="29794"/>
    <cellStyle name="Input 5 11" xfId="29795"/>
    <cellStyle name="Input 5 12" xfId="29796"/>
    <cellStyle name="Input 5 13" xfId="29797"/>
    <cellStyle name="Input 5 2" xfId="29798"/>
    <cellStyle name="Input 5 2 10" xfId="29799"/>
    <cellStyle name="Input 5 2 11" xfId="29800"/>
    <cellStyle name="Input 5 2 12" xfId="29801"/>
    <cellStyle name="Input 5 2 2" xfId="29802"/>
    <cellStyle name="Input 5 2 2 10" xfId="29803"/>
    <cellStyle name="Input 5 2 2 11" xfId="29804"/>
    <cellStyle name="Input 5 2 2 2" xfId="29805"/>
    <cellStyle name="Input 5 2 2 2 10" xfId="29806"/>
    <cellStyle name="Input 5 2 2 2 11" xfId="29807"/>
    <cellStyle name="Input 5 2 2 2 2" xfId="29808"/>
    <cellStyle name="Input 5 2 2 2 3" xfId="29809"/>
    <cellStyle name="Input 5 2 2 2 4" xfId="29810"/>
    <cellStyle name="Input 5 2 2 2 5" xfId="29811"/>
    <cellStyle name="Input 5 2 2 2 6" xfId="29812"/>
    <cellStyle name="Input 5 2 2 2 7" xfId="29813"/>
    <cellStyle name="Input 5 2 2 2 8" xfId="29814"/>
    <cellStyle name="Input 5 2 2 2 9" xfId="29815"/>
    <cellStyle name="Input 5 2 2 3" xfId="29816"/>
    <cellStyle name="Input 5 2 2 4" xfId="29817"/>
    <cellStyle name="Input 5 2 2 5" xfId="29818"/>
    <cellStyle name="Input 5 2 2 6" xfId="29819"/>
    <cellStyle name="Input 5 2 2 7" xfId="29820"/>
    <cellStyle name="Input 5 2 2 8" xfId="29821"/>
    <cellStyle name="Input 5 2 2 9" xfId="29822"/>
    <cellStyle name="Input 5 2 3" xfId="29823"/>
    <cellStyle name="Input 5 2 3 10" xfId="29824"/>
    <cellStyle name="Input 5 2 3 11" xfId="29825"/>
    <cellStyle name="Input 5 2 3 2" xfId="29826"/>
    <cellStyle name="Input 5 2 3 3" xfId="29827"/>
    <cellStyle name="Input 5 2 3 4" xfId="29828"/>
    <cellStyle name="Input 5 2 3 5" xfId="29829"/>
    <cellStyle name="Input 5 2 3 6" xfId="29830"/>
    <cellStyle name="Input 5 2 3 7" xfId="29831"/>
    <cellStyle name="Input 5 2 3 8" xfId="29832"/>
    <cellStyle name="Input 5 2 3 9" xfId="29833"/>
    <cellStyle name="Input 5 2 4" xfId="29834"/>
    <cellStyle name="Input 5 2 5" xfId="29835"/>
    <cellStyle name="Input 5 2 6" xfId="29836"/>
    <cellStyle name="Input 5 2 7" xfId="29837"/>
    <cellStyle name="Input 5 2 8" xfId="29838"/>
    <cellStyle name="Input 5 2 9" xfId="29839"/>
    <cellStyle name="Input 5 3" xfId="29840"/>
    <cellStyle name="Input 5 3 10" xfId="29841"/>
    <cellStyle name="Input 5 3 11" xfId="29842"/>
    <cellStyle name="Input 5 3 2" xfId="29843"/>
    <cellStyle name="Input 5 3 2 10" xfId="29844"/>
    <cellStyle name="Input 5 3 2 11" xfId="29845"/>
    <cellStyle name="Input 5 3 2 2" xfId="29846"/>
    <cellStyle name="Input 5 3 2 3" xfId="29847"/>
    <cellStyle name="Input 5 3 2 4" xfId="29848"/>
    <cellStyle name="Input 5 3 2 5" xfId="29849"/>
    <cellStyle name="Input 5 3 2 6" xfId="29850"/>
    <cellStyle name="Input 5 3 2 7" xfId="29851"/>
    <cellStyle name="Input 5 3 2 8" xfId="29852"/>
    <cellStyle name="Input 5 3 2 9" xfId="29853"/>
    <cellStyle name="Input 5 3 3" xfId="29854"/>
    <cellStyle name="Input 5 3 4" xfId="29855"/>
    <cellStyle name="Input 5 3 5" xfId="29856"/>
    <cellStyle name="Input 5 3 6" xfId="29857"/>
    <cellStyle name="Input 5 3 7" xfId="29858"/>
    <cellStyle name="Input 5 3 8" xfId="29859"/>
    <cellStyle name="Input 5 3 9" xfId="29860"/>
    <cellStyle name="Input 5 4" xfId="29861"/>
    <cellStyle name="Input 5 4 10" xfId="29862"/>
    <cellStyle name="Input 5 4 11" xfId="29863"/>
    <cellStyle name="Input 5 4 2" xfId="29864"/>
    <cellStyle name="Input 5 4 3" xfId="29865"/>
    <cellStyle name="Input 5 4 4" xfId="29866"/>
    <cellStyle name="Input 5 4 5" xfId="29867"/>
    <cellStyle name="Input 5 4 6" xfId="29868"/>
    <cellStyle name="Input 5 4 7" xfId="29869"/>
    <cellStyle name="Input 5 4 8" xfId="29870"/>
    <cellStyle name="Input 5 4 9" xfId="29871"/>
    <cellStyle name="Input 5 5" xfId="29872"/>
    <cellStyle name="Input 5 6" xfId="29873"/>
    <cellStyle name="Input 5 7" xfId="29874"/>
    <cellStyle name="Input 5 8" xfId="29875"/>
    <cellStyle name="Input 5 9" xfId="29876"/>
    <cellStyle name="Input 6" xfId="29877"/>
    <cellStyle name="Input 6 10" xfId="29878"/>
    <cellStyle name="Input 6 11" xfId="29879"/>
    <cellStyle name="Input 6 12" xfId="29880"/>
    <cellStyle name="Input 6 13" xfId="29881"/>
    <cellStyle name="Input 6 2" xfId="29882"/>
    <cellStyle name="Input 6 2 10" xfId="29883"/>
    <cellStyle name="Input 6 2 11" xfId="29884"/>
    <cellStyle name="Input 6 2 12" xfId="29885"/>
    <cellStyle name="Input 6 2 2" xfId="29886"/>
    <cellStyle name="Input 6 2 2 10" xfId="29887"/>
    <cellStyle name="Input 6 2 2 11" xfId="29888"/>
    <cellStyle name="Input 6 2 2 2" xfId="29889"/>
    <cellStyle name="Input 6 2 2 2 10" xfId="29890"/>
    <cellStyle name="Input 6 2 2 2 11" xfId="29891"/>
    <cellStyle name="Input 6 2 2 2 2" xfId="29892"/>
    <cellStyle name="Input 6 2 2 2 3" xfId="29893"/>
    <cellStyle name="Input 6 2 2 2 4" xfId="29894"/>
    <cellStyle name="Input 6 2 2 2 5" xfId="29895"/>
    <cellStyle name="Input 6 2 2 2 6" xfId="29896"/>
    <cellStyle name="Input 6 2 2 2 7" xfId="29897"/>
    <cellStyle name="Input 6 2 2 2 8" xfId="29898"/>
    <cellStyle name="Input 6 2 2 2 9" xfId="29899"/>
    <cellStyle name="Input 6 2 2 3" xfId="29900"/>
    <cellStyle name="Input 6 2 2 4" xfId="29901"/>
    <cellStyle name="Input 6 2 2 5" xfId="29902"/>
    <cellStyle name="Input 6 2 2 6" xfId="29903"/>
    <cellStyle name="Input 6 2 2 7" xfId="29904"/>
    <cellStyle name="Input 6 2 2 8" xfId="29905"/>
    <cellStyle name="Input 6 2 2 9" xfId="29906"/>
    <cellStyle name="Input 6 2 3" xfId="29907"/>
    <cellStyle name="Input 6 2 3 10" xfId="29908"/>
    <cellStyle name="Input 6 2 3 11" xfId="29909"/>
    <cellStyle name="Input 6 2 3 2" xfId="29910"/>
    <cellStyle name="Input 6 2 3 3" xfId="29911"/>
    <cellStyle name="Input 6 2 3 4" xfId="29912"/>
    <cellStyle name="Input 6 2 3 5" xfId="29913"/>
    <cellStyle name="Input 6 2 3 6" xfId="29914"/>
    <cellStyle name="Input 6 2 3 7" xfId="29915"/>
    <cellStyle name="Input 6 2 3 8" xfId="29916"/>
    <cellStyle name="Input 6 2 3 9" xfId="29917"/>
    <cellStyle name="Input 6 2 4" xfId="29918"/>
    <cellStyle name="Input 6 2 5" xfId="29919"/>
    <cellStyle name="Input 6 2 6" xfId="29920"/>
    <cellStyle name="Input 6 2 7" xfId="29921"/>
    <cellStyle name="Input 6 2 8" xfId="29922"/>
    <cellStyle name="Input 6 2 9" xfId="29923"/>
    <cellStyle name="Input 6 3" xfId="29924"/>
    <cellStyle name="Input 6 3 10" xfId="29925"/>
    <cellStyle name="Input 6 3 11" xfId="29926"/>
    <cellStyle name="Input 6 3 2" xfId="29927"/>
    <cellStyle name="Input 6 3 2 10" xfId="29928"/>
    <cellStyle name="Input 6 3 2 11" xfId="29929"/>
    <cellStyle name="Input 6 3 2 2" xfId="29930"/>
    <cellStyle name="Input 6 3 2 3" xfId="29931"/>
    <cellStyle name="Input 6 3 2 4" xfId="29932"/>
    <cellStyle name="Input 6 3 2 5" xfId="29933"/>
    <cellStyle name="Input 6 3 2 6" xfId="29934"/>
    <cellStyle name="Input 6 3 2 7" xfId="29935"/>
    <cellStyle name="Input 6 3 2 8" xfId="29936"/>
    <cellStyle name="Input 6 3 2 9" xfId="29937"/>
    <cellStyle name="Input 6 3 3" xfId="29938"/>
    <cellStyle name="Input 6 3 4" xfId="29939"/>
    <cellStyle name="Input 6 3 5" xfId="29940"/>
    <cellStyle name="Input 6 3 6" xfId="29941"/>
    <cellStyle name="Input 6 3 7" xfId="29942"/>
    <cellStyle name="Input 6 3 8" xfId="29943"/>
    <cellStyle name="Input 6 3 9" xfId="29944"/>
    <cellStyle name="Input 6 4" xfId="29945"/>
    <cellStyle name="Input 6 4 10" xfId="29946"/>
    <cellStyle name="Input 6 4 11" xfId="29947"/>
    <cellStyle name="Input 6 4 2" xfId="29948"/>
    <cellStyle name="Input 6 4 3" xfId="29949"/>
    <cellStyle name="Input 6 4 4" xfId="29950"/>
    <cellStyle name="Input 6 4 5" xfId="29951"/>
    <cellStyle name="Input 6 4 6" xfId="29952"/>
    <cellStyle name="Input 6 4 7" xfId="29953"/>
    <cellStyle name="Input 6 4 8" xfId="29954"/>
    <cellStyle name="Input 6 4 9" xfId="29955"/>
    <cellStyle name="Input 6 5" xfId="29956"/>
    <cellStyle name="Input 6 6" xfId="29957"/>
    <cellStyle name="Input 6 7" xfId="29958"/>
    <cellStyle name="Input 6 8" xfId="29959"/>
    <cellStyle name="Input 6 9" xfId="29960"/>
    <cellStyle name="Input 7" xfId="29961"/>
    <cellStyle name="Input 7 10" xfId="29962"/>
    <cellStyle name="Input 7 11" xfId="29963"/>
    <cellStyle name="Input 7 12" xfId="29964"/>
    <cellStyle name="Input 7 13" xfId="29965"/>
    <cellStyle name="Input 7 2" xfId="29966"/>
    <cellStyle name="Input 7 2 10" xfId="29967"/>
    <cellStyle name="Input 7 2 11" xfId="29968"/>
    <cellStyle name="Input 7 2 12" xfId="29969"/>
    <cellStyle name="Input 7 2 2" xfId="29970"/>
    <cellStyle name="Input 7 2 2 10" xfId="29971"/>
    <cellStyle name="Input 7 2 2 11" xfId="29972"/>
    <cellStyle name="Input 7 2 2 2" xfId="29973"/>
    <cellStyle name="Input 7 2 2 2 10" xfId="29974"/>
    <cellStyle name="Input 7 2 2 2 11" xfId="29975"/>
    <cellStyle name="Input 7 2 2 2 2" xfId="29976"/>
    <cellStyle name="Input 7 2 2 2 3" xfId="29977"/>
    <cellStyle name="Input 7 2 2 2 4" xfId="29978"/>
    <cellStyle name="Input 7 2 2 2 5" xfId="29979"/>
    <cellStyle name="Input 7 2 2 2 6" xfId="29980"/>
    <cellStyle name="Input 7 2 2 2 7" xfId="29981"/>
    <cellStyle name="Input 7 2 2 2 8" xfId="29982"/>
    <cellStyle name="Input 7 2 2 2 9" xfId="29983"/>
    <cellStyle name="Input 7 2 2 3" xfId="29984"/>
    <cellStyle name="Input 7 2 2 4" xfId="29985"/>
    <cellStyle name="Input 7 2 2 5" xfId="29986"/>
    <cellStyle name="Input 7 2 2 6" xfId="29987"/>
    <cellStyle name="Input 7 2 2 7" xfId="29988"/>
    <cellStyle name="Input 7 2 2 8" xfId="29989"/>
    <cellStyle name="Input 7 2 2 9" xfId="29990"/>
    <cellStyle name="Input 7 2 3" xfId="29991"/>
    <cellStyle name="Input 7 2 3 10" xfId="29992"/>
    <cellStyle name="Input 7 2 3 11" xfId="29993"/>
    <cellStyle name="Input 7 2 3 2" xfId="29994"/>
    <cellStyle name="Input 7 2 3 3" xfId="29995"/>
    <cellStyle name="Input 7 2 3 4" xfId="29996"/>
    <cellStyle name="Input 7 2 3 5" xfId="29997"/>
    <cellStyle name="Input 7 2 3 6" xfId="29998"/>
    <cellStyle name="Input 7 2 3 7" xfId="29999"/>
    <cellStyle name="Input 7 2 3 8" xfId="30000"/>
    <cellStyle name="Input 7 2 3 9" xfId="30001"/>
    <cellStyle name="Input 7 2 4" xfId="30002"/>
    <cellStyle name="Input 7 2 5" xfId="30003"/>
    <cellStyle name="Input 7 2 6" xfId="30004"/>
    <cellStyle name="Input 7 2 7" xfId="30005"/>
    <cellStyle name="Input 7 2 8" xfId="30006"/>
    <cellStyle name="Input 7 2 9" xfId="30007"/>
    <cellStyle name="Input 7 3" xfId="30008"/>
    <cellStyle name="Input 7 3 10" xfId="30009"/>
    <cellStyle name="Input 7 3 11" xfId="30010"/>
    <cellStyle name="Input 7 3 2" xfId="30011"/>
    <cellStyle name="Input 7 3 2 10" xfId="30012"/>
    <cellStyle name="Input 7 3 2 11" xfId="30013"/>
    <cellStyle name="Input 7 3 2 2" xfId="30014"/>
    <cellStyle name="Input 7 3 2 3" xfId="30015"/>
    <cellStyle name="Input 7 3 2 4" xfId="30016"/>
    <cellStyle name="Input 7 3 2 5" xfId="30017"/>
    <cellStyle name="Input 7 3 2 6" xfId="30018"/>
    <cellStyle name="Input 7 3 2 7" xfId="30019"/>
    <cellStyle name="Input 7 3 2 8" xfId="30020"/>
    <cellStyle name="Input 7 3 2 9" xfId="30021"/>
    <cellStyle name="Input 7 3 3" xfId="30022"/>
    <cellStyle name="Input 7 3 4" xfId="30023"/>
    <cellStyle name="Input 7 3 5" xfId="30024"/>
    <cellStyle name="Input 7 3 6" xfId="30025"/>
    <cellStyle name="Input 7 3 7" xfId="30026"/>
    <cellStyle name="Input 7 3 8" xfId="30027"/>
    <cellStyle name="Input 7 3 9" xfId="30028"/>
    <cellStyle name="Input 7 4" xfId="30029"/>
    <cellStyle name="Input 7 4 10" xfId="30030"/>
    <cellStyle name="Input 7 4 11" xfId="30031"/>
    <cellStyle name="Input 7 4 2" xfId="30032"/>
    <cellStyle name="Input 7 4 3" xfId="30033"/>
    <cellStyle name="Input 7 4 4" xfId="30034"/>
    <cellStyle name="Input 7 4 5" xfId="30035"/>
    <cellStyle name="Input 7 4 6" xfId="30036"/>
    <cellStyle name="Input 7 4 7" xfId="30037"/>
    <cellStyle name="Input 7 4 8" xfId="30038"/>
    <cellStyle name="Input 7 4 9" xfId="30039"/>
    <cellStyle name="Input 7 5" xfId="30040"/>
    <cellStyle name="Input 7 6" xfId="30041"/>
    <cellStyle name="Input 7 7" xfId="30042"/>
    <cellStyle name="Input 7 8" xfId="30043"/>
    <cellStyle name="Input 7 9" xfId="30044"/>
    <cellStyle name="Input 8" xfId="30045"/>
    <cellStyle name="Input 8 10" xfId="30046"/>
    <cellStyle name="Input 8 11" xfId="30047"/>
    <cellStyle name="Input 8 12" xfId="30048"/>
    <cellStyle name="Input 8 13" xfId="30049"/>
    <cellStyle name="Input 8 2" xfId="30050"/>
    <cellStyle name="Input 8 2 10" xfId="30051"/>
    <cellStyle name="Input 8 2 11" xfId="30052"/>
    <cellStyle name="Input 8 2 12" xfId="30053"/>
    <cellStyle name="Input 8 2 2" xfId="30054"/>
    <cellStyle name="Input 8 2 2 10" xfId="30055"/>
    <cellStyle name="Input 8 2 2 11" xfId="30056"/>
    <cellStyle name="Input 8 2 2 2" xfId="30057"/>
    <cellStyle name="Input 8 2 2 2 10" xfId="30058"/>
    <cellStyle name="Input 8 2 2 2 11" xfId="30059"/>
    <cellStyle name="Input 8 2 2 2 2" xfId="30060"/>
    <cellStyle name="Input 8 2 2 2 3" xfId="30061"/>
    <cellStyle name="Input 8 2 2 2 4" xfId="30062"/>
    <cellStyle name="Input 8 2 2 2 5" xfId="30063"/>
    <cellStyle name="Input 8 2 2 2 6" xfId="30064"/>
    <cellStyle name="Input 8 2 2 2 7" xfId="30065"/>
    <cellStyle name="Input 8 2 2 2 8" xfId="30066"/>
    <cellStyle name="Input 8 2 2 2 9" xfId="30067"/>
    <cellStyle name="Input 8 2 2 3" xfId="30068"/>
    <cellStyle name="Input 8 2 2 4" xfId="30069"/>
    <cellStyle name="Input 8 2 2 5" xfId="30070"/>
    <cellStyle name="Input 8 2 2 6" xfId="30071"/>
    <cellStyle name="Input 8 2 2 7" xfId="30072"/>
    <cellStyle name="Input 8 2 2 8" xfId="30073"/>
    <cellStyle name="Input 8 2 2 9" xfId="30074"/>
    <cellStyle name="Input 8 2 3" xfId="30075"/>
    <cellStyle name="Input 8 2 3 10" xfId="30076"/>
    <cellStyle name="Input 8 2 3 11" xfId="30077"/>
    <cellStyle name="Input 8 2 3 2" xfId="30078"/>
    <cellStyle name="Input 8 2 3 3" xfId="30079"/>
    <cellStyle name="Input 8 2 3 4" xfId="30080"/>
    <cellStyle name="Input 8 2 3 5" xfId="30081"/>
    <cellStyle name="Input 8 2 3 6" xfId="30082"/>
    <cellStyle name="Input 8 2 3 7" xfId="30083"/>
    <cellStyle name="Input 8 2 3 8" xfId="30084"/>
    <cellStyle name="Input 8 2 3 9" xfId="30085"/>
    <cellStyle name="Input 8 2 4" xfId="30086"/>
    <cellStyle name="Input 8 2 5" xfId="30087"/>
    <cellStyle name="Input 8 2 6" xfId="30088"/>
    <cellStyle name="Input 8 2 7" xfId="30089"/>
    <cellStyle name="Input 8 2 8" xfId="30090"/>
    <cellStyle name="Input 8 2 9" xfId="30091"/>
    <cellStyle name="Input 8 3" xfId="30092"/>
    <cellStyle name="Input 8 3 10" xfId="30093"/>
    <cellStyle name="Input 8 3 11" xfId="30094"/>
    <cellStyle name="Input 8 3 2" xfId="30095"/>
    <cellStyle name="Input 8 3 2 10" xfId="30096"/>
    <cellStyle name="Input 8 3 2 11" xfId="30097"/>
    <cellStyle name="Input 8 3 2 2" xfId="30098"/>
    <cellStyle name="Input 8 3 2 3" xfId="30099"/>
    <cellStyle name="Input 8 3 2 4" xfId="30100"/>
    <cellStyle name="Input 8 3 2 5" xfId="30101"/>
    <cellStyle name="Input 8 3 2 6" xfId="30102"/>
    <cellStyle name="Input 8 3 2 7" xfId="30103"/>
    <cellStyle name="Input 8 3 2 8" xfId="30104"/>
    <cellStyle name="Input 8 3 2 9" xfId="30105"/>
    <cellStyle name="Input 8 3 3" xfId="30106"/>
    <cellStyle name="Input 8 3 4" xfId="30107"/>
    <cellStyle name="Input 8 3 5" xfId="30108"/>
    <cellStyle name="Input 8 3 6" xfId="30109"/>
    <cellStyle name="Input 8 3 7" xfId="30110"/>
    <cellStyle name="Input 8 3 8" xfId="30111"/>
    <cellStyle name="Input 8 3 9" xfId="30112"/>
    <cellStyle name="Input 8 4" xfId="30113"/>
    <cellStyle name="Input 8 4 10" xfId="30114"/>
    <cellStyle name="Input 8 4 11" xfId="30115"/>
    <cellStyle name="Input 8 4 2" xfId="30116"/>
    <cellStyle name="Input 8 4 3" xfId="30117"/>
    <cellStyle name="Input 8 4 4" xfId="30118"/>
    <cellStyle name="Input 8 4 5" xfId="30119"/>
    <cellStyle name="Input 8 4 6" xfId="30120"/>
    <cellStyle name="Input 8 4 7" xfId="30121"/>
    <cellStyle name="Input 8 4 8" xfId="30122"/>
    <cellStyle name="Input 8 4 9" xfId="30123"/>
    <cellStyle name="Input 8 5" xfId="30124"/>
    <cellStyle name="Input 8 6" xfId="30125"/>
    <cellStyle name="Input 8 7" xfId="30126"/>
    <cellStyle name="Input 8 8" xfId="30127"/>
    <cellStyle name="Input 8 9" xfId="30128"/>
    <cellStyle name="Input 9" xfId="30129"/>
    <cellStyle name="Input 9 10" xfId="30130"/>
    <cellStyle name="Input 9 11" xfId="30131"/>
    <cellStyle name="Input 9 12" xfId="30132"/>
    <cellStyle name="Input 9 13" xfId="30133"/>
    <cellStyle name="Input 9 2" xfId="30134"/>
    <cellStyle name="Input 9 2 10" xfId="30135"/>
    <cellStyle name="Input 9 2 11" xfId="30136"/>
    <cellStyle name="Input 9 2 12" xfId="30137"/>
    <cellStyle name="Input 9 2 2" xfId="30138"/>
    <cellStyle name="Input 9 2 2 10" xfId="30139"/>
    <cellStyle name="Input 9 2 2 11" xfId="30140"/>
    <cellStyle name="Input 9 2 2 2" xfId="30141"/>
    <cellStyle name="Input 9 2 2 2 10" xfId="30142"/>
    <cellStyle name="Input 9 2 2 2 11" xfId="30143"/>
    <cellStyle name="Input 9 2 2 2 2" xfId="30144"/>
    <cellStyle name="Input 9 2 2 2 3" xfId="30145"/>
    <cellStyle name="Input 9 2 2 2 4" xfId="30146"/>
    <cellStyle name="Input 9 2 2 2 5" xfId="30147"/>
    <cellStyle name="Input 9 2 2 2 6" xfId="30148"/>
    <cellStyle name="Input 9 2 2 2 7" xfId="30149"/>
    <cellStyle name="Input 9 2 2 2 8" xfId="30150"/>
    <cellStyle name="Input 9 2 2 2 9" xfId="30151"/>
    <cellStyle name="Input 9 2 2 3" xfId="30152"/>
    <cellStyle name="Input 9 2 2 4" xfId="30153"/>
    <cellStyle name="Input 9 2 2 5" xfId="30154"/>
    <cellStyle name="Input 9 2 2 6" xfId="30155"/>
    <cellStyle name="Input 9 2 2 7" xfId="30156"/>
    <cellStyle name="Input 9 2 2 8" xfId="30157"/>
    <cellStyle name="Input 9 2 2 9" xfId="30158"/>
    <cellStyle name="Input 9 2 3" xfId="30159"/>
    <cellStyle name="Input 9 2 3 10" xfId="30160"/>
    <cellStyle name="Input 9 2 3 11" xfId="30161"/>
    <cellStyle name="Input 9 2 3 2" xfId="30162"/>
    <cellStyle name="Input 9 2 3 3" xfId="30163"/>
    <cellStyle name="Input 9 2 3 4" xfId="30164"/>
    <cellStyle name="Input 9 2 3 5" xfId="30165"/>
    <cellStyle name="Input 9 2 3 6" xfId="30166"/>
    <cellStyle name="Input 9 2 3 7" xfId="30167"/>
    <cellStyle name="Input 9 2 3 8" xfId="30168"/>
    <cellStyle name="Input 9 2 3 9" xfId="30169"/>
    <cellStyle name="Input 9 2 4" xfId="30170"/>
    <cellStyle name="Input 9 2 5" xfId="30171"/>
    <cellStyle name="Input 9 2 6" xfId="30172"/>
    <cellStyle name="Input 9 2 7" xfId="30173"/>
    <cellStyle name="Input 9 2 8" xfId="30174"/>
    <cellStyle name="Input 9 2 9" xfId="30175"/>
    <cellStyle name="Input 9 3" xfId="30176"/>
    <cellStyle name="Input 9 3 10" xfId="30177"/>
    <cellStyle name="Input 9 3 11" xfId="30178"/>
    <cellStyle name="Input 9 3 2" xfId="30179"/>
    <cellStyle name="Input 9 3 2 10" xfId="30180"/>
    <cellStyle name="Input 9 3 2 11" xfId="30181"/>
    <cellStyle name="Input 9 3 2 2" xfId="30182"/>
    <cellStyle name="Input 9 3 2 3" xfId="30183"/>
    <cellStyle name="Input 9 3 2 4" xfId="30184"/>
    <cellStyle name="Input 9 3 2 5" xfId="30185"/>
    <cellStyle name="Input 9 3 2 6" xfId="30186"/>
    <cellStyle name="Input 9 3 2 7" xfId="30187"/>
    <cellStyle name="Input 9 3 2 8" xfId="30188"/>
    <cellStyle name="Input 9 3 2 9" xfId="30189"/>
    <cellStyle name="Input 9 3 3" xfId="30190"/>
    <cellStyle name="Input 9 3 4" xfId="30191"/>
    <cellStyle name="Input 9 3 5" xfId="30192"/>
    <cellStyle name="Input 9 3 6" xfId="30193"/>
    <cellStyle name="Input 9 3 7" xfId="30194"/>
    <cellStyle name="Input 9 3 8" xfId="30195"/>
    <cellStyle name="Input 9 3 9" xfId="30196"/>
    <cellStyle name="Input 9 4" xfId="30197"/>
    <cellStyle name="Input 9 4 10" xfId="30198"/>
    <cellStyle name="Input 9 4 11" xfId="30199"/>
    <cellStyle name="Input 9 4 2" xfId="30200"/>
    <cellStyle name="Input 9 4 3" xfId="30201"/>
    <cellStyle name="Input 9 4 4" xfId="30202"/>
    <cellStyle name="Input 9 4 5" xfId="30203"/>
    <cellStyle name="Input 9 4 6" xfId="30204"/>
    <cellStyle name="Input 9 4 7" xfId="30205"/>
    <cellStyle name="Input 9 4 8" xfId="30206"/>
    <cellStyle name="Input 9 4 9" xfId="30207"/>
    <cellStyle name="Input 9 5" xfId="30208"/>
    <cellStyle name="Input 9 6" xfId="30209"/>
    <cellStyle name="Input 9 7" xfId="30210"/>
    <cellStyle name="Input 9 8" xfId="30211"/>
    <cellStyle name="Input 9 9" xfId="30212"/>
    <cellStyle name="Input Company Name" xfId="30213"/>
    <cellStyle name="Input Forecast Currency" xfId="30214"/>
    <cellStyle name="Input Forecast Date" xfId="30215"/>
    <cellStyle name="Input Forecast Multiple" xfId="30216"/>
    <cellStyle name="Input Forecast Number" xfId="30217"/>
    <cellStyle name="Input Forecast Percentage" xfId="30218"/>
    <cellStyle name="Input Forecast Year" xfId="30219"/>
    <cellStyle name="Input Heading 1" xfId="30220"/>
    <cellStyle name="Input Heading 2" xfId="30221"/>
    <cellStyle name="Input Heading 3" xfId="30222"/>
    <cellStyle name="Input Heading 4" xfId="30223"/>
    <cellStyle name="Input Middle Currency" xfId="30224"/>
    <cellStyle name="Input Middle Date" xfId="30225"/>
    <cellStyle name="Input Middle Multiple" xfId="30226"/>
    <cellStyle name="Input Middle Number" xfId="30227"/>
    <cellStyle name="Input Middle Percentage" xfId="30228"/>
    <cellStyle name="Input Middle Title / Name" xfId="30229"/>
    <cellStyle name="Input Middle Year" xfId="30230"/>
    <cellStyle name="Input Sheet Title" xfId="30231"/>
    <cellStyle name="Input|Date" xfId="58832"/>
    <cellStyle name="Input1" xfId="30232"/>
    <cellStyle name="Input1 2" xfId="30233"/>
    <cellStyle name="Input1 3" xfId="30234"/>
    <cellStyle name="Input2" xfId="30235"/>
    <cellStyle name="Input2 2" xfId="30236"/>
    <cellStyle name="Input3" xfId="30237"/>
    <cellStyle name="Input3 2" xfId="30238"/>
    <cellStyle name="InputNumber" xfId="58833"/>
    <cellStyle name="Lines" xfId="30239"/>
    <cellStyle name="Lines 2" xfId="30240"/>
    <cellStyle name="Link [# - 00]" xfId="58834"/>
    <cellStyle name="Link [# - 0000]" xfId="58835"/>
    <cellStyle name="Link [#]" xfId="58836"/>
    <cellStyle name="Link [% - 00]" xfId="58837"/>
    <cellStyle name="Link [%]" xfId="58838"/>
    <cellStyle name="Link [x]" xfId="58839"/>
    <cellStyle name="Linked Cell 2" xfId="30241"/>
    <cellStyle name="Linked Cell 3" xfId="30242"/>
    <cellStyle name="Linked Cell 4" xfId="30243"/>
    <cellStyle name="Linked Cell 5" xfId="30244"/>
    <cellStyle name="Locked" xfId="58840"/>
    <cellStyle name="Lookup Table Heading" xfId="30245"/>
    <cellStyle name="Lookup Table Heading 2" xfId="30246"/>
    <cellStyle name="Lookup Table Heading 2 10" xfId="30247"/>
    <cellStyle name="Lookup Table Heading 2 11" xfId="30248"/>
    <cellStyle name="Lookup Table Heading 2 12" xfId="30249"/>
    <cellStyle name="Lookup Table Heading 2 2" xfId="30250"/>
    <cellStyle name="Lookup Table Heading 2 2 10" xfId="30251"/>
    <cellStyle name="Lookup Table Heading 2 2 11" xfId="30252"/>
    <cellStyle name="Lookup Table Heading 2 2 2" xfId="30253"/>
    <cellStyle name="Lookup Table Heading 2 2 2 10" xfId="30254"/>
    <cellStyle name="Lookup Table Heading 2 2 2 2" xfId="30255"/>
    <cellStyle name="Lookup Table Heading 2 2 2 2 2" xfId="30256"/>
    <cellStyle name="Lookup Table Heading 2 2 2 2 3" xfId="30257"/>
    <cellStyle name="Lookup Table Heading 2 2 2 2 4" xfId="30258"/>
    <cellStyle name="Lookup Table Heading 2 2 2 2 5" xfId="30259"/>
    <cellStyle name="Lookup Table Heading 2 2 2 2 6" xfId="30260"/>
    <cellStyle name="Lookup Table Heading 2 2 2 2 7" xfId="30261"/>
    <cellStyle name="Lookup Table Heading 2 2 2 2 8" xfId="30262"/>
    <cellStyle name="Lookup Table Heading 2 2 2 2 9" xfId="30263"/>
    <cellStyle name="Lookup Table Heading 2 2 2 3" xfId="30264"/>
    <cellStyle name="Lookup Table Heading 2 2 2 4" xfId="30265"/>
    <cellStyle name="Lookup Table Heading 2 2 2 5" xfId="30266"/>
    <cellStyle name="Lookup Table Heading 2 2 2 6" xfId="30267"/>
    <cellStyle name="Lookup Table Heading 2 2 2 7" xfId="30268"/>
    <cellStyle name="Lookup Table Heading 2 2 2 8" xfId="30269"/>
    <cellStyle name="Lookup Table Heading 2 2 2 9" xfId="30270"/>
    <cellStyle name="Lookup Table Heading 2 2 3" xfId="30271"/>
    <cellStyle name="Lookup Table Heading 2 2 3 2" xfId="30272"/>
    <cellStyle name="Lookup Table Heading 2 2 3 3" xfId="30273"/>
    <cellStyle name="Lookup Table Heading 2 2 3 4" xfId="30274"/>
    <cellStyle name="Lookup Table Heading 2 2 3 5" xfId="30275"/>
    <cellStyle name="Lookup Table Heading 2 2 3 6" xfId="30276"/>
    <cellStyle name="Lookup Table Heading 2 2 3 7" xfId="30277"/>
    <cellStyle name="Lookup Table Heading 2 2 3 8" xfId="30278"/>
    <cellStyle name="Lookup Table Heading 2 2 3 9" xfId="30279"/>
    <cellStyle name="Lookup Table Heading 2 2 4" xfId="30280"/>
    <cellStyle name="Lookup Table Heading 2 2 5" xfId="30281"/>
    <cellStyle name="Lookup Table Heading 2 2 6" xfId="30282"/>
    <cellStyle name="Lookup Table Heading 2 2 7" xfId="30283"/>
    <cellStyle name="Lookup Table Heading 2 2 8" xfId="30284"/>
    <cellStyle name="Lookup Table Heading 2 2 9" xfId="30285"/>
    <cellStyle name="Lookup Table Heading 2 3" xfId="30286"/>
    <cellStyle name="Lookup Table Heading 2 3 10" xfId="30287"/>
    <cellStyle name="Lookup Table Heading 2 3 2" xfId="30288"/>
    <cellStyle name="Lookup Table Heading 2 3 2 2" xfId="30289"/>
    <cellStyle name="Lookup Table Heading 2 3 2 3" xfId="30290"/>
    <cellStyle name="Lookup Table Heading 2 3 2 4" xfId="30291"/>
    <cellStyle name="Lookup Table Heading 2 3 2 5" xfId="30292"/>
    <cellStyle name="Lookup Table Heading 2 3 2 6" xfId="30293"/>
    <cellStyle name="Lookup Table Heading 2 3 2 7" xfId="30294"/>
    <cellStyle name="Lookup Table Heading 2 3 2 8" xfId="30295"/>
    <cellStyle name="Lookup Table Heading 2 3 2 9" xfId="30296"/>
    <cellStyle name="Lookup Table Heading 2 3 3" xfId="30297"/>
    <cellStyle name="Lookup Table Heading 2 3 4" xfId="30298"/>
    <cellStyle name="Lookup Table Heading 2 3 5" xfId="30299"/>
    <cellStyle name="Lookup Table Heading 2 3 6" xfId="30300"/>
    <cellStyle name="Lookup Table Heading 2 3 7" xfId="30301"/>
    <cellStyle name="Lookup Table Heading 2 3 8" xfId="30302"/>
    <cellStyle name="Lookup Table Heading 2 3 9" xfId="30303"/>
    <cellStyle name="Lookup Table Heading 2 4" xfId="30304"/>
    <cellStyle name="Lookup Table Heading 2 4 2" xfId="30305"/>
    <cellStyle name="Lookup Table Heading 2 4 3" xfId="30306"/>
    <cellStyle name="Lookup Table Heading 2 4 4" xfId="30307"/>
    <cellStyle name="Lookup Table Heading 2 4 5" xfId="30308"/>
    <cellStyle name="Lookup Table Heading 2 4 6" xfId="30309"/>
    <cellStyle name="Lookup Table Heading 2 4 7" xfId="30310"/>
    <cellStyle name="Lookup Table Heading 2 4 8" xfId="30311"/>
    <cellStyle name="Lookup Table Heading 2 4 9" xfId="30312"/>
    <cellStyle name="Lookup Table Heading 2 5" xfId="30313"/>
    <cellStyle name="Lookup Table Heading 2 6" xfId="30314"/>
    <cellStyle name="Lookup Table Heading 2 7" xfId="30315"/>
    <cellStyle name="Lookup Table Heading 2 8" xfId="30316"/>
    <cellStyle name="Lookup Table Heading 2 9" xfId="30317"/>
    <cellStyle name="Lookup Table Heading 3" xfId="30318"/>
    <cellStyle name="Lookup Table Heading 3 10" xfId="30319"/>
    <cellStyle name="Lookup Table Heading 3 11" xfId="30320"/>
    <cellStyle name="Lookup Table Heading 3 12" xfId="30321"/>
    <cellStyle name="Lookup Table Heading 3 2" xfId="30322"/>
    <cellStyle name="Lookup Table Heading 3 2 10" xfId="30323"/>
    <cellStyle name="Lookup Table Heading 3 2 11" xfId="30324"/>
    <cellStyle name="Lookup Table Heading 3 2 2" xfId="30325"/>
    <cellStyle name="Lookup Table Heading 3 2 2 10" xfId="30326"/>
    <cellStyle name="Lookup Table Heading 3 2 2 2" xfId="30327"/>
    <cellStyle name="Lookup Table Heading 3 2 2 2 2" xfId="30328"/>
    <cellStyle name="Lookup Table Heading 3 2 2 2 3" xfId="30329"/>
    <cellStyle name="Lookup Table Heading 3 2 2 2 4" xfId="30330"/>
    <cellStyle name="Lookup Table Heading 3 2 2 2 5" xfId="30331"/>
    <cellStyle name="Lookup Table Heading 3 2 2 2 6" xfId="30332"/>
    <cellStyle name="Lookup Table Heading 3 2 2 2 7" xfId="30333"/>
    <cellStyle name="Lookup Table Heading 3 2 2 2 8" xfId="30334"/>
    <cellStyle name="Lookup Table Heading 3 2 2 2 9" xfId="30335"/>
    <cellStyle name="Lookup Table Heading 3 2 2 3" xfId="30336"/>
    <cellStyle name="Lookup Table Heading 3 2 2 4" xfId="30337"/>
    <cellStyle name="Lookup Table Heading 3 2 2 5" xfId="30338"/>
    <cellStyle name="Lookup Table Heading 3 2 2 6" xfId="30339"/>
    <cellStyle name="Lookup Table Heading 3 2 2 7" xfId="30340"/>
    <cellStyle name="Lookup Table Heading 3 2 2 8" xfId="30341"/>
    <cellStyle name="Lookup Table Heading 3 2 2 9" xfId="30342"/>
    <cellStyle name="Lookup Table Heading 3 2 3" xfId="30343"/>
    <cellStyle name="Lookup Table Heading 3 2 3 2" xfId="30344"/>
    <cellStyle name="Lookup Table Heading 3 2 3 3" xfId="30345"/>
    <cellStyle name="Lookup Table Heading 3 2 3 4" xfId="30346"/>
    <cellStyle name="Lookup Table Heading 3 2 3 5" xfId="30347"/>
    <cellStyle name="Lookup Table Heading 3 2 3 6" xfId="30348"/>
    <cellStyle name="Lookup Table Heading 3 2 3 7" xfId="30349"/>
    <cellStyle name="Lookup Table Heading 3 2 3 8" xfId="30350"/>
    <cellStyle name="Lookup Table Heading 3 2 3 9" xfId="30351"/>
    <cellStyle name="Lookup Table Heading 3 2 4" xfId="30352"/>
    <cellStyle name="Lookup Table Heading 3 2 5" xfId="30353"/>
    <cellStyle name="Lookup Table Heading 3 2 6" xfId="30354"/>
    <cellStyle name="Lookup Table Heading 3 2 7" xfId="30355"/>
    <cellStyle name="Lookup Table Heading 3 2 8" xfId="30356"/>
    <cellStyle name="Lookup Table Heading 3 2 9" xfId="30357"/>
    <cellStyle name="Lookup Table Heading 3 3" xfId="30358"/>
    <cellStyle name="Lookup Table Heading 3 3 10" xfId="30359"/>
    <cellStyle name="Lookup Table Heading 3 3 2" xfId="30360"/>
    <cellStyle name="Lookup Table Heading 3 3 2 2" xfId="30361"/>
    <cellStyle name="Lookup Table Heading 3 3 2 3" xfId="30362"/>
    <cellStyle name="Lookup Table Heading 3 3 2 4" xfId="30363"/>
    <cellStyle name="Lookup Table Heading 3 3 2 5" xfId="30364"/>
    <cellStyle name="Lookup Table Heading 3 3 2 6" xfId="30365"/>
    <cellStyle name="Lookup Table Heading 3 3 2 7" xfId="30366"/>
    <cellStyle name="Lookup Table Heading 3 3 2 8" xfId="30367"/>
    <cellStyle name="Lookup Table Heading 3 3 2 9" xfId="30368"/>
    <cellStyle name="Lookup Table Heading 3 3 3" xfId="30369"/>
    <cellStyle name="Lookup Table Heading 3 3 4" xfId="30370"/>
    <cellStyle name="Lookup Table Heading 3 3 5" xfId="30371"/>
    <cellStyle name="Lookup Table Heading 3 3 6" xfId="30372"/>
    <cellStyle name="Lookup Table Heading 3 3 7" xfId="30373"/>
    <cellStyle name="Lookup Table Heading 3 3 8" xfId="30374"/>
    <cellStyle name="Lookup Table Heading 3 3 9" xfId="30375"/>
    <cellStyle name="Lookup Table Heading 3 4" xfId="30376"/>
    <cellStyle name="Lookup Table Heading 3 4 2" xfId="30377"/>
    <cellStyle name="Lookup Table Heading 3 4 3" xfId="30378"/>
    <cellStyle name="Lookup Table Heading 3 4 4" xfId="30379"/>
    <cellStyle name="Lookup Table Heading 3 4 5" xfId="30380"/>
    <cellStyle name="Lookup Table Heading 3 4 6" xfId="30381"/>
    <cellStyle name="Lookup Table Heading 3 4 7" xfId="30382"/>
    <cellStyle name="Lookup Table Heading 3 4 8" xfId="30383"/>
    <cellStyle name="Lookup Table Heading 3 4 9" xfId="30384"/>
    <cellStyle name="Lookup Table Heading 3 5" xfId="30385"/>
    <cellStyle name="Lookup Table Heading 3 6" xfId="30386"/>
    <cellStyle name="Lookup Table Heading 3 7" xfId="30387"/>
    <cellStyle name="Lookup Table Heading 3 8" xfId="30388"/>
    <cellStyle name="Lookup Table Heading 3 9" xfId="30389"/>
    <cellStyle name="Lookup Table Heading 4" xfId="30390"/>
    <cellStyle name="Lookup Table Heading 4 10" xfId="30391"/>
    <cellStyle name="Lookup Table Heading 4 11" xfId="30392"/>
    <cellStyle name="Lookup Table Heading 4 12" xfId="30393"/>
    <cellStyle name="Lookup Table Heading 4 2" xfId="30394"/>
    <cellStyle name="Lookup Table Heading 4 2 10" xfId="30395"/>
    <cellStyle name="Lookup Table Heading 4 2 11" xfId="30396"/>
    <cellStyle name="Lookup Table Heading 4 2 2" xfId="30397"/>
    <cellStyle name="Lookup Table Heading 4 2 2 10" xfId="30398"/>
    <cellStyle name="Lookup Table Heading 4 2 2 2" xfId="30399"/>
    <cellStyle name="Lookup Table Heading 4 2 2 2 2" xfId="30400"/>
    <cellStyle name="Lookup Table Heading 4 2 2 2 3" xfId="30401"/>
    <cellStyle name="Lookup Table Heading 4 2 2 2 4" xfId="30402"/>
    <cellStyle name="Lookup Table Heading 4 2 2 2 5" xfId="30403"/>
    <cellStyle name="Lookup Table Heading 4 2 2 2 6" xfId="30404"/>
    <cellStyle name="Lookup Table Heading 4 2 2 2 7" xfId="30405"/>
    <cellStyle name="Lookup Table Heading 4 2 2 2 8" xfId="30406"/>
    <cellStyle name="Lookup Table Heading 4 2 2 2 9" xfId="30407"/>
    <cellStyle name="Lookup Table Heading 4 2 2 3" xfId="30408"/>
    <cellStyle name="Lookup Table Heading 4 2 2 4" xfId="30409"/>
    <cellStyle name="Lookup Table Heading 4 2 2 5" xfId="30410"/>
    <cellStyle name="Lookup Table Heading 4 2 2 6" xfId="30411"/>
    <cellStyle name="Lookup Table Heading 4 2 2 7" xfId="30412"/>
    <cellStyle name="Lookup Table Heading 4 2 2 8" xfId="30413"/>
    <cellStyle name="Lookup Table Heading 4 2 2 9" xfId="30414"/>
    <cellStyle name="Lookup Table Heading 4 2 3" xfId="30415"/>
    <cellStyle name="Lookup Table Heading 4 2 3 2" xfId="30416"/>
    <cellStyle name="Lookup Table Heading 4 2 3 3" xfId="30417"/>
    <cellStyle name="Lookup Table Heading 4 2 3 4" xfId="30418"/>
    <cellStyle name="Lookup Table Heading 4 2 3 5" xfId="30419"/>
    <cellStyle name="Lookup Table Heading 4 2 3 6" xfId="30420"/>
    <cellStyle name="Lookup Table Heading 4 2 3 7" xfId="30421"/>
    <cellStyle name="Lookup Table Heading 4 2 3 8" xfId="30422"/>
    <cellStyle name="Lookup Table Heading 4 2 3 9" xfId="30423"/>
    <cellStyle name="Lookup Table Heading 4 2 4" xfId="30424"/>
    <cellStyle name="Lookup Table Heading 4 2 5" xfId="30425"/>
    <cellStyle name="Lookup Table Heading 4 2 6" xfId="30426"/>
    <cellStyle name="Lookup Table Heading 4 2 7" xfId="30427"/>
    <cellStyle name="Lookup Table Heading 4 2 8" xfId="30428"/>
    <cellStyle name="Lookup Table Heading 4 2 9" xfId="30429"/>
    <cellStyle name="Lookup Table Heading 4 3" xfId="30430"/>
    <cellStyle name="Lookup Table Heading 4 3 10" xfId="30431"/>
    <cellStyle name="Lookup Table Heading 4 3 2" xfId="30432"/>
    <cellStyle name="Lookup Table Heading 4 3 2 2" xfId="30433"/>
    <cellStyle name="Lookup Table Heading 4 3 2 3" xfId="30434"/>
    <cellStyle name="Lookup Table Heading 4 3 2 4" xfId="30435"/>
    <cellStyle name="Lookup Table Heading 4 3 2 5" xfId="30436"/>
    <cellStyle name="Lookup Table Heading 4 3 2 6" xfId="30437"/>
    <cellStyle name="Lookup Table Heading 4 3 2 7" xfId="30438"/>
    <cellStyle name="Lookup Table Heading 4 3 2 8" xfId="30439"/>
    <cellStyle name="Lookup Table Heading 4 3 2 9" xfId="30440"/>
    <cellStyle name="Lookup Table Heading 4 3 3" xfId="30441"/>
    <cellStyle name="Lookup Table Heading 4 3 4" xfId="30442"/>
    <cellStyle name="Lookup Table Heading 4 3 5" xfId="30443"/>
    <cellStyle name="Lookup Table Heading 4 3 6" xfId="30444"/>
    <cellStyle name="Lookup Table Heading 4 3 7" xfId="30445"/>
    <cellStyle name="Lookup Table Heading 4 3 8" xfId="30446"/>
    <cellStyle name="Lookup Table Heading 4 3 9" xfId="30447"/>
    <cellStyle name="Lookup Table Heading 4 4" xfId="30448"/>
    <cellStyle name="Lookup Table Heading 4 4 2" xfId="30449"/>
    <cellStyle name="Lookup Table Heading 4 4 3" xfId="30450"/>
    <cellStyle name="Lookup Table Heading 4 4 4" xfId="30451"/>
    <cellStyle name="Lookup Table Heading 4 4 5" xfId="30452"/>
    <cellStyle name="Lookup Table Heading 4 4 6" xfId="30453"/>
    <cellStyle name="Lookup Table Heading 4 4 7" xfId="30454"/>
    <cellStyle name="Lookup Table Heading 4 4 8" xfId="30455"/>
    <cellStyle name="Lookup Table Heading 4 4 9" xfId="30456"/>
    <cellStyle name="Lookup Table Heading 4 5" xfId="30457"/>
    <cellStyle name="Lookup Table Heading 4 6" xfId="30458"/>
    <cellStyle name="Lookup Table Heading 4 7" xfId="30459"/>
    <cellStyle name="Lookup Table Heading 4 8" xfId="30460"/>
    <cellStyle name="Lookup Table Heading 4 9" xfId="30461"/>
    <cellStyle name="Lookup Table Heading 5" xfId="30462"/>
    <cellStyle name="Lookup Table Heading 5 10" xfId="30463"/>
    <cellStyle name="Lookup Table Heading 5 11" xfId="30464"/>
    <cellStyle name="Lookup Table Heading 5 2" xfId="30465"/>
    <cellStyle name="Lookup Table Heading 5 2 10" xfId="30466"/>
    <cellStyle name="Lookup Table Heading 5 2 2" xfId="30467"/>
    <cellStyle name="Lookup Table Heading 5 2 2 2" xfId="30468"/>
    <cellStyle name="Lookup Table Heading 5 2 2 3" xfId="30469"/>
    <cellStyle name="Lookup Table Heading 5 2 2 4" xfId="30470"/>
    <cellStyle name="Lookup Table Heading 5 2 2 5" xfId="30471"/>
    <cellStyle name="Lookup Table Heading 5 2 2 6" xfId="30472"/>
    <cellStyle name="Lookup Table Heading 5 2 2 7" xfId="30473"/>
    <cellStyle name="Lookup Table Heading 5 2 2 8" xfId="30474"/>
    <cellStyle name="Lookup Table Heading 5 2 2 9" xfId="30475"/>
    <cellStyle name="Lookup Table Heading 5 2 3" xfId="30476"/>
    <cellStyle name="Lookup Table Heading 5 2 4" xfId="30477"/>
    <cellStyle name="Lookup Table Heading 5 2 5" xfId="30478"/>
    <cellStyle name="Lookup Table Heading 5 2 6" xfId="30479"/>
    <cellStyle name="Lookup Table Heading 5 2 7" xfId="30480"/>
    <cellStyle name="Lookup Table Heading 5 2 8" xfId="30481"/>
    <cellStyle name="Lookup Table Heading 5 2 9" xfId="30482"/>
    <cellStyle name="Lookup Table Heading 5 3" xfId="30483"/>
    <cellStyle name="Lookup Table Heading 5 3 2" xfId="30484"/>
    <cellStyle name="Lookup Table Heading 5 3 3" xfId="30485"/>
    <cellStyle name="Lookup Table Heading 5 3 4" xfId="30486"/>
    <cellStyle name="Lookup Table Heading 5 3 5" xfId="30487"/>
    <cellStyle name="Lookup Table Heading 5 3 6" xfId="30488"/>
    <cellStyle name="Lookup Table Heading 5 3 7" xfId="30489"/>
    <cellStyle name="Lookup Table Heading 5 3 8" xfId="30490"/>
    <cellStyle name="Lookup Table Heading 5 3 9" xfId="30491"/>
    <cellStyle name="Lookup Table Heading 5 4" xfId="30492"/>
    <cellStyle name="Lookup Table Heading 5 5" xfId="30493"/>
    <cellStyle name="Lookup Table Heading 5 6" xfId="30494"/>
    <cellStyle name="Lookup Table Heading 5 7" xfId="30495"/>
    <cellStyle name="Lookup Table Heading 5 8" xfId="30496"/>
    <cellStyle name="Lookup Table Heading 5 9" xfId="30497"/>
    <cellStyle name="Lookup Table Heading." xfId="30498"/>
    <cellStyle name="Lookup Table Heading. 2" xfId="30499"/>
    <cellStyle name="Lookup Table Heading. 2 2" xfId="30500"/>
    <cellStyle name="Lookup Table Heading. 2 2 10" xfId="30501"/>
    <cellStyle name="Lookup Table Heading. 2 2 11" xfId="30502"/>
    <cellStyle name="Lookup Table Heading. 2 2 2" xfId="30503"/>
    <cellStyle name="Lookup Table Heading. 2 2 2 10" xfId="30504"/>
    <cellStyle name="Lookup Table Heading. 2 2 2 2" xfId="30505"/>
    <cellStyle name="Lookup Table Heading. 2 2 2 2 2" xfId="30506"/>
    <cellStyle name="Lookup Table Heading. 2 2 2 2 3" xfId="30507"/>
    <cellStyle name="Lookup Table Heading. 2 2 2 2 4" xfId="30508"/>
    <cellStyle name="Lookup Table Heading. 2 2 2 2 5" xfId="30509"/>
    <cellStyle name="Lookup Table Heading. 2 2 2 2 6" xfId="30510"/>
    <cellStyle name="Lookup Table Heading. 2 2 2 2 7" xfId="30511"/>
    <cellStyle name="Lookup Table Heading. 2 2 2 2 8" xfId="30512"/>
    <cellStyle name="Lookup Table Heading. 2 2 2 2 9" xfId="30513"/>
    <cellStyle name="Lookup Table Heading. 2 2 2 3" xfId="30514"/>
    <cellStyle name="Lookup Table Heading. 2 2 2 4" xfId="30515"/>
    <cellStyle name="Lookup Table Heading. 2 2 2 5" xfId="30516"/>
    <cellStyle name="Lookup Table Heading. 2 2 2 6" xfId="30517"/>
    <cellStyle name="Lookup Table Heading. 2 2 2 7" xfId="30518"/>
    <cellStyle name="Lookup Table Heading. 2 2 2 8" xfId="30519"/>
    <cellStyle name="Lookup Table Heading. 2 2 2 9" xfId="30520"/>
    <cellStyle name="Lookup Table Heading. 2 2 3" xfId="30521"/>
    <cellStyle name="Lookup Table Heading. 2 2 3 2" xfId="30522"/>
    <cellStyle name="Lookup Table Heading. 2 2 3 3" xfId="30523"/>
    <cellStyle name="Lookup Table Heading. 2 2 3 4" xfId="30524"/>
    <cellStyle name="Lookup Table Heading. 2 2 3 5" xfId="30525"/>
    <cellStyle name="Lookup Table Heading. 2 2 3 6" xfId="30526"/>
    <cellStyle name="Lookup Table Heading. 2 2 3 7" xfId="30527"/>
    <cellStyle name="Lookup Table Heading. 2 2 3 8" xfId="30528"/>
    <cellStyle name="Lookup Table Heading. 2 2 3 9" xfId="30529"/>
    <cellStyle name="Lookup Table Heading. 2 2 4" xfId="30530"/>
    <cellStyle name="Lookup Table Heading. 2 2 5" xfId="30531"/>
    <cellStyle name="Lookup Table Heading. 2 2 6" xfId="30532"/>
    <cellStyle name="Lookup Table Heading. 2 2 7" xfId="30533"/>
    <cellStyle name="Lookup Table Heading. 2 2 8" xfId="30534"/>
    <cellStyle name="Lookup Table Heading. 2 2 9" xfId="30535"/>
    <cellStyle name="Lookup Table Heading. 3" xfId="30536"/>
    <cellStyle name="Lookup Table Heading. 3 10" xfId="30537"/>
    <cellStyle name="Lookup Table Heading. 3 11" xfId="30538"/>
    <cellStyle name="Lookup Table Heading. 3 2" xfId="30539"/>
    <cellStyle name="Lookup Table Heading. 3 2 10" xfId="30540"/>
    <cellStyle name="Lookup Table Heading. 3 2 2" xfId="30541"/>
    <cellStyle name="Lookup Table Heading. 3 2 2 2" xfId="30542"/>
    <cellStyle name="Lookup Table Heading. 3 2 2 3" xfId="30543"/>
    <cellStyle name="Lookup Table Heading. 3 2 2 4" xfId="30544"/>
    <cellStyle name="Lookup Table Heading. 3 2 2 5" xfId="30545"/>
    <cellStyle name="Lookup Table Heading. 3 2 2 6" xfId="30546"/>
    <cellStyle name="Lookup Table Heading. 3 2 2 7" xfId="30547"/>
    <cellStyle name="Lookup Table Heading. 3 2 2 8" xfId="30548"/>
    <cellStyle name="Lookup Table Heading. 3 2 2 9" xfId="30549"/>
    <cellStyle name="Lookup Table Heading. 3 2 3" xfId="30550"/>
    <cellStyle name="Lookup Table Heading. 3 2 4" xfId="30551"/>
    <cellStyle name="Lookup Table Heading. 3 2 5" xfId="30552"/>
    <cellStyle name="Lookup Table Heading. 3 2 6" xfId="30553"/>
    <cellStyle name="Lookup Table Heading. 3 2 7" xfId="30554"/>
    <cellStyle name="Lookup Table Heading. 3 2 8" xfId="30555"/>
    <cellStyle name="Lookup Table Heading. 3 2 9" xfId="30556"/>
    <cellStyle name="Lookup Table Heading. 3 3" xfId="30557"/>
    <cellStyle name="Lookup Table Heading. 3 3 2" xfId="30558"/>
    <cellStyle name="Lookup Table Heading. 3 3 3" xfId="30559"/>
    <cellStyle name="Lookup Table Heading. 3 3 4" xfId="30560"/>
    <cellStyle name="Lookup Table Heading. 3 3 5" xfId="30561"/>
    <cellStyle name="Lookup Table Heading. 3 3 6" xfId="30562"/>
    <cellStyle name="Lookup Table Heading. 3 3 7" xfId="30563"/>
    <cellStyle name="Lookup Table Heading. 3 3 8" xfId="30564"/>
    <cellStyle name="Lookup Table Heading. 3 3 9" xfId="30565"/>
    <cellStyle name="Lookup Table Heading. 3 4" xfId="30566"/>
    <cellStyle name="Lookup Table Heading. 3 5" xfId="30567"/>
    <cellStyle name="Lookup Table Heading. 3 6" xfId="30568"/>
    <cellStyle name="Lookup Table Heading. 3 7" xfId="30569"/>
    <cellStyle name="Lookup Table Heading. 3 8" xfId="30570"/>
    <cellStyle name="Lookup Table Heading. 3 9" xfId="30571"/>
    <cellStyle name="Lookup Table Label" xfId="30572"/>
    <cellStyle name="Lookup Table Label 2" xfId="30573"/>
    <cellStyle name="Lookup Table Label 2 10" xfId="30574"/>
    <cellStyle name="Lookup Table Label 2 11" xfId="30575"/>
    <cellStyle name="Lookup Table Label 2 12" xfId="30576"/>
    <cellStyle name="Lookup Table Label 2 2" xfId="30577"/>
    <cellStyle name="Lookup Table Label 2 2 10" xfId="30578"/>
    <cellStyle name="Lookup Table Label 2 2 11" xfId="30579"/>
    <cellStyle name="Lookup Table Label 2 2 2" xfId="30580"/>
    <cellStyle name="Lookup Table Label 2 2 2 10" xfId="30581"/>
    <cellStyle name="Lookup Table Label 2 2 2 2" xfId="30582"/>
    <cellStyle name="Lookup Table Label 2 2 2 2 2" xfId="30583"/>
    <cellStyle name="Lookup Table Label 2 2 2 2 3" xfId="30584"/>
    <cellStyle name="Lookup Table Label 2 2 2 2 4" xfId="30585"/>
    <cellStyle name="Lookup Table Label 2 2 2 2 5" xfId="30586"/>
    <cellStyle name="Lookup Table Label 2 2 2 2 6" xfId="30587"/>
    <cellStyle name="Lookup Table Label 2 2 2 2 7" xfId="30588"/>
    <cellStyle name="Lookup Table Label 2 2 2 2 8" xfId="30589"/>
    <cellStyle name="Lookup Table Label 2 2 2 2 9" xfId="30590"/>
    <cellStyle name="Lookup Table Label 2 2 2 3" xfId="30591"/>
    <cellStyle name="Lookup Table Label 2 2 2 4" xfId="30592"/>
    <cellStyle name="Lookup Table Label 2 2 2 5" xfId="30593"/>
    <cellStyle name="Lookup Table Label 2 2 2 6" xfId="30594"/>
    <cellStyle name="Lookup Table Label 2 2 2 7" xfId="30595"/>
    <cellStyle name="Lookup Table Label 2 2 2 8" xfId="30596"/>
    <cellStyle name="Lookup Table Label 2 2 2 9" xfId="30597"/>
    <cellStyle name="Lookup Table Label 2 2 3" xfId="30598"/>
    <cellStyle name="Lookup Table Label 2 2 3 2" xfId="30599"/>
    <cellStyle name="Lookup Table Label 2 2 3 3" xfId="30600"/>
    <cellStyle name="Lookup Table Label 2 2 3 4" xfId="30601"/>
    <cellStyle name="Lookup Table Label 2 2 3 5" xfId="30602"/>
    <cellStyle name="Lookup Table Label 2 2 3 6" xfId="30603"/>
    <cellStyle name="Lookup Table Label 2 2 3 7" xfId="30604"/>
    <cellStyle name="Lookup Table Label 2 2 3 8" xfId="30605"/>
    <cellStyle name="Lookup Table Label 2 2 3 9" xfId="30606"/>
    <cellStyle name="Lookup Table Label 2 2 4" xfId="30607"/>
    <cellStyle name="Lookup Table Label 2 2 5" xfId="30608"/>
    <cellStyle name="Lookup Table Label 2 2 6" xfId="30609"/>
    <cellStyle name="Lookup Table Label 2 2 7" xfId="30610"/>
    <cellStyle name="Lookup Table Label 2 2 8" xfId="30611"/>
    <cellStyle name="Lookup Table Label 2 2 9" xfId="30612"/>
    <cellStyle name="Lookup Table Label 2 3" xfId="30613"/>
    <cellStyle name="Lookup Table Label 2 3 10" xfId="30614"/>
    <cellStyle name="Lookup Table Label 2 3 2" xfId="30615"/>
    <cellStyle name="Lookup Table Label 2 3 2 2" xfId="30616"/>
    <cellStyle name="Lookup Table Label 2 3 2 3" xfId="30617"/>
    <cellStyle name="Lookup Table Label 2 3 2 4" xfId="30618"/>
    <cellStyle name="Lookup Table Label 2 3 2 5" xfId="30619"/>
    <cellStyle name="Lookup Table Label 2 3 2 6" xfId="30620"/>
    <cellStyle name="Lookup Table Label 2 3 2 7" xfId="30621"/>
    <cellStyle name="Lookup Table Label 2 3 2 8" xfId="30622"/>
    <cellStyle name="Lookup Table Label 2 3 2 9" xfId="30623"/>
    <cellStyle name="Lookup Table Label 2 3 3" xfId="30624"/>
    <cellStyle name="Lookup Table Label 2 3 4" xfId="30625"/>
    <cellStyle name="Lookup Table Label 2 3 5" xfId="30626"/>
    <cellStyle name="Lookup Table Label 2 3 6" xfId="30627"/>
    <cellStyle name="Lookup Table Label 2 3 7" xfId="30628"/>
    <cellStyle name="Lookup Table Label 2 3 8" xfId="30629"/>
    <cellStyle name="Lookup Table Label 2 3 9" xfId="30630"/>
    <cellStyle name="Lookup Table Label 2 4" xfId="30631"/>
    <cellStyle name="Lookup Table Label 2 4 2" xfId="30632"/>
    <cellStyle name="Lookup Table Label 2 4 3" xfId="30633"/>
    <cellStyle name="Lookup Table Label 2 4 4" xfId="30634"/>
    <cellStyle name="Lookup Table Label 2 4 5" xfId="30635"/>
    <cellStyle name="Lookup Table Label 2 4 6" xfId="30636"/>
    <cellStyle name="Lookup Table Label 2 4 7" xfId="30637"/>
    <cellStyle name="Lookup Table Label 2 4 8" xfId="30638"/>
    <cellStyle name="Lookup Table Label 2 4 9" xfId="30639"/>
    <cellStyle name="Lookup Table Label 2 5" xfId="30640"/>
    <cellStyle name="Lookup Table Label 2 6" xfId="30641"/>
    <cellStyle name="Lookup Table Label 2 7" xfId="30642"/>
    <cellStyle name="Lookup Table Label 2 8" xfId="30643"/>
    <cellStyle name="Lookup Table Label 2 9" xfId="30644"/>
    <cellStyle name="Lookup Table Label 3" xfId="30645"/>
    <cellStyle name="Lookup Table Label 3 10" xfId="30646"/>
    <cellStyle name="Lookup Table Label 3 11" xfId="30647"/>
    <cellStyle name="Lookup Table Label 3 12" xfId="30648"/>
    <cellStyle name="Lookup Table Label 3 2" xfId="30649"/>
    <cellStyle name="Lookup Table Label 3 2 10" xfId="30650"/>
    <cellStyle name="Lookup Table Label 3 2 11" xfId="30651"/>
    <cellStyle name="Lookup Table Label 3 2 2" xfId="30652"/>
    <cellStyle name="Lookup Table Label 3 2 2 10" xfId="30653"/>
    <cellStyle name="Lookup Table Label 3 2 2 2" xfId="30654"/>
    <cellStyle name="Lookup Table Label 3 2 2 2 2" xfId="30655"/>
    <cellStyle name="Lookup Table Label 3 2 2 2 3" xfId="30656"/>
    <cellStyle name="Lookup Table Label 3 2 2 2 4" xfId="30657"/>
    <cellStyle name="Lookup Table Label 3 2 2 2 5" xfId="30658"/>
    <cellStyle name="Lookup Table Label 3 2 2 2 6" xfId="30659"/>
    <cellStyle name="Lookup Table Label 3 2 2 2 7" xfId="30660"/>
    <cellStyle name="Lookup Table Label 3 2 2 2 8" xfId="30661"/>
    <cellStyle name="Lookup Table Label 3 2 2 2 9" xfId="30662"/>
    <cellStyle name="Lookup Table Label 3 2 2 3" xfId="30663"/>
    <cellStyle name="Lookup Table Label 3 2 2 4" xfId="30664"/>
    <cellStyle name="Lookup Table Label 3 2 2 5" xfId="30665"/>
    <cellStyle name="Lookup Table Label 3 2 2 6" xfId="30666"/>
    <cellStyle name="Lookup Table Label 3 2 2 7" xfId="30667"/>
    <cellStyle name="Lookup Table Label 3 2 2 8" xfId="30668"/>
    <cellStyle name="Lookup Table Label 3 2 2 9" xfId="30669"/>
    <cellStyle name="Lookup Table Label 3 2 3" xfId="30670"/>
    <cellStyle name="Lookup Table Label 3 2 3 2" xfId="30671"/>
    <cellStyle name="Lookup Table Label 3 2 3 3" xfId="30672"/>
    <cellStyle name="Lookup Table Label 3 2 3 4" xfId="30673"/>
    <cellStyle name="Lookup Table Label 3 2 3 5" xfId="30674"/>
    <cellStyle name="Lookup Table Label 3 2 3 6" xfId="30675"/>
    <cellStyle name="Lookup Table Label 3 2 3 7" xfId="30676"/>
    <cellStyle name="Lookup Table Label 3 2 3 8" xfId="30677"/>
    <cellStyle name="Lookup Table Label 3 2 3 9" xfId="30678"/>
    <cellStyle name="Lookup Table Label 3 2 4" xfId="30679"/>
    <cellStyle name="Lookup Table Label 3 2 5" xfId="30680"/>
    <cellStyle name="Lookup Table Label 3 2 6" xfId="30681"/>
    <cellStyle name="Lookup Table Label 3 2 7" xfId="30682"/>
    <cellStyle name="Lookup Table Label 3 2 8" xfId="30683"/>
    <cellStyle name="Lookup Table Label 3 2 9" xfId="30684"/>
    <cellStyle name="Lookup Table Label 3 3" xfId="30685"/>
    <cellStyle name="Lookup Table Label 3 3 10" xfId="30686"/>
    <cellStyle name="Lookup Table Label 3 3 2" xfId="30687"/>
    <cellStyle name="Lookup Table Label 3 3 2 2" xfId="30688"/>
    <cellStyle name="Lookup Table Label 3 3 2 3" xfId="30689"/>
    <cellStyle name="Lookup Table Label 3 3 2 4" xfId="30690"/>
    <cellStyle name="Lookup Table Label 3 3 2 5" xfId="30691"/>
    <cellStyle name="Lookup Table Label 3 3 2 6" xfId="30692"/>
    <cellStyle name="Lookup Table Label 3 3 2 7" xfId="30693"/>
    <cellStyle name="Lookup Table Label 3 3 2 8" xfId="30694"/>
    <cellStyle name="Lookup Table Label 3 3 2 9" xfId="30695"/>
    <cellStyle name="Lookup Table Label 3 3 3" xfId="30696"/>
    <cellStyle name="Lookup Table Label 3 3 4" xfId="30697"/>
    <cellStyle name="Lookup Table Label 3 3 5" xfId="30698"/>
    <cellStyle name="Lookup Table Label 3 3 6" xfId="30699"/>
    <cellStyle name="Lookup Table Label 3 3 7" xfId="30700"/>
    <cellStyle name="Lookup Table Label 3 3 8" xfId="30701"/>
    <cellStyle name="Lookup Table Label 3 3 9" xfId="30702"/>
    <cellStyle name="Lookup Table Label 3 4" xfId="30703"/>
    <cellStyle name="Lookup Table Label 3 4 2" xfId="30704"/>
    <cellStyle name="Lookup Table Label 3 4 3" xfId="30705"/>
    <cellStyle name="Lookup Table Label 3 4 4" xfId="30706"/>
    <cellStyle name="Lookup Table Label 3 4 5" xfId="30707"/>
    <cellStyle name="Lookup Table Label 3 4 6" xfId="30708"/>
    <cellStyle name="Lookup Table Label 3 4 7" xfId="30709"/>
    <cellStyle name="Lookup Table Label 3 4 8" xfId="30710"/>
    <cellStyle name="Lookup Table Label 3 4 9" xfId="30711"/>
    <cellStyle name="Lookup Table Label 3 5" xfId="30712"/>
    <cellStyle name="Lookup Table Label 3 6" xfId="30713"/>
    <cellStyle name="Lookup Table Label 3 7" xfId="30714"/>
    <cellStyle name="Lookup Table Label 3 8" xfId="30715"/>
    <cellStyle name="Lookup Table Label 3 9" xfId="30716"/>
    <cellStyle name="Lookup Table Label 4" xfId="30717"/>
    <cellStyle name="Lookup Table Label 4 10" xfId="30718"/>
    <cellStyle name="Lookup Table Label 4 11" xfId="30719"/>
    <cellStyle name="Lookup Table Label 4 12" xfId="30720"/>
    <cellStyle name="Lookup Table Label 4 2" xfId="30721"/>
    <cellStyle name="Lookup Table Label 4 2 10" xfId="30722"/>
    <cellStyle name="Lookup Table Label 4 2 11" xfId="30723"/>
    <cellStyle name="Lookup Table Label 4 2 2" xfId="30724"/>
    <cellStyle name="Lookup Table Label 4 2 2 10" xfId="30725"/>
    <cellStyle name="Lookup Table Label 4 2 2 2" xfId="30726"/>
    <cellStyle name="Lookup Table Label 4 2 2 2 2" xfId="30727"/>
    <cellStyle name="Lookup Table Label 4 2 2 2 3" xfId="30728"/>
    <cellStyle name="Lookup Table Label 4 2 2 2 4" xfId="30729"/>
    <cellStyle name="Lookup Table Label 4 2 2 2 5" xfId="30730"/>
    <cellStyle name="Lookup Table Label 4 2 2 2 6" xfId="30731"/>
    <cellStyle name="Lookup Table Label 4 2 2 2 7" xfId="30732"/>
    <cellStyle name="Lookup Table Label 4 2 2 2 8" xfId="30733"/>
    <cellStyle name="Lookup Table Label 4 2 2 2 9" xfId="30734"/>
    <cellStyle name="Lookup Table Label 4 2 2 3" xfId="30735"/>
    <cellStyle name="Lookup Table Label 4 2 2 4" xfId="30736"/>
    <cellStyle name="Lookup Table Label 4 2 2 5" xfId="30737"/>
    <cellStyle name="Lookup Table Label 4 2 2 6" xfId="30738"/>
    <cellStyle name="Lookup Table Label 4 2 2 7" xfId="30739"/>
    <cellStyle name="Lookup Table Label 4 2 2 8" xfId="30740"/>
    <cellStyle name="Lookup Table Label 4 2 2 9" xfId="30741"/>
    <cellStyle name="Lookup Table Label 4 2 3" xfId="30742"/>
    <cellStyle name="Lookup Table Label 4 2 3 2" xfId="30743"/>
    <cellStyle name="Lookup Table Label 4 2 3 3" xfId="30744"/>
    <cellStyle name="Lookup Table Label 4 2 3 4" xfId="30745"/>
    <cellStyle name="Lookup Table Label 4 2 3 5" xfId="30746"/>
    <cellStyle name="Lookup Table Label 4 2 3 6" xfId="30747"/>
    <cellStyle name="Lookup Table Label 4 2 3 7" xfId="30748"/>
    <cellStyle name="Lookup Table Label 4 2 3 8" xfId="30749"/>
    <cellStyle name="Lookup Table Label 4 2 3 9" xfId="30750"/>
    <cellStyle name="Lookup Table Label 4 2 4" xfId="30751"/>
    <cellStyle name="Lookup Table Label 4 2 5" xfId="30752"/>
    <cellStyle name="Lookup Table Label 4 2 6" xfId="30753"/>
    <cellStyle name="Lookup Table Label 4 2 7" xfId="30754"/>
    <cellStyle name="Lookup Table Label 4 2 8" xfId="30755"/>
    <cellStyle name="Lookup Table Label 4 2 9" xfId="30756"/>
    <cellStyle name="Lookup Table Label 4 3" xfId="30757"/>
    <cellStyle name="Lookup Table Label 4 3 10" xfId="30758"/>
    <cellStyle name="Lookup Table Label 4 3 2" xfId="30759"/>
    <cellStyle name="Lookup Table Label 4 3 2 2" xfId="30760"/>
    <cellStyle name="Lookup Table Label 4 3 2 3" xfId="30761"/>
    <cellStyle name="Lookup Table Label 4 3 2 4" xfId="30762"/>
    <cellStyle name="Lookup Table Label 4 3 2 5" xfId="30763"/>
    <cellStyle name="Lookup Table Label 4 3 2 6" xfId="30764"/>
    <cellStyle name="Lookup Table Label 4 3 2 7" xfId="30765"/>
    <cellStyle name="Lookup Table Label 4 3 2 8" xfId="30766"/>
    <cellStyle name="Lookup Table Label 4 3 2 9" xfId="30767"/>
    <cellStyle name="Lookup Table Label 4 3 3" xfId="30768"/>
    <cellStyle name="Lookup Table Label 4 3 4" xfId="30769"/>
    <cellStyle name="Lookup Table Label 4 3 5" xfId="30770"/>
    <cellStyle name="Lookup Table Label 4 3 6" xfId="30771"/>
    <cellStyle name="Lookup Table Label 4 3 7" xfId="30772"/>
    <cellStyle name="Lookup Table Label 4 3 8" xfId="30773"/>
    <cellStyle name="Lookup Table Label 4 3 9" xfId="30774"/>
    <cellStyle name="Lookup Table Label 4 4" xfId="30775"/>
    <cellStyle name="Lookup Table Label 4 4 2" xfId="30776"/>
    <cellStyle name="Lookup Table Label 4 4 3" xfId="30777"/>
    <cellStyle name="Lookup Table Label 4 4 4" xfId="30778"/>
    <cellStyle name="Lookup Table Label 4 4 5" xfId="30779"/>
    <cellStyle name="Lookup Table Label 4 4 6" xfId="30780"/>
    <cellStyle name="Lookup Table Label 4 4 7" xfId="30781"/>
    <cellStyle name="Lookup Table Label 4 4 8" xfId="30782"/>
    <cellStyle name="Lookup Table Label 4 4 9" xfId="30783"/>
    <cellStyle name="Lookup Table Label 4 5" xfId="30784"/>
    <cellStyle name="Lookup Table Label 4 6" xfId="30785"/>
    <cellStyle name="Lookup Table Label 4 7" xfId="30786"/>
    <cellStyle name="Lookup Table Label 4 8" xfId="30787"/>
    <cellStyle name="Lookup Table Label 4 9" xfId="30788"/>
    <cellStyle name="Lookup Table Label 5" xfId="30789"/>
    <cellStyle name="Lookup Table Label 5 10" xfId="30790"/>
    <cellStyle name="Lookup Table Label 5 11" xfId="30791"/>
    <cellStyle name="Lookup Table Label 5 2" xfId="30792"/>
    <cellStyle name="Lookup Table Label 5 2 10" xfId="30793"/>
    <cellStyle name="Lookup Table Label 5 2 2" xfId="30794"/>
    <cellStyle name="Lookup Table Label 5 2 2 2" xfId="30795"/>
    <cellStyle name="Lookup Table Label 5 2 2 3" xfId="30796"/>
    <cellStyle name="Lookup Table Label 5 2 2 4" xfId="30797"/>
    <cellStyle name="Lookup Table Label 5 2 2 5" xfId="30798"/>
    <cellStyle name="Lookup Table Label 5 2 2 6" xfId="30799"/>
    <cellStyle name="Lookup Table Label 5 2 2 7" xfId="30800"/>
    <cellStyle name="Lookup Table Label 5 2 2 8" xfId="30801"/>
    <cellStyle name="Lookup Table Label 5 2 2 9" xfId="30802"/>
    <cellStyle name="Lookup Table Label 5 2 3" xfId="30803"/>
    <cellStyle name="Lookup Table Label 5 2 4" xfId="30804"/>
    <cellStyle name="Lookup Table Label 5 2 5" xfId="30805"/>
    <cellStyle name="Lookup Table Label 5 2 6" xfId="30806"/>
    <cellStyle name="Lookup Table Label 5 2 7" xfId="30807"/>
    <cellStyle name="Lookup Table Label 5 2 8" xfId="30808"/>
    <cellStyle name="Lookup Table Label 5 2 9" xfId="30809"/>
    <cellStyle name="Lookup Table Label 5 3" xfId="30810"/>
    <cellStyle name="Lookup Table Label 5 3 2" xfId="30811"/>
    <cellStyle name="Lookup Table Label 5 3 3" xfId="30812"/>
    <cellStyle name="Lookup Table Label 5 3 4" xfId="30813"/>
    <cellStyle name="Lookup Table Label 5 3 5" xfId="30814"/>
    <cellStyle name="Lookup Table Label 5 3 6" xfId="30815"/>
    <cellStyle name="Lookup Table Label 5 3 7" xfId="30816"/>
    <cellStyle name="Lookup Table Label 5 3 8" xfId="30817"/>
    <cellStyle name="Lookup Table Label 5 3 9" xfId="30818"/>
    <cellStyle name="Lookup Table Label 5 4" xfId="30819"/>
    <cellStyle name="Lookup Table Label 5 5" xfId="30820"/>
    <cellStyle name="Lookup Table Label 5 6" xfId="30821"/>
    <cellStyle name="Lookup Table Label 5 7" xfId="30822"/>
    <cellStyle name="Lookup Table Label 5 8" xfId="30823"/>
    <cellStyle name="Lookup Table Label 5 9" xfId="30824"/>
    <cellStyle name="Lookup Table Label." xfId="30825"/>
    <cellStyle name="Lookup Table Label. 2" xfId="30826"/>
    <cellStyle name="Lookup Table Label. 2 2" xfId="30827"/>
    <cellStyle name="Lookup Table Label. 2 2 10" xfId="30828"/>
    <cellStyle name="Lookup Table Label. 2 2 11" xfId="30829"/>
    <cellStyle name="Lookup Table Label. 2 2 2" xfId="30830"/>
    <cellStyle name="Lookup Table Label. 2 2 2 10" xfId="30831"/>
    <cellStyle name="Lookup Table Label. 2 2 2 2" xfId="30832"/>
    <cellStyle name="Lookup Table Label. 2 2 2 2 2" xfId="30833"/>
    <cellStyle name="Lookup Table Label. 2 2 2 2 3" xfId="30834"/>
    <cellStyle name="Lookup Table Label. 2 2 2 2 4" xfId="30835"/>
    <cellStyle name="Lookup Table Label. 2 2 2 2 5" xfId="30836"/>
    <cellStyle name="Lookup Table Label. 2 2 2 2 6" xfId="30837"/>
    <cellStyle name="Lookup Table Label. 2 2 2 2 7" xfId="30838"/>
    <cellStyle name="Lookup Table Label. 2 2 2 2 8" xfId="30839"/>
    <cellStyle name="Lookup Table Label. 2 2 2 2 9" xfId="30840"/>
    <cellStyle name="Lookup Table Label. 2 2 2 3" xfId="30841"/>
    <cellStyle name="Lookup Table Label. 2 2 2 4" xfId="30842"/>
    <cellStyle name="Lookup Table Label. 2 2 2 5" xfId="30843"/>
    <cellStyle name="Lookup Table Label. 2 2 2 6" xfId="30844"/>
    <cellStyle name="Lookup Table Label. 2 2 2 7" xfId="30845"/>
    <cellStyle name="Lookup Table Label. 2 2 2 8" xfId="30846"/>
    <cellStyle name="Lookup Table Label. 2 2 2 9" xfId="30847"/>
    <cellStyle name="Lookup Table Label. 2 2 3" xfId="30848"/>
    <cellStyle name="Lookup Table Label. 2 2 3 2" xfId="30849"/>
    <cellStyle name="Lookup Table Label. 2 2 3 3" xfId="30850"/>
    <cellStyle name="Lookup Table Label. 2 2 3 4" xfId="30851"/>
    <cellStyle name="Lookup Table Label. 2 2 3 5" xfId="30852"/>
    <cellStyle name="Lookup Table Label. 2 2 3 6" xfId="30853"/>
    <cellStyle name="Lookup Table Label. 2 2 3 7" xfId="30854"/>
    <cellStyle name="Lookup Table Label. 2 2 3 8" xfId="30855"/>
    <cellStyle name="Lookup Table Label. 2 2 3 9" xfId="30856"/>
    <cellStyle name="Lookup Table Label. 2 2 4" xfId="30857"/>
    <cellStyle name="Lookup Table Label. 2 2 5" xfId="30858"/>
    <cellStyle name="Lookup Table Label. 2 2 6" xfId="30859"/>
    <cellStyle name="Lookup Table Label. 2 2 7" xfId="30860"/>
    <cellStyle name="Lookup Table Label. 2 2 8" xfId="30861"/>
    <cellStyle name="Lookup Table Label. 2 2 9" xfId="30862"/>
    <cellStyle name="Lookup Table Label. 3" xfId="30863"/>
    <cellStyle name="Lookup Table Label. 3 10" xfId="30864"/>
    <cellStyle name="Lookup Table Label. 3 11" xfId="30865"/>
    <cellStyle name="Lookup Table Label. 3 2" xfId="30866"/>
    <cellStyle name="Lookup Table Label. 3 2 10" xfId="30867"/>
    <cellStyle name="Lookup Table Label. 3 2 2" xfId="30868"/>
    <cellStyle name="Lookup Table Label. 3 2 2 2" xfId="30869"/>
    <cellStyle name="Lookup Table Label. 3 2 2 3" xfId="30870"/>
    <cellStyle name="Lookup Table Label. 3 2 2 4" xfId="30871"/>
    <cellStyle name="Lookup Table Label. 3 2 2 5" xfId="30872"/>
    <cellStyle name="Lookup Table Label. 3 2 2 6" xfId="30873"/>
    <cellStyle name="Lookup Table Label. 3 2 2 7" xfId="30874"/>
    <cellStyle name="Lookup Table Label. 3 2 2 8" xfId="30875"/>
    <cellStyle name="Lookup Table Label. 3 2 2 9" xfId="30876"/>
    <cellStyle name="Lookup Table Label. 3 2 3" xfId="30877"/>
    <cellStyle name="Lookup Table Label. 3 2 4" xfId="30878"/>
    <cellStyle name="Lookup Table Label. 3 2 5" xfId="30879"/>
    <cellStyle name="Lookup Table Label. 3 2 6" xfId="30880"/>
    <cellStyle name="Lookup Table Label. 3 2 7" xfId="30881"/>
    <cellStyle name="Lookup Table Label. 3 2 8" xfId="30882"/>
    <cellStyle name="Lookup Table Label. 3 2 9" xfId="30883"/>
    <cellStyle name="Lookup Table Label. 3 3" xfId="30884"/>
    <cellStyle name="Lookup Table Label. 3 3 2" xfId="30885"/>
    <cellStyle name="Lookup Table Label. 3 3 3" xfId="30886"/>
    <cellStyle name="Lookup Table Label. 3 3 4" xfId="30887"/>
    <cellStyle name="Lookup Table Label. 3 3 5" xfId="30888"/>
    <cellStyle name="Lookup Table Label. 3 3 6" xfId="30889"/>
    <cellStyle name="Lookup Table Label. 3 3 7" xfId="30890"/>
    <cellStyle name="Lookup Table Label. 3 3 8" xfId="30891"/>
    <cellStyle name="Lookup Table Label. 3 3 9" xfId="30892"/>
    <cellStyle name="Lookup Table Label. 3 4" xfId="30893"/>
    <cellStyle name="Lookup Table Label. 3 5" xfId="30894"/>
    <cellStyle name="Lookup Table Label. 3 6" xfId="30895"/>
    <cellStyle name="Lookup Table Label. 3 7" xfId="30896"/>
    <cellStyle name="Lookup Table Label. 3 8" xfId="30897"/>
    <cellStyle name="Lookup Table Label. 3 9" xfId="30898"/>
    <cellStyle name="Lookup Table Number" xfId="30899"/>
    <cellStyle name="Lookup Table Number 2" xfId="30900"/>
    <cellStyle name="Lookup Table Number 2 10" xfId="30901"/>
    <cellStyle name="Lookup Table Number 2 11" xfId="30902"/>
    <cellStyle name="Lookup Table Number 2 12" xfId="30903"/>
    <cellStyle name="Lookup Table Number 2 2" xfId="30904"/>
    <cellStyle name="Lookup Table Number 2 2 10" xfId="30905"/>
    <cellStyle name="Lookup Table Number 2 2 11" xfId="30906"/>
    <cellStyle name="Lookup Table Number 2 2 2" xfId="30907"/>
    <cellStyle name="Lookup Table Number 2 2 2 10" xfId="30908"/>
    <cellStyle name="Lookup Table Number 2 2 2 2" xfId="30909"/>
    <cellStyle name="Lookup Table Number 2 2 2 2 2" xfId="30910"/>
    <cellStyle name="Lookup Table Number 2 2 2 2 3" xfId="30911"/>
    <cellStyle name="Lookup Table Number 2 2 2 2 4" xfId="30912"/>
    <cellStyle name="Lookup Table Number 2 2 2 2 5" xfId="30913"/>
    <cellStyle name="Lookup Table Number 2 2 2 2 6" xfId="30914"/>
    <cellStyle name="Lookup Table Number 2 2 2 2 7" xfId="30915"/>
    <cellStyle name="Lookup Table Number 2 2 2 2 8" xfId="30916"/>
    <cellStyle name="Lookup Table Number 2 2 2 2 9" xfId="30917"/>
    <cellStyle name="Lookup Table Number 2 2 2 3" xfId="30918"/>
    <cellStyle name="Lookup Table Number 2 2 2 4" xfId="30919"/>
    <cellStyle name="Lookup Table Number 2 2 2 5" xfId="30920"/>
    <cellStyle name="Lookup Table Number 2 2 2 6" xfId="30921"/>
    <cellStyle name="Lookup Table Number 2 2 2 7" xfId="30922"/>
    <cellStyle name="Lookup Table Number 2 2 2 8" xfId="30923"/>
    <cellStyle name="Lookup Table Number 2 2 2 9" xfId="30924"/>
    <cellStyle name="Lookup Table Number 2 2 3" xfId="30925"/>
    <cellStyle name="Lookup Table Number 2 2 3 2" xfId="30926"/>
    <cellStyle name="Lookup Table Number 2 2 3 3" xfId="30927"/>
    <cellStyle name="Lookup Table Number 2 2 3 4" xfId="30928"/>
    <cellStyle name="Lookup Table Number 2 2 3 5" xfId="30929"/>
    <cellStyle name="Lookup Table Number 2 2 3 6" xfId="30930"/>
    <cellStyle name="Lookup Table Number 2 2 3 7" xfId="30931"/>
    <cellStyle name="Lookup Table Number 2 2 3 8" xfId="30932"/>
    <cellStyle name="Lookup Table Number 2 2 3 9" xfId="30933"/>
    <cellStyle name="Lookup Table Number 2 2 4" xfId="30934"/>
    <cellStyle name="Lookup Table Number 2 2 5" xfId="30935"/>
    <cellStyle name="Lookup Table Number 2 2 6" xfId="30936"/>
    <cellStyle name="Lookup Table Number 2 2 7" xfId="30937"/>
    <cellStyle name="Lookup Table Number 2 2 8" xfId="30938"/>
    <cellStyle name="Lookup Table Number 2 2 9" xfId="30939"/>
    <cellStyle name="Lookup Table Number 2 3" xfId="30940"/>
    <cellStyle name="Lookup Table Number 2 3 10" xfId="30941"/>
    <cellStyle name="Lookup Table Number 2 3 2" xfId="30942"/>
    <cellStyle name="Lookup Table Number 2 3 2 2" xfId="30943"/>
    <cellStyle name="Lookup Table Number 2 3 2 3" xfId="30944"/>
    <cellStyle name="Lookup Table Number 2 3 2 4" xfId="30945"/>
    <cellStyle name="Lookup Table Number 2 3 2 5" xfId="30946"/>
    <cellStyle name="Lookup Table Number 2 3 2 6" xfId="30947"/>
    <cellStyle name="Lookup Table Number 2 3 2 7" xfId="30948"/>
    <cellStyle name="Lookup Table Number 2 3 2 8" xfId="30949"/>
    <cellStyle name="Lookup Table Number 2 3 2 9" xfId="30950"/>
    <cellStyle name="Lookup Table Number 2 3 3" xfId="30951"/>
    <cellStyle name="Lookup Table Number 2 3 4" xfId="30952"/>
    <cellStyle name="Lookup Table Number 2 3 5" xfId="30953"/>
    <cellStyle name="Lookup Table Number 2 3 6" xfId="30954"/>
    <cellStyle name="Lookup Table Number 2 3 7" xfId="30955"/>
    <cellStyle name="Lookup Table Number 2 3 8" xfId="30956"/>
    <cellStyle name="Lookup Table Number 2 3 9" xfId="30957"/>
    <cellStyle name="Lookup Table Number 2 4" xfId="30958"/>
    <cellStyle name="Lookup Table Number 2 4 2" xfId="30959"/>
    <cellStyle name="Lookup Table Number 2 4 3" xfId="30960"/>
    <cellStyle name="Lookup Table Number 2 4 4" xfId="30961"/>
    <cellStyle name="Lookup Table Number 2 4 5" xfId="30962"/>
    <cellStyle name="Lookup Table Number 2 4 6" xfId="30963"/>
    <cellStyle name="Lookup Table Number 2 4 7" xfId="30964"/>
    <cellStyle name="Lookup Table Number 2 4 8" xfId="30965"/>
    <cellStyle name="Lookup Table Number 2 4 9" xfId="30966"/>
    <cellStyle name="Lookup Table Number 2 5" xfId="30967"/>
    <cellStyle name="Lookup Table Number 2 6" xfId="30968"/>
    <cellStyle name="Lookup Table Number 2 7" xfId="30969"/>
    <cellStyle name="Lookup Table Number 2 8" xfId="30970"/>
    <cellStyle name="Lookup Table Number 2 9" xfId="30971"/>
    <cellStyle name="Lookup Table Number 3" xfId="30972"/>
    <cellStyle name="Lookup Table Number 3 10" xfId="30973"/>
    <cellStyle name="Lookup Table Number 3 11" xfId="30974"/>
    <cellStyle name="Lookup Table Number 3 12" xfId="30975"/>
    <cellStyle name="Lookup Table Number 3 2" xfId="30976"/>
    <cellStyle name="Lookup Table Number 3 2 10" xfId="30977"/>
    <cellStyle name="Lookup Table Number 3 2 11" xfId="30978"/>
    <cellStyle name="Lookup Table Number 3 2 2" xfId="30979"/>
    <cellStyle name="Lookup Table Number 3 2 2 10" xfId="30980"/>
    <cellStyle name="Lookup Table Number 3 2 2 2" xfId="30981"/>
    <cellStyle name="Lookup Table Number 3 2 2 2 2" xfId="30982"/>
    <cellStyle name="Lookup Table Number 3 2 2 2 3" xfId="30983"/>
    <cellStyle name="Lookup Table Number 3 2 2 2 4" xfId="30984"/>
    <cellStyle name="Lookup Table Number 3 2 2 2 5" xfId="30985"/>
    <cellStyle name="Lookup Table Number 3 2 2 2 6" xfId="30986"/>
    <cellStyle name="Lookup Table Number 3 2 2 2 7" xfId="30987"/>
    <cellStyle name="Lookup Table Number 3 2 2 2 8" xfId="30988"/>
    <cellStyle name="Lookup Table Number 3 2 2 2 9" xfId="30989"/>
    <cellStyle name="Lookup Table Number 3 2 2 3" xfId="30990"/>
    <cellStyle name="Lookup Table Number 3 2 2 4" xfId="30991"/>
    <cellStyle name="Lookup Table Number 3 2 2 5" xfId="30992"/>
    <cellStyle name="Lookup Table Number 3 2 2 6" xfId="30993"/>
    <cellStyle name="Lookup Table Number 3 2 2 7" xfId="30994"/>
    <cellStyle name="Lookup Table Number 3 2 2 8" xfId="30995"/>
    <cellStyle name="Lookup Table Number 3 2 2 9" xfId="30996"/>
    <cellStyle name="Lookup Table Number 3 2 3" xfId="30997"/>
    <cellStyle name="Lookup Table Number 3 2 3 2" xfId="30998"/>
    <cellStyle name="Lookup Table Number 3 2 3 3" xfId="30999"/>
    <cellStyle name="Lookup Table Number 3 2 3 4" xfId="31000"/>
    <cellStyle name="Lookup Table Number 3 2 3 5" xfId="31001"/>
    <cellStyle name="Lookup Table Number 3 2 3 6" xfId="31002"/>
    <cellStyle name="Lookup Table Number 3 2 3 7" xfId="31003"/>
    <cellStyle name="Lookup Table Number 3 2 3 8" xfId="31004"/>
    <cellStyle name="Lookup Table Number 3 2 3 9" xfId="31005"/>
    <cellStyle name="Lookup Table Number 3 2 4" xfId="31006"/>
    <cellStyle name="Lookup Table Number 3 2 5" xfId="31007"/>
    <cellStyle name="Lookup Table Number 3 2 6" xfId="31008"/>
    <cellStyle name="Lookup Table Number 3 2 7" xfId="31009"/>
    <cellStyle name="Lookup Table Number 3 2 8" xfId="31010"/>
    <cellStyle name="Lookup Table Number 3 2 9" xfId="31011"/>
    <cellStyle name="Lookup Table Number 3 3" xfId="31012"/>
    <cellStyle name="Lookup Table Number 3 3 10" xfId="31013"/>
    <cellStyle name="Lookup Table Number 3 3 2" xfId="31014"/>
    <cellStyle name="Lookup Table Number 3 3 2 2" xfId="31015"/>
    <cellStyle name="Lookup Table Number 3 3 2 3" xfId="31016"/>
    <cellStyle name="Lookup Table Number 3 3 2 4" xfId="31017"/>
    <cellStyle name="Lookup Table Number 3 3 2 5" xfId="31018"/>
    <cellStyle name="Lookup Table Number 3 3 2 6" xfId="31019"/>
    <cellStyle name="Lookup Table Number 3 3 2 7" xfId="31020"/>
    <cellStyle name="Lookup Table Number 3 3 2 8" xfId="31021"/>
    <cellStyle name="Lookup Table Number 3 3 2 9" xfId="31022"/>
    <cellStyle name="Lookup Table Number 3 3 3" xfId="31023"/>
    <cellStyle name="Lookup Table Number 3 3 4" xfId="31024"/>
    <cellStyle name="Lookup Table Number 3 3 5" xfId="31025"/>
    <cellStyle name="Lookup Table Number 3 3 6" xfId="31026"/>
    <cellStyle name="Lookup Table Number 3 3 7" xfId="31027"/>
    <cellStyle name="Lookup Table Number 3 3 8" xfId="31028"/>
    <cellStyle name="Lookup Table Number 3 3 9" xfId="31029"/>
    <cellStyle name="Lookup Table Number 3 4" xfId="31030"/>
    <cellStyle name="Lookup Table Number 3 4 2" xfId="31031"/>
    <cellStyle name="Lookup Table Number 3 4 3" xfId="31032"/>
    <cellStyle name="Lookup Table Number 3 4 4" xfId="31033"/>
    <cellStyle name="Lookup Table Number 3 4 5" xfId="31034"/>
    <cellStyle name="Lookup Table Number 3 4 6" xfId="31035"/>
    <cellStyle name="Lookup Table Number 3 4 7" xfId="31036"/>
    <cellStyle name="Lookup Table Number 3 4 8" xfId="31037"/>
    <cellStyle name="Lookup Table Number 3 4 9" xfId="31038"/>
    <cellStyle name="Lookup Table Number 3 5" xfId="31039"/>
    <cellStyle name="Lookup Table Number 3 6" xfId="31040"/>
    <cellStyle name="Lookup Table Number 3 7" xfId="31041"/>
    <cellStyle name="Lookup Table Number 3 8" xfId="31042"/>
    <cellStyle name="Lookup Table Number 3 9" xfId="31043"/>
    <cellStyle name="Lookup Table Number 4" xfId="31044"/>
    <cellStyle name="Lookup Table Number 4 10" xfId="31045"/>
    <cellStyle name="Lookup Table Number 4 11" xfId="31046"/>
    <cellStyle name="Lookup Table Number 4 12" xfId="31047"/>
    <cellStyle name="Lookup Table Number 4 2" xfId="31048"/>
    <cellStyle name="Lookup Table Number 4 2 10" xfId="31049"/>
    <cellStyle name="Lookup Table Number 4 2 11" xfId="31050"/>
    <cellStyle name="Lookup Table Number 4 2 2" xfId="31051"/>
    <cellStyle name="Lookup Table Number 4 2 2 10" xfId="31052"/>
    <cellStyle name="Lookup Table Number 4 2 2 2" xfId="31053"/>
    <cellStyle name="Lookup Table Number 4 2 2 2 2" xfId="31054"/>
    <cellStyle name="Lookup Table Number 4 2 2 2 3" xfId="31055"/>
    <cellStyle name="Lookup Table Number 4 2 2 2 4" xfId="31056"/>
    <cellStyle name="Lookup Table Number 4 2 2 2 5" xfId="31057"/>
    <cellStyle name="Lookup Table Number 4 2 2 2 6" xfId="31058"/>
    <cellStyle name="Lookup Table Number 4 2 2 2 7" xfId="31059"/>
    <cellStyle name="Lookup Table Number 4 2 2 2 8" xfId="31060"/>
    <cellStyle name="Lookup Table Number 4 2 2 2 9" xfId="31061"/>
    <cellStyle name="Lookup Table Number 4 2 2 3" xfId="31062"/>
    <cellStyle name="Lookup Table Number 4 2 2 4" xfId="31063"/>
    <cellStyle name="Lookup Table Number 4 2 2 5" xfId="31064"/>
    <cellStyle name="Lookup Table Number 4 2 2 6" xfId="31065"/>
    <cellStyle name="Lookup Table Number 4 2 2 7" xfId="31066"/>
    <cellStyle name="Lookup Table Number 4 2 2 8" xfId="31067"/>
    <cellStyle name="Lookup Table Number 4 2 2 9" xfId="31068"/>
    <cellStyle name="Lookup Table Number 4 2 3" xfId="31069"/>
    <cellStyle name="Lookup Table Number 4 2 3 2" xfId="31070"/>
    <cellStyle name="Lookup Table Number 4 2 3 3" xfId="31071"/>
    <cellStyle name="Lookup Table Number 4 2 3 4" xfId="31072"/>
    <cellStyle name="Lookup Table Number 4 2 3 5" xfId="31073"/>
    <cellStyle name="Lookup Table Number 4 2 3 6" xfId="31074"/>
    <cellStyle name="Lookup Table Number 4 2 3 7" xfId="31075"/>
    <cellStyle name="Lookup Table Number 4 2 3 8" xfId="31076"/>
    <cellStyle name="Lookup Table Number 4 2 3 9" xfId="31077"/>
    <cellStyle name="Lookup Table Number 4 2 4" xfId="31078"/>
    <cellStyle name="Lookup Table Number 4 2 5" xfId="31079"/>
    <cellStyle name="Lookup Table Number 4 2 6" xfId="31080"/>
    <cellStyle name="Lookup Table Number 4 2 7" xfId="31081"/>
    <cellStyle name="Lookup Table Number 4 2 8" xfId="31082"/>
    <cellStyle name="Lookup Table Number 4 2 9" xfId="31083"/>
    <cellStyle name="Lookup Table Number 4 3" xfId="31084"/>
    <cellStyle name="Lookup Table Number 4 3 10" xfId="31085"/>
    <cellStyle name="Lookup Table Number 4 3 2" xfId="31086"/>
    <cellStyle name="Lookup Table Number 4 3 2 2" xfId="31087"/>
    <cellStyle name="Lookup Table Number 4 3 2 3" xfId="31088"/>
    <cellStyle name="Lookup Table Number 4 3 2 4" xfId="31089"/>
    <cellStyle name="Lookup Table Number 4 3 2 5" xfId="31090"/>
    <cellStyle name="Lookup Table Number 4 3 2 6" xfId="31091"/>
    <cellStyle name="Lookup Table Number 4 3 2 7" xfId="31092"/>
    <cellStyle name="Lookup Table Number 4 3 2 8" xfId="31093"/>
    <cellStyle name="Lookup Table Number 4 3 2 9" xfId="31094"/>
    <cellStyle name="Lookup Table Number 4 3 3" xfId="31095"/>
    <cellStyle name="Lookup Table Number 4 3 4" xfId="31096"/>
    <cellStyle name="Lookup Table Number 4 3 5" xfId="31097"/>
    <cellStyle name="Lookup Table Number 4 3 6" xfId="31098"/>
    <cellStyle name="Lookup Table Number 4 3 7" xfId="31099"/>
    <cellStyle name="Lookup Table Number 4 3 8" xfId="31100"/>
    <cellStyle name="Lookup Table Number 4 3 9" xfId="31101"/>
    <cellStyle name="Lookup Table Number 4 4" xfId="31102"/>
    <cellStyle name="Lookup Table Number 4 4 2" xfId="31103"/>
    <cellStyle name="Lookup Table Number 4 4 3" xfId="31104"/>
    <cellStyle name="Lookup Table Number 4 4 4" xfId="31105"/>
    <cellStyle name="Lookup Table Number 4 4 5" xfId="31106"/>
    <cellStyle name="Lookup Table Number 4 4 6" xfId="31107"/>
    <cellStyle name="Lookup Table Number 4 4 7" xfId="31108"/>
    <cellStyle name="Lookup Table Number 4 4 8" xfId="31109"/>
    <cellStyle name="Lookup Table Number 4 4 9" xfId="31110"/>
    <cellStyle name="Lookup Table Number 4 5" xfId="31111"/>
    <cellStyle name="Lookup Table Number 4 6" xfId="31112"/>
    <cellStyle name="Lookup Table Number 4 7" xfId="31113"/>
    <cellStyle name="Lookup Table Number 4 8" xfId="31114"/>
    <cellStyle name="Lookup Table Number 4 9" xfId="31115"/>
    <cellStyle name="Lookup Table Number 5" xfId="31116"/>
    <cellStyle name="Lookup Table Number 5 10" xfId="31117"/>
    <cellStyle name="Lookup Table Number 5 11" xfId="31118"/>
    <cellStyle name="Lookup Table Number 5 2" xfId="31119"/>
    <cellStyle name="Lookup Table Number 5 2 10" xfId="31120"/>
    <cellStyle name="Lookup Table Number 5 2 2" xfId="31121"/>
    <cellStyle name="Lookup Table Number 5 2 2 2" xfId="31122"/>
    <cellStyle name="Lookup Table Number 5 2 2 3" xfId="31123"/>
    <cellStyle name="Lookup Table Number 5 2 2 4" xfId="31124"/>
    <cellStyle name="Lookup Table Number 5 2 2 5" xfId="31125"/>
    <cellStyle name="Lookup Table Number 5 2 2 6" xfId="31126"/>
    <cellStyle name="Lookup Table Number 5 2 2 7" xfId="31127"/>
    <cellStyle name="Lookup Table Number 5 2 2 8" xfId="31128"/>
    <cellStyle name="Lookup Table Number 5 2 2 9" xfId="31129"/>
    <cellStyle name="Lookup Table Number 5 2 3" xfId="31130"/>
    <cellStyle name="Lookup Table Number 5 2 4" xfId="31131"/>
    <cellStyle name="Lookup Table Number 5 2 5" xfId="31132"/>
    <cellStyle name="Lookup Table Number 5 2 6" xfId="31133"/>
    <cellStyle name="Lookup Table Number 5 2 7" xfId="31134"/>
    <cellStyle name="Lookup Table Number 5 2 8" xfId="31135"/>
    <cellStyle name="Lookup Table Number 5 2 9" xfId="31136"/>
    <cellStyle name="Lookup Table Number 5 3" xfId="31137"/>
    <cellStyle name="Lookup Table Number 5 3 2" xfId="31138"/>
    <cellStyle name="Lookup Table Number 5 3 3" xfId="31139"/>
    <cellStyle name="Lookup Table Number 5 3 4" xfId="31140"/>
    <cellStyle name="Lookup Table Number 5 3 5" xfId="31141"/>
    <cellStyle name="Lookup Table Number 5 3 6" xfId="31142"/>
    <cellStyle name="Lookup Table Number 5 3 7" xfId="31143"/>
    <cellStyle name="Lookup Table Number 5 3 8" xfId="31144"/>
    <cellStyle name="Lookup Table Number 5 3 9" xfId="31145"/>
    <cellStyle name="Lookup Table Number 5 4" xfId="31146"/>
    <cellStyle name="Lookup Table Number 5 5" xfId="31147"/>
    <cellStyle name="Lookup Table Number 5 6" xfId="31148"/>
    <cellStyle name="Lookup Table Number 5 7" xfId="31149"/>
    <cellStyle name="Lookup Table Number 5 8" xfId="31150"/>
    <cellStyle name="Lookup Table Number 5 9" xfId="31151"/>
    <cellStyle name="Lookup Table Number." xfId="31152"/>
    <cellStyle name="Lookup Table Number. 2" xfId="31153"/>
    <cellStyle name="Lookup Table Number. 2 2" xfId="31154"/>
    <cellStyle name="Lookup Table Number. 2 2 10" xfId="31155"/>
    <cellStyle name="Lookup Table Number. 2 2 11" xfId="31156"/>
    <cellStyle name="Lookup Table Number. 2 2 2" xfId="31157"/>
    <cellStyle name="Lookup Table Number. 2 2 2 10" xfId="31158"/>
    <cellStyle name="Lookup Table Number. 2 2 2 2" xfId="31159"/>
    <cellStyle name="Lookup Table Number. 2 2 2 2 2" xfId="31160"/>
    <cellStyle name="Lookup Table Number. 2 2 2 2 3" xfId="31161"/>
    <cellStyle name="Lookup Table Number. 2 2 2 2 4" xfId="31162"/>
    <cellStyle name="Lookup Table Number. 2 2 2 2 5" xfId="31163"/>
    <cellStyle name="Lookup Table Number. 2 2 2 2 6" xfId="31164"/>
    <cellStyle name="Lookup Table Number. 2 2 2 2 7" xfId="31165"/>
    <cellStyle name="Lookup Table Number. 2 2 2 2 8" xfId="31166"/>
    <cellStyle name="Lookup Table Number. 2 2 2 2 9" xfId="31167"/>
    <cellStyle name="Lookup Table Number. 2 2 2 3" xfId="31168"/>
    <cellStyle name="Lookup Table Number. 2 2 2 4" xfId="31169"/>
    <cellStyle name="Lookup Table Number. 2 2 2 5" xfId="31170"/>
    <cellStyle name="Lookup Table Number. 2 2 2 6" xfId="31171"/>
    <cellStyle name="Lookup Table Number. 2 2 2 7" xfId="31172"/>
    <cellStyle name="Lookup Table Number. 2 2 2 8" xfId="31173"/>
    <cellStyle name="Lookup Table Number. 2 2 2 9" xfId="31174"/>
    <cellStyle name="Lookup Table Number. 2 2 3" xfId="31175"/>
    <cellStyle name="Lookup Table Number. 2 2 3 2" xfId="31176"/>
    <cellStyle name="Lookup Table Number. 2 2 3 3" xfId="31177"/>
    <cellStyle name="Lookup Table Number. 2 2 3 4" xfId="31178"/>
    <cellStyle name="Lookup Table Number. 2 2 3 5" xfId="31179"/>
    <cellStyle name="Lookup Table Number. 2 2 3 6" xfId="31180"/>
    <cellStyle name="Lookup Table Number. 2 2 3 7" xfId="31181"/>
    <cellStyle name="Lookup Table Number. 2 2 3 8" xfId="31182"/>
    <cellStyle name="Lookup Table Number. 2 2 3 9" xfId="31183"/>
    <cellStyle name="Lookup Table Number. 2 2 4" xfId="31184"/>
    <cellStyle name="Lookup Table Number. 2 2 5" xfId="31185"/>
    <cellStyle name="Lookup Table Number. 2 2 6" xfId="31186"/>
    <cellStyle name="Lookup Table Number. 2 2 7" xfId="31187"/>
    <cellStyle name="Lookup Table Number. 2 2 8" xfId="31188"/>
    <cellStyle name="Lookup Table Number. 2 2 9" xfId="31189"/>
    <cellStyle name="Lookup Table Number. 3" xfId="31190"/>
    <cellStyle name="Lookup Table Number. 3 10" xfId="31191"/>
    <cellStyle name="Lookup Table Number. 3 11" xfId="31192"/>
    <cellStyle name="Lookup Table Number. 3 2" xfId="31193"/>
    <cellStyle name="Lookup Table Number. 3 2 10" xfId="31194"/>
    <cellStyle name="Lookup Table Number. 3 2 2" xfId="31195"/>
    <cellStyle name="Lookup Table Number. 3 2 2 2" xfId="31196"/>
    <cellStyle name="Lookup Table Number. 3 2 2 3" xfId="31197"/>
    <cellStyle name="Lookup Table Number. 3 2 2 4" xfId="31198"/>
    <cellStyle name="Lookup Table Number. 3 2 2 5" xfId="31199"/>
    <cellStyle name="Lookup Table Number. 3 2 2 6" xfId="31200"/>
    <cellStyle name="Lookup Table Number. 3 2 2 7" xfId="31201"/>
    <cellStyle name="Lookup Table Number. 3 2 2 8" xfId="31202"/>
    <cellStyle name="Lookup Table Number. 3 2 2 9" xfId="31203"/>
    <cellStyle name="Lookup Table Number. 3 2 3" xfId="31204"/>
    <cellStyle name="Lookup Table Number. 3 2 4" xfId="31205"/>
    <cellStyle name="Lookup Table Number. 3 2 5" xfId="31206"/>
    <cellStyle name="Lookup Table Number. 3 2 6" xfId="31207"/>
    <cellStyle name="Lookup Table Number. 3 2 7" xfId="31208"/>
    <cellStyle name="Lookup Table Number. 3 2 8" xfId="31209"/>
    <cellStyle name="Lookup Table Number. 3 2 9" xfId="31210"/>
    <cellStyle name="Lookup Table Number. 3 3" xfId="31211"/>
    <cellStyle name="Lookup Table Number. 3 3 2" xfId="31212"/>
    <cellStyle name="Lookup Table Number. 3 3 3" xfId="31213"/>
    <cellStyle name="Lookup Table Number. 3 3 4" xfId="31214"/>
    <cellStyle name="Lookup Table Number. 3 3 5" xfId="31215"/>
    <cellStyle name="Lookup Table Number. 3 3 6" xfId="31216"/>
    <cellStyle name="Lookup Table Number. 3 3 7" xfId="31217"/>
    <cellStyle name="Lookup Table Number. 3 3 8" xfId="31218"/>
    <cellStyle name="Lookup Table Number. 3 3 9" xfId="31219"/>
    <cellStyle name="Lookup Table Number. 3 4" xfId="31220"/>
    <cellStyle name="Lookup Table Number. 3 5" xfId="31221"/>
    <cellStyle name="Lookup Table Number. 3 6" xfId="31222"/>
    <cellStyle name="Lookup Table Number. 3 7" xfId="31223"/>
    <cellStyle name="Lookup Table Number. 3 8" xfId="31224"/>
    <cellStyle name="Lookup Table Number. 3 9" xfId="31225"/>
    <cellStyle name="Lookup Table Number_Current_Yr" xfId="31226"/>
    <cellStyle name="LS Input Lookup Label" xfId="31227"/>
    <cellStyle name="LS Input Lookup Label 10" xfId="31228"/>
    <cellStyle name="LS Input Lookup Label 10 10" xfId="31229"/>
    <cellStyle name="LS Input Lookup Label 10 11" xfId="31230"/>
    <cellStyle name="LS Input Lookup Label 10 2" xfId="31231"/>
    <cellStyle name="LS Input Lookup Label 10 2 10" xfId="31232"/>
    <cellStyle name="LS Input Lookup Label 10 2 2" xfId="31233"/>
    <cellStyle name="LS Input Lookup Label 10 2 2 2" xfId="31234"/>
    <cellStyle name="LS Input Lookup Label 10 2 2 3" xfId="31235"/>
    <cellStyle name="LS Input Lookup Label 10 2 2 4" xfId="31236"/>
    <cellStyle name="LS Input Lookup Label 10 2 2 5" xfId="31237"/>
    <cellStyle name="LS Input Lookup Label 10 2 2 6" xfId="31238"/>
    <cellStyle name="LS Input Lookup Label 10 2 2 7" xfId="31239"/>
    <cellStyle name="LS Input Lookup Label 10 2 2 8" xfId="31240"/>
    <cellStyle name="LS Input Lookup Label 10 2 2 9" xfId="31241"/>
    <cellStyle name="LS Input Lookup Label 10 2 3" xfId="31242"/>
    <cellStyle name="LS Input Lookup Label 10 2 4" xfId="31243"/>
    <cellStyle name="LS Input Lookup Label 10 2 5" xfId="31244"/>
    <cellStyle name="LS Input Lookup Label 10 2 6" xfId="31245"/>
    <cellStyle name="LS Input Lookup Label 10 2 7" xfId="31246"/>
    <cellStyle name="LS Input Lookup Label 10 2 8" xfId="31247"/>
    <cellStyle name="LS Input Lookup Label 10 2 9" xfId="31248"/>
    <cellStyle name="LS Input Lookup Label 10 3" xfId="31249"/>
    <cellStyle name="LS Input Lookup Label 10 3 2" xfId="31250"/>
    <cellStyle name="LS Input Lookup Label 10 3 3" xfId="31251"/>
    <cellStyle name="LS Input Lookup Label 10 3 4" xfId="31252"/>
    <cellStyle name="LS Input Lookup Label 10 3 5" xfId="31253"/>
    <cellStyle name="LS Input Lookup Label 10 3 6" xfId="31254"/>
    <cellStyle name="LS Input Lookup Label 10 3 7" xfId="31255"/>
    <cellStyle name="LS Input Lookup Label 10 3 8" xfId="31256"/>
    <cellStyle name="LS Input Lookup Label 10 3 9" xfId="31257"/>
    <cellStyle name="LS Input Lookup Label 10 4" xfId="31258"/>
    <cellStyle name="LS Input Lookup Label 10 5" xfId="31259"/>
    <cellStyle name="LS Input Lookup Label 10 6" xfId="31260"/>
    <cellStyle name="LS Input Lookup Label 10 7" xfId="31261"/>
    <cellStyle name="LS Input Lookup Label 10 8" xfId="31262"/>
    <cellStyle name="LS Input Lookup Label 10 9" xfId="31263"/>
    <cellStyle name="LS Input Lookup Label 11" xfId="31264"/>
    <cellStyle name="LS Input Lookup Label 11 10" xfId="31265"/>
    <cellStyle name="LS Input Lookup Label 11 11" xfId="31266"/>
    <cellStyle name="LS Input Lookup Label 11 2" xfId="31267"/>
    <cellStyle name="LS Input Lookup Label 11 2 10" xfId="31268"/>
    <cellStyle name="LS Input Lookup Label 11 2 2" xfId="31269"/>
    <cellStyle name="LS Input Lookup Label 11 2 2 2" xfId="31270"/>
    <cellStyle name="LS Input Lookup Label 11 2 2 3" xfId="31271"/>
    <cellStyle name="LS Input Lookup Label 11 2 2 4" xfId="31272"/>
    <cellStyle name="LS Input Lookup Label 11 2 2 5" xfId="31273"/>
    <cellStyle name="LS Input Lookup Label 11 2 2 6" xfId="31274"/>
    <cellStyle name="LS Input Lookup Label 11 2 2 7" xfId="31275"/>
    <cellStyle name="LS Input Lookup Label 11 2 2 8" xfId="31276"/>
    <cellStyle name="LS Input Lookup Label 11 2 2 9" xfId="31277"/>
    <cellStyle name="LS Input Lookup Label 11 2 3" xfId="31278"/>
    <cellStyle name="LS Input Lookup Label 11 2 4" xfId="31279"/>
    <cellStyle name="LS Input Lookup Label 11 2 5" xfId="31280"/>
    <cellStyle name="LS Input Lookup Label 11 2 6" xfId="31281"/>
    <cellStyle name="LS Input Lookup Label 11 2 7" xfId="31282"/>
    <cellStyle name="LS Input Lookup Label 11 2 8" xfId="31283"/>
    <cellStyle name="LS Input Lookup Label 11 2 9" xfId="31284"/>
    <cellStyle name="LS Input Lookup Label 11 3" xfId="31285"/>
    <cellStyle name="LS Input Lookup Label 11 3 2" xfId="31286"/>
    <cellStyle name="LS Input Lookup Label 11 3 3" xfId="31287"/>
    <cellStyle name="LS Input Lookup Label 11 3 4" xfId="31288"/>
    <cellStyle name="LS Input Lookup Label 11 3 5" xfId="31289"/>
    <cellStyle name="LS Input Lookup Label 11 3 6" xfId="31290"/>
    <cellStyle name="LS Input Lookup Label 11 3 7" xfId="31291"/>
    <cellStyle name="LS Input Lookup Label 11 3 8" xfId="31292"/>
    <cellStyle name="LS Input Lookup Label 11 3 9" xfId="31293"/>
    <cellStyle name="LS Input Lookup Label 11 4" xfId="31294"/>
    <cellStyle name="LS Input Lookup Label 11 5" xfId="31295"/>
    <cellStyle name="LS Input Lookup Label 11 6" xfId="31296"/>
    <cellStyle name="LS Input Lookup Label 11 7" xfId="31297"/>
    <cellStyle name="LS Input Lookup Label 11 8" xfId="31298"/>
    <cellStyle name="LS Input Lookup Label 11 9" xfId="31299"/>
    <cellStyle name="LS Input Lookup Label 12" xfId="31300"/>
    <cellStyle name="LS Input Lookup Label 12 10" xfId="31301"/>
    <cellStyle name="LS Input Lookup Label 12 2" xfId="31302"/>
    <cellStyle name="LS Input Lookup Label 12 2 2" xfId="31303"/>
    <cellStyle name="LS Input Lookup Label 12 2 3" xfId="31304"/>
    <cellStyle name="LS Input Lookup Label 12 2 4" xfId="31305"/>
    <cellStyle name="LS Input Lookup Label 12 2 5" xfId="31306"/>
    <cellStyle name="LS Input Lookup Label 12 2 6" xfId="31307"/>
    <cellStyle name="LS Input Lookup Label 12 2 7" xfId="31308"/>
    <cellStyle name="LS Input Lookup Label 12 2 8" xfId="31309"/>
    <cellStyle name="LS Input Lookup Label 12 2 9" xfId="31310"/>
    <cellStyle name="LS Input Lookup Label 12 3" xfId="31311"/>
    <cellStyle name="LS Input Lookup Label 12 4" xfId="31312"/>
    <cellStyle name="LS Input Lookup Label 12 5" xfId="31313"/>
    <cellStyle name="LS Input Lookup Label 12 6" xfId="31314"/>
    <cellStyle name="LS Input Lookup Label 12 7" xfId="31315"/>
    <cellStyle name="LS Input Lookup Label 12 8" xfId="31316"/>
    <cellStyle name="LS Input Lookup Label 12 9" xfId="31317"/>
    <cellStyle name="LS Input Lookup Label 13" xfId="31318"/>
    <cellStyle name="LS Input Lookup Label 13 2" xfId="31319"/>
    <cellStyle name="LS Input Lookup Label 13 3" xfId="31320"/>
    <cellStyle name="LS Input Lookup Label 13 4" xfId="31321"/>
    <cellStyle name="LS Input Lookup Label 13 5" xfId="31322"/>
    <cellStyle name="LS Input Lookup Label 13 6" xfId="31323"/>
    <cellStyle name="LS Input Lookup Label 13 7" xfId="31324"/>
    <cellStyle name="LS Input Lookup Label 13 8" xfId="31325"/>
    <cellStyle name="LS Input Lookup Label 13 9" xfId="31326"/>
    <cellStyle name="LS Input Lookup Label 14" xfId="31327"/>
    <cellStyle name="LS Input Lookup Label 15" xfId="31328"/>
    <cellStyle name="LS Input Lookup Label 16" xfId="31329"/>
    <cellStyle name="LS Input Lookup Label 17" xfId="31330"/>
    <cellStyle name="LS Input Lookup Label 2" xfId="31331"/>
    <cellStyle name="LS Input Lookup Label 2 10" xfId="31332"/>
    <cellStyle name="LS Input Lookup Label 2 11" xfId="31333"/>
    <cellStyle name="LS Input Lookup Label 2 12" xfId="31334"/>
    <cellStyle name="LS Input Lookup Label 2 13" xfId="31335"/>
    <cellStyle name="LS Input Lookup Label 2 14" xfId="31336"/>
    <cellStyle name="LS Input Lookup Label 2 15" xfId="31337"/>
    <cellStyle name="LS Input Lookup Label 2 16" xfId="31338"/>
    <cellStyle name="LS Input Lookup Label 2 17" xfId="31339"/>
    <cellStyle name="LS Input Lookup Label 2 18" xfId="31340"/>
    <cellStyle name="LS Input Lookup Label 2 2" xfId="31341"/>
    <cellStyle name="LS Input Lookup Label 2 2 10" xfId="31342"/>
    <cellStyle name="LS Input Lookup Label 2 2 11" xfId="31343"/>
    <cellStyle name="LS Input Lookup Label 2 2 12" xfId="31344"/>
    <cellStyle name="LS Input Lookup Label 2 2 13" xfId="31345"/>
    <cellStyle name="LS Input Lookup Label 2 2 2" xfId="31346"/>
    <cellStyle name="LS Input Lookup Label 2 2 2 10" xfId="31347"/>
    <cellStyle name="LS Input Lookup Label 2 2 2 11" xfId="31348"/>
    <cellStyle name="LS Input Lookup Label 2 2 2 12" xfId="31349"/>
    <cellStyle name="LS Input Lookup Label 2 2 2 2" xfId="31350"/>
    <cellStyle name="LS Input Lookup Label 2 2 2 2 10" xfId="31351"/>
    <cellStyle name="LS Input Lookup Label 2 2 2 2 11" xfId="31352"/>
    <cellStyle name="LS Input Lookup Label 2 2 2 2 2" xfId="31353"/>
    <cellStyle name="LS Input Lookup Label 2 2 2 2 2 10" xfId="31354"/>
    <cellStyle name="LS Input Lookup Label 2 2 2 2 2 2" xfId="31355"/>
    <cellStyle name="LS Input Lookup Label 2 2 2 2 2 2 2" xfId="31356"/>
    <cellStyle name="LS Input Lookup Label 2 2 2 2 2 2 3" xfId="31357"/>
    <cellStyle name="LS Input Lookup Label 2 2 2 2 2 2 4" xfId="31358"/>
    <cellStyle name="LS Input Lookup Label 2 2 2 2 2 2 5" xfId="31359"/>
    <cellStyle name="LS Input Lookup Label 2 2 2 2 2 2 6" xfId="31360"/>
    <cellStyle name="LS Input Lookup Label 2 2 2 2 2 2 7" xfId="31361"/>
    <cellStyle name="LS Input Lookup Label 2 2 2 2 2 2 8" xfId="31362"/>
    <cellStyle name="LS Input Lookup Label 2 2 2 2 2 2 9" xfId="31363"/>
    <cellStyle name="LS Input Lookup Label 2 2 2 2 2 3" xfId="31364"/>
    <cellStyle name="LS Input Lookup Label 2 2 2 2 2 4" xfId="31365"/>
    <cellStyle name="LS Input Lookup Label 2 2 2 2 2 5" xfId="31366"/>
    <cellStyle name="LS Input Lookup Label 2 2 2 2 2 6" xfId="31367"/>
    <cellStyle name="LS Input Lookup Label 2 2 2 2 2 7" xfId="31368"/>
    <cellStyle name="LS Input Lookup Label 2 2 2 2 2 8" xfId="31369"/>
    <cellStyle name="LS Input Lookup Label 2 2 2 2 2 9" xfId="31370"/>
    <cellStyle name="LS Input Lookup Label 2 2 2 2 3" xfId="31371"/>
    <cellStyle name="LS Input Lookup Label 2 2 2 2 3 2" xfId="31372"/>
    <cellStyle name="LS Input Lookup Label 2 2 2 2 3 3" xfId="31373"/>
    <cellStyle name="LS Input Lookup Label 2 2 2 2 3 4" xfId="31374"/>
    <cellStyle name="LS Input Lookup Label 2 2 2 2 3 5" xfId="31375"/>
    <cellStyle name="LS Input Lookup Label 2 2 2 2 3 6" xfId="31376"/>
    <cellStyle name="LS Input Lookup Label 2 2 2 2 3 7" xfId="31377"/>
    <cellStyle name="LS Input Lookup Label 2 2 2 2 3 8" xfId="31378"/>
    <cellStyle name="LS Input Lookup Label 2 2 2 2 3 9" xfId="31379"/>
    <cellStyle name="LS Input Lookup Label 2 2 2 2 4" xfId="31380"/>
    <cellStyle name="LS Input Lookup Label 2 2 2 2 5" xfId="31381"/>
    <cellStyle name="LS Input Lookup Label 2 2 2 2 6" xfId="31382"/>
    <cellStyle name="LS Input Lookup Label 2 2 2 2 7" xfId="31383"/>
    <cellStyle name="LS Input Lookup Label 2 2 2 2 8" xfId="31384"/>
    <cellStyle name="LS Input Lookup Label 2 2 2 2 9" xfId="31385"/>
    <cellStyle name="LS Input Lookup Label 2 2 2 3" xfId="31386"/>
    <cellStyle name="LS Input Lookup Label 2 2 2 3 10" xfId="31387"/>
    <cellStyle name="LS Input Lookup Label 2 2 2 3 2" xfId="31388"/>
    <cellStyle name="LS Input Lookup Label 2 2 2 3 2 2" xfId="31389"/>
    <cellStyle name="LS Input Lookup Label 2 2 2 3 2 3" xfId="31390"/>
    <cellStyle name="LS Input Lookup Label 2 2 2 3 2 4" xfId="31391"/>
    <cellStyle name="LS Input Lookup Label 2 2 2 3 2 5" xfId="31392"/>
    <cellStyle name="LS Input Lookup Label 2 2 2 3 2 6" xfId="31393"/>
    <cellStyle name="LS Input Lookup Label 2 2 2 3 2 7" xfId="31394"/>
    <cellStyle name="LS Input Lookup Label 2 2 2 3 2 8" xfId="31395"/>
    <cellStyle name="LS Input Lookup Label 2 2 2 3 2 9" xfId="31396"/>
    <cellStyle name="LS Input Lookup Label 2 2 2 3 3" xfId="31397"/>
    <cellStyle name="LS Input Lookup Label 2 2 2 3 4" xfId="31398"/>
    <cellStyle name="LS Input Lookup Label 2 2 2 3 5" xfId="31399"/>
    <cellStyle name="LS Input Lookup Label 2 2 2 3 6" xfId="31400"/>
    <cellStyle name="LS Input Lookup Label 2 2 2 3 7" xfId="31401"/>
    <cellStyle name="LS Input Lookup Label 2 2 2 3 8" xfId="31402"/>
    <cellStyle name="LS Input Lookup Label 2 2 2 3 9" xfId="31403"/>
    <cellStyle name="LS Input Lookup Label 2 2 2 4" xfId="31404"/>
    <cellStyle name="LS Input Lookup Label 2 2 2 4 2" xfId="31405"/>
    <cellStyle name="LS Input Lookup Label 2 2 2 4 3" xfId="31406"/>
    <cellStyle name="LS Input Lookup Label 2 2 2 4 4" xfId="31407"/>
    <cellStyle name="LS Input Lookup Label 2 2 2 4 5" xfId="31408"/>
    <cellStyle name="LS Input Lookup Label 2 2 2 4 6" xfId="31409"/>
    <cellStyle name="LS Input Lookup Label 2 2 2 4 7" xfId="31410"/>
    <cellStyle name="LS Input Lookup Label 2 2 2 4 8" xfId="31411"/>
    <cellStyle name="LS Input Lookup Label 2 2 2 4 9" xfId="31412"/>
    <cellStyle name="LS Input Lookup Label 2 2 2 5" xfId="31413"/>
    <cellStyle name="LS Input Lookup Label 2 2 2 6" xfId="31414"/>
    <cellStyle name="LS Input Lookup Label 2 2 2 7" xfId="31415"/>
    <cellStyle name="LS Input Lookup Label 2 2 2 8" xfId="31416"/>
    <cellStyle name="LS Input Lookup Label 2 2 2 9" xfId="31417"/>
    <cellStyle name="LS Input Lookup Label 2 2 3" xfId="31418"/>
    <cellStyle name="LS Input Lookup Label 2 2 3 10" xfId="31419"/>
    <cellStyle name="LS Input Lookup Label 2 2 3 11" xfId="31420"/>
    <cellStyle name="LS Input Lookup Label 2 2 3 2" xfId="31421"/>
    <cellStyle name="LS Input Lookup Label 2 2 3 2 10" xfId="31422"/>
    <cellStyle name="LS Input Lookup Label 2 2 3 2 2" xfId="31423"/>
    <cellStyle name="LS Input Lookup Label 2 2 3 2 2 2" xfId="31424"/>
    <cellStyle name="LS Input Lookup Label 2 2 3 2 2 3" xfId="31425"/>
    <cellStyle name="LS Input Lookup Label 2 2 3 2 2 4" xfId="31426"/>
    <cellStyle name="LS Input Lookup Label 2 2 3 2 2 5" xfId="31427"/>
    <cellStyle name="LS Input Lookup Label 2 2 3 2 2 6" xfId="31428"/>
    <cellStyle name="LS Input Lookup Label 2 2 3 2 2 7" xfId="31429"/>
    <cellStyle name="LS Input Lookup Label 2 2 3 2 2 8" xfId="31430"/>
    <cellStyle name="LS Input Lookup Label 2 2 3 2 2 9" xfId="31431"/>
    <cellStyle name="LS Input Lookup Label 2 2 3 2 3" xfId="31432"/>
    <cellStyle name="LS Input Lookup Label 2 2 3 2 4" xfId="31433"/>
    <cellStyle name="LS Input Lookup Label 2 2 3 2 5" xfId="31434"/>
    <cellStyle name="LS Input Lookup Label 2 2 3 2 6" xfId="31435"/>
    <cellStyle name="LS Input Lookup Label 2 2 3 2 7" xfId="31436"/>
    <cellStyle name="LS Input Lookup Label 2 2 3 2 8" xfId="31437"/>
    <cellStyle name="LS Input Lookup Label 2 2 3 2 9" xfId="31438"/>
    <cellStyle name="LS Input Lookup Label 2 2 3 3" xfId="31439"/>
    <cellStyle name="LS Input Lookup Label 2 2 3 3 2" xfId="31440"/>
    <cellStyle name="LS Input Lookup Label 2 2 3 3 3" xfId="31441"/>
    <cellStyle name="LS Input Lookup Label 2 2 3 3 4" xfId="31442"/>
    <cellStyle name="LS Input Lookup Label 2 2 3 3 5" xfId="31443"/>
    <cellStyle name="LS Input Lookup Label 2 2 3 3 6" xfId="31444"/>
    <cellStyle name="LS Input Lookup Label 2 2 3 3 7" xfId="31445"/>
    <cellStyle name="LS Input Lookup Label 2 2 3 3 8" xfId="31446"/>
    <cellStyle name="LS Input Lookup Label 2 2 3 3 9" xfId="31447"/>
    <cellStyle name="LS Input Lookup Label 2 2 3 4" xfId="31448"/>
    <cellStyle name="LS Input Lookup Label 2 2 3 5" xfId="31449"/>
    <cellStyle name="LS Input Lookup Label 2 2 3 6" xfId="31450"/>
    <cellStyle name="LS Input Lookup Label 2 2 3 7" xfId="31451"/>
    <cellStyle name="LS Input Lookup Label 2 2 3 8" xfId="31452"/>
    <cellStyle name="LS Input Lookup Label 2 2 3 9" xfId="31453"/>
    <cellStyle name="LS Input Lookup Label 2 2 4" xfId="31454"/>
    <cellStyle name="LS Input Lookup Label 2 2 4 10" xfId="31455"/>
    <cellStyle name="LS Input Lookup Label 2 2 4 2" xfId="31456"/>
    <cellStyle name="LS Input Lookup Label 2 2 4 2 2" xfId="31457"/>
    <cellStyle name="LS Input Lookup Label 2 2 4 2 3" xfId="31458"/>
    <cellStyle name="LS Input Lookup Label 2 2 4 2 4" xfId="31459"/>
    <cellStyle name="LS Input Lookup Label 2 2 4 2 5" xfId="31460"/>
    <cellStyle name="LS Input Lookup Label 2 2 4 2 6" xfId="31461"/>
    <cellStyle name="LS Input Lookup Label 2 2 4 2 7" xfId="31462"/>
    <cellStyle name="LS Input Lookup Label 2 2 4 2 8" xfId="31463"/>
    <cellStyle name="LS Input Lookup Label 2 2 4 2 9" xfId="31464"/>
    <cellStyle name="LS Input Lookup Label 2 2 4 3" xfId="31465"/>
    <cellStyle name="LS Input Lookup Label 2 2 4 4" xfId="31466"/>
    <cellStyle name="LS Input Lookup Label 2 2 4 5" xfId="31467"/>
    <cellStyle name="LS Input Lookup Label 2 2 4 6" xfId="31468"/>
    <cellStyle name="LS Input Lookup Label 2 2 4 7" xfId="31469"/>
    <cellStyle name="LS Input Lookup Label 2 2 4 8" xfId="31470"/>
    <cellStyle name="LS Input Lookup Label 2 2 4 9" xfId="31471"/>
    <cellStyle name="LS Input Lookup Label 2 2 5" xfId="31472"/>
    <cellStyle name="LS Input Lookup Label 2 2 5 2" xfId="31473"/>
    <cellStyle name="LS Input Lookup Label 2 2 5 3" xfId="31474"/>
    <cellStyle name="LS Input Lookup Label 2 2 5 4" xfId="31475"/>
    <cellStyle name="LS Input Lookup Label 2 2 5 5" xfId="31476"/>
    <cellStyle name="LS Input Lookup Label 2 2 5 6" xfId="31477"/>
    <cellStyle name="LS Input Lookup Label 2 2 5 7" xfId="31478"/>
    <cellStyle name="LS Input Lookup Label 2 2 5 8" xfId="31479"/>
    <cellStyle name="LS Input Lookup Label 2 2 5 9" xfId="31480"/>
    <cellStyle name="LS Input Lookup Label 2 2 6" xfId="31481"/>
    <cellStyle name="LS Input Lookup Label 2 2 7" xfId="31482"/>
    <cellStyle name="LS Input Lookup Label 2 2 8" xfId="31483"/>
    <cellStyle name="LS Input Lookup Label 2 2 9" xfId="31484"/>
    <cellStyle name="LS Input Lookup Label 2 3" xfId="31485"/>
    <cellStyle name="LS Input Lookup Label 2 3 10" xfId="31486"/>
    <cellStyle name="LS Input Lookup Label 2 3 11" xfId="31487"/>
    <cellStyle name="LS Input Lookup Label 2 3 12" xfId="31488"/>
    <cellStyle name="LS Input Lookup Label 2 3 2" xfId="31489"/>
    <cellStyle name="LS Input Lookup Label 2 3 2 10" xfId="31490"/>
    <cellStyle name="LS Input Lookup Label 2 3 2 11" xfId="31491"/>
    <cellStyle name="LS Input Lookup Label 2 3 2 2" xfId="31492"/>
    <cellStyle name="LS Input Lookup Label 2 3 2 2 10" xfId="31493"/>
    <cellStyle name="LS Input Lookup Label 2 3 2 2 2" xfId="31494"/>
    <cellStyle name="LS Input Lookup Label 2 3 2 2 2 2" xfId="31495"/>
    <cellStyle name="LS Input Lookup Label 2 3 2 2 2 3" xfId="31496"/>
    <cellStyle name="LS Input Lookup Label 2 3 2 2 2 4" xfId="31497"/>
    <cellStyle name="LS Input Lookup Label 2 3 2 2 2 5" xfId="31498"/>
    <cellStyle name="LS Input Lookup Label 2 3 2 2 2 6" xfId="31499"/>
    <cellStyle name="LS Input Lookup Label 2 3 2 2 2 7" xfId="31500"/>
    <cellStyle name="LS Input Lookup Label 2 3 2 2 2 8" xfId="31501"/>
    <cellStyle name="LS Input Lookup Label 2 3 2 2 2 9" xfId="31502"/>
    <cellStyle name="LS Input Lookup Label 2 3 2 2 3" xfId="31503"/>
    <cellStyle name="LS Input Lookup Label 2 3 2 2 4" xfId="31504"/>
    <cellStyle name="LS Input Lookup Label 2 3 2 2 5" xfId="31505"/>
    <cellStyle name="LS Input Lookup Label 2 3 2 2 6" xfId="31506"/>
    <cellStyle name="LS Input Lookup Label 2 3 2 2 7" xfId="31507"/>
    <cellStyle name="LS Input Lookup Label 2 3 2 2 8" xfId="31508"/>
    <cellStyle name="LS Input Lookup Label 2 3 2 2 9" xfId="31509"/>
    <cellStyle name="LS Input Lookup Label 2 3 2 3" xfId="31510"/>
    <cellStyle name="LS Input Lookup Label 2 3 2 3 2" xfId="31511"/>
    <cellStyle name="LS Input Lookup Label 2 3 2 3 3" xfId="31512"/>
    <cellStyle name="LS Input Lookup Label 2 3 2 3 4" xfId="31513"/>
    <cellStyle name="LS Input Lookup Label 2 3 2 3 5" xfId="31514"/>
    <cellStyle name="LS Input Lookup Label 2 3 2 3 6" xfId="31515"/>
    <cellStyle name="LS Input Lookup Label 2 3 2 3 7" xfId="31516"/>
    <cellStyle name="LS Input Lookup Label 2 3 2 3 8" xfId="31517"/>
    <cellStyle name="LS Input Lookup Label 2 3 2 3 9" xfId="31518"/>
    <cellStyle name="LS Input Lookup Label 2 3 2 4" xfId="31519"/>
    <cellStyle name="LS Input Lookup Label 2 3 2 5" xfId="31520"/>
    <cellStyle name="LS Input Lookup Label 2 3 2 6" xfId="31521"/>
    <cellStyle name="LS Input Lookup Label 2 3 2 7" xfId="31522"/>
    <cellStyle name="LS Input Lookup Label 2 3 2 8" xfId="31523"/>
    <cellStyle name="LS Input Lookup Label 2 3 2 9" xfId="31524"/>
    <cellStyle name="LS Input Lookup Label 2 3 3" xfId="31525"/>
    <cellStyle name="LS Input Lookup Label 2 3 3 10" xfId="31526"/>
    <cellStyle name="LS Input Lookup Label 2 3 3 2" xfId="31527"/>
    <cellStyle name="LS Input Lookup Label 2 3 3 2 2" xfId="31528"/>
    <cellStyle name="LS Input Lookup Label 2 3 3 2 3" xfId="31529"/>
    <cellStyle name="LS Input Lookup Label 2 3 3 2 4" xfId="31530"/>
    <cellStyle name="LS Input Lookup Label 2 3 3 2 5" xfId="31531"/>
    <cellStyle name="LS Input Lookup Label 2 3 3 2 6" xfId="31532"/>
    <cellStyle name="LS Input Lookup Label 2 3 3 2 7" xfId="31533"/>
    <cellStyle name="LS Input Lookup Label 2 3 3 2 8" xfId="31534"/>
    <cellStyle name="LS Input Lookup Label 2 3 3 2 9" xfId="31535"/>
    <cellStyle name="LS Input Lookup Label 2 3 3 3" xfId="31536"/>
    <cellStyle name="LS Input Lookup Label 2 3 3 4" xfId="31537"/>
    <cellStyle name="LS Input Lookup Label 2 3 3 5" xfId="31538"/>
    <cellStyle name="LS Input Lookup Label 2 3 3 6" xfId="31539"/>
    <cellStyle name="LS Input Lookup Label 2 3 3 7" xfId="31540"/>
    <cellStyle name="LS Input Lookup Label 2 3 3 8" xfId="31541"/>
    <cellStyle name="LS Input Lookup Label 2 3 3 9" xfId="31542"/>
    <cellStyle name="LS Input Lookup Label 2 3 4" xfId="31543"/>
    <cellStyle name="LS Input Lookup Label 2 3 4 2" xfId="31544"/>
    <cellStyle name="LS Input Lookup Label 2 3 4 3" xfId="31545"/>
    <cellStyle name="LS Input Lookup Label 2 3 4 4" xfId="31546"/>
    <cellStyle name="LS Input Lookup Label 2 3 4 5" xfId="31547"/>
    <cellStyle name="LS Input Lookup Label 2 3 4 6" xfId="31548"/>
    <cellStyle name="LS Input Lookup Label 2 3 4 7" xfId="31549"/>
    <cellStyle name="LS Input Lookup Label 2 3 4 8" xfId="31550"/>
    <cellStyle name="LS Input Lookup Label 2 3 4 9" xfId="31551"/>
    <cellStyle name="LS Input Lookup Label 2 3 5" xfId="31552"/>
    <cellStyle name="LS Input Lookup Label 2 3 6" xfId="31553"/>
    <cellStyle name="LS Input Lookup Label 2 3 7" xfId="31554"/>
    <cellStyle name="LS Input Lookup Label 2 3 8" xfId="31555"/>
    <cellStyle name="LS Input Lookup Label 2 3 9" xfId="31556"/>
    <cellStyle name="LS Input Lookup Label 2 4" xfId="31557"/>
    <cellStyle name="LS Input Lookup Label 2 4 10" xfId="31558"/>
    <cellStyle name="LS Input Lookup Label 2 4 11" xfId="31559"/>
    <cellStyle name="LS Input Lookup Label 2 4 12" xfId="31560"/>
    <cellStyle name="LS Input Lookup Label 2 4 2" xfId="31561"/>
    <cellStyle name="LS Input Lookup Label 2 4 2 10" xfId="31562"/>
    <cellStyle name="LS Input Lookup Label 2 4 2 11" xfId="31563"/>
    <cellStyle name="LS Input Lookup Label 2 4 2 2" xfId="31564"/>
    <cellStyle name="LS Input Lookup Label 2 4 2 2 10" xfId="31565"/>
    <cellStyle name="LS Input Lookup Label 2 4 2 2 2" xfId="31566"/>
    <cellStyle name="LS Input Lookup Label 2 4 2 2 2 2" xfId="31567"/>
    <cellStyle name="LS Input Lookup Label 2 4 2 2 2 3" xfId="31568"/>
    <cellStyle name="LS Input Lookup Label 2 4 2 2 2 4" xfId="31569"/>
    <cellStyle name="LS Input Lookup Label 2 4 2 2 2 5" xfId="31570"/>
    <cellStyle name="LS Input Lookup Label 2 4 2 2 2 6" xfId="31571"/>
    <cellStyle name="LS Input Lookup Label 2 4 2 2 2 7" xfId="31572"/>
    <cellStyle name="LS Input Lookup Label 2 4 2 2 2 8" xfId="31573"/>
    <cellStyle name="LS Input Lookup Label 2 4 2 2 2 9" xfId="31574"/>
    <cellStyle name="LS Input Lookup Label 2 4 2 2 3" xfId="31575"/>
    <cellStyle name="LS Input Lookup Label 2 4 2 2 4" xfId="31576"/>
    <cellStyle name="LS Input Lookup Label 2 4 2 2 5" xfId="31577"/>
    <cellStyle name="LS Input Lookup Label 2 4 2 2 6" xfId="31578"/>
    <cellStyle name="LS Input Lookup Label 2 4 2 2 7" xfId="31579"/>
    <cellStyle name="LS Input Lookup Label 2 4 2 2 8" xfId="31580"/>
    <cellStyle name="LS Input Lookup Label 2 4 2 2 9" xfId="31581"/>
    <cellStyle name="LS Input Lookup Label 2 4 2 3" xfId="31582"/>
    <cellStyle name="LS Input Lookup Label 2 4 2 3 2" xfId="31583"/>
    <cellStyle name="LS Input Lookup Label 2 4 2 3 3" xfId="31584"/>
    <cellStyle name="LS Input Lookup Label 2 4 2 3 4" xfId="31585"/>
    <cellStyle name="LS Input Lookup Label 2 4 2 3 5" xfId="31586"/>
    <cellStyle name="LS Input Lookup Label 2 4 2 3 6" xfId="31587"/>
    <cellStyle name="LS Input Lookup Label 2 4 2 3 7" xfId="31588"/>
    <cellStyle name="LS Input Lookup Label 2 4 2 3 8" xfId="31589"/>
    <cellStyle name="LS Input Lookup Label 2 4 2 3 9" xfId="31590"/>
    <cellStyle name="LS Input Lookup Label 2 4 2 4" xfId="31591"/>
    <cellStyle name="LS Input Lookup Label 2 4 2 5" xfId="31592"/>
    <cellStyle name="LS Input Lookup Label 2 4 2 6" xfId="31593"/>
    <cellStyle name="LS Input Lookup Label 2 4 2 7" xfId="31594"/>
    <cellStyle name="LS Input Lookup Label 2 4 2 8" xfId="31595"/>
    <cellStyle name="LS Input Lookup Label 2 4 2 9" xfId="31596"/>
    <cellStyle name="LS Input Lookup Label 2 4 3" xfId="31597"/>
    <cellStyle name="LS Input Lookup Label 2 4 3 10" xfId="31598"/>
    <cellStyle name="LS Input Lookup Label 2 4 3 2" xfId="31599"/>
    <cellStyle name="LS Input Lookup Label 2 4 3 2 2" xfId="31600"/>
    <cellStyle name="LS Input Lookup Label 2 4 3 2 3" xfId="31601"/>
    <cellStyle name="LS Input Lookup Label 2 4 3 2 4" xfId="31602"/>
    <cellStyle name="LS Input Lookup Label 2 4 3 2 5" xfId="31603"/>
    <cellStyle name="LS Input Lookup Label 2 4 3 2 6" xfId="31604"/>
    <cellStyle name="LS Input Lookup Label 2 4 3 2 7" xfId="31605"/>
    <cellStyle name="LS Input Lookup Label 2 4 3 2 8" xfId="31606"/>
    <cellStyle name="LS Input Lookup Label 2 4 3 2 9" xfId="31607"/>
    <cellStyle name="LS Input Lookup Label 2 4 3 3" xfId="31608"/>
    <cellStyle name="LS Input Lookup Label 2 4 3 4" xfId="31609"/>
    <cellStyle name="LS Input Lookup Label 2 4 3 5" xfId="31610"/>
    <cellStyle name="LS Input Lookup Label 2 4 3 6" xfId="31611"/>
    <cellStyle name="LS Input Lookup Label 2 4 3 7" xfId="31612"/>
    <cellStyle name="LS Input Lookup Label 2 4 3 8" xfId="31613"/>
    <cellStyle name="LS Input Lookup Label 2 4 3 9" xfId="31614"/>
    <cellStyle name="LS Input Lookup Label 2 4 4" xfId="31615"/>
    <cellStyle name="LS Input Lookup Label 2 4 4 2" xfId="31616"/>
    <cellStyle name="LS Input Lookup Label 2 4 4 3" xfId="31617"/>
    <cellStyle name="LS Input Lookup Label 2 4 4 4" xfId="31618"/>
    <cellStyle name="LS Input Lookup Label 2 4 4 5" xfId="31619"/>
    <cellStyle name="LS Input Lookup Label 2 4 4 6" xfId="31620"/>
    <cellStyle name="LS Input Lookup Label 2 4 4 7" xfId="31621"/>
    <cellStyle name="LS Input Lookup Label 2 4 4 8" xfId="31622"/>
    <cellStyle name="LS Input Lookup Label 2 4 4 9" xfId="31623"/>
    <cellStyle name="LS Input Lookup Label 2 4 5" xfId="31624"/>
    <cellStyle name="LS Input Lookup Label 2 4 6" xfId="31625"/>
    <cellStyle name="LS Input Lookup Label 2 4 7" xfId="31626"/>
    <cellStyle name="LS Input Lookup Label 2 4 8" xfId="31627"/>
    <cellStyle name="LS Input Lookup Label 2 4 9" xfId="31628"/>
    <cellStyle name="LS Input Lookup Label 2 5" xfId="31629"/>
    <cellStyle name="LS Input Lookup Label 2 5 10" xfId="31630"/>
    <cellStyle name="LS Input Lookup Label 2 5 11" xfId="31631"/>
    <cellStyle name="LS Input Lookup Label 2 5 12" xfId="31632"/>
    <cellStyle name="LS Input Lookup Label 2 5 2" xfId="31633"/>
    <cellStyle name="LS Input Lookup Label 2 5 2 10" xfId="31634"/>
    <cellStyle name="LS Input Lookup Label 2 5 2 11" xfId="31635"/>
    <cellStyle name="LS Input Lookup Label 2 5 2 2" xfId="31636"/>
    <cellStyle name="LS Input Lookup Label 2 5 2 2 10" xfId="31637"/>
    <cellStyle name="LS Input Lookup Label 2 5 2 2 2" xfId="31638"/>
    <cellStyle name="LS Input Lookup Label 2 5 2 2 2 2" xfId="31639"/>
    <cellStyle name="LS Input Lookup Label 2 5 2 2 2 3" xfId="31640"/>
    <cellStyle name="LS Input Lookup Label 2 5 2 2 2 4" xfId="31641"/>
    <cellStyle name="LS Input Lookup Label 2 5 2 2 2 5" xfId="31642"/>
    <cellStyle name="LS Input Lookup Label 2 5 2 2 2 6" xfId="31643"/>
    <cellStyle name="LS Input Lookup Label 2 5 2 2 2 7" xfId="31644"/>
    <cellStyle name="LS Input Lookup Label 2 5 2 2 2 8" xfId="31645"/>
    <cellStyle name="LS Input Lookup Label 2 5 2 2 2 9" xfId="31646"/>
    <cellStyle name="LS Input Lookup Label 2 5 2 2 3" xfId="31647"/>
    <cellStyle name="LS Input Lookup Label 2 5 2 2 4" xfId="31648"/>
    <cellStyle name="LS Input Lookup Label 2 5 2 2 5" xfId="31649"/>
    <cellStyle name="LS Input Lookup Label 2 5 2 2 6" xfId="31650"/>
    <cellStyle name="LS Input Lookup Label 2 5 2 2 7" xfId="31651"/>
    <cellStyle name="LS Input Lookup Label 2 5 2 2 8" xfId="31652"/>
    <cellStyle name="LS Input Lookup Label 2 5 2 2 9" xfId="31653"/>
    <cellStyle name="LS Input Lookup Label 2 5 2 3" xfId="31654"/>
    <cellStyle name="LS Input Lookup Label 2 5 2 3 2" xfId="31655"/>
    <cellStyle name="LS Input Lookup Label 2 5 2 3 3" xfId="31656"/>
    <cellStyle name="LS Input Lookup Label 2 5 2 3 4" xfId="31657"/>
    <cellStyle name="LS Input Lookup Label 2 5 2 3 5" xfId="31658"/>
    <cellStyle name="LS Input Lookup Label 2 5 2 3 6" xfId="31659"/>
    <cellStyle name="LS Input Lookup Label 2 5 2 3 7" xfId="31660"/>
    <cellStyle name="LS Input Lookup Label 2 5 2 3 8" xfId="31661"/>
    <cellStyle name="LS Input Lookup Label 2 5 2 3 9" xfId="31662"/>
    <cellStyle name="LS Input Lookup Label 2 5 2 4" xfId="31663"/>
    <cellStyle name="LS Input Lookup Label 2 5 2 5" xfId="31664"/>
    <cellStyle name="LS Input Lookup Label 2 5 2 6" xfId="31665"/>
    <cellStyle name="LS Input Lookup Label 2 5 2 7" xfId="31666"/>
    <cellStyle name="LS Input Lookup Label 2 5 2 8" xfId="31667"/>
    <cellStyle name="LS Input Lookup Label 2 5 2 9" xfId="31668"/>
    <cellStyle name="LS Input Lookup Label 2 5 3" xfId="31669"/>
    <cellStyle name="LS Input Lookup Label 2 5 3 10" xfId="31670"/>
    <cellStyle name="LS Input Lookup Label 2 5 3 2" xfId="31671"/>
    <cellStyle name="LS Input Lookup Label 2 5 3 2 2" xfId="31672"/>
    <cellStyle name="LS Input Lookup Label 2 5 3 2 3" xfId="31673"/>
    <cellStyle name="LS Input Lookup Label 2 5 3 2 4" xfId="31674"/>
    <cellStyle name="LS Input Lookup Label 2 5 3 2 5" xfId="31675"/>
    <cellStyle name="LS Input Lookup Label 2 5 3 2 6" xfId="31676"/>
    <cellStyle name="LS Input Lookup Label 2 5 3 2 7" xfId="31677"/>
    <cellStyle name="LS Input Lookup Label 2 5 3 2 8" xfId="31678"/>
    <cellStyle name="LS Input Lookup Label 2 5 3 2 9" xfId="31679"/>
    <cellStyle name="LS Input Lookup Label 2 5 3 3" xfId="31680"/>
    <cellStyle name="LS Input Lookup Label 2 5 3 4" xfId="31681"/>
    <cellStyle name="LS Input Lookup Label 2 5 3 5" xfId="31682"/>
    <cellStyle name="LS Input Lookup Label 2 5 3 6" xfId="31683"/>
    <cellStyle name="LS Input Lookup Label 2 5 3 7" xfId="31684"/>
    <cellStyle name="LS Input Lookup Label 2 5 3 8" xfId="31685"/>
    <cellStyle name="LS Input Lookup Label 2 5 3 9" xfId="31686"/>
    <cellStyle name="LS Input Lookup Label 2 5 4" xfId="31687"/>
    <cellStyle name="LS Input Lookup Label 2 5 4 2" xfId="31688"/>
    <cellStyle name="LS Input Lookup Label 2 5 4 3" xfId="31689"/>
    <cellStyle name="LS Input Lookup Label 2 5 4 4" xfId="31690"/>
    <cellStyle name="LS Input Lookup Label 2 5 4 5" xfId="31691"/>
    <cellStyle name="LS Input Lookup Label 2 5 4 6" xfId="31692"/>
    <cellStyle name="LS Input Lookup Label 2 5 4 7" xfId="31693"/>
    <cellStyle name="LS Input Lookup Label 2 5 4 8" xfId="31694"/>
    <cellStyle name="LS Input Lookup Label 2 5 4 9" xfId="31695"/>
    <cellStyle name="LS Input Lookup Label 2 5 5" xfId="31696"/>
    <cellStyle name="LS Input Lookup Label 2 5 6" xfId="31697"/>
    <cellStyle name="LS Input Lookup Label 2 5 7" xfId="31698"/>
    <cellStyle name="LS Input Lookup Label 2 5 8" xfId="31699"/>
    <cellStyle name="LS Input Lookup Label 2 5 9" xfId="31700"/>
    <cellStyle name="LS Input Lookup Label 2 6" xfId="31701"/>
    <cellStyle name="LS Input Lookup Label 2 6 10" xfId="31702"/>
    <cellStyle name="LS Input Lookup Label 2 6 11" xfId="31703"/>
    <cellStyle name="LS Input Lookup Label 2 6 2" xfId="31704"/>
    <cellStyle name="LS Input Lookup Label 2 6 2 10" xfId="31705"/>
    <cellStyle name="LS Input Lookup Label 2 6 2 2" xfId="31706"/>
    <cellStyle name="LS Input Lookup Label 2 6 2 2 2" xfId="31707"/>
    <cellStyle name="LS Input Lookup Label 2 6 2 2 3" xfId="31708"/>
    <cellStyle name="LS Input Lookup Label 2 6 2 2 4" xfId="31709"/>
    <cellStyle name="LS Input Lookup Label 2 6 2 2 5" xfId="31710"/>
    <cellStyle name="LS Input Lookup Label 2 6 2 2 6" xfId="31711"/>
    <cellStyle name="LS Input Lookup Label 2 6 2 2 7" xfId="31712"/>
    <cellStyle name="LS Input Lookup Label 2 6 2 2 8" xfId="31713"/>
    <cellStyle name="LS Input Lookup Label 2 6 2 2 9" xfId="31714"/>
    <cellStyle name="LS Input Lookup Label 2 6 2 3" xfId="31715"/>
    <cellStyle name="LS Input Lookup Label 2 6 2 4" xfId="31716"/>
    <cellStyle name="LS Input Lookup Label 2 6 2 5" xfId="31717"/>
    <cellStyle name="LS Input Lookup Label 2 6 2 6" xfId="31718"/>
    <cellStyle name="LS Input Lookup Label 2 6 2 7" xfId="31719"/>
    <cellStyle name="LS Input Lookup Label 2 6 2 8" xfId="31720"/>
    <cellStyle name="LS Input Lookup Label 2 6 2 9" xfId="31721"/>
    <cellStyle name="LS Input Lookup Label 2 6 3" xfId="31722"/>
    <cellStyle name="LS Input Lookup Label 2 6 3 2" xfId="31723"/>
    <cellStyle name="LS Input Lookup Label 2 6 3 3" xfId="31724"/>
    <cellStyle name="LS Input Lookup Label 2 6 3 4" xfId="31725"/>
    <cellStyle name="LS Input Lookup Label 2 6 3 5" xfId="31726"/>
    <cellStyle name="LS Input Lookup Label 2 6 3 6" xfId="31727"/>
    <cellStyle name="LS Input Lookup Label 2 6 3 7" xfId="31728"/>
    <cellStyle name="LS Input Lookup Label 2 6 3 8" xfId="31729"/>
    <cellStyle name="LS Input Lookup Label 2 6 3 9" xfId="31730"/>
    <cellStyle name="LS Input Lookup Label 2 6 4" xfId="31731"/>
    <cellStyle name="LS Input Lookup Label 2 6 5" xfId="31732"/>
    <cellStyle name="LS Input Lookup Label 2 6 6" xfId="31733"/>
    <cellStyle name="LS Input Lookup Label 2 6 7" xfId="31734"/>
    <cellStyle name="LS Input Lookup Label 2 6 8" xfId="31735"/>
    <cellStyle name="LS Input Lookup Label 2 6 9" xfId="31736"/>
    <cellStyle name="LS Input Lookup Label 2 7" xfId="31737"/>
    <cellStyle name="LS Input Lookup Label 2 7 10" xfId="31738"/>
    <cellStyle name="LS Input Lookup Label 2 7 11" xfId="31739"/>
    <cellStyle name="LS Input Lookup Label 2 7 2" xfId="31740"/>
    <cellStyle name="LS Input Lookup Label 2 7 2 10" xfId="31741"/>
    <cellStyle name="LS Input Lookup Label 2 7 2 2" xfId="31742"/>
    <cellStyle name="LS Input Lookup Label 2 7 2 2 2" xfId="31743"/>
    <cellStyle name="LS Input Lookup Label 2 7 2 2 3" xfId="31744"/>
    <cellStyle name="LS Input Lookup Label 2 7 2 2 4" xfId="31745"/>
    <cellStyle name="LS Input Lookup Label 2 7 2 2 5" xfId="31746"/>
    <cellStyle name="LS Input Lookup Label 2 7 2 2 6" xfId="31747"/>
    <cellStyle name="LS Input Lookup Label 2 7 2 2 7" xfId="31748"/>
    <cellStyle name="LS Input Lookup Label 2 7 2 2 8" xfId="31749"/>
    <cellStyle name="LS Input Lookup Label 2 7 2 2 9" xfId="31750"/>
    <cellStyle name="LS Input Lookup Label 2 7 2 3" xfId="31751"/>
    <cellStyle name="LS Input Lookup Label 2 7 2 4" xfId="31752"/>
    <cellStyle name="LS Input Lookup Label 2 7 2 5" xfId="31753"/>
    <cellStyle name="LS Input Lookup Label 2 7 2 6" xfId="31754"/>
    <cellStyle name="LS Input Lookup Label 2 7 2 7" xfId="31755"/>
    <cellStyle name="LS Input Lookup Label 2 7 2 8" xfId="31756"/>
    <cellStyle name="LS Input Lookup Label 2 7 2 9" xfId="31757"/>
    <cellStyle name="LS Input Lookup Label 2 7 3" xfId="31758"/>
    <cellStyle name="LS Input Lookup Label 2 7 3 2" xfId="31759"/>
    <cellStyle name="LS Input Lookup Label 2 7 3 3" xfId="31760"/>
    <cellStyle name="LS Input Lookup Label 2 7 3 4" xfId="31761"/>
    <cellStyle name="LS Input Lookup Label 2 7 3 5" xfId="31762"/>
    <cellStyle name="LS Input Lookup Label 2 7 3 6" xfId="31763"/>
    <cellStyle name="LS Input Lookup Label 2 7 3 7" xfId="31764"/>
    <cellStyle name="LS Input Lookup Label 2 7 3 8" xfId="31765"/>
    <cellStyle name="LS Input Lookup Label 2 7 3 9" xfId="31766"/>
    <cellStyle name="LS Input Lookup Label 2 7 4" xfId="31767"/>
    <cellStyle name="LS Input Lookup Label 2 7 5" xfId="31768"/>
    <cellStyle name="LS Input Lookup Label 2 7 6" xfId="31769"/>
    <cellStyle name="LS Input Lookup Label 2 7 7" xfId="31770"/>
    <cellStyle name="LS Input Lookup Label 2 7 8" xfId="31771"/>
    <cellStyle name="LS Input Lookup Label 2 7 9" xfId="31772"/>
    <cellStyle name="LS Input Lookup Label 2 8" xfId="31773"/>
    <cellStyle name="LS Input Lookup Label 2 8 10" xfId="31774"/>
    <cellStyle name="LS Input Lookup Label 2 8 2" xfId="31775"/>
    <cellStyle name="LS Input Lookup Label 2 8 2 2" xfId="31776"/>
    <cellStyle name="LS Input Lookup Label 2 8 2 3" xfId="31777"/>
    <cellStyle name="LS Input Lookup Label 2 8 2 4" xfId="31778"/>
    <cellStyle name="LS Input Lookup Label 2 8 2 5" xfId="31779"/>
    <cellStyle name="LS Input Lookup Label 2 8 2 6" xfId="31780"/>
    <cellStyle name="LS Input Lookup Label 2 8 2 7" xfId="31781"/>
    <cellStyle name="LS Input Lookup Label 2 8 2 8" xfId="31782"/>
    <cellStyle name="LS Input Lookup Label 2 8 2 9" xfId="31783"/>
    <cellStyle name="LS Input Lookup Label 2 8 3" xfId="31784"/>
    <cellStyle name="LS Input Lookup Label 2 8 4" xfId="31785"/>
    <cellStyle name="LS Input Lookup Label 2 8 5" xfId="31786"/>
    <cellStyle name="LS Input Lookup Label 2 8 6" xfId="31787"/>
    <cellStyle name="LS Input Lookup Label 2 8 7" xfId="31788"/>
    <cellStyle name="LS Input Lookup Label 2 8 8" xfId="31789"/>
    <cellStyle name="LS Input Lookup Label 2 8 9" xfId="31790"/>
    <cellStyle name="LS Input Lookup Label 2 9" xfId="31791"/>
    <cellStyle name="LS Input Lookup Label 2 9 2" xfId="31792"/>
    <cellStyle name="LS Input Lookup Label 2 9 3" xfId="31793"/>
    <cellStyle name="LS Input Lookup Label 2 9 4" xfId="31794"/>
    <cellStyle name="LS Input Lookup Label 2 9 5" xfId="31795"/>
    <cellStyle name="LS Input Lookup Label 2 9 6" xfId="31796"/>
    <cellStyle name="LS Input Lookup Label 2 9 7" xfId="31797"/>
    <cellStyle name="LS Input Lookup Label 2 9 8" xfId="31798"/>
    <cellStyle name="LS Input Lookup Label 2 9 9" xfId="31799"/>
    <cellStyle name="LS Input Lookup Label 3" xfId="31800"/>
    <cellStyle name="LS Input Lookup Label 3 10" xfId="31801"/>
    <cellStyle name="LS Input Lookup Label 3 11" xfId="31802"/>
    <cellStyle name="LS Input Lookup Label 3 12" xfId="31803"/>
    <cellStyle name="LS Input Lookup Label 3 13" xfId="31804"/>
    <cellStyle name="LS Input Lookup Label 3 14" xfId="31805"/>
    <cellStyle name="LS Input Lookup Label 3 15" xfId="31806"/>
    <cellStyle name="LS Input Lookup Label 3 16" xfId="31807"/>
    <cellStyle name="LS Input Lookup Label 3 2" xfId="31808"/>
    <cellStyle name="LS Input Lookup Label 3 2 10" xfId="31809"/>
    <cellStyle name="LS Input Lookup Label 3 2 11" xfId="31810"/>
    <cellStyle name="LS Input Lookup Label 3 2 12" xfId="31811"/>
    <cellStyle name="LS Input Lookup Label 3 2 13" xfId="31812"/>
    <cellStyle name="LS Input Lookup Label 3 2 2" xfId="31813"/>
    <cellStyle name="LS Input Lookup Label 3 2 2 10" xfId="31814"/>
    <cellStyle name="LS Input Lookup Label 3 2 2 11" xfId="31815"/>
    <cellStyle name="LS Input Lookup Label 3 2 2 12" xfId="31816"/>
    <cellStyle name="LS Input Lookup Label 3 2 2 2" xfId="31817"/>
    <cellStyle name="LS Input Lookup Label 3 2 2 2 10" xfId="31818"/>
    <cellStyle name="LS Input Lookup Label 3 2 2 2 11" xfId="31819"/>
    <cellStyle name="LS Input Lookup Label 3 2 2 2 2" xfId="31820"/>
    <cellStyle name="LS Input Lookup Label 3 2 2 2 2 10" xfId="31821"/>
    <cellStyle name="LS Input Lookup Label 3 2 2 2 2 2" xfId="31822"/>
    <cellStyle name="LS Input Lookup Label 3 2 2 2 2 2 2" xfId="31823"/>
    <cellStyle name="LS Input Lookup Label 3 2 2 2 2 2 3" xfId="31824"/>
    <cellStyle name="LS Input Lookup Label 3 2 2 2 2 2 4" xfId="31825"/>
    <cellStyle name="LS Input Lookup Label 3 2 2 2 2 2 5" xfId="31826"/>
    <cellStyle name="LS Input Lookup Label 3 2 2 2 2 2 6" xfId="31827"/>
    <cellStyle name="LS Input Lookup Label 3 2 2 2 2 2 7" xfId="31828"/>
    <cellStyle name="LS Input Lookup Label 3 2 2 2 2 2 8" xfId="31829"/>
    <cellStyle name="LS Input Lookup Label 3 2 2 2 2 2 9" xfId="31830"/>
    <cellStyle name="LS Input Lookup Label 3 2 2 2 2 3" xfId="31831"/>
    <cellStyle name="LS Input Lookup Label 3 2 2 2 2 4" xfId="31832"/>
    <cellStyle name="LS Input Lookup Label 3 2 2 2 2 5" xfId="31833"/>
    <cellStyle name="LS Input Lookup Label 3 2 2 2 2 6" xfId="31834"/>
    <cellStyle name="LS Input Lookup Label 3 2 2 2 2 7" xfId="31835"/>
    <cellStyle name="LS Input Lookup Label 3 2 2 2 2 8" xfId="31836"/>
    <cellStyle name="LS Input Lookup Label 3 2 2 2 2 9" xfId="31837"/>
    <cellStyle name="LS Input Lookup Label 3 2 2 2 3" xfId="31838"/>
    <cellStyle name="LS Input Lookup Label 3 2 2 2 3 2" xfId="31839"/>
    <cellStyle name="LS Input Lookup Label 3 2 2 2 3 3" xfId="31840"/>
    <cellStyle name="LS Input Lookup Label 3 2 2 2 3 4" xfId="31841"/>
    <cellStyle name="LS Input Lookup Label 3 2 2 2 3 5" xfId="31842"/>
    <cellStyle name="LS Input Lookup Label 3 2 2 2 3 6" xfId="31843"/>
    <cellStyle name="LS Input Lookup Label 3 2 2 2 3 7" xfId="31844"/>
    <cellStyle name="LS Input Lookup Label 3 2 2 2 3 8" xfId="31845"/>
    <cellStyle name="LS Input Lookup Label 3 2 2 2 3 9" xfId="31846"/>
    <cellStyle name="LS Input Lookup Label 3 2 2 2 4" xfId="31847"/>
    <cellStyle name="LS Input Lookup Label 3 2 2 2 5" xfId="31848"/>
    <cellStyle name="LS Input Lookup Label 3 2 2 2 6" xfId="31849"/>
    <cellStyle name="LS Input Lookup Label 3 2 2 2 7" xfId="31850"/>
    <cellStyle name="LS Input Lookup Label 3 2 2 2 8" xfId="31851"/>
    <cellStyle name="LS Input Lookup Label 3 2 2 2 9" xfId="31852"/>
    <cellStyle name="LS Input Lookup Label 3 2 2 3" xfId="31853"/>
    <cellStyle name="LS Input Lookup Label 3 2 2 3 10" xfId="31854"/>
    <cellStyle name="LS Input Lookup Label 3 2 2 3 2" xfId="31855"/>
    <cellStyle name="LS Input Lookup Label 3 2 2 3 2 2" xfId="31856"/>
    <cellStyle name="LS Input Lookup Label 3 2 2 3 2 3" xfId="31857"/>
    <cellStyle name="LS Input Lookup Label 3 2 2 3 2 4" xfId="31858"/>
    <cellStyle name="LS Input Lookup Label 3 2 2 3 2 5" xfId="31859"/>
    <cellStyle name="LS Input Lookup Label 3 2 2 3 2 6" xfId="31860"/>
    <cellStyle name="LS Input Lookup Label 3 2 2 3 2 7" xfId="31861"/>
    <cellStyle name="LS Input Lookup Label 3 2 2 3 2 8" xfId="31862"/>
    <cellStyle name="LS Input Lookup Label 3 2 2 3 2 9" xfId="31863"/>
    <cellStyle name="LS Input Lookup Label 3 2 2 3 3" xfId="31864"/>
    <cellStyle name="LS Input Lookup Label 3 2 2 3 4" xfId="31865"/>
    <cellStyle name="LS Input Lookup Label 3 2 2 3 5" xfId="31866"/>
    <cellStyle name="LS Input Lookup Label 3 2 2 3 6" xfId="31867"/>
    <cellStyle name="LS Input Lookup Label 3 2 2 3 7" xfId="31868"/>
    <cellStyle name="LS Input Lookup Label 3 2 2 3 8" xfId="31869"/>
    <cellStyle name="LS Input Lookup Label 3 2 2 3 9" xfId="31870"/>
    <cellStyle name="LS Input Lookup Label 3 2 2 4" xfId="31871"/>
    <cellStyle name="LS Input Lookup Label 3 2 2 4 2" xfId="31872"/>
    <cellStyle name="LS Input Lookup Label 3 2 2 4 3" xfId="31873"/>
    <cellStyle name="LS Input Lookup Label 3 2 2 4 4" xfId="31874"/>
    <cellStyle name="LS Input Lookup Label 3 2 2 4 5" xfId="31875"/>
    <cellStyle name="LS Input Lookup Label 3 2 2 4 6" xfId="31876"/>
    <cellStyle name="LS Input Lookup Label 3 2 2 4 7" xfId="31877"/>
    <cellStyle name="LS Input Lookup Label 3 2 2 4 8" xfId="31878"/>
    <cellStyle name="LS Input Lookup Label 3 2 2 4 9" xfId="31879"/>
    <cellStyle name="LS Input Lookup Label 3 2 2 5" xfId="31880"/>
    <cellStyle name="LS Input Lookup Label 3 2 2 6" xfId="31881"/>
    <cellStyle name="LS Input Lookup Label 3 2 2 7" xfId="31882"/>
    <cellStyle name="LS Input Lookup Label 3 2 2 8" xfId="31883"/>
    <cellStyle name="LS Input Lookup Label 3 2 2 9" xfId="31884"/>
    <cellStyle name="LS Input Lookup Label 3 2 3" xfId="31885"/>
    <cellStyle name="LS Input Lookup Label 3 2 3 10" xfId="31886"/>
    <cellStyle name="LS Input Lookup Label 3 2 3 11" xfId="31887"/>
    <cellStyle name="LS Input Lookup Label 3 2 3 2" xfId="31888"/>
    <cellStyle name="LS Input Lookup Label 3 2 3 2 10" xfId="31889"/>
    <cellStyle name="LS Input Lookup Label 3 2 3 2 2" xfId="31890"/>
    <cellStyle name="LS Input Lookup Label 3 2 3 2 2 2" xfId="31891"/>
    <cellStyle name="LS Input Lookup Label 3 2 3 2 2 3" xfId="31892"/>
    <cellStyle name="LS Input Lookup Label 3 2 3 2 2 4" xfId="31893"/>
    <cellStyle name="LS Input Lookup Label 3 2 3 2 2 5" xfId="31894"/>
    <cellStyle name="LS Input Lookup Label 3 2 3 2 2 6" xfId="31895"/>
    <cellStyle name="LS Input Lookup Label 3 2 3 2 2 7" xfId="31896"/>
    <cellStyle name="LS Input Lookup Label 3 2 3 2 2 8" xfId="31897"/>
    <cellStyle name="LS Input Lookup Label 3 2 3 2 2 9" xfId="31898"/>
    <cellStyle name="LS Input Lookup Label 3 2 3 2 3" xfId="31899"/>
    <cellStyle name="LS Input Lookup Label 3 2 3 2 4" xfId="31900"/>
    <cellStyle name="LS Input Lookup Label 3 2 3 2 5" xfId="31901"/>
    <cellStyle name="LS Input Lookup Label 3 2 3 2 6" xfId="31902"/>
    <cellStyle name="LS Input Lookup Label 3 2 3 2 7" xfId="31903"/>
    <cellStyle name="LS Input Lookup Label 3 2 3 2 8" xfId="31904"/>
    <cellStyle name="LS Input Lookup Label 3 2 3 2 9" xfId="31905"/>
    <cellStyle name="LS Input Lookup Label 3 2 3 3" xfId="31906"/>
    <cellStyle name="LS Input Lookup Label 3 2 3 3 2" xfId="31907"/>
    <cellStyle name="LS Input Lookup Label 3 2 3 3 3" xfId="31908"/>
    <cellStyle name="LS Input Lookup Label 3 2 3 3 4" xfId="31909"/>
    <cellStyle name="LS Input Lookup Label 3 2 3 3 5" xfId="31910"/>
    <cellStyle name="LS Input Lookup Label 3 2 3 3 6" xfId="31911"/>
    <cellStyle name="LS Input Lookup Label 3 2 3 3 7" xfId="31912"/>
    <cellStyle name="LS Input Lookup Label 3 2 3 3 8" xfId="31913"/>
    <cellStyle name="LS Input Lookup Label 3 2 3 3 9" xfId="31914"/>
    <cellStyle name="LS Input Lookup Label 3 2 3 4" xfId="31915"/>
    <cellStyle name="LS Input Lookup Label 3 2 3 5" xfId="31916"/>
    <cellStyle name="LS Input Lookup Label 3 2 3 6" xfId="31917"/>
    <cellStyle name="LS Input Lookup Label 3 2 3 7" xfId="31918"/>
    <cellStyle name="LS Input Lookup Label 3 2 3 8" xfId="31919"/>
    <cellStyle name="LS Input Lookup Label 3 2 3 9" xfId="31920"/>
    <cellStyle name="LS Input Lookup Label 3 2 4" xfId="31921"/>
    <cellStyle name="LS Input Lookup Label 3 2 4 10" xfId="31922"/>
    <cellStyle name="LS Input Lookup Label 3 2 4 2" xfId="31923"/>
    <cellStyle name="LS Input Lookup Label 3 2 4 2 2" xfId="31924"/>
    <cellStyle name="LS Input Lookup Label 3 2 4 2 3" xfId="31925"/>
    <cellStyle name="LS Input Lookup Label 3 2 4 2 4" xfId="31926"/>
    <cellStyle name="LS Input Lookup Label 3 2 4 2 5" xfId="31927"/>
    <cellStyle name="LS Input Lookup Label 3 2 4 2 6" xfId="31928"/>
    <cellStyle name="LS Input Lookup Label 3 2 4 2 7" xfId="31929"/>
    <cellStyle name="LS Input Lookup Label 3 2 4 2 8" xfId="31930"/>
    <cellStyle name="LS Input Lookup Label 3 2 4 2 9" xfId="31931"/>
    <cellStyle name="LS Input Lookup Label 3 2 4 3" xfId="31932"/>
    <cellStyle name="LS Input Lookup Label 3 2 4 4" xfId="31933"/>
    <cellStyle name="LS Input Lookup Label 3 2 4 5" xfId="31934"/>
    <cellStyle name="LS Input Lookup Label 3 2 4 6" xfId="31935"/>
    <cellStyle name="LS Input Lookup Label 3 2 4 7" xfId="31936"/>
    <cellStyle name="LS Input Lookup Label 3 2 4 8" xfId="31937"/>
    <cellStyle name="LS Input Lookup Label 3 2 4 9" xfId="31938"/>
    <cellStyle name="LS Input Lookup Label 3 2 5" xfId="31939"/>
    <cellStyle name="LS Input Lookup Label 3 2 5 2" xfId="31940"/>
    <cellStyle name="LS Input Lookup Label 3 2 5 3" xfId="31941"/>
    <cellStyle name="LS Input Lookup Label 3 2 5 4" xfId="31942"/>
    <cellStyle name="LS Input Lookup Label 3 2 5 5" xfId="31943"/>
    <cellStyle name="LS Input Lookup Label 3 2 5 6" xfId="31944"/>
    <cellStyle name="LS Input Lookup Label 3 2 5 7" xfId="31945"/>
    <cellStyle name="LS Input Lookup Label 3 2 5 8" xfId="31946"/>
    <cellStyle name="LS Input Lookup Label 3 2 5 9" xfId="31947"/>
    <cellStyle name="LS Input Lookup Label 3 2 6" xfId="31948"/>
    <cellStyle name="LS Input Lookup Label 3 2 7" xfId="31949"/>
    <cellStyle name="LS Input Lookup Label 3 2 8" xfId="31950"/>
    <cellStyle name="LS Input Lookup Label 3 2 9" xfId="31951"/>
    <cellStyle name="LS Input Lookup Label 3 3" xfId="31952"/>
    <cellStyle name="LS Input Lookup Label 3 3 10" xfId="31953"/>
    <cellStyle name="LS Input Lookup Label 3 3 11" xfId="31954"/>
    <cellStyle name="LS Input Lookup Label 3 3 12" xfId="31955"/>
    <cellStyle name="LS Input Lookup Label 3 3 2" xfId="31956"/>
    <cellStyle name="LS Input Lookup Label 3 3 2 10" xfId="31957"/>
    <cellStyle name="LS Input Lookup Label 3 3 2 11" xfId="31958"/>
    <cellStyle name="LS Input Lookup Label 3 3 2 2" xfId="31959"/>
    <cellStyle name="LS Input Lookup Label 3 3 2 2 10" xfId="31960"/>
    <cellStyle name="LS Input Lookup Label 3 3 2 2 2" xfId="31961"/>
    <cellStyle name="LS Input Lookup Label 3 3 2 2 2 2" xfId="31962"/>
    <cellStyle name="LS Input Lookup Label 3 3 2 2 2 3" xfId="31963"/>
    <cellStyle name="LS Input Lookup Label 3 3 2 2 2 4" xfId="31964"/>
    <cellStyle name="LS Input Lookup Label 3 3 2 2 2 5" xfId="31965"/>
    <cellStyle name="LS Input Lookup Label 3 3 2 2 2 6" xfId="31966"/>
    <cellStyle name="LS Input Lookup Label 3 3 2 2 2 7" xfId="31967"/>
    <cellStyle name="LS Input Lookup Label 3 3 2 2 2 8" xfId="31968"/>
    <cellStyle name="LS Input Lookup Label 3 3 2 2 2 9" xfId="31969"/>
    <cellStyle name="LS Input Lookup Label 3 3 2 2 3" xfId="31970"/>
    <cellStyle name="LS Input Lookup Label 3 3 2 2 4" xfId="31971"/>
    <cellStyle name="LS Input Lookup Label 3 3 2 2 5" xfId="31972"/>
    <cellStyle name="LS Input Lookup Label 3 3 2 2 6" xfId="31973"/>
    <cellStyle name="LS Input Lookup Label 3 3 2 2 7" xfId="31974"/>
    <cellStyle name="LS Input Lookup Label 3 3 2 2 8" xfId="31975"/>
    <cellStyle name="LS Input Lookup Label 3 3 2 2 9" xfId="31976"/>
    <cellStyle name="LS Input Lookup Label 3 3 2 3" xfId="31977"/>
    <cellStyle name="LS Input Lookup Label 3 3 2 3 2" xfId="31978"/>
    <cellStyle name="LS Input Lookup Label 3 3 2 3 3" xfId="31979"/>
    <cellStyle name="LS Input Lookup Label 3 3 2 3 4" xfId="31980"/>
    <cellStyle name="LS Input Lookup Label 3 3 2 3 5" xfId="31981"/>
    <cellStyle name="LS Input Lookup Label 3 3 2 3 6" xfId="31982"/>
    <cellStyle name="LS Input Lookup Label 3 3 2 3 7" xfId="31983"/>
    <cellStyle name="LS Input Lookup Label 3 3 2 3 8" xfId="31984"/>
    <cellStyle name="LS Input Lookup Label 3 3 2 3 9" xfId="31985"/>
    <cellStyle name="LS Input Lookup Label 3 3 2 4" xfId="31986"/>
    <cellStyle name="LS Input Lookup Label 3 3 2 5" xfId="31987"/>
    <cellStyle name="LS Input Lookup Label 3 3 2 6" xfId="31988"/>
    <cellStyle name="LS Input Lookup Label 3 3 2 7" xfId="31989"/>
    <cellStyle name="LS Input Lookup Label 3 3 2 8" xfId="31990"/>
    <cellStyle name="LS Input Lookup Label 3 3 2 9" xfId="31991"/>
    <cellStyle name="LS Input Lookup Label 3 3 3" xfId="31992"/>
    <cellStyle name="LS Input Lookup Label 3 3 3 10" xfId="31993"/>
    <cellStyle name="LS Input Lookup Label 3 3 3 2" xfId="31994"/>
    <cellStyle name="LS Input Lookup Label 3 3 3 2 2" xfId="31995"/>
    <cellStyle name="LS Input Lookup Label 3 3 3 2 3" xfId="31996"/>
    <cellStyle name="LS Input Lookup Label 3 3 3 2 4" xfId="31997"/>
    <cellStyle name="LS Input Lookup Label 3 3 3 2 5" xfId="31998"/>
    <cellStyle name="LS Input Lookup Label 3 3 3 2 6" xfId="31999"/>
    <cellStyle name="LS Input Lookup Label 3 3 3 2 7" xfId="32000"/>
    <cellStyle name="LS Input Lookup Label 3 3 3 2 8" xfId="32001"/>
    <cellStyle name="LS Input Lookup Label 3 3 3 2 9" xfId="32002"/>
    <cellStyle name="LS Input Lookup Label 3 3 3 3" xfId="32003"/>
    <cellStyle name="LS Input Lookup Label 3 3 3 4" xfId="32004"/>
    <cellStyle name="LS Input Lookup Label 3 3 3 5" xfId="32005"/>
    <cellStyle name="LS Input Lookup Label 3 3 3 6" xfId="32006"/>
    <cellStyle name="LS Input Lookup Label 3 3 3 7" xfId="32007"/>
    <cellStyle name="LS Input Lookup Label 3 3 3 8" xfId="32008"/>
    <cellStyle name="LS Input Lookup Label 3 3 3 9" xfId="32009"/>
    <cellStyle name="LS Input Lookup Label 3 3 4" xfId="32010"/>
    <cellStyle name="LS Input Lookup Label 3 3 4 2" xfId="32011"/>
    <cellStyle name="LS Input Lookup Label 3 3 4 3" xfId="32012"/>
    <cellStyle name="LS Input Lookup Label 3 3 4 4" xfId="32013"/>
    <cellStyle name="LS Input Lookup Label 3 3 4 5" xfId="32014"/>
    <cellStyle name="LS Input Lookup Label 3 3 4 6" xfId="32015"/>
    <cellStyle name="LS Input Lookup Label 3 3 4 7" xfId="32016"/>
    <cellStyle name="LS Input Lookup Label 3 3 4 8" xfId="32017"/>
    <cellStyle name="LS Input Lookup Label 3 3 4 9" xfId="32018"/>
    <cellStyle name="LS Input Lookup Label 3 3 5" xfId="32019"/>
    <cellStyle name="LS Input Lookup Label 3 3 6" xfId="32020"/>
    <cellStyle name="LS Input Lookup Label 3 3 7" xfId="32021"/>
    <cellStyle name="LS Input Lookup Label 3 3 8" xfId="32022"/>
    <cellStyle name="LS Input Lookup Label 3 3 9" xfId="32023"/>
    <cellStyle name="LS Input Lookup Label 3 4" xfId="32024"/>
    <cellStyle name="LS Input Lookup Label 3 4 10" xfId="32025"/>
    <cellStyle name="LS Input Lookup Label 3 4 11" xfId="32026"/>
    <cellStyle name="LS Input Lookup Label 3 4 12" xfId="32027"/>
    <cellStyle name="LS Input Lookup Label 3 4 2" xfId="32028"/>
    <cellStyle name="LS Input Lookup Label 3 4 2 10" xfId="32029"/>
    <cellStyle name="LS Input Lookup Label 3 4 2 11" xfId="32030"/>
    <cellStyle name="LS Input Lookup Label 3 4 2 2" xfId="32031"/>
    <cellStyle name="LS Input Lookup Label 3 4 2 2 10" xfId="32032"/>
    <cellStyle name="LS Input Lookup Label 3 4 2 2 2" xfId="32033"/>
    <cellStyle name="LS Input Lookup Label 3 4 2 2 2 2" xfId="32034"/>
    <cellStyle name="LS Input Lookup Label 3 4 2 2 2 3" xfId="32035"/>
    <cellStyle name="LS Input Lookup Label 3 4 2 2 2 4" xfId="32036"/>
    <cellStyle name="LS Input Lookup Label 3 4 2 2 2 5" xfId="32037"/>
    <cellStyle name="LS Input Lookup Label 3 4 2 2 2 6" xfId="32038"/>
    <cellStyle name="LS Input Lookup Label 3 4 2 2 2 7" xfId="32039"/>
    <cellStyle name="LS Input Lookup Label 3 4 2 2 2 8" xfId="32040"/>
    <cellStyle name="LS Input Lookup Label 3 4 2 2 2 9" xfId="32041"/>
    <cellStyle name="LS Input Lookup Label 3 4 2 2 3" xfId="32042"/>
    <cellStyle name="LS Input Lookup Label 3 4 2 2 4" xfId="32043"/>
    <cellStyle name="LS Input Lookup Label 3 4 2 2 5" xfId="32044"/>
    <cellStyle name="LS Input Lookup Label 3 4 2 2 6" xfId="32045"/>
    <cellStyle name="LS Input Lookup Label 3 4 2 2 7" xfId="32046"/>
    <cellStyle name="LS Input Lookup Label 3 4 2 2 8" xfId="32047"/>
    <cellStyle name="LS Input Lookup Label 3 4 2 2 9" xfId="32048"/>
    <cellStyle name="LS Input Lookup Label 3 4 2 3" xfId="32049"/>
    <cellStyle name="LS Input Lookup Label 3 4 2 3 2" xfId="32050"/>
    <cellStyle name="LS Input Lookup Label 3 4 2 3 3" xfId="32051"/>
    <cellStyle name="LS Input Lookup Label 3 4 2 3 4" xfId="32052"/>
    <cellStyle name="LS Input Lookup Label 3 4 2 3 5" xfId="32053"/>
    <cellStyle name="LS Input Lookup Label 3 4 2 3 6" xfId="32054"/>
    <cellStyle name="LS Input Lookup Label 3 4 2 3 7" xfId="32055"/>
    <cellStyle name="LS Input Lookup Label 3 4 2 3 8" xfId="32056"/>
    <cellStyle name="LS Input Lookup Label 3 4 2 3 9" xfId="32057"/>
    <cellStyle name="LS Input Lookup Label 3 4 2 4" xfId="32058"/>
    <cellStyle name="LS Input Lookup Label 3 4 2 5" xfId="32059"/>
    <cellStyle name="LS Input Lookup Label 3 4 2 6" xfId="32060"/>
    <cellStyle name="LS Input Lookup Label 3 4 2 7" xfId="32061"/>
    <cellStyle name="LS Input Lookup Label 3 4 2 8" xfId="32062"/>
    <cellStyle name="LS Input Lookup Label 3 4 2 9" xfId="32063"/>
    <cellStyle name="LS Input Lookup Label 3 4 3" xfId="32064"/>
    <cellStyle name="LS Input Lookup Label 3 4 3 10" xfId="32065"/>
    <cellStyle name="LS Input Lookup Label 3 4 3 2" xfId="32066"/>
    <cellStyle name="LS Input Lookup Label 3 4 3 2 2" xfId="32067"/>
    <cellStyle name="LS Input Lookup Label 3 4 3 2 3" xfId="32068"/>
    <cellStyle name="LS Input Lookup Label 3 4 3 2 4" xfId="32069"/>
    <cellStyle name="LS Input Lookup Label 3 4 3 2 5" xfId="32070"/>
    <cellStyle name="LS Input Lookup Label 3 4 3 2 6" xfId="32071"/>
    <cellStyle name="LS Input Lookup Label 3 4 3 2 7" xfId="32072"/>
    <cellStyle name="LS Input Lookup Label 3 4 3 2 8" xfId="32073"/>
    <cellStyle name="LS Input Lookup Label 3 4 3 2 9" xfId="32074"/>
    <cellStyle name="LS Input Lookup Label 3 4 3 3" xfId="32075"/>
    <cellStyle name="LS Input Lookup Label 3 4 3 4" xfId="32076"/>
    <cellStyle name="LS Input Lookup Label 3 4 3 5" xfId="32077"/>
    <cellStyle name="LS Input Lookup Label 3 4 3 6" xfId="32078"/>
    <cellStyle name="LS Input Lookup Label 3 4 3 7" xfId="32079"/>
    <cellStyle name="LS Input Lookup Label 3 4 3 8" xfId="32080"/>
    <cellStyle name="LS Input Lookup Label 3 4 3 9" xfId="32081"/>
    <cellStyle name="LS Input Lookup Label 3 4 4" xfId="32082"/>
    <cellStyle name="LS Input Lookup Label 3 4 4 2" xfId="32083"/>
    <cellStyle name="LS Input Lookup Label 3 4 4 3" xfId="32084"/>
    <cellStyle name="LS Input Lookup Label 3 4 4 4" xfId="32085"/>
    <cellStyle name="LS Input Lookup Label 3 4 4 5" xfId="32086"/>
    <cellStyle name="LS Input Lookup Label 3 4 4 6" xfId="32087"/>
    <cellStyle name="LS Input Lookup Label 3 4 4 7" xfId="32088"/>
    <cellStyle name="LS Input Lookup Label 3 4 4 8" xfId="32089"/>
    <cellStyle name="LS Input Lookup Label 3 4 4 9" xfId="32090"/>
    <cellStyle name="LS Input Lookup Label 3 4 5" xfId="32091"/>
    <cellStyle name="LS Input Lookup Label 3 4 6" xfId="32092"/>
    <cellStyle name="LS Input Lookup Label 3 4 7" xfId="32093"/>
    <cellStyle name="LS Input Lookup Label 3 4 8" xfId="32094"/>
    <cellStyle name="LS Input Lookup Label 3 4 9" xfId="32095"/>
    <cellStyle name="LS Input Lookup Label 3 5" xfId="32096"/>
    <cellStyle name="LS Input Lookup Label 3 5 10" xfId="32097"/>
    <cellStyle name="LS Input Lookup Label 3 5 11" xfId="32098"/>
    <cellStyle name="LS Input Lookup Label 3 5 2" xfId="32099"/>
    <cellStyle name="LS Input Lookup Label 3 5 2 10" xfId="32100"/>
    <cellStyle name="LS Input Lookup Label 3 5 2 2" xfId="32101"/>
    <cellStyle name="LS Input Lookup Label 3 5 2 2 2" xfId="32102"/>
    <cellStyle name="LS Input Lookup Label 3 5 2 2 3" xfId="32103"/>
    <cellStyle name="LS Input Lookup Label 3 5 2 2 4" xfId="32104"/>
    <cellStyle name="LS Input Lookup Label 3 5 2 2 5" xfId="32105"/>
    <cellStyle name="LS Input Lookup Label 3 5 2 2 6" xfId="32106"/>
    <cellStyle name="LS Input Lookup Label 3 5 2 2 7" xfId="32107"/>
    <cellStyle name="LS Input Lookup Label 3 5 2 2 8" xfId="32108"/>
    <cellStyle name="LS Input Lookup Label 3 5 2 2 9" xfId="32109"/>
    <cellStyle name="LS Input Lookup Label 3 5 2 3" xfId="32110"/>
    <cellStyle name="LS Input Lookup Label 3 5 2 4" xfId="32111"/>
    <cellStyle name="LS Input Lookup Label 3 5 2 5" xfId="32112"/>
    <cellStyle name="LS Input Lookup Label 3 5 2 6" xfId="32113"/>
    <cellStyle name="LS Input Lookup Label 3 5 2 7" xfId="32114"/>
    <cellStyle name="LS Input Lookup Label 3 5 2 8" xfId="32115"/>
    <cellStyle name="LS Input Lookup Label 3 5 2 9" xfId="32116"/>
    <cellStyle name="LS Input Lookup Label 3 5 3" xfId="32117"/>
    <cellStyle name="LS Input Lookup Label 3 5 3 2" xfId="32118"/>
    <cellStyle name="LS Input Lookup Label 3 5 3 3" xfId="32119"/>
    <cellStyle name="LS Input Lookup Label 3 5 3 4" xfId="32120"/>
    <cellStyle name="LS Input Lookup Label 3 5 3 5" xfId="32121"/>
    <cellStyle name="LS Input Lookup Label 3 5 3 6" xfId="32122"/>
    <cellStyle name="LS Input Lookup Label 3 5 3 7" xfId="32123"/>
    <cellStyle name="LS Input Lookup Label 3 5 3 8" xfId="32124"/>
    <cellStyle name="LS Input Lookup Label 3 5 3 9" xfId="32125"/>
    <cellStyle name="LS Input Lookup Label 3 5 4" xfId="32126"/>
    <cellStyle name="LS Input Lookup Label 3 5 5" xfId="32127"/>
    <cellStyle name="LS Input Lookup Label 3 5 6" xfId="32128"/>
    <cellStyle name="LS Input Lookup Label 3 5 7" xfId="32129"/>
    <cellStyle name="LS Input Lookup Label 3 5 8" xfId="32130"/>
    <cellStyle name="LS Input Lookup Label 3 5 9" xfId="32131"/>
    <cellStyle name="LS Input Lookup Label 3 6" xfId="32132"/>
    <cellStyle name="LS Input Lookup Label 3 6 10" xfId="32133"/>
    <cellStyle name="LS Input Lookup Label 3 6 2" xfId="32134"/>
    <cellStyle name="LS Input Lookup Label 3 6 2 2" xfId="32135"/>
    <cellStyle name="LS Input Lookup Label 3 6 2 3" xfId="32136"/>
    <cellStyle name="LS Input Lookup Label 3 6 2 4" xfId="32137"/>
    <cellStyle name="LS Input Lookup Label 3 6 2 5" xfId="32138"/>
    <cellStyle name="LS Input Lookup Label 3 6 2 6" xfId="32139"/>
    <cellStyle name="LS Input Lookup Label 3 6 2 7" xfId="32140"/>
    <cellStyle name="LS Input Lookup Label 3 6 2 8" xfId="32141"/>
    <cellStyle name="LS Input Lookup Label 3 6 2 9" xfId="32142"/>
    <cellStyle name="LS Input Lookup Label 3 6 3" xfId="32143"/>
    <cellStyle name="LS Input Lookup Label 3 6 4" xfId="32144"/>
    <cellStyle name="LS Input Lookup Label 3 6 5" xfId="32145"/>
    <cellStyle name="LS Input Lookup Label 3 6 6" xfId="32146"/>
    <cellStyle name="LS Input Lookup Label 3 6 7" xfId="32147"/>
    <cellStyle name="LS Input Lookup Label 3 6 8" xfId="32148"/>
    <cellStyle name="LS Input Lookup Label 3 6 9" xfId="32149"/>
    <cellStyle name="LS Input Lookup Label 3 7" xfId="32150"/>
    <cellStyle name="LS Input Lookup Label 3 7 2" xfId="32151"/>
    <cellStyle name="LS Input Lookup Label 3 7 3" xfId="32152"/>
    <cellStyle name="LS Input Lookup Label 3 7 4" xfId="32153"/>
    <cellStyle name="LS Input Lookup Label 3 7 5" xfId="32154"/>
    <cellStyle name="LS Input Lookup Label 3 7 6" xfId="32155"/>
    <cellStyle name="LS Input Lookup Label 3 7 7" xfId="32156"/>
    <cellStyle name="LS Input Lookup Label 3 7 8" xfId="32157"/>
    <cellStyle name="LS Input Lookup Label 3 7 9" xfId="32158"/>
    <cellStyle name="LS Input Lookup Label 3 8" xfId="32159"/>
    <cellStyle name="LS Input Lookup Label 3 9" xfId="32160"/>
    <cellStyle name="LS Input Lookup Label 4" xfId="32161"/>
    <cellStyle name="LS Input Lookup Label 4 10" xfId="32162"/>
    <cellStyle name="LS Input Lookup Label 4 11" xfId="32163"/>
    <cellStyle name="LS Input Lookup Label 4 12" xfId="32164"/>
    <cellStyle name="LS Input Lookup Label 4 2" xfId="32165"/>
    <cellStyle name="LS Input Lookup Label 4 2 10" xfId="32166"/>
    <cellStyle name="LS Input Lookup Label 4 2 11" xfId="32167"/>
    <cellStyle name="LS Input Lookup Label 4 2 2" xfId="32168"/>
    <cellStyle name="LS Input Lookup Label 4 2 2 10" xfId="32169"/>
    <cellStyle name="LS Input Lookup Label 4 2 2 2" xfId="32170"/>
    <cellStyle name="LS Input Lookup Label 4 2 2 2 2" xfId="32171"/>
    <cellStyle name="LS Input Lookup Label 4 2 2 2 3" xfId="32172"/>
    <cellStyle name="LS Input Lookup Label 4 2 2 2 4" xfId="32173"/>
    <cellStyle name="LS Input Lookup Label 4 2 2 2 5" xfId="32174"/>
    <cellStyle name="LS Input Lookup Label 4 2 2 2 6" xfId="32175"/>
    <cellStyle name="LS Input Lookup Label 4 2 2 2 7" xfId="32176"/>
    <cellStyle name="LS Input Lookup Label 4 2 2 2 8" xfId="32177"/>
    <cellStyle name="LS Input Lookup Label 4 2 2 2 9" xfId="32178"/>
    <cellStyle name="LS Input Lookup Label 4 2 2 3" xfId="32179"/>
    <cellStyle name="LS Input Lookup Label 4 2 2 4" xfId="32180"/>
    <cellStyle name="LS Input Lookup Label 4 2 2 5" xfId="32181"/>
    <cellStyle name="LS Input Lookup Label 4 2 2 6" xfId="32182"/>
    <cellStyle name="LS Input Lookup Label 4 2 2 7" xfId="32183"/>
    <cellStyle name="LS Input Lookup Label 4 2 2 8" xfId="32184"/>
    <cellStyle name="LS Input Lookup Label 4 2 2 9" xfId="32185"/>
    <cellStyle name="LS Input Lookup Label 4 2 3" xfId="32186"/>
    <cellStyle name="LS Input Lookup Label 4 2 3 2" xfId="32187"/>
    <cellStyle name="LS Input Lookup Label 4 2 3 3" xfId="32188"/>
    <cellStyle name="LS Input Lookup Label 4 2 3 4" xfId="32189"/>
    <cellStyle name="LS Input Lookup Label 4 2 3 5" xfId="32190"/>
    <cellStyle name="LS Input Lookup Label 4 2 3 6" xfId="32191"/>
    <cellStyle name="LS Input Lookup Label 4 2 3 7" xfId="32192"/>
    <cellStyle name="LS Input Lookup Label 4 2 3 8" xfId="32193"/>
    <cellStyle name="LS Input Lookup Label 4 2 3 9" xfId="32194"/>
    <cellStyle name="LS Input Lookup Label 4 2 4" xfId="32195"/>
    <cellStyle name="LS Input Lookup Label 4 2 5" xfId="32196"/>
    <cellStyle name="LS Input Lookup Label 4 2 6" xfId="32197"/>
    <cellStyle name="LS Input Lookup Label 4 2 7" xfId="32198"/>
    <cellStyle name="LS Input Lookup Label 4 2 8" xfId="32199"/>
    <cellStyle name="LS Input Lookup Label 4 2 9" xfId="32200"/>
    <cellStyle name="LS Input Lookup Label 4 3" xfId="32201"/>
    <cellStyle name="LS Input Lookup Label 4 3 10" xfId="32202"/>
    <cellStyle name="LS Input Lookup Label 4 3 2" xfId="32203"/>
    <cellStyle name="LS Input Lookup Label 4 3 2 2" xfId="32204"/>
    <cellStyle name="LS Input Lookup Label 4 3 2 3" xfId="32205"/>
    <cellStyle name="LS Input Lookup Label 4 3 2 4" xfId="32206"/>
    <cellStyle name="LS Input Lookup Label 4 3 2 5" xfId="32207"/>
    <cellStyle name="LS Input Lookup Label 4 3 2 6" xfId="32208"/>
    <cellStyle name="LS Input Lookup Label 4 3 2 7" xfId="32209"/>
    <cellStyle name="LS Input Lookup Label 4 3 2 8" xfId="32210"/>
    <cellStyle name="LS Input Lookup Label 4 3 2 9" xfId="32211"/>
    <cellStyle name="LS Input Lookup Label 4 3 3" xfId="32212"/>
    <cellStyle name="LS Input Lookup Label 4 3 4" xfId="32213"/>
    <cellStyle name="LS Input Lookup Label 4 3 5" xfId="32214"/>
    <cellStyle name="LS Input Lookup Label 4 3 6" xfId="32215"/>
    <cellStyle name="LS Input Lookup Label 4 3 7" xfId="32216"/>
    <cellStyle name="LS Input Lookup Label 4 3 8" xfId="32217"/>
    <cellStyle name="LS Input Lookup Label 4 3 9" xfId="32218"/>
    <cellStyle name="LS Input Lookup Label 4 4" xfId="32219"/>
    <cellStyle name="LS Input Lookup Label 4 4 2" xfId="32220"/>
    <cellStyle name="LS Input Lookup Label 4 4 3" xfId="32221"/>
    <cellStyle name="LS Input Lookup Label 4 4 4" xfId="32222"/>
    <cellStyle name="LS Input Lookup Label 4 4 5" xfId="32223"/>
    <cellStyle name="LS Input Lookup Label 4 4 6" xfId="32224"/>
    <cellStyle name="LS Input Lookup Label 4 4 7" xfId="32225"/>
    <cellStyle name="LS Input Lookup Label 4 4 8" xfId="32226"/>
    <cellStyle name="LS Input Lookup Label 4 4 9" xfId="32227"/>
    <cellStyle name="LS Input Lookup Label 4 5" xfId="32228"/>
    <cellStyle name="LS Input Lookup Label 4 6" xfId="32229"/>
    <cellStyle name="LS Input Lookup Label 4 7" xfId="32230"/>
    <cellStyle name="LS Input Lookup Label 4 8" xfId="32231"/>
    <cellStyle name="LS Input Lookup Label 4 9" xfId="32232"/>
    <cellStyle name="LS Input Lookup Label 5" xfId="32233"/>
    <cellStyle name="LS Input Lookup Label 5 10" xfId="32234"/>
    <cellStyle name="LS Input Lookup Label 5 11" xfId="32235"/>
    <cellStyle name="LS Input Lookup Label 5 12" xfId="32236"/>
    <cellStyle name="LS Input Lookup Label 5 2" xfId="32237"/>
    <cellStyle name="LS Input Lookup Label 5 2 10" xfId="32238"/>
    <cellStyle name="LS Input Lookup Label 5 2 11" xfId="32239"/>
    <cellStyle name="LS Input Lookup Label 5 2 2" xfId="32240"/>
    <cellStyle name="LS Input Lookup Label 5 2 2 10" xfId="32241"/>
    <cellStyle name="LS Input Lookup Label 5 2 2 2" xfId="32242"/>
    <cellStyle name="LS Input Lookup Label 5 2 2 2 2" xfId="32243"/>
    <cellStyle name="LS Input Lookup Label 5 2 2 2 3" xfId="32244"/>
    <cellStyle name="LS Input Lookup Label 5 2 2 2 4" xfId="32245"/>
    <cellStyle name="LS Input Lookup Label 5 2 2 2 5" xfId="32246"/>
    <cellStyle name="LS Input Lookup Label 5 2 2 2 6" xfId="32247"/>
    <cellStyle name="LS Input Lookup Label 5 2 2 2 7" xfId="32248"/>
    <cellStyle name="LS Input Lookup Label 5 2 2 2 8" xfId="32249"/>
    <cellStyle name="LS Input Lookup Label 5 2 2 2 9" xfId="32250"/>
    <cellStyle name="LS Input Lookup Label 5 2 2 3" xfId="32251"/>
    <cellStyle name="LS Input Lookup Label 5 2 2 4" xfId="32252"/>
    <cellStyle name="LS Input Lookup Label 5 2 2 5" xfId="32253"/>
    <cellStyle name="LS Input Lookup Label 5 2 2 6" xfId="32254"/>
    <cellStyle name="LS Input Lookup Label 5 2 2 7" xfId="32255"/>
    <cellStyle name="LS Input Lookup Label 5 2 2 8" xfId="32256"/>
    <cellStyle name="LS Input Lookup Label 5 2 2 9" xfId="32257"/>
    <cellStyle name="LS Input Lookup Label 5 2 3" xfId="32258"/>
    <cellStyle name="LS Input Lookup Label 5 2 3 2" xfId="32259"/>
    <cellStyle name="LS Input Lookup Label 5 2 3 3" xfId="32260"/>
    <cellStyle name="LS Input Lookup Label 5 2 3 4" xfId="32261"/>
    <cellStyle name="LS Input Lookup Label 5 2 3 5" xfId="32262"/>
    <cellStyle name="LS Input Lookup Label 5 2 3 6" xfId="32263"/>
    <cellStyle name="LS Input Lookup Label 5 2 3 7" xfId="32264"/>
    <cellStyle name="LS Input Lookup Label 5 2 3 8" xfId="32265"/>
    <cellStyle name="LS Input Lookup Label 5 2 3 9" xfId="32266"/>
    <cellStyle name="LS Input Lookup Label 5 2 4" xfId="32267"/>
    <cellStyle name="LS Input Lookup Label 5 2 5" xfId="32268"/>
    <cellStyle name="LS Input Lookup Label 5 2 6" xfId="32269"/>
    <cellStyle name="LS Input Lookup Label 5 2 7" xfId="32270"/>
    <cellStyle name="LS Input Lookup Label 5 2 8" xfId="32271"/>
    <cellStyle name="LS Input Lookup Label 5 2 9" xfId="32272"/>
    <cellStyle name="LS Input Lookup Label 5 3" xfId="32273"/>
    <cellStyle name="LS Input Lookup Label 5 3 10" xfId="32274"/>
    <cellStyle name="LS Input Lookup Label 5 3 2" xfId="32275"/>
    <cellStyle name="LS Input Lookup Label 5 3 2 2" xfId="32276"/>
    <cellStyle name="LS Input Lookup Label 5 3 2 3" xfId="32277"/>
    <cellStyle name="LS Input Lookup Label 5 3 2 4" xfId="32278"/>
    <cellStyle name="LS Input Lookup Label 5 3 2 5" xfId="32279"/>
    <cellStyle name="LS Input Lookup Label 5 3 2 6" xfId="32280"/>
    <cellStyle name="LS Input Lookup Label 5 3 2 7" xfId="32281"/>
    <cellStyle name="LS Input Lookup Label 5 3 2 8" xfId="32282"/>
    <cellStyle name="LS Input Lookup Label 5 3 2 9" xfId="32283"/>
    <cellStyle name="LS Input Lookup Label 5 3 3" xfId="32284"/>
    <cellStyle name="LS Input Lookup Label 5 3 4" xfId="32285"/>
    <cellStyle name="LS Input Lookup Label 5 3 5" xfId="32286"/>
    <cellStyle name="LS Input Lookup Label 5 3 6" xfId="32287"/>
    <cellStyle name="LS Input Lookup Label 5 3 7" xfId="32288"/>
    <cellStyle name="LS Input Lookup Label 5 3 8" xfId="32289"/>
    <cellStyle name="LS Input Lookup Label 5 3 9" xfId="32290"/>
    <cellStyle name="LS Input Lookup Label 5 4" xfId="32291"/>
    <cellStyle name="LS Input Lookup Label 5 4 2" xfId="32292"/>
    <cellStyle name="LS Input Lookup Label 5 4 3" xfId="32293"/>
    <cellStyle name="LS Input Lookup Label 5 4 4" xfId="32294"/>
    <cellStyle name="LS Input Lookup Label 5 4 5" xfId="32295"/>
    <cellStyle name="LS Input Lookup Label 5 4 6" xfId="32296"/>
    <cellStyle name="LS Input Lookup Label 5 4 7" xfId="32297"/>
    <cellStyle name="LS Input Lookup Label 5 4 8" xfId="32298"/>
    <cellStyle name="LS Input Lookup Label 5 4 9" xfId="32299"/>
    <cellStyle name="LS Input Lookup Label 5 5" xfId="32300"/>
    <cellStyle name="LS Input Lookup Label 5 6" xfId="32301"/>
    <cellStyle name="LS Input Lookup Label 5 7" xfId="32302"/>
    <cellStyle name="LS Input Lookup Label 5 8" xfId="32303"/>
    <cellStyle name="LS Input Lookup Label 5 9" xfId="32304"/>
    <cellStyle name="LS Input Lookup Label 6" xfId="32305"/>
    <cellStyle name="LS Input Lookup Label 6 10" xfId="32306"/>
    <cellStyle name="LS Input Lookup Label 6 11" xfId="32307"/>
    <cellStyle name="LS Input Lookup Label 6 12" xfId="32308"/>
    <cellStyle name="LS Input Lookup Label 6 2" xfId="32309"/>
    <cellStyle name="LS Input Lookup Label 6 2 10" xfId="32310"/>
    <cellStyle name="LS Input Lookup Label 6 2 11" xfId="32311"/>
    <cellStyle name="LS Input Lookup Label 6 2 2" xfId="32312"/>
    <cellStyle name="LS Input Lookup Label 6 2 2 10" xfId="32313"/>
    <cellStyle name="LS Input Lookup Label 6 2 2 2" xfId="32314"/>
    <cellStyle name="LS Input Lookup Label 6 2 2 2 2" xfId="32315"/>
    <cellStyle name="LS Input Lookup Label 6 2 2 2 3" xfId="32316"/>
    <cellStyle name="LS Input Lookup Label 6 2 2 2 4" xfId="32317"/>
    <cellStyle name="LS Input Lookup Label 6 2 2 2 5" xfId="32318"/>
    <cellStyle name="LS Input Lookup Label 6 2 2 2 6" xfId="32319"/>
    <cellStyle name="LS Input Lookup Label 6 2 2 2 7" xfId="32320"/>
    <cellStyle name="LS Input Lookup Label 6 2 2 2 8" xfId="32321"/>
    <cellStyle name="LS Input Lookup Label 6 2 2 2 9" xfId="32322"/>
    <cellStyle name="LS Input Lookup Label 6 2 2 3" xfId="32323"/>
    <cellStyle name="LS Input Lookup Label 6 2 2 4" xfId="32324"/>
    <cellStyle name="LS Input Lookup Label 6 2 2 5" xfId="32325"/>
    <cellStyle name="LS Input Lookup Label 6 2 2 6" xfId="32326"/>
    <cellStyle name="LS Input Lookup Label 6 2 2 7" xfId="32327"/>
    <cellStyle name="LS Input Lookup Label 6 2 2 8" xfId="32328"/>
    <cellStyle name="LS Input Lookup Label 6 2 2 9" xfId="32329"/>
    <cellStyle name="LS Input Lookup Label 6 2 3" xfId="32330"/>
    <cellStyle name="LS Input Lookup Label 6 2 3 2" xfId="32331"/>
    <cellStyle name="LS Input Lookup Label 6 2 3 3" xfId="32332"/>
    <cellStyle name="LS Input Lookup Label 6 2 3 4" xfId="32333"/>
    <cellStyle name="LS Input Lookup Label 6 2 3 5" xfId="32334"/>
    <cellStyle name="LS Input Lookup Label 6 2 3 6" xfId="32335"/>
    <cellStyle name="LS Input Lookup Label 6 2 3 7" xfId="32336"/>
    <cellStyle name="LS Input Lookup Label 6 2 3 8" xfId="32337"/>
    <cellStyle name="LS Input Lookup Label 6 2 3 9" xfId="32338"/>
    <cellStyle name="LS Input Lookup Label 6 2 4" xfId="32339"/>
    <cellStyle name="LS Input Lookup Label 6 2 5" xfId="32340"/>
    <cellStyle name="LS Input Lookup Label 6 2 6" xfId="32341"/>
    <cellStyle name="LS Input Lookup Label 6 2 7" xfId="32342"/>
    <cellStyle name="LS Input Lookup Label 6 2 8" xfId="32343"/>
    <cellStyle name="LS Input Lookup Label 6 2 9" xfId="32344"/>
    <cellStyle name="LS Input Lookup Label 6 3" xfId="32345"/>
    <cellStyle name="LS Input Lookup Label 6 3 10" xfId="32346"/>
    <cellStyle name="LS Input Lookup Label 6 3 2" xfId="32347"/>
    <cellStyle name="LS Input Lookup Label 6 3 2 2" xfId="32348"/>
    <cellStyle name="LS Input Lookup Label 6 3 2 3" xfId="32349"/>
    <cellStyle name="LS Input Lookup Label 6 3 2 4" xfId="32350"/>
    <cellStyle name="LS Input Lookup Label 6 3 2 5" xfId="32351"/>
    <cellStyle name="LS Input Lookup Label 6 3 2 6" xfId="32352"/>
    <cellStyle name="LS Input Lookup Label 6 3 2 7" xfId="32353"/>
    <cellStyle name="LS Input Lookup Label 6 3 2 8" xfId="32354"/>
    <cellStyle name="LS Input Lookup Label 6 3 2 9" xfId="32355"/>
    <cellStyle name="LS Input Lookup Label 6 3 3" xfId="32356"/>
    <cellStyle name="LS Input Lookup Label 6 3 4" xfId="32357"/>
    <cellStyle name="LS Input Lookup Label 6 3 5" xfId="32358"/>
    <cellStyle name="LS Input Lookup Label 6 3 6" xfId="32359"/>
    <cellStyle name="LS Input Lookup Label 6 3 7" xfId="32360"/>
    <cellStyle name="LS Input Lookup Label 6 3 8" xfId="32361"/>
    <cellStyle name="LS Input Lookup Label 6 3 9" xfId="32362"/>
    <cellStyle name="LS Input Lookup Label 6 4" xfId="32363"/>
    <cellStyle name="LS Input Lookup Label 6 4 2" xfId="32364"/>
    <cellStyle name="LS Input Lookup Label 6 4 3" xfId="32365"/>
    <cellStyle name="LS Input Lookup Label 6 4 4" xfId="32366"/>
    <cellStyle name="LS Input Lookup Label 6 4 5" xfId="32367"/>
    <cellStyle name="LS Input Lookup Label 6 4 6" xfId="32368"/>
    <cellStyle name="LS Input Lookup Label 6 4 7" xfId="32369"/>
    <cellStyle name="LS Input Lookup Label 6 4 8" xfId="32370"/>
    <cellStyle name="LS Input Lookup Label 6 4 9" xfId="32371"/>
    <cellStyle name="LS Input Lookup Label 6 5" xfId="32372"/>
    <cellStyle name="LS Input Lookup Label 6 6" xfId="32373"/>
    <cellStyle name="LS Input Lookup Label 6 7" xfId="32374"/>
    <cellStyle name="LS Input Lookup Label 6 8" xfId="32375"/>
    <cellStyle name="LS Input Lookup Label 6 9" xfId="32376"/>
    <cellStyle name="LS Input Lookup Label 7" xfId="32377"/>
    <cellStyle name="LS Input Lookup Label 7 10" xfId="32378"/>
    <cellStyle name="LS Input Lookup Label 7 11" xfId="32379"/>
    <cellStyle name="LS Input Lookup Label 7 12" xfId="32380"/>
    <cellStyle name="LS Input Lookup Label 7 2" xfId="32381"/>
    <cellStyle name="LS Input Lookup Label 7 2 10" xfId="32382"/>
    <cellStyle name="LS Input Lookup Label 7 2 11" xfId="32383"/>
    <cellStyle name="LS Input Lookup Label 7 2 2" xfId="32384"/>
    <cellStyle name="LS Input Lookup Label 7 2 2 10" xfId="32385"/>
    <cellStyle name="LS Input Lookup Label 7 2 2 2" xfId="32386"/>
    <cellStyle name="LS Input Lookup Label 7 2 2 2 2" xfId="32387"/>
    <cellStyle name="LS Input Lookup Label 7 2 2 2 3" xfId="32388"/>
    <cellStyle name="LS Input Lookup Label 7 2 2 2 4" xfId="32389"/>
    <cellStyle name="LS Input Lookup Label 7 2 2 2 5" xfId="32390"/>
    <cellStyle name="LS Input Lookup Label 7 2 2 2 6" xfId="32391"/>
    <cellStyle name="LS Input Lookup Label 7 2 2 2 7" xfId="32392"/>
    <cellStyle name="LS Input Lookup Label 7 2 2 2 8" xfId="32393"/>
    <cellStyle name="LS Input Lookup Label 7 2 2 2 9" xfId="32394"/>
    <cellStyle name="LS Input Lookup Label 7 2 2 3" xfId="32395"/>
    <cellStyle name="LS Input Lookup Label 7 2 2 4" xfId="32396"/>
    <cellStyle name="LS Input Lookup Label 7 2 2 5" xfId="32397"/>
    <cellStyle name="LS Input Lookup Label 7 2 2 6" xfId="32398"/>
    <cellStyle name="LS Input Lookup Label 7 2 2 7" xfId="32399"/>
    <cellStyle name="LS Input Lookup Label 7 2 2 8" xfId="32400"/>
    <cellStyle name="LS Input Lookup Label 7 2 2 9" xfId="32401"/>
    <cellStyle name="LS Input Lookup Label 7 2 3" xfId="32402"/>
    <cellStyle name="LS Input Lookup Label 7 2 3 2" xfId="32403"/>
    <cellStyle name="LS Input Lookup Label 7 2 3 3" xfId="32404"/>
    <cellStyle name="LS Input Lookup Label 7 2 3 4" xfId="32405"/>
    <cellStyle name="LS Input Lookup Label 7 2 3 5" xfId="32406"/>
    <cellStyle name="LS Input Lookup Label 7 2 3 6" xfId="32407"/>
    <cellStyle name="LS Input Lookup Label 7 2 3 7" xfId="32408"/>
    <cellStyle name="LS Input Lookup Label 7 2 3 8" xfId="32409"/>
    <cellStyle name="LS Input Lookup Label 7 2 3 9" xfId="32410"/>
    <cellStyle name="LS Input Lookup Label 7 2 4" xfId="32411"/>
    <cellStyle name="LS Input Lookup Label 7 2 5" xfId="32412"/>
    <cellStyle name="LS Input Lookup Label 7 2 6" xfId="32413"/>
    <cellStyle name="LS Input Lookup Label 7 2 7" xfId="32414"/>
    <cellStyle name="LS Input Lookup Label 7 2 8" xfId="32415"/>
    <cellStyle name="LS Input Lookup Label 7 2 9" xfId="32416"/>
    <cellStyle name="LS Input Lookup Label 7 3" xfId="32417"/>
    <cellStyle name="LS Input Lookup Label 7 3 10" xfId="32418"/>
    <cellStyle name="LS Input Lookup Label 7 3 2" xfId="32419"/>
    <cellStyle name="LS Input Lookup Label 7 3 2 2" xfId="32420"/>
    <cellStyle name="LS Input Lookup Label 7 3 2 3" xfId="32421"/>
    <cellStyle name="LS Input Lookup Label 7 3 2 4" xfId="32422"/>
    <cellStyle name="LS Input Lookup Label 7 3 2 5" xfId="32423"/>
    <cellStyle name="LS Input Lookup Label 7 3 2 6" xfId="32424"/>
    <cellStyle name="LS Input Lookup Label 7 3 2 7" xfId="32425"/>
    <cellStyle name="LS Input Lookup Label 7 3 2 8" xfId="32426"/>
    <cellStyle name="LS Input Lookup Label 7 3 2 9" xfId="32427"/>
    <cellStyle name="LS Input Lookup Label 7 3 3" xfId="32428"/>
    <cellStyle name="LS Input Lookup Label 7 3 4" xfId="32429"/>
    <cellStyle name="LS Input Lookup Label 7 3 5" xfId="32430"/>
    <cellStyle name="LS Input Lookup Label 7 3 6" xfId="32431"/>
    <cellStyle name="LS Input Lookup Label 7 3 7" xfId="32432"/>
    <cellStyle name="LS Input Lookup Label 7 3 8" xfId="32433"/>
    <cellStyle name="LS Input Lookup Label 7 3 9" xfId="32434"/>
    <cellStyle name="LS Input Lookup Label 7 4" xfId="32435"/>
    <cellStyle name="LS Input Lookup Label 7 4 2" xfId="32436"/>
    <cellStyle name="LS Input Lookup Label 7 4 3" xfId="32437"/>
    <cellStyle name="LS Input Lookup Label 7 4 4" xfId="32438"/>
    <cellStyle name="LS Input Lookup Label 7 4 5" xfId="32439"/>
    <cellStyle name="LS Input Lookup Label 7 4 6" xfId="32440"/>
    <cellStyle name="LS Input Lookup Label 7 4 7" xfId="32441"/>
    <cellStyle name="LS Input Lookup Label 7 4 8" xfId="32442"/>
    <cellStyle name="LS Input Lookup Label 7 4 9" xfId="32443"/>
    <cellStyle name="LS Input Lookup Label 7 5" xfId="32444"/>
    <cellStyle name="LS Input Lookup Label 7 6" xfId="32445"/>
    <cellStyle name="LS Input Lookup Label 7 7" xfId="32446"/>
    <cellStyle name="LS Input Lookup Label 7 8" xfId="32447"/>
    <cellStyle name="LS Input Lookup Label 7 9" xfId="32448"/>
    <cellStyle name="LS Input Lookup Label 8" xfId="32449"/>
    <cellStyle name="LS Input Lookup Label 8 10" xfId="32450"/>
    <cellStyle name="LS Input Lookup Label 8 11" xfId="32451"/>
    <cellStyle name="LS Input Lookup Label 8 12" xfId="32452"/>
    <cellStyle name="LS Input Lookup Label 8 2" xfId="32453"/>
    <cellStyle name="LS Input Lookup Label 8 2 10" xfId="32454"/>
    <cellStyle name="LS Input Lookup Label 8 2 11" xfId="32455"/>
    <cellStyle name="LS Input Lookup Label 8 2 2" xfId="32456"/>
    <cellStyle name="LS Input Lookup Label 8 2 2 10" xfId="32457"/>
    <cellStyle name="LS Input Lookup Label 8 2 2 2" xfId="32458"/>
    <cellStyle name="LS Input Lookup Label 8 2 2 2 2" xfId="32459"/>
    <cellStyle name="LS Input Lookup Label 8 2 2 2 3" xfId="32460"/>
    <cellStyle name="LS Input Lookup Label 8 2 2 2 4" xfId="32461"/>
    <cellStyle name="LS Input Lookup Label 8 2 2 2 5" xfId="32462"/>
    <cellStyle name="LS Input Lookup Label 8 2 2 2 6" xfId="32463"/>
    <cellStyle name="LS Input Lookup Label 8 2 2 2 7" xfId="32464"/>
    <cellStyle name="LS Input Lookup Label 8 2 2 2 8" xfId="32465"/>
    <cellStyle name="LS Input Lookup Label 8 2 2 2 9" xfId="32466"/>
    <cellStyle name="LS Input Lookup Label 8 2 2 3" xfId="32467"/>
    <cellStyle name="LS Input Lookup Label 8 2 2 4" xfId="32468"/>
    <cellStyle name="LS Input Lookup Label 8 2 2 5" xfId="32469"/>
    <cellStyle name="LS Input Lookup Label 8 2 2 6" xfId="32470"/>
    <cellStyle name="LS Input Lookup Label 8 2 2 7" xfId="32471"/>
    <cellStyle name="LS Input Lookup Label 8 2 2 8" xfId="32472"/>
    <cellStyle name="LS Input Lookup Label 8 2 2 9" xfId="32473"/>
    <cellStyle name="LS Input Lookup Label 8 2 3" xfId="32474"/>
    <cellStyle name="LS Input Lookup Label 8 2 3 2" xfId="32475"/>
    <cellStyle name="LS Input Lookup Label 8 2 3 3" xfId="32476"/>
    <cellStyle name="LS Input Lookup Label 8 2 3 4" xfId="32477"/>
    <cellStyle name="LS Input Lookup Label 8 2 3 5" xfId="32478"/>
    <cellStyle name="LS Input Lookup Label 8 2 3 6" xfId="32479"/>
    <cellStyle name="LS Input Lookup Label 8 2 3 7" xfId="32480"/>
    <cellStyle name="LS Input Lookup Label 8 2 3 8" xfId="32481"/>
    <cellStyle name="LS Input Lookup Label 8 2 3 9" xfId="32482"/>
    <cellStyle name="LS Input Lookup Label 8 2 4" xfId="32483"/>
    <cellStyle name="LS Input Lookup Label 8 2 5" xfId="32484"/>
    <cellStyle name="LS Input Lookup Label 8 2 6" xfId="32485"/>
    <cellStyle name="LS Input Lookup Label 8 2 7" xfId="32486"/>
    <cellStyle name="LS Input Lookup Label 8 2 8" xfId="32487"/>
    <cellStyle name="LS Input Lookup Label 8 2 9" xfId="32488"/>
    <cellStyle name="LS Input Lookup Label 8 3" xfId="32489"/>
    <cellStyle name="LS Input Lookup Label 8 3 10" xfId="32490"/>
    <cellStyle name="LS Input Lookup Label 8 3 2" xfId="32491"/>
    <cellStyle name="LS Input Lookup Label 8 3 2 2" xfId="32492"/>
    <cellStyle name="LS Input Lookup Label 8 3 2 3" xfId="32493"/>
    <cellStyle name="LS Input Lookup Label 8 3 2 4" xfId="32494"/>
    <cellStyle name="LS Input Lookup Label 8 3 2 5" xfId="32495"/>
    <cellStyle name="LS Input Lookup Label 8 3 2 6" xfId="32496"/>
    <cellStyle name="LS Input Lookup Label 8 3 2 7" xfId="32497"/>
    <cellStyle name="LS Input Lookup Label 8 3 2 8" xfId="32498"/>
    <cellStyle name="LS Input Lookup Label 8 3 2 9" xfId="32499"/>
    <cellStyle name="LS Input Lookup Label 8 3 3" xfId="32500"/>
    <cellStyle name="LS Input Lookup Label 8 3 4" xfId="32501"/>
    <cellStyle name="LS Input Lookup Label 8 3 5" xfId="32502"/>
    <cellStyle name="LS Input Lookup Label 8 3 6" xfId="32503"/>
    <cellStyle name="LS Input Lookup Label 8 3 7" xfId="32504"/>
    <cellStyle name="LS Input Lookup Label 8 3 8" xfId="32505"/>
    <cellStyle name="LS Input Lookup Label 8 3 9" xfId="32506"/>
    <cellStyle name="LS Input Lookup Label 8 4" xfId="32507"/>
    <cellStyle name="LS Input Lookup Label 8 4 2" xfId="32508"/>
    <cellStyle name="LS Input Lookup Label 8 4 3" xfId="32509"/>
    <cellStyle name="LS Input Lookup Label 8 4 4" xfId="32510"/>
    <cellStyle name="LS Input Lookup Label 8 4 5" xfId="32511"/>
    <cellStyle name="LS Input Lookup Label 8 4 6" xfId="32512"/>
    <cellStyle name="LS Input Lookup Label 8 4 7" xfId="32513"/>
    <cellStyle name="LS Input Lookup Label 8 4 8" xfId="32514"/>
    <cellStyle name="LS Input Lookup Label 8 4 9" xfId="32515"/>
    <cellStyle name="LS Input Lookup Label 8 5" xfId="32516"/>
    <cellStyle name="LS Input Lookup Label 8 6" xfId="32517"/>
    <cellStyle name="LS Input Lookup Label 8 7" xfId="32518"/>
    <cellStyle name="LS Input Lookup Label 8 8" xfId="32519"/>
    <cellStyle name="LS Input Lookup Label 8 9" xfId="32520"/>
    <cellStyle name="LS Input Lookup Label 9" xfId="32521"/>
    <cellStyle name="LS Input Lookup Label 9 10" xfId="32522"/>
    <cellStyle name="LS Input Lookup Label 9 11" xfId="32523"/>
    <cellStyle name="LS Input Lookup Label 9 12" xfId="32524"/>
    <cellStyle name="LS Input Lookup Label 9 2" xfId="32525"/>
    <cellStyle name="LS Input Lookup Label 9 2 10" xfId="32526"/>
    <cellStyle name="LS Input Lookup Label 9 2 11" xfId="32527"/>
    <cellStyle name="LS Input Lookup Label 9 2 2" xfId="32528"/>
    <cellStyle name="LS Input Lookup Label 9 2 2 10" xfId="32529"/>
    <cellStyle name="LS Input Lookup Label 9 2 2 2" xfId="32530"/>
    <cellStyle name="LS Input Lookup Label 9 2 2 2 2" xfId="32531"/>
    <cellStyle name="LS Input Lookup Label 9 2 2 2 3" xfId="32532"/>
    <cellStyle name="LS Input Lookup Label 9 2 2 2 4" xfId="32533"/>
    <cellStyle name="LS Input Lookup Label 9 2 2 2 5" xfId="32534"/>
    <cellStyle name="LS Input Lookup Label 9 2 2 2 6" xfId="32535"/>
    <cellStyle name="LS Input Lookup Label 9 2 2 2 7" xfId="32536"/>
    <cellStyle name="LS Input Lookup Label 9 2 2 2 8" xfId="32537"/>
    <cellStyle name="LS Input Lookup Label 9 2 2 2 9" xfId="32538"/>
    <cellStyle name="LS Input Lookup Label 9 2 2 3" xfId="32539"/>
    <cellStyle name="LS Input Lookup Label 9 2 2 4" xfId="32540"/>
    <cellStyle name="LS Input Lookup Label 9 2 2 5" xfId="32541"/>
    <cellStyle name="LS Input Lookup Label 9 2 2 6" xfId="32542"/>
    <cellStyle name="LS Input Lookup Label 9 2 2 7" xfId="32543"/>
    <cellStyle name="LS Input Lookup Label 9 2 2 8" xfId="32544"/>
    <cellStyle name="LS Input Lookup Label 9 2 2 9" xfId="32545"/>
    <cellStyle name="LS Input Lookup Label 9 2 3" xfId="32546"/>
    <cellStyle name="LS Input Lookup Label 9 2 3 2" xfId="32547"/>
    <cellStyle name="LS Input Lookup Label 9 2 3 3" xfId="32548"/>
    <cellStyle name="LS Input Lookup Label 9 2 3 4" xfId="32549"/>
    <cellStyle name="LS Input Lookup Label 9 2 3 5" xfId="32550"/>
    <cellStyle name="LS Input Lookup Label 9 2 3 6" xfId="32551"/>
    <cellStyle name="LS Input Lookup Label 9 2 3 7" xfId="32552"/>
    <cellStyle name="LS Input Lookup Label 9 2 3 8" xfId="32553"/>
    <cellStyle name="LS Input Lookup Label 9 2 3 9" xfId="32554"/>
    <cellStyle name="LS Input Lookup Label 9 2 4" xfId="32555"/>
    <cellStyle name="LS Input Lookup Label 9 2 5" xfId="32556"/>
    <cellStyle name="LS Input Lookup Label 9 2 6" xfId="32557"/>
    <cellStyle name="LS Input Lookup Label 9 2 7" xfId="32558"/>
    <cellStyle name="LS Input Lookup Label 9 2 8" xfId="32559"/>
    <cellStyle name="LS Input Lookup Label 9 2 9" xfId="32560"/>
    <cellStyle name="LS Input Lookup Label 9 3" xfId="32561"/>
    <cellStyle name="LS Input Lookup Label 9 3 10" xfId="32562"/>
    <cellStyle name="LS Input Lookup Label 9 3 2" xfId="32563"/>
    <cellStyle name="LS Input Lookup Label 9 3 2 2" xfId="32564"/>
    <cellStyle name="LS Input Lookup Label 9 3 2 3" xfId="32565"/>
    <cellStyle name="LS Input Lookup Label 9 3 2 4" xfId="32566"/>
    <cellStyle name="LS Input Lookup Label 9 3 2 5" xfId="32567"/>
    <cellStyle name="LS Input Lookup Label 9 3 2 6" xfId="32568"/>
    <cellStyle name="LS Input Lookup Label 9 3 2 7" xfId="32569"/>
    <cellStyle name="LS Input Lookup Label 9 3 2 8" xfId="32570"/>
    <cellStyle name="LS Input Lookup Label 9 3 2 9" xfId="32571"/>
    <cellStyle name="LS Input Lookup Label 9 3 3" xfId="32572"/>
    <cellStyle name="LS Input Lookup Label 9 3 4" xfId="32573"/>
    <cellStyle name="LS Input Lookup Label 9 3 5" xfId="32574"/>
    <cellStyle name="LS Input Lookup Label 9 3 6" xfId="32575"/>
    <cellStyle name="LS Input Lookup Label 9 3 7" xfId="32576"/>
    <cellStyle name="LS Input Lookup Label 9 3 8" xfId="32577"/>
    <cellStyle name="LS Input Lookup Label 9 3 9" xfId="32578"/>
    <cellStyle name="LS Input Lookup Label 9 4" xfId="32579"/>
    <cellStyle name="LS Input Lookup Label 9 4 2" xfId="32580"/>
    <cellStyle name="LS Input Lookup Label 9 4 3" xfId="32581"/>
    <cellStyle name="LS Input Lookup Label 9 4 4" xfId="32582"/>
    <cellStyle name="LS Input Lookup Label 9 4 5" xfId="32583"/>
    <cellStyle name="LS Input Lookup Label 9 4 6" xfId="32584"/>
    <cellStyle name="LS Input Lookup Label 9 4 7" xfId="32585"/>
    <cellStyle name="LS Input Lookup Label 9 4 8" xfId="32586"/>
    <cellStyle name="LS Input Lookup Label 9 4 9" xfId="32587"/>
    <cellStyle name="LS Input Lookup Label 9 5" xfId="32588"/>
    <cellStyle name="LS Input Lookup Label 9 6" xfId="32589"/>
    <cellStyle name="LS Input Lookup Label 9 7" xfId="32590"/>
    <cellStyle name="LS Input Lookup Label 9 8" xfId="32591"/>
    <cellStyle name="LS Input Lookup Label 9 9" xfId="32592"/>
    <cellStyle name="LS Input Table Heading" xfId="32593"/>
    <cellStyle name="LS Input Table Heading 10" xfId="32594"/>
    <cellStyle name="LS Input Table Heading 10 10" xfId="32595"/>
    <cellStyle name="LS Input Table Heading 10 11" xfId="32596"/>
    <cellStyle name="LS Input Table Heading 10 2" xfId="32597"/>
    <cellStyle name="LS Input Table Heading 10 2 10" xfId="32598"/>
    <cellStyle name="LS Input Table Heading 10 2 2" xfId="32599"/>
    <cellStyle name="LS Input Table Heading 10 2 2 2" xfId="32600"/>
    <cellStyle name="LS Input Table Heading 10 2 2 3" xfId="32601"/>
    <cellStyle name="LS Input Table Heading 10 2 2 4" xfId="32602"/>
    <cellStyle name="LS Input Table Heading 10 2 2 5" xfId="32603"/>
    <cellStyle name="LS Input Table Heading 10 2 2 6" xfId="32604"/>
    <cellStyle name="LS Input Table Heading 10 2 2 7" xfId="32605"/>
    <cellStyle name="LS Input Table Heading 10 2 2 8" xfId="32606"/>
    <cellStyle name="LS Input Table Heading 10 2 2 9" xfId="32607"/>
    <cellStyle name="LS Input Table Heading 10 2 3" xfId="32608"/>
    <cellStyle name="LS Input Table Heading 10 2 4" xfId="32609"/>
    <cellStyle name="LS Input Table Heading 10 2 5" xfId="32610"/>
    <cellStyle name="LS Input Table Heading 10 2 6" xfId="32611"/>
    <cellStyle name="LS Input Table Heading 10 2 7" xfId="32612"/>
    <cellStyle name="LS Input Table Heading 10 2 8" xfId="32613"/>
    <cellStyle name="LS Input Table Heading 10 2 9" xfId="32614"/>
    <cellStyle name="LS Input Table Heading 10 3" xfId="32615"/>
    <cellStyle name="LS Input Table Heading 10 3 2" xfId="32616"/>
    <cellStyle name="LS Input Table Heading 10 3 3" xfId="32617"/>
    <cellStyle name="LS Input Table Heading 10 3 4" xfId="32618"/>
    <cellStyle name="LS Input Table Heading 10 3 5" xfId="32619"/>
    <cellStyle name="LS Input Table Heading 10 3 6" xfId="32620"/>
    <cellStyle name="LS Input Table Heading 10 3 7" xfId="32621"/>
    <cellStyle name="LS Input Table Heading 10 3 8" xfId="32622"/>
    <cellStyle name="LS Input Table Heading 10 3 9" xfId="32623"/>
    <cellStyle name="LS Input Table Heading 10 4" xfId="32624"/>
    <cellStyle name="LS Input Table Heading 10 5" xfId="32625"/>
    <cellStyle name="LS Input Table Heading 10 6" xfId="32626"/>
    <cellStyle name="LS Input Table Heading 10 7" xfId="32627"/>
    <cellStyle name="LS Input Table Heading 10 8" xfId="32628"/>
    <cellStyle name="LS Input Table Heading 10 9" xfId="32629"/>
    <cellStyle name="LS Input Table Heading 11" xfId="32630"/>
    <cellStyle name="LS Input Table Heading 11 10" xfId="32631"/>
    <cellStyle name="LS Input Table Heading 11 11" xfId="32632"/>
    <cellStyle name="LS Input Table Heading 11 2" xfId="32633"/>
    <cellStyle name="LS Input Table Heading 11 2 10" xfId="32634"/>
    <cellStyle name="LS Input Table Heading 11 2 2" xfId="32635"/>
    <cellStyle name="LS Input Table Heading 11 2 2 2" xfId="32636"/>
    <cellStyle name="LS Input Table Heading 11 2 2 3" xfId="32637"/>
    <cellStyle name="LS Input Table Heading 11 2 2 4" xfId="32638"/>
    <cellStyle name="LS Input Table Heading 11 2 2 5" xfId="32639"/>
    <cellStyle name="LS Input Table Heading 11 2 2 6" xfId="32640"/>
    <cellStyle name="LS Input Table Heading 11 2 2 7" xfId="32641"/>
    <cellStyle name="LS Input Table Heading 11 2 2 8" xfId="32642"/>
    <cellStyle name="LS Input Table Heading 11 2 2 9" xfId="32643"/>
    <cellStyle name="LS Input Table Heading 11 2 3" xfId="32644"/>
    <cellStyle name="LS Input Table Heading 11 2 4" xfId="32645"/>
    <cellStyle name="LS Input Table Heading 11 2 5" xfId="32646"/>
    <cellStyle name="LS Input Table Heading 11 2 6" xfId="32647"/>
    <cellStyle name="LS Input Table Heading 11 2 7" xfId="32648"/>
    <cellStyle name="LS Input Table Heading 11 2 8" xfId="32649"/>
    <cellStyle name="LS Input Table Heading 11 2 9" xfId="32650"/>
    <cellStyle name="LS Input Table Heading 11 3" xfId="32651"/>
    <cellStyle name="LS Input Table Heading 11 3 2" xfId="32652"/>
    <cellStyle name="LS Input Table Heading 11 3 3" xfId="32653"/>
    <cellStyle name="LS Input Table Heading 11 3 4" xfId="32654"/>
    <cellStyle name="LS Input Table Heading 11 3 5" xfId="32655"/>
    <cellStyle name="LS Input Table Heading 11 3 6" xfId="32656"/>
    <cellStyle name="LS Input Table Heading 11 3 7" xfId="32657"/>
    <cellStyle name="LS Input Table Heading 11 3 8" xfId="32658"/>
    <cellStyle name="LS Input Table Heading 11 3 9" xfId="32659"/>
    <cellStyle name="LS Input Table Heading 11 4" xfId="32660"/>
    <cellStyle name="LS Input Table Heading 11 5" xfId="32661"/>
    <cellStyle name="LS Input Table Heading 11 6" xfId="32662"/>
    <cellStyle name="LS Input Table Heading 11 7" xfId="32663"/>
    <cellStyle name="LS Input Table Heading 11 8" xfId="32664"/>
    <cellStyle name="LS Input Table Heading 11 9" xfId="32665"/>
    <cellStyle name="LS Input Table Heading 12" xfId="32666"/>
    <cellStyle name="LS Input Table Heading 12 10" xfId="32667"/>
    <cellStyle name="LS Input Table Heading 12 2" xfId="32668"/>
    <cellStyle name="LS Input Table Heading 12 2 2" xfId="32669"/>
    <cellStyle name="LS Input Table Heading 12 2 3" xfId="32670"/>
    <cellStyle name="LS Input Table Heading 12 2 4" xfId="32671"/>
    <cellStyle name="LS Input Table Heading 12 2 5" xfId="32672"/>
    <cellStyle name="LS Input Table Heading 12 2 6" xfId="32673"/>
    <cellStyle name="LS Input Table Heading 12 2 7" xfId="32674"/>
    <cellStyle name="LS Input Table Heading 12 2 8" xfId="32675"/>
    <cellStyle name="LS Input Table Heading 12 2 9" xfId="32676"/>
    <cellStyle name="LS Input Table Heading 12 3" xfId="32677"/>
    <cellStyle name="LS Input Table Heading 12 4" xfId="32678"/>
    <cellStyle name="LS Input Table Heading 12 5" xfId="32679"/>
    <cellStyle name="LS Input Table Heading 12 6" xfId="32680"/>
    <cellStyle name="LS Input Table Heading 12 7" xfId="32681"/>
    <cellStyle name="LS Input Table Heading 12 8" xfId="32682"/>
    <cellStyle name="LS Input Table Heading 12 9" xfId="32683"/>
    <cellStyle name="LS Input Table Heading 13" xfId="32684"/>
    <cellStyle name="LS Input Table Heading 13 2" xfId="32685"/>
    <cellStyle name="LS Input Table Heading 13 3" xfId="32686"/>
    <cellStyle name="LS Input Table Heading 13 4" xfId="32687"/>
    <cellStyle name="LS Input Table Heading 13 5" xfId="32688"/>
    <cellStyle name="LS Input Table Heading 13 6" xfId="32689"/>
    <cellStyle name="LS Input Table Heading 13 7" xfId="32690"/>
    <cellStyle name="LS Input Table Heading 13 8" xfId="32691"/>
    <cellStyle name="LS Input Table Heading 13 9" xfId="32692"/>
    <cellStyle name="LS Input Table Heading 14" xfId="32693"/>
    <cellStyle name="LS Input Table Heading 15" xfId="32694"/>
    <cellStyle name="LS Input Table Heading 16" xfId="32695"/>
    <cellStyle name="LS Input Table Heading 17" xfId="32696"/>
    <cellStyle name="LS Input Table Heading 2" xfId="32697"/>
    <cellStyle name="LS Input Table Heading 2 10" xfId="32698"/>
    <cellStyle name="LS Input Table Heading 2 11" xfId="32699"/>
    <cellStyle name="LS Input Table Heading 2 12" xfId="32700"/>
    <cellStyle name="LS Input Table Heading 2 13" xfId="32701"/>
    <cellStyle name="LS Input Table Heading 2 14" xfId="32702"/>
    <cellStyle name="LS Input Table Heading 2 15" xfId="32703"/>
    <cellStyle name="LS Input Table Heading 2 16" xfId="32704"/>
    <cellStyle name="LS Input Table Heading 2 17" xfId="32705"/>
    <cellStyle name="LS Input Table Heading 2 18" xfId="32706"/>
    <cellStyle name="LS Input Table Heading 2 2" xfId="32707"/>
    <cellStyle name="LS Input Table Heading 2 2 10" xfId="32708"/>
    <cellStyle name="LS Input Table Heading 2 2 11" xfId="32709"/>
    <cellStyle name="LS Input Table Heading 2 2 12" xfId="32710"/>
    <cellStyle name="LS Input Table Heading 2 2 13" xfId="32711"/>
    <cellStyle name="LS Input Table Heading 2 2 2" xfId="32712"/>
    <cellStyle name="LS Input Table Heading 2 2 2 10" xfId="32713"/>
    <cellStyle name="LS Input Table Heading 2 2 2 11" xfId="32714"/>
    <cellStyle name="LS Input Table Heading 2 2 2 12" xfId="32715"/>
    <cellStyle name="LS Input Table Heading 2 2 2 2" xfId="32716"/>
    <cellStyle name="LS Input Table Heading 2 2 2 2 10" xfId="32717"/>
    <cellStyle name="LS Input Table Heading 2 2 2 2 11" xfId="32718"/>
    <cellStyle name="LS Input Table Heading 2 2 2 2 2" xfId="32719"/>
    <cellStyle name="LS Input Table Heading 2 2 2 2 2 10" xfId="32720"/>
    <cellStyle name="LS Input Table Heading 2 2 2 2 2 2" xfId="32721"/>
    <cellStyle name="LS Input Table Heading 2 2 2 2 2 2 2" xfId="32722"/>
    <cellStyle name="LS Input Table Heading 2 2 2 2 2 2 3" xfId="32723"/>
    <cellStyle name="LS Input Table Heading 2 2 2 2 2 2 4" xfId="32724"/>
    <cellStyle name="LS Input Table Heading 2 2 2 2 2 2 5" xfId="32725"/>
    <cellStyle name="LS Input Table Heading 2 2 2 2 2 2 6" xfId="32726"/>
    <cellStyle name="LS Input Table Heading 2 2 2 2 2 2 7" xfId="32727"/>
    <cellStyle name="LS Input Table Heading 2 2 2 2 2 2 8" xfId="32728"/>
    <cellStyle name="LS Input Table Heading 2 2 2 2 2 2 9" xfId="32729"/>
    <cellStyle name="LS Input Table Heading 2 2 2 2 2 3" xfId="32730"/>
    <cellStyle name="LS Input Table Heading 2 2 2 2 2 4" xfId="32731"/>
    <cellStyle name="LS Input Table Heading 2 2 2 2 2 5" xfId="32732"/>
    <cellStyle name="LS Input Table Heading 2 2 2 2 2 6" xfId="32733"/>
    <cellStyle name="LS Input Table Heading 2 2 2 2 2 7" xfId="32734"/>
    <cellStyle name="LS Input Table Heading 2 2 2 2 2 8" xfId="32735"/>
    <cellStyle name="LS Input Table Heading 2 2 2 2 2 9" xfId="32736"/>
    <cellStyle name="LS Input Table Heading 2 2 2 2 3" xfId="32737"/>
    <cellStyle name="LS Input Table Heading 2 2 2 2 3 2" xfId="32738"/>
    <cellStyle name="LS Input Table Heading 2 2 2 2 3 3" xfId="32739"/>
    <cellStyle name="LS Input Table Heading 2 2 2 2 3 4" xfId="32740"/>
    <cellStyle name="LS Input Table Heading 2 2 2 2 3 5" xfId="32741"/>
    <cellStyle name="LS Input Table Heading 2 2 2 2 3 6" xfId="32742"/>
    <cellStyle name="LS Input Table Heading 2 2 2 2 3 7" xfId="32743"/>
    <cellStyle name="LS Input Table Heading 2 2 2 2 3 8" xfId="32744"/>
    <cellStyle name="LS Input Table Heading 2 2 2 2 3 9" xfId="32745"/>
    <cellStyle name="LS Input Table Heading 2 2 2 2 4" xfId="32746"/>
    <cellStyle name="LS Input Table Heading 2 2 2 2 5" xfId="32747"/>
    <cellStyle name="LS Input Table Heading 2 2 2 2 6" xfId="32748"/>
    <cellStyle name="LS Input Table Heading 2 2 2 2 7" xfId="32749"/>
    <cellStyle name="LS Input Table Heading 2 2 2 2 8" xfId="32750"/>
    <cellStyle name="LS Input Table Heading 2 2 2 2 9" xfId="32751"/>
    <cellStyle name="LS Input Table Heading 2 2 2 3" xfId="32752"/>
    <cellStyle name="LS Input Table Heading 2 2 2 3 10" xfId="32753"/>
    <cellStyle name="LS Input Table Heading 2 2 2 3 2" xfId="32754"/>
    <cellStyle name="LS Input Table Heading 2 2 2 3 2 2" xfId="32755"/>
    <cellStyle name="LS Input Table Heading 2 2 2 3 2 3" xfId="32756"/>
    <cellStyle name="LS Input Table Heading 2 2 2 3 2 4" xfId="32757"/>
    <cellStyle name="LS Input Table Heading 2 2 2 3 2 5" xfId="32758"/>
    <cellStyle name="LS Input Table Heading 2 2 2 3 2 6" xfId="32759"/>
    <cellStyle name="LS Input Table Heading 2 2 2 3 2 7" xfId="32760"/>
    <cellStyle name="LS Input Table Heading 2 2 2 3 2 8" xfId="32761"/>
    <cellStyle name="LS Input Table Heading 2 2 2 3 2 9" xfId="32762"/>
    <cellStyle name="LS Input Table Heading 2 2 2 3 3" xfId="32763"/>
    <cellStyle name="LS Input Table Heading 2 2 2 3 4" xfId="32764"/>
    <cellStyle name="LS Input Table Heading 2 2 2 3 5" xfId="32765"/>
    <cellStyle name="LS Input Table Heading 2 2 2 3 6" xfId="32766"/>
    <cellStyle name="LS Input Table Heading 2 2 2 3 7" xfId="32767"/>
    <cellStyle name="LS Input Table Heading 2 2 2 3 8" xfId="32768"/>
    <cellStyle name="LS Input Table Heading 2 2 2 3 9" xfId="32769"/>
    <cellStyle name="LS Input Table Heading 2 2 2 4" xfId="32770"/>
    <cellStyle name="LS Input Table Heading 2 2 2 4 2" xfId="32771"/>
    <cellStyle name="LS Input Table Heading 2 2 2 4 3" xfId="32772"/>
    <cellStyle name="LS Input Table Heading 2 2 2 4 4" xfId="32773"/>
    <cellStyle name="LS Input Table Heading 2 2 2 4 5" xfId="32774"/>
    <cellStyle name="LS Input Table Heading 2 2 2 4 6" xfId="32775"/>
    <cellStyle name="LS Input Table Heading 2 2 2 4 7" xfId="32776"/>
    <cellStyle name="LS Input Table Heading 2 2 2 4 8" xfId="32777"/>
    <cellStyle name="LS Input Table Heading 2 2 2 4 9" xfId="32778"/>
    <cellStyle name="LS Input Table Heading 2 2 2 5" xfId="32779"/>
    <cellStyle name="LS Input Table Heading 2 2 2 6" xfId="32780"/>
    <cellStyle name="LS Input Table Heading 2 2 2 7" xfId="32781"/>
    <cellStyle name="LS Input Table Heading 2 2 2 8" xfId="32782"/>
    <cellStyle name="LS Input Table Heading 2 2 2 9" xfId="32783"/>
    <cellStyle name="LS Input Table Heading 2 2 3" xfId="32784"/>
    <cellStyle name="LS Input Table Heading 2 2 3 10" xfId="32785"/>
    <cellStyle name="LS Input Table Heading 2 2 3 11" xfId="32786"/>
    <cellStyle name="LS Input Table Heading 2 2 3 2" xfId="32787"/>
    <cellStyle name="LS Input Table Heading 2 2 3 2 10" xfId="32788"/>
    <cellStyle name="LS Input Table Heading 2 2 3 2 2" xfId="32789"/>
    <cellStyle name="LS Input Table Heading 2 2 3 2 2 2" xfId="32790"/>
    <cellStyle name="LS Input Table Heading 2 2 3 2 2 3" xfId="32791"/>
    <cellStyle name="LS Input Table Heading 2 2 3 2 2 4" xfId="32792"/>
    <cellStyle name="LS Input Table Heading 2 2 3 2 2 5" xfId="32793"/>
    <cellStyle name="LS Input Table Heading 2 2 3 2 2 6" xfId="32794"/>
    <cellStyle name="LS Input Table Heading 2 2 3 2 2 7" xfId="32795"/>
    <cellStyle name="LS Input Table Heading 2 2 3 2 2 8" xfId="32796"/>
    <cellStyle name="LS Input Table Heading 2 2 3 2 2 9" xfId="32797"/>
    <cellStyle name="LS Input Table Heading 2 2 3 2 3" xfId="32798"/>
    <cellStyle name="LS Input Table Heading 2 2 3 2 4" xfId="32799"/>
    <cellStyle name="LS Input Table Heading 2 2 3 2 5" xfId="32800"/>
    <cellStyle name="LS Input Table Heading 2 2 3 2 6" xfId="32801"/>
    <cellStyle name="LS Input Table Heading 2 2 3 2 7" xfId="32802"/>
    <cellStyle name="LS Input Table Heading 2 2 3 2 8" xfId="32803"/>
    <cellStyle name="LS Input Table Heading 2 2 3 2 9" xfId="32804"/>
    <cellStyle name="LS Input Table Heading 2 2 3 3" xfId="32805"/>
    <cellStyle name="LS Input Table Heading 2 2 3 3 2" xfId="32806"/>
    <cellStyle name="LS Input Table Heading 2 2 3 3 3" xfId="32807"/>
    <cellStyle name="LS Input Table Heading 2 2 3 3 4" xfId="32808"/>
    <cellStyle name="LS Input Table Heading 2 2 3 3 5" xfId="32809"/>
    <cellStyle name="LS Input Table Heading 2 2 3 3 6" xfId="32810"/>
    <cellStyle name="LS Input Table Heading 2 2 3 3 7" xfId="32811"/>
    <cellStyle name="LS Input Table Heading 2 2 3 3 8" xfId="32812"/>
    <cellStyle name="LS Input Table Heading 2 2 3 3 9" xfId="32813"/>
    <cellStyle name="LS Input Table Heading 2 2 3 4" xfId="32814"/>
    <cellStyle name="LS Input Table Heading 2 2 3 5" xfId="32815"/>
    <cellStyle name="LS Input Table Heading 2 2 3 6" xfId="32816"/>
    <cellStyle name="LS Input Table Heading 2 2 3 7" xfId="32817"/>
    <cellStyle name="LS Input Table Heading 2 2 3 8" xfId="32818"/>
    <cellStyle name="LS Input Table Heading 2 2 3 9" xfId="32819"/>
    <cellStyle name="LS Input Table Heading 2 2 4" xfId="32820"/>
    <cellStyle name="LS Input Table Heading 2 2 4 10" xfId="32821"/>
    <cellStyle name="LS Input Table Heading 2 2 4 2" xfId="32822"/>
    <cellStyle name="LS Input Table Heading 2 2 4 2 2" xfId="32823"/>
    <cellStyle name="LS Input Table Heading 2 2 4 2 3" xfId="32824"/>
    <cellStyle name="LS Input Table Heading 2 2 4 2 4" xfId="32825"/>
    <cellStyle name="LS Input Table Heading 2 2 4 2 5" xfId="32826"/>
    <cellStyle name="LS Input Table Heading 2 2 4 2 6" xfId="32827"/>
    <cellStyle name="LS Input Table Heading 2 2 4 2 7" xfId="32828"/>
    <cellStyle name="LS Input Table Heading 2 2 4 2 8" xfId="32829"/>
    <cellStyle name="LS Input Table Heading 2 2 4 2 9" xfId="32830"/>
    <cellStyle name="LS Input Table Heading 2 2 4 3" xfId="32831"/>
    <cellStyle name="LS Input Table Heading 2 2 4 4" xfId="32832"/>
    <cellStyle name="LS Input Table Heading 2 2 4 5" xfId="32833"/>
    <cellStyle name="LS Input Table Heading 2 2 4 6" xfId="32834"/>
    <cellStyle name="LS Input Table Heading 2 2 4 7" xfId="32835"/>
    <cellStyle name="LS Input Table Heading 2 2 4 8" xfId="32836"/>
    <cellStyle name="LS Input Table Heading 2 2 4 9" xfId="32837"/>
    <cellStyle name="LS Input Table Heading 2 2 5" xfId="32838"/>
    <cellStyle name="LS Input Table Heading 2 2 5 2" xfId="32839"/>
    <cellStyle name="LS Input Table Heading 2 2 5 3" xfId="32840"/>
    <cellStyle name="LS Input Table Heading 2 2 5 4" xfId="32841"/>
    <cellStyle name="LS Input Table Heading 2 2 5 5" xfId="32842"/>
    <cellStyle name="LS Input Table Heading 2 2 5 6" xfId="32843"/>
    <cellStyle name="LS Input Table Heading 2 2 5 7" xfId="32844"/>
    <cellStyle name="LS Input Table Heading 2 2 5 8" xfId="32845"/>
    <cellStyle name="LS Input Table Heading 2 2 5 9" xfId="32846"/>
    <cellStyle name="LS Input Table Heading 2 2 6" xfId="32847"/>
    <cellStyle name="LS Input Table Heading 2 2 7" xfId="32848"/>
    <cellStyle name="LS Input Table Heading 2 2 8" xfId="32849"/>
    <cellStyle name="LS Input Table Heading 2 2 9" xfId="32850"/>
    <cellStyle name="LS Input Table Heading 2 3" xfId="32851"/>
    <cellStyle name="LS Input Table Heading 2 3 10" xfId="32852"/>
    <cellStyle name="LS Input Table Heading 2 3 11" xfId="32853"/>
    <cellStyle name="LS Input Table Heading 2 3 12" xfId="32854"/>
    <cellStyle name="LS Input Table Heading 2 3 2" xfId="32855"/>
    <cellStyle name="LS Input Table Heading 2 3 2 10" xfId="32856"/>
    <cellStyle name="LS Input Table Heading 2 3 2 11" xfId="32857"/>
    <cellStyle name="LS Input Table Heading 2 3 2 2" xfId="32858"/>
    <cellStyle name="LS Input Table Heading 2 3 2 2 10" xfId="32859"/>
    <cellStyle name="LS Input Table Heading 2 3 2 2 2" xfId="32860"/>
    <cellStyle name="LS Input Table Heading 2 3 2 2 2 2" xfId="32861"/>
    <cellStyle name="LS Input Table Heading 2 3 2 2 2 3" xfId="32862"/>
    <cellStyle name="LS Input Table Heading 2 3 2 2 2 4" xfId="32863"/>
    <cellStyle name="LS Input Table Heading 2 3 2 2 2 5" xfId="32864"/>
    <cellStyle name="LS Input Table Heading 2 3 2 2 2 6" xfId="32865"/>
    <cellStyle name="LS Input Table Heading 2 3 2 2 2 7" xfId="32866"/>
    <cellStyle name="LS Input Table Heading 2 3 2 2 2 8" xfId="32867"/>
    <cellStyle name="LS Input Table Heading 2 3 2 2 2 9" xfId="32868"/>
    <cellStyle name="LS Input Table Heading 2 3 2 2 3" xfId="32869"/>
    <cellStyle name="LS Input Table Heading 2 3 2 2 4" xfId="32870"/>
    <cellStyle name="LS Input Table Heading 2 3 2 2 5" xfId="32871"/>
    <cellStyle name="LS Input Table Heading 2 3 2 2 6" xfId="32872"/>
    <cellStyle name="LS Input Table Heading 2 3 2 2 7" xfId="32873"/>
    <cellStyle name="LS Input Table Heading 2 3 2 2 8" xfId="32874"/>
    <cellStyle name="LS Input Table Heading 2 3 2 2 9" xfId="32875"/>
    <cellStyle name="LS Input Table Heading 2 3 2 3" xfId="32876"/>
    <cellStyle name="LS Input Table Heading 2 3 2 3 2" xfId="32877"/>
    <cellStyle name="LS Input Table Heading 2 3 2 3 3" xfId="32878"/>
    <cellStyle name="LS Input Table Heading 2 3 2 3 4" xfId="32879"/>
    <cellStyle name="LS Input Table Heading 2 3 2 3 5" xfId="32880"/>
    <cellStyle name="LS Input Table Heading 2 3 2 3 6" xfId="32881"/>
    <cellStyle name="LS Input Table Heading 2 3 2 3 7" xfId="32882"/>
    <cellStyle name="LS Input Table Heading 2 3 2 3 8" xfId="32883"/>
    <cellStyle name="LS Input Table Heading 2 3 2 3 9" xfId="32884"/>
    <cellStyle name="LS Input Table Heading 2 3 2 4" xfId="32885"/>
    <cellStyle name="LS Input Table Heading 2 3 2 5" xfId="32886"/>
    <cellStyle name="LS Input Table Heading 2 3 2 6" xfId="32887"/>
    <cellStyle name="LS Input Table Heading 2 3 2 7" xfId="32888"/>
    <cellStyle name="LS Input Table Heading 2 3 2 8" xfId="32889"/>
    <cellStyle name="LS Input Table Heading 2 3 2 9" xfId="32890"/>
    <cellStyle name="LS Input Table Heading 2 3 3" xfId="32891"/>
    <cellStyle name="LS Input Table Heading 2 3 3 10" xfId="32892"/>
    <cellStyle name="LS Input Table Heading 2 3 3 2" xfId="32893"/>
    <cellStyle name="LS Input Table Heading 2 3 3 2 2" xfId="32894"/>
    <cellStyle name="LS Input Table Heading 2 3 3 2 3" xfId="32895"/>
    <cellStyle name="LS Input Table Heading 2 3 3 2 4" xfId="32896"/>
    <cellStyle name="LS Input Table Heading 2 3 3 2 5" xfId="32897"/>
    <cellStyle name="LS Input Table Heading 2 3 3 2 6" xfId="32898"/>
    <cellStyle name="LS Input Table Heading 2 3 3 2 7" xfId="32899"/>
    <cellStyle name="LS Input Table Heading 2 3 3 2 8" xfId="32900"/>
    <cellStyle name="LS Input Table Heading 2 3 3 2 9" xfId="32901"/>
    <cellStyle name="LS Input Table Heading 2 3 3 3" xfId="32902"/>
    <cellStyle name="LS Input Table Heading 2 3 3 4" xfId="32903"/>
    <cellStyle name="LS Input Table Heading 2 3 3 5" xfId="32904"/>
    <cellStyle name="LS Input Table Heading 2 3 3 6" xfId="32905"/>
    <cellStyle name="LS Input Table Heading 2 3 3 7" xfId="32906"/>
    <cellStyle name="LS Input Table Heading 2 3 3 8" xfId="32907"/>
    <cellStyle name="LS Input Table Heading 2 3 3 9" xfId="32908"/>
    <cellStyle name="LS Input Table Heading 2 3 4" xfId="32909"/>
    <cellStyle name="LS Input Table Heading 2 3 4 2" xfId="32910"/>
    <cellStyle name="LS Input Table Heading 2 3 4 3" xfId="32911"/>
    <cellStyle name="LS Input Table Heading 2 3 4 4" xfId="32912"/>
    <cellStyle name="LS Input Table Heading 2 3 4 5" xfId="32913"/>
    <cellStyle name="LS Input Table Heading 2 3 4 6" xfId="32914"/>
    <cellStyle name="LS Input Table Heading 2 3 4 7" xfId="32915"/>
    <cellStyle name="LS Input Table Heading 2 3 4 8" xfId="32916"/>
    <cellStyle name="LS Input Table Heading 2 3 4 9" xfId="32917"/>
    <cellStyle name="LS Input Table Heading 2 3 5" xfId="32918"/>
    <cellStyle name="LS Input Table Heading 2 3 6" xfId="32919"/>
    <cellStyle name="LS Input Table Heading 2 3 7" xfId="32920"/>
    <cellStyle name="LS Input Table Heading 2 3 8" xfId="32921"/>
    <cellStyle name="LS Input Table Heading 2 3 9" xfId="32922"/>
    <cellStyle name="LS Input Table Heading 2 4" xfId="32923"/>
    <cellStyle name="LS Input Table Heading 2 4 10" xfId="32924"/>
    <cellStyle name="LS Input Table Heading 2 4 11" xfId="32925"/>
    <cellStyle name="LS Input Table Heading 2 4 12" xfId="32926"/>
    <cellStyle name="LS Input Table Heading 2 4 2" xfId="32927"/>
    <cellStyle name="LS Input Table Heading 2 4 2 10" xfId="32928"/>
    <cellStyle name="LS Input Table Heading 2 4 2 11" xfId="32929"/>
    <cellStyle name="LS Input Table Heading 2 4 2 2" xfId="32930"/>
    <cellStyle name="LS Input Table Heading 2 4 2 2 10" xfId="32931"/>
    <cellStyle name="LS Input Table Heading 2 4 2 2 2" xfId="32932"/>
    <cellStyle name="LS Input Table Heading 2 4 2 2 2 2" xfId="32933"/>
    <cellStyle name="LS Input Table Heading 2 4 2 2 2 3" xfId="32934"/>
    <cellStyle name="LS Input Table Heading 2 4 2 2 2 4" xfId="32935"/>
    <cellStyle name="LS Input Table Heading 2 4 2 2 2 5" xfId="32936"/>
    <cellStyle name="LS Input Table Heading 2 4 2 2 2 6" xfId="32937"/>
    <cellStyle name="LS Input Table Heading 2 4 2 2 2 7" xfId="32938"/>
    <cellStyle name="LS Input Table Heading 2 4 2 2 2 8" xfId="32939"/>
    <cellStyle name="LS Input Table Heading 2 4 2 2 2 9" xfId="32940"/>
    <cellStyle name="LS Input Table Heading 2 4 2 2 3" xfId="32941"/>
    <cellStyle name="LS Input Table Heading 2 4 2 2 4" xfId="32942"/>
    <cellStyle name="LS Input Table Heading 2 4 2 2 5" xfId="32943"/>
    <cellStyle name="LS Input Table Heading 2 4 2 2 6" xfId="32944"/>
    <cellStyle name="LS Input Table Heading 2 4 2 2 7" xfId="32945"/>
    <cellStyle name="LS Input Table Heading 2 4 2 2 8" xfId="32946"/>
    <cellStyle name="LS Input Table Heading 2 4 2 2 9" xfId="32947"/>
    <cellStyle name="LS Input Table Heading 2 4 2 3" xfId="32948"/>
    <cellStyle name="LS Input Table Heading 2 4 2 3 2" xfId="32949"/>
    <cellStyle name="LS Input Table Heading 2 4 2 3 3" xfId="32950"/>
    <cellStyle name="LS Input Table Heading 2 4 2 3 4" xfId="32951"/>
    <cellStyle name="LS Input Table Heading 2 4 2 3 5" xfId="32952"/>
    <cellStyle name="LS Input Table Heading 2 4 2 3 6" xfId="32953"/>
    <cellStyle name="LS Input Table Heading 2 4 2 3 7" xfId="32954"/>
    <cellStyle name="LS Input Table Heading 2 4 2 3 8" xfId="32955"/>
    <cellStyle name="LS Input Table Heading 2 4 2 3 9" xfId="32956"/>
    <cellStyle name="LS Input Table Heading 2 4 2 4" xfId="32957"/>
    <cellStyle name="LS Input Table Heading 2 4 2 5" xfId="32958"/>
    <cellStyle name="LS Input Table Heading 2 4 2 6" xfId="32959"/>
    <cellStyle name="LS Input Table Heading 2 4 2 7" xfId="32960"/>
    <cellStyle name="LS Input Table Heading 2 4 2 8" xfId="32961"/>
    <cellStyle name="LS Input Table Heading 2 4 2 9" xfId="32962"/>
    <cellStyle name="LS Input Table Heading 2 4 3" xfId="32963"/>
    <cellStyle name="LS Input Table Heading 2 4 3 10" xfId="32964"/>
    <cellStyle name="LS Input Table Heading 2 4 3 2" xfId="32965"/>
    <cellStyle name="LS Input Table Heading 2 4 3 2 2" xfId="32966"/>
    <cellStyle name="LS Input Table Heading 2 4 3 2 3" xfId="32967"/>
    <cellStyle name="LS Input Table Heading 2 4 3 2 4" xfId="32968"/>
    <cellStyle name="LS Input Table Heading 2 4 3 2 5" xfId="32969"/>
    <cellStyle name="LS Input Table Heading 2 4 3 2 6" xfId="32970"/>
    <cellStyle name="LS Input Table Heading 2 4 3 2 7" xfId="32971"/>
    <cellStyle name="LS Input Table Heading 2 4 3 2 8" xfId="32972"/>
    <cellStyle name="LS Input Table Heading 2 4 3 2 9" xfId="32973"/>
    <cellStyle name="LS Input Table Heading 2 4 3 3" xfId="32974"/>
    <cellStyle name="LS Input Table Heading 2 4 3 4" xfId="32975"/>
    <cellStyle name="LS Input Table Heading 2 4 3 5" xfId="32976"/>
    <cellStyle name="LS Input Table Heading 2 4 3 6" xfId="32977"/>
    <cellStyle name="LS Input Table Heading 2 4 3 7" xfId="32978"/>
    <cellStyle name="LS Input Table Heading 2 4 3 8" xfId="32979"/>
    <cellStyle name="LS Input Table Heading 2 4 3 9" xfId="32980"/>
    <cellStyle name="LS Input Table Heading 2 4 4" xfId="32981"/>
    <cellStyle name="LS Input Table Heading 2 4 4 2" xfId="32982"/>
    <cellStyle name="LS Input Table Heading 2 4 4 3" xfId="32983"/>
    <cellStyle name="LS Input Table Heading 2 4 4 4" xfId="32984"/>
    <cellStyle name="LS Input Table Heading 2 4 4 5" xfId="32985"/>
    <cellStyle name="LS Input Table Heading 2 4 4 6" xfId="32986"/>
    <cellStyle name="LS Input Table Heading 2 4 4 7" xfId="32987"/>
    <cellStyle name="LS Input Table Heading 2 4 4 8" xfId="32988"/>
    <cellStyle name="LS Input Table Heading 2 4 4 9" xfId="32989"/>
    <cellStyle name="LS Input Table Heading 2 4 5" xfId="32990"/>
    <cellStyle name="LS Input Table Heading 2 4 6" xfId="32991"/>
    <cellStyle name="LS Input Table Heading 2 4 7" xfId="32992"/>
    <cellStyle name="LS Input Table Heading 2 4 8" xfId="32993"/>
    <cellStyle name="LS Input Table Heading 2 4 9" xfId="32994"/>
    <cellStyle name="LS Input Table Heading 2 5" xfId="32995"/>
    <cellStyle name="LS Input Table Heading 2 5 10" xfId="32996"/>
    <cellStyle name="LS Input Table Heading 2 5 11" xfId="32997"/>
    <cellStyle name="LS Input Table Heading 2 5 12" xfId="32998"/>
    <cellStyle name="LS Input Table Heading 2 5 2" xfId="32999"/>
    <cellStyle name="LS Input Table Heading 2 5 2 10" xfId="33000"/>
    <cellStyle name="LS Input Table Heading 2 5 2 11" xfId="33001"/>
    <cellStyle name="LS Input Table Heading 2 5 2 2" xfId="33002"/>
    <cellStyle name="LS Input Table Heading 2 5 2 2 10" xfId="33003"/>
    <cellStyle name="LS Input Table Heading 2 5 2 2 2" xfId="33004"/>
    <cellStyle name="LS Input Table Heading 2 5 2 2 2 2" xfId="33005"/>
    <cellStyle name="LS Input Table Heading 2 5 2 2 2 3" xfId="33006"/>
    <cellStyle name="LS Input Table Heading 2 5 2 2 2 4" xfId="33007"/>
    <cellStyle name="LS Input Table Heading 2 5 2 2 2 5" xfId="33008"/>
    <cellStyle name="LS Input Table Heading 2 5 2 2 2 6" xfId="33009"/>
    <cellStyle name="LS Input Table Heading 2 5 2 2 2 7" xfId="33010"/>
    <cellStyle name="LS Input Table Heading 2 5 2 2 2 8" xfId="33011"/>
    <cellStyle name="LS Input Table Heading 2 5 2 2 2 9" xfId="33012"/>
    <cellStyle name="LS Input Table Heading 2 5 2 2 3" xfId="33013"/>
    <cellStyle name="LS Input Table Heading 2 5 2 2 4" xfId="33014"/>
    <cellStyle name="LS Input Table Heading 2 5 2 2 5" xfId="33015"/>
    <cellStyle name="LS Input Table Heading 2 5 2 2 6" xfId="33016"/>
    <cellStyle name="LS Input Table Heading 2 5 2 2 7" xfId="33017"/>
    <cellStyle name="LS Input Table Heading 2 5 2 2 8" xfId="33018"/>
    <cellStyle name="LS Input Table Heading 2 5 2 2 9" xfId="33019"/>
    <cellStyle name="LS Input Table Heading 2 5 2 3" xfId="33020"/>
    <cellStyle name="LS Input Table Heading 2 5 2 3 2" xfId="33021"/>
    <cellStyle name="LS Input Table Heading 2 5 2 3 3" xfId="33022"/>
    <cellStyle name="LS Input Table Heading 2 5 2 3 4" xfId="33023"/>
    <cellStyle name="LS Input Table Heading 2 5 2 3 5" xfId="33024"/>
    <cellStyle name="LS Input Table Heading 2 5 2 3 6" xfId="33025"/>
    <cellStyle name="LS Input Table Heading 2 5 2 3 7" xfId="33026"/>
    <cellStyle name="LS Input Table Heading 2 5 2 3 8" xfId="33027"/>
    <cellStyle name="LS Input Table Heading 2 5 2 3 9" xfId="33028"/>
    <cellStyle name="LS Input Table Heading 2 5 2 4" xfId="33029"/>
    <cellStyle name="LS Input Table Heading 2 5 2 5" xfId="33030"/>
    <cellStyle name="LS Input Table Heading 2 5 2 6" xfId="33031"/>
    <cellStyle name="LS Input Table Heading 2 5 2 7" xfId="33032"/>
    <cellStyle name="LS Input Table Heading 2 5 2 8" xfId="33033"/>
    <cellStyle name="LS Input Table Heading 2 5 2 9" xfId="33034"/>
    <cellStyle name="LS Input Table Heading 2 5 3" xfId="33035"/>
    <cellStyle name="LS Input Table Heading 2 5 3 10" xfId="33036"/>
    <cellStyle name="LS Input Table Heading 2 5 3 2" xfId="33037"/>
    <cellStyle name="LS Input Table Heading 2 5 3 2 2" xfId="33038"/>
    <cellStyle name="LS Input Table Heading 2 5 3 2 3" xfId="33039"/>
    <cellStyle name="LS Input Table Heading 2 5 3 2 4" xfId="33040"/>
    <cellStyle name="LS Input Table Heading 2 5 3 2 5" xfId="33041"/>
    <cellStyle name="LS Input Table Heading 2 5 3 2 6" xfId="33042"/>
    <cellStyle name="LS Input Table Heading 2 5 3 2 7" xfId="33043"/>
    <cellStyle name="LS Input Table Heading 2 5 3 2 8" xfId="33044"/>
    <cellStyle name="LS Input Table Heading 2 5 3 2 9" xfId="33045"/>
    <cellStyle name="LS Input Table Heading 2 5 3 3" xfId="33046"/>
    <cellStyle name="LS Input Table Heading 2 5 3 4" xfId="33047"/>
    <cellStyle name="LS Input Table Heading 2 5 3 5" xfId="33048"/>
    <cellStyle name="LS Input Table Heading 2 5 3 6" xfId="33049"/>
    <cellStyle name="LS Input Table Heading 2 5 3 7" xfId="33050"/>
    <cellStyle name="LS Input Table Heading 2 5 3 8" xfId="33051"/>
    <cellStyle name="LS Input Table Heading 2 5 3 9" xfId="33052"/>
    <cellStyle name="LS Input Table Heading 2 5 4" xfId="33053"/>
    <cellStyle name="LS Input Table Heading 2 5 4 2" xfId="33054"/>
    <cellStyle name="LS Input Table Heading 2 5 4 3" xfId="33055"/>
    <cellStyle name="LS Input Table Heading 2 5 4 4" xfId="33056"/>
    <cellStyle name="LS Input Table Heading 2 5 4 5" xfId="33057"/>
    <cellStyle name="LS Input Table Heading 2 5 4 6" xfId="33058"/>
    <cellStyle name="LS Input Table Heading 2 5 4 7" xfId="33059"/>
    <cellStyle name="LS Input Table Heading 2 5 4 8" xfId="33060"/>
    <cellStyle name="LS Input Table Heading 2 5 4 9" xfId="33061"/>
    <cellStyle name="LS Input Table Heading 2 5 5" xfId="33062"/>
    <cellStyle name="LS Input Table Heading 2 5 6" xfId="33063"/>
    <cellStyle name="LS Input Table Heading 2 5 7" xfId="33064"/>
    <cellStyle name="LS Input Table Heading 2 5 8" xfId="33065"/>
    <cellStyle name="LS Input Table Heading 2 5 9" xfId="33066"/>
    <cellStyle name="LS Input Table Heading 2 6" xfId="33067"/>
    <cellStyle name="LS Input Table Heading 2 6 10" xfId="33068"/>
    <cellStyle name="LS Input Table Heading 2 6 11" xfId="33069"/>
    <cellStyle name="LS Input Table Heading 2 6 2" xfId="33070"/>
    <cellStyle name="LS Input Table Heading 2 6 2 10" xfId="33071"/>
    <cellStyle name="LS Input Table Heading 2 6 2 2" xfId="33072"/>
    <cellStyle name="LS Input Table Heading 2 6 2 2 2" xfId="33073"/>
    <cellStyle name="LS Input Table Heading 2 6 2 2 3" xfId="33074"/>
    <cellStyle name="LS Input Table Heading 2 6 2 2 4" xfId="33075"/>
    <cellStyle name="LS Input Table Heading 2 6 2 2 5" xfId="33076"/>
    <cellStyle name="LS Input Table Heading 2 6 2 2 6" xfId="33077"/>
    <cellStyle name="LS Input Table Heading 2 6 2 2 7" xfId="33078"/>
    <cellStyle name="LS Input Table Heading 2 6 2 2 8" xfId="33079"/>
    <cellStyle name="LS Input Table Heading 2 6 2 2 9" xfId="33080"/>
    <cellStyle name="LS Input Table Heading 2 6 2 3" xfId="33081"/>
    <cellStyle name="LS Input Table Heading 2 6 2 4" xfId="33082"/>
    <cellStyle name="LS Input Table Heading 2 6 2 5" xfId="33083"/>
    <cellStyle name="LS Input Table Heading 2 6 2 6" xfId="33084"/>
    <cellStyle name="LS Input Table Heading 2 6 2 7" xfId="33085"/>
    <cellStyle name="LS Input Table Heading 2 6 2 8" xfId="33086"/>
    <cellStyle name="LS Input Table Heading 2 6 2 9" xfId="33087"/>
    <cellStyle name="LS Input Table Heading 2 6 3" xfId="33088"/>
    <cellStyle name="LS Input Table Heading 2 6 3 2" xfId="33089"/>
    <cellStyle name="LS Input Table Heading 2 6 3 3" xfId="33090"/>
    <cellStyle name="LS Input Table Heading 2 6 3 4" xfId="33091"/>
    <cellStyle name="LS Input Table Heading 2 6 3 5" xfId="33092"/>
    <cellStyle name="LS Input Table Heading 2 6 3 6" xfId="33093"/>
    <cellStyle name="LS Input Table Heading 2 6 3 7" xfId="33094"/>
    <cellStyle name="LS Input Table Heading 2 6 3 8" xfId="33095"/>
    <cellStyle name="LS Input Table Heading 2 6 3 9" xfId="33096"/>
    <cellStyle name="LS Input Table Heading 2 6 4" xfId="33097"/>
    <cellStyle name="LS Input Table Heading 2 6 5" xfId="33098"/>
    <cellStyle name="LS Input Table Heading 2 6 6" xfId="33099"/>
    <cellStyle name="LS Input Table Heading 2 6 7" xfId="33100"/>
    <cellStyle name="LS Input Table Heading 2 6 8" xfId="33101"/>
    <cellStyle name="LS Input Table Heading 2 6 9" xfId="33102"/>
    <cellStyle name="LS Input Table Heading 2 7" xfId="33103"/>
    <cellStyle name="LS Input Table Heading 2 7 10" xfId="33104"/>
    <cellStyle name="LS Input Table Heading 2 7 11" xfId="33105"/>
    <cellStyle name="LS Input Table Heading 2 7 2" xfId="33106"/>
    <cellStyle name="LS Input Table Heading 2 7 2 10" xfId="33107"/>
    <cellStyle name="LS Input Table Heading 2 7 2 2" xfId="33108"/>
    <cellStyle name="LS Input Table Heading 2 7 2 2 2" xfId="33109"/>
    <cellStyle name="LS Input Table Heading 2 7 2 2 3" xfId="33110"/>
    <cellStyle name="LS Input Table Heading 2 7 2 2 4" xfId="33111"/>
    <cellStyle name="LS Input Table Heading 2 7 2 2 5" xfId="33112"/>
    <cellStyle name="LS Input Table Heading 2 7 2 2 6" xfId="33113"/>
    <cellStyle name="LS Input Table Heading 2 7 2 2 7" xfId="33114"/>
    <cellStyle name="LS Input Table Heading 2 7 2 2 8" xfId="33115"/>
    <cellStyle name="LS Input Table Heading 2 7 2 2 9" xfId="33116"/>
    <cellStyle name="LS Input Table Heading 2 7 2 3" xfId="33117"/>
    <cellStyle name="LS Input Table Heading 2 7 2 4" xfId="33118"/>
    <cellStyle name="LS Input Table Heading 2 7 2 5" xfId="33119"/>
    <cellStyle name="LS Input Table Heading 2 7 2 6" xfId="33120"/>
    <cellStyle name="LS Input Table Heading 2 7 2 7" xfId="33121"/>
    <cellStyle name="LS Input Table Heading 2 7 2 8" xfId="33122"/>
    <cellStyle name="LS Input Table Heading 2 7 2 9" xfId="33123"/>
    <cellStyle name="LS Input Table Heading 2 7 3" xfId="33124"/>
    <cellStyle name="LS Input Table Heading 2 7 3 2" xfId="33125"/>
    <cellStyle name="LS Input Table Heading 2 7 3 3" xfId="33126"/>
    <cellStyle name="LS Input Table Heading 2 7 3 4" xfId="33127"/>
    <cellStyle name="LS Input Table Heading 2 7 3 5" xfId="33128"/>
    <cellStyle name="LS Input Table Heading 2 7 3 6" xfId="33129"/>
    <cellStyle name="LS Input Table Heading 2 7 3 7" xfId="33130"/>
    <cellStyle name="LS Input Table Heading 2 7 3 8" xfId="33131"/>
    <cellStyle name="LS Input Table Heading 2 7 3 9" xfId="33132"/>
    <cellStyle name="LS Input Table Heading 2 7 4" xfId="33133"/>
    <cellStyle name="LS Input Table Heading 2 7 5" xfId="33134"/>
    <cellStyle name="LS Input Table Heading 2 7 6" xfId="33135"/>
    <cellStyle name="LS Input Table Heading 2 7 7" xfId="33136"/>
    <cellStyle name="LS Input Table Heading 2 7 8" xfId="33137"/>
    <cellStyle name="LS Input Table Heading 2 7 9" xfId="33138"/>
    <cellStyle name="LS Input Table Heading 2 8" xfId="33139"/>
    <cellStyle name="LS Input Table Heading 2 8 10" xfId="33140"/>
    <cellStyle name="LS Input Table Heading 2 8 2" xfId="33141"/>
    <cellStyle name="LS Input Table Heading 2 8 2 2" xfId="33142"/>
    <cellStyle name="LS Input Table Heading 2 8 2 3" xfId="33143"/>
    <cellStyle name="LS Input Table Heading 2 8 2 4" xfId="33144"/>
    <cellStyle name="LS Input Table Heading 2 8 2 5" xfId="33145"/>
    <cellStyle name="LS Input Table Heading 2 8 2 6" xfId="33146"/>
    <cellStyle name="LS Input Table Heading 2 8 2 7" xfId="33147"/>
    <cellStyle name="LS Input Table Heading 2 8 2 8" xfId="33148"/>
    <cellStyle name="LS Input Table Heading 2 8 2 9" xfId="33149"/>
    <cellStyle name="LS Input Table Heading 2 8 3" xfId="33150"/>
    <cellStyle name="LS Input Table Heading 2 8 4" xfId="33151"/>
    <cellStyle name="LS Input Table Heading 2 8 5" xfId="33152"/>
    <cellStyle name="LS Input Table Heading 2 8 6" xfId="33153"/>
    <cellStyle name="LS Input Table Heading 2 8 7" xfId="33154"/>
    <cellStyle name="LS Input Table Heading 2 8 8" xfId="33155"/>
    <cellStyle name="LS Input Table Heading 2 8 9" xfId="33156"/>
    <cellStyle name="LS Input Table Heading 2 9" xfId="33157"/>
    <cellStyle name="LS Input Table Heading 2 9 2" xfId="33158"/>
    <cellStyle name="LS Input Table Heading 2 9 3" xfId="33159"/>
    <cellStyle name="LS Input Table Heading 2 9 4" xfId="33160"/>
    <cellStyle name="LS Input Table Heading 2 9 5" xfId="33161"/>
    <cellStyle name="LS Input Table Heading 2 9 6" xfId="33162"/>
    <cellStyle name="LS Input Table Heading 2 9 7" xfId="33163"/>
    <cellStyle name="LS Input Table Heading 2 9 8" xfId="33164"/>
    <cellStyle name="LS Input Table Heading 2 9 9" xfId="33165"/>
    <cellStyle name="LS Input Table Heading 3" xfId="33166"/>
    <cellStyle name="LS Input Table Heading 3 10" xfId="33167"/>
    <cellStyle name="LS Input Table Heading 3 11" xfId="33168"/>
    <cellStyle name="LS Input Table Heading 3 12" xfId="33169"/>
    <cellStyle name="LS Input Table Heading 3 13" xfId="33170"/>
    <cellStyle name="LS Input Table Heading 3 14" xfId="33171"/>
    <cellStyle name="LS Input Table Heading 3 15" xfId="33172"/>
    <cellStyle name="LS Input Table Heading 3 16" xfId="33173"/>
    <cellStyle name="LS Input Table Heading 3 2" xfId="33174"/>
    <cellStyle name="LS Input Table Heading 3 2 10" xfId="33175"/>
    <cellStyle name="LS Input Table Heading 3 2 11" xfId="33176"/>
    <cellStyle name="LS Input Table Heading 3 2 12" xfId="33177"/>
    <cellStyle name="LS Input Table Heading 3 2 13" xfId="33178"/>
    <cellStyle name="LS Input Table Heading 3 2 2" xfId="33179"/>
    <cellStyle name="LS Input Table Heading 3 2 2 10" xfId="33180"/>
    <cellStyle name="LS Input Table Heading 3 2 2 11" xfId="33181"/>
    <cellStyle name="LS Input Table Heading 3 2 2 12" xfId="33182"/>
    <cellStyle name="LS Input Table Heading 3 2 2 2" xfId="33183"/>
    <cellStyle name="LS Input Table Heading 3 2 2 2 10" xfId="33184"/>
    <cellStyle name="LS Input Table Heading 3 2 2 2 11" xfId="33185"/>
    <cellStyle name="LS Input Table Heading 3 2 2 2 2" xfId="33186"/>
    <cellStyle name="LS Input Table Heading 3 2 2 2 2 10" xfId="33187"/>
    <cellStyle name="LS Input Table Heading 3 2 2 2 2 2" xfId="33188"/>
    <cellStyle name="LS Input Table Heading 3 2 2 2 2 2 2" xfId="33189"/>
    <cellStyle name="LS Input Table Heading 3 2 2 2 2 2 3" xfId="33190"/>
    <cellStyle name="LS Input Table Heading 3 2 2 2 2 2 4" xfId="33191"/>
    <cellStyle name="LS Input Table Heading 3 2 2 2 2 2 5" xfId="33192"/>
    <cellStyle name="LS Input Table Heading 3 2 2 2 2 2 6" xfId="33193"/>
    <cellStyle name="LS Input Table Heading 3 2 2 2 2 2 7" xfId="33194"/>
    <cellStyle name="LS Input Table Heading 3 2 2 2 2 2 8" xfId="33195"/>
    <cellStyle name="LS Input Table Heading 3 2 2 2 2 2 9" xfId="33196"/>
    <cellStyle name="LS Input Table Heading 3 2 2 2 2 3" xfId="33197"/>
    <cellStyle name="LS Input Table Heading 3 2 2 2 2 4" xfId="33198"/>
    <cellStyle name="LS Input Table Heading 3 2 2 2 2 5" xfId="33199"/>
    <cellStyle name="LS Input Table Heading 3 2 2 2 2 6" xfId="33200"/>
    <cellStyle name="LS Input Table Heading 3 2 2 2 2 7" xfId="33201"/>
    <cellStyle name="LS Input Table Heading 3 2 2 2 2 8" xfId="33202"/>
    <cellStyle name="LS Input Table Heading 3 2 2 2 2 9" xfId="33203"/>
    <cellStyle name="LS Input Table Heading 3 2 2 2 3" xfId="33204"/>
    <cellStyle name="LS Input Table Heading 3 2 2 2 3 2" xfId="33205"/>
    <cellStyle name="LS Input Table Heading 3 2 2 2 3 3" xfId="33206"/>
    <cellStyle name="LS Input Table Heading 3 2 2 2 3 4" xfId="33207"/>
    <cellStyle name="LS Input Table Heading 3 2 2 2 3 5" xfId="33208"/>
    <cellStyle name="LS Input Table Heading 3 2 2 2 3 6" xfId="33209"/>
    <cellStyle name="LS Input Table Heading 3 2 2 2 3 7" xfId="33210"/>
    <cellStyle name="LS Input Table Heading 3 2 2 2 3 8" xfId="33211"/>
    <cellStyle name="LS Input Table Heading 3 2 2 2 3 9" xfId="33212"/>
    <cellStyle name="LS Input Table Heading 3 2 2 2 4" xfId="33213"/>
    <cellStyle name="LS Input Table Heading 3 2 2 2 5" xfId="33214"/>
    <cellStyle name="LS Input Table Heading 3 2 2 2 6" xfId="33215"/>
    <cellStyle name="LS Input Table Heading 3 2 2 2 7" xfId="33216"/>
    <cellStyle name="LS Input Table Heading 3 2 2 2 8" xfId="33217"/>
    <cellStyle name="LS Input Table Heading 3 2 2 2 9" xfId="33218"/>
    <cellStyle name="LS Input Table Heading 3 2 2 3" xfId="33219"/>
    <cellStyle name="LS Input Table Heading 3 2 2 3 10" xfId="33220"/>
    <cellStyle name="LS Input Table Heading 3 2 2 3 2" xfId="33221"/>
    <cellStyle name="LS Input Table Heading 3 2 2 3 2 2" xfId="33222"/>
    <cellStyle name="LS Input Table Heading 3 2 2 3 2 3" xfId="33223"/>
    <cellStyle name="LS Input Table Heading 3 2 2 3 2 4" xfId="33224"/>
    <cellStyle name="LS Input Table Heading 3 2 2 3 2 5" xfId="33225"/>
    <cellStyle name="LS Input Table Heading 3 2 2 3 2 6" xfId="33226"/>
    <cellStyle name="LS Input Table Heading 3 2 2 3 2 7" xfId="33227"/>
    <cellStyle name="LS Input Table Heading 3 2 2 3 2 8" xfId="33228"/>
    <cellStyle name="LS Input Table Heading 3 2 2 3 2 9" xfId="33229"/>
    <cellStyle name="LS Input Table Heading 3 2 2 3 3" xfId="33230"/>
    <cellStyle name="LS Input Table Heading 3 2 2 3 4" xfId="33231"/>
    <cellStyle name="LS Input Table Heading 3 2 2 3 5" xfId="33232"/>
    <cellStyle name="LS Input Table Heading 3 2 2 3 6" xfId="33233"/>
    <cellStyle name="LS Input Table Heading 3 2 2 3 7" xfId="33234"/>
    <cellStyle name="LS Input Table Heading 3 2 2 3 8" xfId="33235"/>
    <cellStyle name="LS Input Table Heading 3 2 2 3 9" xfId="33236"/>
    <cellStyle name="LS Input Table Heading 3 2 2 4" xfId="33237"/>
    <cellStyle name="LS Input Table Heading 3 2 2 4 2" xfId="33238"/>
    <cellStyle name="LS Input Table Heading 3 2 2 4 3" xfId="33239"/>
    <cellStyle name="LS Input Table Heading 3 2 2 4 4" xfId="33240"/>
    <cellStyle name="LS Input Table Heading 3 2 2 4 5" xfId="33241"/>
    <cellStyle name="LS Input Table Heading 3 2 2 4 6" xfId="33242"/>
    <cellStyle name="LS Input Table Heading 3 2 2 4 7" xfId="33243"/>
    <cellStyle name="LS Input Table Heading 3 2 2 4 8" xfId="33244"/>
    <cellStyle name="LS Input Table Heading 3 2 2 4 9" xfId="33245"/>
    <cellStyle name="LS Input Table Heading 3 2 2 5" xfId="33246"/>
    <cellStyle name="LS Input Table Heading 3 2 2 6" xfId="33247"/>
    <cellStyle name="LS Input Table Heading 3 2 2 7" xfId="33248"/>
    <cellStyle name="LS Input Table Heading 3 2 2 8" xfId="33249"/>
    <cellStyle name="LS Input Table Heading 3 2 2 9" xfId="33250"/>
    <cellStyle name="LS Input Table Heading 3 2 3" xfId="33251"/>
    <cellStyle name="LS Input Table Heading 3 2 3 10" xfId="33252"/>
    <cellStyle name="LS Input Table Heading 3 2 3 11" xfId="33253"/>
    <cellStyle name="LS Input Table Heading 3 2 3 2" xfId="33254"/>
    <cellStyle name="LS Input Table Heading 3 2 3 2 10" xfId="33255"/>
    <cellStyle name="LS Input Table Heading 3 2 3 2 2" xfId="33256"/>
    <cellStyle name="LS Input Table Heading 3 2 3 2 2 2" xfId="33257"/>
    <cellStyle name="LS Input Table Heading 3 2 3 2 2 3" xfId="33258"/>
    <cellStyle name="LS Input Table Heading 3 2 3 2 2 4" xfId="33259"/>
    <cellStyle name="LS Input Table Heading 3 2 3 2 2 5" xfId="33260"/>
    <cellStyle name="LS Input Table Heading 3 2 3 2 2 6" xfId="33261"/>
    <cellStyle name="LS Input Table Heading 3 2 3 2 2 7" xfId="33262"/>
    <cellStyle name="LS Input Table Heading 3 2 3 2 2 8" xfId="33263"/>
    <cellStyle name="LS Input Table Heading 3 2 3 2 2 9" xfId="33264"/>
    <cellStyle name="LS Input Table Heading 3 2 3 2 3" xfId="33265"/>
    <cellStyle name="LS Input Table Heading 3 2 3 2 4" xfId="33266"/>
    <cellStyle name="LS Input Table Heading 3 2 3 2 5" xfId="33267"/>
    <cellStyle name="LS Input Table Heading 3 2 3 2 6" xfId="33268"/>
    <cellStyle name="LS Input Table Heading 3 2 3 2 7" xfId="33269"/>
    <cellStyle name="LS Input Table Heading 3 2 3 2 8" xfId="33270"/>
    <cellStyle name="LS Input Table Heading 3 2 3 2 9" xfId="33271"/>
    <cellStyle name="LS Input Table Heading 3 2 3 3" xfId="33272"/>
    <cellStyle name="LS Input Table Heading 3 2 3 3 2" xfId="33273"/>
    <cellStyle name="LS Input Table Heading 3 2 3 3 3" xfId="33274"/>
    <cellStyle name="LS Input Table Heading 3 2 3 3 4" xfId="33275"/>
    <cellStyle name="LS Input Table Heading 3 2 3 3 5" xfId="33276"/>
    <cellStyle name="LS Input Table Heading 3 2 3 3 6" xfId="33277"/>
    <cellStyle name="LS Input Table Heading 3 2 3 3 7" xfId="33278"/>
    <cellStyle name="LS Input Table Heading 3 2 3 3 8" xfId="33279"/>
    <cellStyle name="LS Input Table Heading 3 2 3 3 9" xfId="33280"/>
    <cellStyle name="LS Input Table Heading 3 2 3 4" xfId="33281"/>
    <cellStyle name="LS Input Table Heading 3 2 3 5" xfId="33282"/>
    <cellStyle name="LS Input Table Heading 3 2 3 6" xfId="33283"/>
    <cellStyle name="LS Input Table Heading 3 2 3 7" xfId="33284"/>
    <cellStyle name="LS Input Table Heading 3 2 3 8" xfId="33285"/>
    <cellStyle name="LS Input Table Heading 3 2 3 9" xfId="33286"/>
    <cellStyle name="LS Input Table Heading 3 2 4" xfId="33287"/>
    <cellStyle name="LS Input Table Heading 3 2 4 10" xfId="33288"/>
    <cellStyle name="LS Input Table Heading 3 2 4 2" xfId="33289"/>
    <cellStyle name="LS Input Table Heading 3 2 4 2 2" xfId="33290"/>
    <cellStyle name="LS Input Table Heading 3 2 4 2 3" xfId="33291"/>
    <cellStyle name="LS Input Table Heading 3 2 4 2 4" xfId="33292"/>
    <cellStyle name="LS Input Table Heading 3 2 4 2 5" xfId="33293"/>
    <cellStyle name="LS Input Table Heading 3 2 4 2 6" xfId="33294"/>
    <cellStyle name="LS Input Table Heading 3 2 4 2 7" xfId="33295"/>
    <cellStyle name="LS Input Table Heading 3 2 4 2 8" xfId="33296"/>
    <cellStyle name="LS Input Table Heading 3 2 4 2 9" xfId="33297"/>
    <cellStyle name="LS Input Table Heading 3 2 4 3" xfId="33298"/>
    <cellStyle name="LS Input Table Heading 3 2 4 4" xfId="33299"/>
    <cellStyle name="LS Input Table Heading 3 2 4 5" xfId="33300"/>
    <cellStyle name="LS Input Table Heading 3 2 4 6" xfId="33301"/>
    <cellStyle name="LS Input Table Heading 3 2 4 7" xfId="33302"/>
    <cellStyle name="LS Input Table Heading 3 2 4 8" xfId="33303"/>
    <cellStyle name="LS Input Table Heading 3 2 4 9" xfId="33304"/>
    <cellStyle name="LS Input Table Heading 3 2 5" xfId="33305"/>
    <cellStyle name="LS Input Table Heading 3 2 5 2" xfId="33306"/>
    <cellStyle name="LS Input Table Heading 3 2 5 3" xfId="33307"/>
    <cellStyle name="LS Input Table Heading 3 2 5 4" xfId="33308"/>
    <cellStyle name="LS Input Table Heading 3 2 5 5" xfId="33309"/>
    <cellStyle name="LS Input Table Heading 3 2 5 6" xfId="33310"/>
    <cellStyle name="LS Input Table Heading 3 2 5 7" xfId="33311"/>
    <cellStyle name="LS Input Table Heading 3 2 5 8" xfId="33312"/>
    <cellStyle name="LS Input Table Heading 3 2 5 9" xfId="33313"/>
    <cellStyle name="LS Input Table Heading 3 2 6" xfId="33314"/>
    <cellStyle name="LS Input Table Heading 3 2 7" xfId="33315"/>
    <cellStyle name="LS Input Table Heading 3 2 8" xfId="33316"/>
    <cellStyle name="LS Input Table Heading 3 2 9" xfId="33317"/>
    <cellStyle name="LS Input Table Heading 3 3" xfId="33318"/>
    <cellStyle name="LS Input Table Heading 3 3 10" xfId="33319"/>
    <cellStyle name="LS Input Table Heading 3 3 11" xfId="33320"/>
    <cellStyle name="LS Input Table Heading 3 3 12" xfId="33321"/>
    <cellStyle name="LS Input Table Heading 3 3 2" xfId="33322"/>
    <cellStyle name="LS Input Table Heading 3 3 2 10" xfId="33323"/>
    <cellStyle name="LS Input Table Heading 3 3 2 11" xfId="33324"/>
    <cellStyle name="LS Input Table Heading 3 3 2 2" xfId="33325"/>
    <cellStyle name="LS Input Table Heading 3 3 2 2 10" xfId="33326"/>
    <cellStyle name="LS Input Table Heading 3 3 2 2 2" xfId="33327"/>
    <cellStyle name="LS Input Table Heading 3 3 2 2 2 2" xfId="33328"/>
    <cellStyle name="LS Input Table Heading 3 3 2 2 2 3" xfId="33329"/>
    <cellStyle name="LS Input Table Heading 3 3 2 2 2 4" xfId="33330"/>
    <cellStyle name="LS Input Table Heading 3 3 2 2 2 5" xfId="33331"/>
    <cellStyle name="LS Input Table Heading 3 3 2 2 2 6" xfId="33332"/>
    <cellStyle name="LS Input Table Heading 3 3 2 2 2 7" xfId="33333"/>
    <cellStyle name="LS Input Table Heading 3 3 2 2 2 8" xfId="33334"/>
    <cellStyle name="LS Input Table Heading 3 3 2 2 2 9" xfId="33335"/>
    <cellStyle name="LS Input Table Heading 3 3 2 2 3" xfId="33336"/>
    <cellStyle name="LS Input Table Heading 3 3 2 2 4" xfId="33337"/>
    <cellStyle name="LS Input Table Heading 3 3 2 2 5" xfId="33338"/>
    <cellStyle name="LS Input Table Heading 3 3 2 2 6" xfId="33339"/>
    <cellStyle name="LS Input Table Heading 3 3 2 2 7" xfId="33340"/>
    <cellStyle name="LS Input Table Heading 3 3 2 2 8" xfId="33341"/>
    <cellStyle name="LS Input Table Heading 3 3 2 2 9" xfId="33342"/>
    <cellStyle name="LS Input Table Heading 3 3 2 3" xfId="33343"/>
    <cellStyle name="LS Input Table Heading 3 3 2 3 2" xfId="33344"/>
    <cellStyle name="LS Input Table Heading 3 3 2 3 3" xfId="33345"/>
    <cellStyle name="LS Input Table Heading 3 3 2 3 4" xfId="33346"/>
    <cellStyle name="LS Input Table Heading 3 3 2 3 5" xfId="33347"/>
    <cellStyle name="LS Input Table Heading 3 3 2 3 6" xfId="33348"/>
    <cellStyle name="LS Input Table Heading 3 3 2 3 7" xfId="33349"/>
    <cellStyle name="LS Input Table Heading 3 3 2 3 8" xfId="33350"/>
    <cellStyle name="LS Input Table Heading 3 3 2 3 9" xfId="33351"/>
    <cellStyle name="LS Input Table Heading 3 3 2 4" xfId="33352"/>
    <cellStyle name="LS Input Table Heading 3 3 2 5" xfId="33353"/>
    <cellStyle name="LS Input Table Heading 3 3 2 6" xfId="33354"/>
    <cellStyle name="LS Input Table Heading 3 3 2 7" xfId="33355"/>
    <cellStyle name="LS Input Table Heading 3 3 2 8" xfId="33356"/>
    <cellStyle name="LS Input Table Heading 3 3 2 9" xfId="33357"/>
    <cellStyle name="LS Input Table Heading 3 3 3" xfId="33358"/>
    <cellStyle name="LS Input Table Heading 3 3 3 10" xfId="33359"/>
    <cellStyle name="LS Input Table Heading 3 3 3 2" xfId="33360"/>
    <cellStyle name="LS Input Table Heading 3 3 3 2 2" xfId="33361"/>
    <cellStyle name="LS Input Table Heading 3 3 3 2 3" xfId="33362"/>
    <cellStyle name="LS Input Table Heading 3 3 3 2 4" xfId="33363"/>
    <cellStyle name="LS Input Table Heading 3 3 3 2 5" xfId="33364"/>
    <cellStyle name="LS Input Table Heading 3 3 3 2 6" xfId="33365"/>
    <cellStyle name="LS Input Table Heading 3 3 3 2 7" xfId="33366"/>
    <cellStyle name="LS Input Table Heading 3 3 3 2 8" xfId="33367"/>
    <cellStyle name="LS Input Table Heading 3 3 3 2 9" xfId="33368"/>
    <cellStyle name="LS Input Table Heading 3 3 3 3" xfId="33369"/>
    <cellStyle name="LS Input Table Heading 3 3 3 4" xfId="33370"/>
    <cellStyle name="LS Input Table Heading 3 3 3 5" xfId="33371"/>
    <cellStyle name="LS Input Table Heading 3 3 3 6" xfId="33372"/>
    <cellStyle name="LS Input Table Heading 3 3 3 7" xfId="33373"/>
    <cellStyle name="LS Input Table Heading 3 3 3 8" xfId="33374"/>
    <cellStyle name="LS Input Table Heading 3 3 3 9" xfId="33375"/>
    <cellStyle name="LS Input Table Heading 3 3 4" xfId="33376"/>
    <cellStyle name="LS Input Table Heading 3 3 4 2" xfId="33377"/>
    <cellStyle name="LS Input Table Heading 3 3 4 3" xfId="33378"/>
    <cellStyle name="LS Input Table Heading 3 3 4 4" xfId="33379"/>
    <cellStyle name="LS Input Table Heading 3 3 4 5" xfId="33380"/>
    <cellStyle name="LS Input Table Heading 3 3 4 6" xfId="33381"/>
    <cellStyle name="LS Input Table Heading 3 3 4 7" xfId="33382"/>
    <cellStyle name="LS Input Table Heading 3 3 4 8" xfId="33383"/>
    <cellStyle name="LS Input Table Heading 3 3 4 9" xfId="33384"/>
    <cellStyle name="LS Input Table Heading 3 3 5" xfId="33385"/>
    <cellStyle name="LS Input Table Heading 3 3 6" xfId="33386"/>
    <cellStyle name="LS Input Table Heading 3 3 7" xfId="33387"/>
    <cellStyle name="LS Input Table Heading 3 3 8" xfId="33388"/>
    <cellStyle name="LS Input Table Heading 3 3 9" xfId="33389"/>
    <cellStyle name="LS Input Table Heading 3 4" xfId="33390"/>
    <cellStyle name="LS Input Table Heading 3 4 10" xfId="33391"/>
    <cellStyle name="LS Input Table Heading 3 4 11" xfId="33392"/>
    <cellStyle name="LS Input Table Heading 3 4 12" xfId="33393"/>
    <cellStyle name="LS Input Table Heading 3 4 2" xfId="33394"/>
    <cellStyle name="LS Input Table Heading 3 4 2 10" xfId="33395"/>
    <cellStyle name="LS Input Table Heading 3 4 2 11" xfId="33396"/>
    <cellStyle name="LS Input Table Heading 3 4 2 2" xfId="33397"/>
    <cellStyle name="LS Input Table Heading 3 4 2 2 10" xfId="33398"/>
    <cellStyle name="LS Input Table Heading 3 4 2 2 2" xfId="33399"/>
    <cellStyle name="LS Input Table Heading 3 4 2 2 2 2" xfId="33400"/>
    <cellStyle name="LS Input Table Heading 3 4 2 2 2 3" xfId="33401"/>
    <cellStyle name="LS Input Table Heading 3 4 2 2 2 4" xfId="33402"/>
    <cellStyle name="LS Input Table Heading 3 4 2 2 2 5" xfId="33403"/>
    <cellStyle name="LS Input Table Heading 3 4 2 2 2 6" xfId="33404"/>
    <cellStyle name="LS Input Table Heading 3 4 2 2 2 7" xfId="33405"/>
    <cellStyle name="LS Input Table Heading 3 4 2 2 2 8" xfId="33406"/>
    <cellStyle name="LS Input Table Heading 3 4 2 2 2 9" xfId="33407"/>
    <cellStyle name="LS Input Table Heading 3 4 2 2 3" xfId="33408"/>
    <cellStyle name="LS Input Table Heading 3 4 2 2 4" xfId="33409"/>
    <cellStyle name="LS Input Table Heading 3 4 2 2 5" xfId="33410"/>
    <cellStyle name="LS Input Table Heading 3 4 2 2 6" xfId="33411"/>
    <cellStyle name="LS Input Table Heading 3 4 2 2 7" xfId="33412"/>
    <cellStyle name="LS Input Table Heading 3 4 2 2 8" xfId="33413"/>
    <cellStyle name="LS Input Table Heading 3 4 2 2 9" xfId="33414"/>
    <cellStyle name="LS Input Table Heading 3 4 2 3" xfId="33415"/>
    <cellStyle name="LS Input Table Heading 3 4 2 3 2" xfId="33416"/>
    <cellStyle name="LS Input Table Heading 3 4 2 3 3" xfId="33417"/>
    <cellStyle name="LS Input Table Heading 3 4 2 3 4" xfId="33418"/>
    <cellStyle name="LS Input Table Heading 3 4 2 3 5" xfId="33419"/>
    <cellStyle name="LS Input Table Heading 3 4 2 3 6" xfId="33420"/>
    <cellStyle name="LS Input Table Heading 3 4 2 3 7" xfId="33421"/>
    <cellStyle name="LS Input Table Heading 3 4 2 3 8" xfId="33422"/>
    <cellStyle name="LS Input Table Heading 3 4 2 3 9" xfId="33423"/>
    <cellStyle name="LS Input Table Heading 3 4 2 4" xfId="33424"/>
    <cellStyle name="LS Input Table Heading 3 4 2 5" xfId="33425"/>
    <cellStyle name="LS Input Table Heading 3 4 2 6" xfId="33426"/>
    <cellStyle name="LS Input Table Heading 3 4 2 7" xfId="33427"/>
    <cellStyle name="LS Input Table Heading 3 4 2 8" xfId="33428"/>
    <cellStyle name="LS Input Table Heading 3 4 2 9" xfId="33429"/>
    <cellStyle name="LS Input Table Heading 3 4 3" xfId="33430"/>
    <cellStyle name="LS Input Table Heading 3 4 3 10" xfId="33431"/>
    <cellStyle name="LS Input Table Heading 3 4 3 2" xfId="33432"/>
    <cellStyle name="LS Input Table Heading 3 4 3 2 2" xfId="33433"/>
    <cellStyle name="LS Input Table Heading 3 4 3 2 3" xfId="33434"/>
    <cellStyle name="LS Input Table Heading 3 4 3 2 4" xfId="33435"/>
    <cellStyle name="LS Input Table Heading 3 4 3 2 5" xfId="33436"/>
    <cellStyle name="LS Input Table Heading 3 4 3 2 6" xfId="33437"/>
    <cellStyle name="LS Input Table Heading 3 4 3 2 7" xfId="33438"/>
    <cellStyle name="LS Input Table Heading 3 4 3 2 8" xfId="33439"/>
    <cellStyle name="LS Input Table Heading 3 4 3 2 9" xfId="33440"/>
    <cellStyle name="LS Input Table Heading 3 4 3 3" xfId="33441"/>
    <cellStyle name="LS Input Table Heading 3 4 3 4" xfId="33442"/>
    <cellStyle name="LS Input Table Heading 3 4 3 5" xfId="33443"/>
    <cellStyle name="LS Input Table Heading 3 4 3 6" xfId="33444"/>
    <cellStyle name="LS Input Table Heading 3 4 3 7" xfId="33445"/>
    <cellStyle name="LS Input Table Heading 3 4 3 8" xfId="33446"/>
    <cellStyle name="LS Input Table Heading 3 4 3 9" xfId="33447"/>
    <cellStyle name="LS Input Table Heading 3 4 4" xfId="33448"/>
    <cellStyle name="LS Input Table Heading 3 4 4 2" xfId="33449"/>
    <cellStyle name="LS Input Table Heading 3 4 4 3" xfId="33450"/>
    <cellStyle name="LS Input Table Heading 3 4 4 4" xfId="33451"/>
    <cellStyle name="LS Input Table Heading 3 4 4 5" xfId="33452"/>
    <cellStyle name="LS Input Table Heading 3 4 4 6" xfId="33453"/>
    <cellStyle name="LS Input Table Heading 3 4 4 7" xfId="33454"/>
    <cellStyle name="LS Input Table Heading 3 4 4 8" xfId="33455"/>
    <cellStyle name="LS Input Table Heading 3 4 4 9" xfId="33456"/>
    <cellStyle name="LS Input Table Heading 3 4 5" xfId="33457"/>
    <cellStyle name="LS Input Table Heading 3 4 6" xfId="33458"/>
    <cellStyle name="LS Input Table Heading 3 4 7" xfId="33459"/>
    <cellStyle name="LS Input Table Heading 3 4 8" xfId="33460"/>
    <cellStyle name="LS Input Table Heading 3 4 9" xfId="33461"/>
    <cellStyle name="LS Input Table Heading 3 5" xfId="33462"/>
    <cellStyle name="LS Input Table Heading 3 5 10" xfId="33463"/>
    <cellStyle name="LS Input Table Heading 3 5 11" xfId="33464"/>
    <cellStyle name="LS Input Table Heading 3 5 2" xfId="33465"/>
    <cellStyle name="LS Input Table Heading 3 5 2 10" xfId="33466"/>
    <cellStyle name="LS Input Table Heading 3 5 2 2" xfId="33467"/>
    <cellStyle name="LS Input Table Heading 3 5 2 2 2" xfId="33468"/>
    <cellStyle name="LS Input Table Heading 3 5 2 2 3" xfId="33469"/>
    <cellStyle name="LS Input Table Heading 3 5 2 2 4" xfId="33470"/>
    <cellStyle name="LS Input Table Heading 3 5 2 2 5" xfId="33471"/>
    <cellStyle name="LS Input Table Heading 3 5 2 2 6" xfId="33472"/>
    <cellStyle name="LS Input Table Heading 3 5 2 2 7" xfId="33473"/>
    <cellStyle name="LS Input Table Heading 3 5 2 2 8" xfId="33474"/>
    <cellStyle name="LS Input Table Heading 3 5 2 2 9" xfId="33475"/>
    <cellStyle name="LS Input Table Heading 3 5 2 3" xfId="33476"/>
    <cellStyle name="LS Input Table Heading 3 5 2 4" xfId="33477"/>
    <cellStyle name="LS Input Table Heading 3 5 2 5" xfId="33478"/>
    <cellStyle name="LS Input Table Heading 3 5 2 6" xfId="33479"/>
    <cellStyle name="LS Input Table Heading 3 5 2 7" xfId="33480"/>
    <cellStyle name="LS Input Table Heading 3 5 2 8" xfId="33481"/>
    <cellStyle name="LS Input Table Heading 3 5 2 9" xfId="33482"/>
    <cellStyle name="LS Input Table Heading 3 5 3" xfId="33483"/>
    <cellStyle name="LS Input Table Heading 3 5 3 2" xfId="33484"/>
    <cellStyle name="LS Input Table Heading 3 5 3 3" xfId="33485"/>
    <cellStyle name="LS Input Table Heading 3 5 3 4" xfId="33486"/>
    <cellStyle name="LS Input Table Heading 3 5 3 5" xfId="33487"/>
    <cellStyle name="LS Input Table Heading 3 5 3 6" xfId="33488"/>
    <cellStyle name="LS Input Table Heading 3 5 3 7" xfId="33489"/>
    <cellStyle name="LS Input Table Heading 3 5 3 8" xfId="33490"/>
    <cellStyle name="LS Input Table Heading 3 5 3 9" xfId="33491"/>
    <cellStyle name="LS Input Table Heading 3 5 4" xfId="33492"/>
    <cellStyle name="LS Input Table Heading 3 5 5" xfId="33493"/>
    <cellStyle name="LS Input Table Heading 3 5 6" xfId="33494"/>
    <cellStyle name="LS Input Table Heading 3 5 7" xfId="33495"/>
    <cellStyle name="LS Input Table Heading 3 5 8" xfId="33496"/>
    <cellStyle name="LS Input Table Heading 3 5 9" xfId="33497"/>
    <cellStyle name="LS Input Table Heading 3 6" xfId="33498"/>
    <cellStyle name="LS Input Table Heading 3 6 10" xfId="33499"/>
    <cellStyle name="LS Input Table Heading 3 6 2" xfId="33500"/>
    <cellStyle name="LS Input Table Heading 3 6 2 2" xfId="33501"/>
    <cellStyle name="LS Input Table Heading 3 6 2 3" xfId="33502"/>
    <cellStyle name="LS Input Table Heading 3 6 2 4" xfId="33503"/>
    <cellStyle name="LS Input Table Heading 3 6 2 5" xfId="33504"/>
    <cellStyle name="LS Input Table Heading 3 6 2 6" xfId="33505"/>
    <cellStyle name="LS Input Table Heading 3 6 2 7" xfId="33506"/>
    <cellStyle name="LS Input Table Heading 3 6 2 8" xfId="33507"/>
    <cellStyle name="LS Input Table Heading 3 6 2 9" xfId="33508"/>
    <cellStyle name="LS Input Table Heading 3 6 3" xfId="33509"/>
    <cellStyle name="LS Input Table Heading 3 6 4" xfId="33510"/>
    <cellStyle name="LS Input Table Heading 3 6 5" xfId="33511"/>
    <cellStyle name="LS Input Table Heading 3 6 6" xfId="33512"/>
    <cellStyle name="LS Input Table Heading 3 6 7" xfId="33513"/>
    <cellStyle name="LS Input Table Heading 3 6 8" xfId="33514"/>
    <cellStyle name="LS Input Table Heading 3 6 9" xfId="33515"/>
    <cellStyle name="LS Input Table Heading 3 7" xfId="33516"/>
    <cellStyle name="LS Input Table Heading 3 7 2" xfId="33517"/>
    <cellStyle name="LS Input Table Heading 3 7 3" xfId="33518"/>
    <cellStyle name="LS Input Table Heading 3 7 4" xfId="33519"/>
    <cellStyle name="LS Input Table Heading 3 7 5" xfId="33520"/>
    <cellStyle name="LS Input Table Heading 3 7 6" xfId="33521"/>
    <cellStyle name="LS Input Table Heading 3 7 7" xfId="33522"/>
    <cellStyle name="LS Input Table Heading 3 7 8" xfId="33523"/>
    <cellStyle name="LS Input Table Heading 3 7 9" xfId="33524"/>
    <cellStyle name="LS Input Table Heading 3 8" xfId="33525"/>
    <cellStyle name="LS Input Table Heading 3 9" xfId="33526"/>
    <cellStyle name="LS Input Table Heading 4" xfId="33527"/>
    <cellStyle name="LS Input Table Heading 4 10" xfId="33528"/>
    <cellStyle name="LS Input Table Heading 4 11" xfId="33529"/>
    <cellStyle name="LS Input Table Heading 4 12" xfId="33530"/>
    <cellStyle name="LS Input Table Heading 4 2" xfId="33531"/>
    <cellStyle name="LS Input Table Heading 4 2 10" xfId="33532"/>
    <cellStyle name="LS Input Table Heading 4 2 11" xfId="33533"/>
    <cellStyle name="LS Input Table Heading 4 2 2" xfId="33534"/>
    <cellStyle name="LS Input Table Heading 4 2 2 10" xfId="33535"/>
    <cellStyle name="LS Input Table Heading 4 2 2 2" xfId="33536"/>
    <cellStyle name="LS Input Table Heading 4 2 2 2 2" xfId="33537"/>
    <cellStyle name="LS Input Table Heading 4 2 2 2 3" xfId="33538"/>
    <cellStyle name="LS Input Table Heading 4 2 2 2 4" xfId="33539"/>
    <cellStyle name="LS Input Table Heading 4 2 2 2 5" xfId="33540"/>
    <cellStyle name="LS Input Table Heading 4 2 2 2 6" xfId="33541"/>
    <cellStyle name="LS Input Table Heading 4 2 2 2 7" xfId="33542"/>
    <cellStyle name="LS Input Table Heading 4 2 2 2 8" xfId="33543"/>
    <cellStyle name="LS Input Table Heading 4 2 2 2 9" xfId="33544"/>
    <cellStyle name="LS Input Table Heading 4 2 2 3" xfId="33545"/>
    <cellStyle name="LS Input Table Heading 4 2 2 4" xfId="33546"/>
    <cellStyle name="LS Input Table Heading 4 2 2 5" xfId="33547"/>
    <cellStyle name="LS Input Table Heading 4 2 2 6" xfId="33548"/>
    <cellStyle name="LS Input Table Heading 4 2 2 7" xfId="33549"/>
    <cellStyle name="LS Input Table Heading 4 2 2 8" xfId="33550"/>
    <cellStyle name="LS Input Table Heading 4 2 2 9" xfId="33551"/>
    <cellStyle name="LS Input Table Heading 4 2 3" xfId="33552"/>
    <cellStyle name="LS Input Table Heading 4 2 3 2" xfId="33553"/>
    <cellStyle name="LS Input Table Heading 4 2 3 3" xfId="33554"/>
    <cellStyle name="LS Input Table Heading 4 2 3 4" xfId="33555"/>
    <cellStyle name="LS Input Table Heading 4 2 3 5" xfId="33556"/>
    <cellStyle name="LS Input Table Heading 4 2 3 6" xfId="33557"/>
    <cellStyle name="LS Input Table Heading 4 2 3 7" xfId="33558"/>
    <cellStyle name="LS Input Table Heading 4 2 3 8" xfId="33559"/>
    <cellStyle name="LS Input Table Heading 4 2 3 9" xfId="33560"/>
    <cellStyle name="LS Input Table Heading 4 2 4" xfId="33561"/>
    <cellStyle name="LS Input Table Heading 4 2 5" xfId="33562"/>
    <cellStyle name="LS Input Table Heading 4 2 6" xfId="33563"/>
    <cellStyle name="LS Input Table Heading 4 2 7" xfId="33564"/>
    <cellStyle name="LS Input Table Heading 4 2 8" xfId="33565"/>
    <cellStyle name="LS Input Table Heading 4 2 9" xfId="33566"/>
    <cellStyle name="LS Input Table Heading 4 3" xfId="33567"/>
    <cellStyle name="LS Input Table Heading 4 3 10" xfId="33568"/>
    <cellStyle name="LS Input Table Heading 4 3 2" xfId="33569"/>
    <cellStyle name="LS Input Table Heading 4 3 2 2" xfId="33570"/>
    <cellStyle name="LS Input Table Heading 4 3 2 3" xfId="33571"/>
    <cellStyle name="LS Input Table Heading 4 3 2 4" xfId="33572"/>
    <cellStyle name="LS Input Table Heading 4 3 2 5" xfId="33573"/>
    <cellStyle name="LS Input Table Heading 4 3 2 6" xfId="33574"/>
    <cellStyle name="LS Input Table Heading 4 3 2 7" xfId="33575"/>
    <cellStyle name="LS Input Table Heading 4 3 2 8" xfId="33576"/>
    <cellStyle name="LS Input Table Heading 4 3 2 9" xfId="33577"/>
    <cellStyle name="LS Input Table Heading 4 3 3" xfId="33578"/>
    <cellStyle name="LS Input Table Heading 4 3 4" xfId="33579"/>
    <cellStyle name="LS Input Table Heading 4 3 5" xfId="33580"/>
    <cellStyle name="LS Input Table Heading 4 3 6" xfId="33581"/>
    <cellStyle name="LS Input Table Heading 4 3 7" xfId="33582"/>
    <cellStyle name="LS Input Table Heading 4 3 8" xfId="33583"/>
    <cellStyle name="LS Input Table Heading 4 3 9" xfId="33584"/>
    <cellStyle name="LS Input Table Heading 4 4" xfId="33585"/>
    <cellStyle name="LS Input Table Heading 4 4 2" xfId="33586"/>
    <cellStyle name="LS Input Table Heading 4 4 3" xfId="33587"/>
    <cellStyle name="LS Input Table Heading 4 4 4" xfId="33588"/>
    <cellStyle name="LS Input Table Heading 4 4 5" xfId="33589"/>
    <cellStyle name="LS Input Table Heading 4 4 6" xfId="33590"/>
    <cellStyle name="LS Input Table Heading 4 4 7" xfId="33591"/>
    <cellStyle name="LS Input Table Heading 4 4 8" xfId="33592"/>
    <cellStyle name="LS Input Table Heading 4 4 9" xfId="33593"/>
    <cellStyle name="LS Input Table Heading 4 5" xfId="33594"/>
    <cellStyle name="LS Input Table Heading 4 6" xfId="33595"/>
    <cellStyle name="LS Input Table Heading 4 7" xfId="33596"/>
    <cellStyle name="LS Input Table Heading 4 8" xfId="33597"/>
    <cellStyle name="LS Input Table Heading 4 9" xfId="33598"/>
    <cellStyle name="LS Input Table Heading 5" xfId="33599"/>
    <cellStyle name="LS Input Table Heading 5 10" xfId="33600"/>
    <cellStyle name="LS Input Table Heading 5 11" xfId="33601"/>
    <cellStyle name="LS Input Table Heading 5 12" xfId="33602"/>
    <cellStyle name="LS Input Table Heading 5 2" xfId="33603"/>
    <cellStyle name="LS Input Table Heading 5 2 10" xfId="33604"/>
    <cellStyle name="LS Input Table Heading 5 2 11" xfId="33605"/>
    <cellStyle name="LS Input Table Heading 5 2 2" xfId="33606"/>
    <cellStyle name="LS Input Table Heading 5 2 2 10" xfId="33607"/>
    <cellStyle name="LS Input Table Heading 5 2 2 2" xfId="33608"/>
    <cellStyle name="LS Input Table Heading 5 2 2 2 2" xfId="33609"/>
    <cellStyle name="LS Input Table Heading 5 2 2 2 3" xfId="33610"/>
    <cellStyle name="LS Input Table Heading 5 2 2 2 4" xfId="33611"/>
    <cellStyle name="LS Input Table Heading 5 2 2 2 5" xfId="33612"/>
    <cellStyle name="LS Input Table Heading 5 2 2 2 6" xfId="33613"/>
    <cellStyle name="LS Input Table Heading 5 2 2 2 7" xfId="33614"/>
    <cellStyle name="LS Input Table Heading 5 2 2 2 8" xfId="33615"/>
    <cellStyle name="LS Input Table Heading 5 2 2 2 9" xfId="33616"/>
    <cellStyle name="LS Input Table Heading 5 2 2 3" xfId="33617"/>
    <cellStyle name="LS Input Table Heading 5 2 2 4" xfId="33618"/>
    <cellStyle name="LS Input Table Heading 5 2 2 5" xfId="33619"/>
    <cellStyle name="LS Input Table Heading 5 2 2 6" xfId="33620"/>
    <cellStyle name="LS Input Table Heading 5 2 2 7" xfId="33621"/>
    <cellStyle name="LS Input Table Heading 5 2 2 8" xfId="33622"/>
    <cellStyle name="LS Input Table Heading 5 2 2 9" xfId="33623"/>
    <cellStyle name="LS Input Table Heading 5 2 3" xfId="33624"/>
    <cellStyle name="LS Input Table Heading 5 2 3 2" xfId="33625"/>
    <cellStyle name="LS Input Table Heading 5 2 3 3" xfId="33626"/>
    <cellStyle name="LS Input Table Heading 5 2 3 4" xfId="33627"/>
    <cellStyle name="LS Input Table Heading 5 2 3 5" xfId="33628"/>
    <cellStyle name="LS Input Table Heading 5 2 3 6" xfId="33629"/>
    <cellStyle name="LS Input Table Heading 5 2 3 7" xfId="33630"/>
    <cellStyle name="LS Input Table Heading 5 2 3 8" xfId="33631"/>
    <cellStyle name="LS Input Table Heading 5 2 3 9" xfId="33632"/>
    <cellStyle name="LS Input Table Heading 5 2 4" xfId="33633"/>
    <cellStyle name="LS Input Table Heading 5 2 5" xfId="33634"/>
    <cellStyle name="LS Input Table Heading 5 2 6" xfId="33635"/>
    <cellStyle name="LS Input Table Heading 5 2 7" xfId="33636"/>
    <cellStyle name="LS Input Table Heading 5 2 8" xfId="33637"/>
    <cellStyle name="LS Input Table Heading 5 2 9" xfId="33638"/>
    <cellStyle name="LS Input Table Heading 5 3" xfId="33639"/>
    <cellStyle name="LS Input Table Heading 5 3 10" xfId="33640"/>
    <cellStyle name="LS Input Table Heading 5 3 2" xfId="33641"/>
    <cellStyle name="LS Input Table Heading 5 3 2 2" xfId="33642"/>
    <cellStyle name="LS Input Table Heading 5 3 2 3" xfId="33643"/>
    <cellStyle name="LS Input Table Heading 5 3 2 4" xfId="33644"/>
    <cellStyle name="LS Input Table Heading 5 3 2 5" xfId="33645"/>
    <cellStyle name="LS Input Table Heading 5 3 2 6" xfId="33646"/>
    <cellStyle name="LS Input Table Heading 5 3 2 7" xfId="33647"/>
    <cellStyle name="LS Input Table Heading 5 3 2 8" xfId="33648"/>
    <cellStyle name="LS Input Table Heading 5 3 2 9" xfId="33649"/>
    <cellStyle name="LS Input Table Heading 5 3 3" xfId="33650"/>
    <cellStyle name="LS Input Table Heading 5 3 4" xfId="33651"/>
    <cellStyle name="LS Input Table Heading 5 3 5" xfId="33652"/>
    <cellStyle name="LS Input Table Heading 5 3 6" xfId="33653"/>
    <cellStyle name="LS Input Table Heading 5 3 7" xfId="33654"/>
    <cellStyle name="LS Input Table Heading 5 3 8" xfId="33655"/>
    <cellStyle name="LS Input Table Heading 5 3 9" xfId="33656"/>
    <cellStyle name="LS Input Table Heading 5 4" xfId="33657"/>
    <cellStyle name="LS Input Table Heading 5 4 2" xfId="33658"/>
    <cellStyle name="LS Input Table Heading 5 4 3" xfId="33659"/>
    <cellStyle name="LS Input Table Heading 5 4 4" xfId="33660"/>
    <cellStyle name="LS Input Table Heading 5 4 5" xfId="33661"/>
    <cellStyle name="LS Input Table Heading 5 4 6" xfId="33662"/>
    <cellStyle name="LS Input Table Heading 5 4 7" xfId="33663"/>
    <cellStyle name="LS Input Table Heading 5 4 8" xfId="33664"/>
    <cellStyle name="LS Input Table Heading 5 4 9" xfId="33665"/>
    <cellStyle name="LS Input Table Heading 5 5" xfId="33666"/>
    <cellStyle name="LS Input Table Heading 5 6" xfId="33667"/>
    <cellStyle name="LS Input Table Heading 5 7" xfId="33668"/>
    <cellStyle name="LS Input Table Heading 5 8" xfId="33669"/>
    <cellStyle name="LS Input Table Heading 5 9" xfId="33670"/>
    <cellStyle name="LS Input Table Heading 6" xfId="33671"/>
    <cellStyle name="LS Input Table Heading 6 10" xfId="33672"/>
    <cellStyle name="LS Input Table Heading 6 11" xfId="33673"/>
    <cellStyle name="LS Input Table Heading 6 12" xfId="33674"/>
    <cellStyle name="LS Input Table Heading 6 2" xfId="33675"/>
    <cellStyle name="LS Input Table Heading 6 2 10" xfId="33676"/>
    <cellStyle name="LS Input Table Heading 6 2 11" xfId="33677"/>
    <cellStyle name="LS Input Table Heading 6 2 2" xfId="33678"/>
    <cellStyle name="LS Input Table Heading 6 2 2 10" xfId="33679"/>
    <cellStyle name="LS Input Table Heading 6 2 2 2" xfId="33680"/>
    <cellStyle name="LS Input Table Heading 6 2 2 2 2" xfId="33681"/>
    <cellStyle name="LS Input Table Heading 6 2 2 2 3" xfId="33682"/>
    <cellStyle name="LS Input Table Heading 6 2 2 2 4" xfId="33683"/>
    <cellStyle name="LS Input Table Heading 6 2 2 2 5" xfId="33684"/>
    <cellStyle name="LS Input Table Heading 6 2 2 2 6" xfId="33685"/>
    <cellStyle name="LS Input Table Heading 6 2 2 2 7" xfId="33686"/>
    <cellStyle name="LS Input Table Heading 6 2 2 2 8" xfId="33687"/>
    <cellStyle name="LS Input Table Heading 6 2 2 2 9" xfId="33688"/>
    <cellStyle name="LS Input Table Heading 6 2 2 3" xfId="33689"/>
    <cellStyle name="LS Input Table Heading 6 2 2 4" xfId="33690"/>
    <cellStyle name="LS Input Table Heading 6 2 2 5" xfId="33691"/>
    <cellStyle name="LS Input Table Heading 6 2 2 6" xfId="33692"/>
    <cellStyle name="LS Input Table Heading 6 2 2 7" xfId="33693"/>
    <cellStyle name="LS Input Table Heading 6 2 2 8" xfId="33694"/>
    <cellStyle name="LS Input Table Heading 6 2 2 9" xfId="33695"/>
    <cellStyle name="LS Input Table Heading 6 2 3" xfId="33696"/>
    <cellStyle name="LS Input Table Heading 6 2 3 2" xfId="33697"/>
    <cellStyle name="LS Input Table Heading 6 2 3 3" xfId="33698"/>
    <cellStyle name="LS Input Table Heading 6 2 3 4" xfId="33699"/>
    <cellStyle name="LS Input Table Heading 6 2 3 5" xfId="33700"/>
    <cellStyle name="LS Input Table Heading 6 2 3 6" xfId="33701"/>
    <cellStyle name="LS Input Table Heading 6 2 3 7" xfId="33702"/>
    <cellStyle name="LS Input Table Heading 6 2 3 8" xfId="33703"/>
    <cellStyle name="LS Input Table Heading 6 2 3 9" xfId="33704"/>
    <cellStyle name="LS Input Table Heading 6 2 4" xfId="33705"/>
    <cellStyle name="LS Input Table Heading 6 2 5" xfId="33706"/>
    <cellStyle name="LS Input Table Heading 6 2 6" xfId="33707"/>
    <cellStyle name="LS Input Table Heading 6 2 7" xfId="33708"/>
    <cellStyle name="LS Input Table Heading 6 2 8" xfId="33709"/>
    <cellStyle name="LS Input Table Heading 6 2 9" xfId="33710"/>
    <cellStyle name="LS Input Table Heading 6 3" xfId="33711"/>
    <cellStyle name="LS Input Table Heading 6 3 10" xfId="33712"/>
    <cellStyle name="LS Input Table Heading 6 3 2" xfId="33713"/>
    <cellStyle name="LS Input Table Heading 6 3 2 2" xfId="33714"/>
    <cellStyle name="LS Input Table Heading 6 3 2 3" xfId="33715"/>
    <cellStyle name="LS Input Table Heading 6 3 2 4" xfId="33716"/>
    <cellStyle name="LS Input Table Heading 6 3 2 5" xfId="33717"/>
    <cellStyle name="LS Input Table Heading 6 3 2 6" xfId="33718"/>
    <cellStyle name="LS Input Table Heading 6 3 2 7" xfId="33719"/>
    <cellStyle name="LS Input Table Heading 6 3 2 8" xfId="33720"/>
    <cellStyle name="LS Input Table Heading 6 3 2 9" xfId="33721"/>
    <cellStyle name="LS Input Table Heading 6 3 3" xfId="33722"/>
    <cellStyle name="LS Input Table Heading 6 3 4" xfId="33723"/>
    <cellStyle name="LS Input Table Heading 6 3 5" xfId="33724"/>
    <cellStyle name="LS Input Table Heading 6 3 6" xfId="33725"/>
    <cellStyle name="LS Input Table Heading 6 3 7" xfId="33726"/>
    <cellStyle name="LS Input Table Heading 6 3 8" xfId="33727"/>
    <cellStyle name="LS Input Table Heading 6 3 9" xfId="33728"/>
    <cellStyle name="LS Input Table Heading 6 4" xfId="33729"/>
    <cellStyle name="LS Input Table Heading 6 4 2" xfId="33730"/>
    <cellStyle name="LS Input Table Heading 6 4 3" xfId="33731"/>
    <cellStyle name="LS Input Table Heading 6 4 4" xfId="33732"/>
    <cellStyle name="LS Input Table Heading 6 4 5" xfId="33733"/>
    <cellStyle name="LS Input Table Heading 6 4 6" xfId="33734"/>
    <cellStyle name="LS Input Table Heading 6 4 7" xfId="33735"/>
    <cellStyle name="LS Input Table Heading 6 4 8" xfId="33736"/>
    <cellStyle name="LS Input Table Heading 6 4 9" xfId="33737"/>
    <cellStyle name="LS Input Table Heading 6 5" xfId="33738"/>
    <cellStyle name="LS Input Table Heading 6 6" xfId="33739"/>
    <cellStyle name="LS Input Table Heading 6 7" xfId="33740"/>
    <cellStyle name="LS Input Table Heading 6 8" xfId="33741"/>
    <cellStyle name="LS Input Table Heading 6 9" xfId="33742"/>
    <cellStyle name="LS Input Table Heading 7" xfId="33743"/>
    <cellStyle name="LS Input Table Heading 7 10" xfId="33744"/>
    <cellStyle name="LS Input Table Heading 7 11" xfId="33745"/>
    <cellStyle name="LS Input Table Heading 7 12" xfId="33746"/>
    <cellStyle name="LS Input Table Heading 7 2" xfId="33747"/>
    <cellStyle name="LS Input Table Heading 7 2 10" xfId="33748"/>
    <cellStyle name="LS Input Table Heading 7 2 11" xfId="33749"/>
    <cellStyle name="LS Input Table Heading 7 2 2" xfId="33750"/>
    <cellStyle name="LS Input Table Heading 7 2 2 10" xfId="33751"/>
    <cellStyle name="LS Input Table Heading 7 2 2 2" xfId="33752"/>
    <cellStyle name="LS Input Table Heading 7 2 2 2 2" xfId="33753"/>
    <cellStyle name="LS Input Table Heading 7 2 2 2 3" xfId="33754"/>
    <cellStyle name="LS Input Table Heading 7 2 2 2 4" xfId="33755"/>
    <cellStyle name="LS Input Table Heading 7 2 2 2 5" xfId="33756"/>
    <cellStyle name="LS Input Table Heading 7 2 2 2 6" xfId="33757"/>
    <cellStyle name="LS Input Table Heading 7 2 2 2 7" xfId="33758"/>
    <cellStyle name="LS Input Table Heading 7 2 2 2 8" xfId="33759"/>
    <cellStyle name="LS Input Table Heading 7 2 2 2 9" xfId="33760"/>
    <cellStyle name="LS Input Table Heading 7 2 2 3" xfId="33761"/>
    <cellStyle name="LS Input Table Heading 7 2 2 4" xfId="33762"/>
    <cellStyle name="LS Input Table Heading 7 2 2 5" xfId="33763"/>
    <cellStyle name="LS Input Table Heading 7 2 2 6" xfId="33764"/>
    <cellStyle name="LS Input Table Heading 7 2 2 7" xfId="33765"/>
    <cellStyle name="LS Input Table Heading 7 2 2 8" xfId="33766"/>
    <cellStyle name="LS Input Table Heading 7 2 2 9" xfId="33767"/>
    <cellStyle name="LS Input Table Heading 7 2 3" xfId="33768"/>
    <cellStyle name="LS Input Table Heading 7 2 3 2" xfId="33769"/>
    <cellStyle name="LS Input Table Heading 7 2 3 3" xfId="33770"/>
    <cellStyle name="LS Input Table Heading 7 2 3 4" xfId="33771"/>
    <cellStyle name="LS Input Table Heading 7 2 3 5" xfId="33772"/>
    <cellStyle name="LS Input Table Heading 7 2 3 6" xfId="33773"/>
    <cellStyle name="LS Input Table Heading 7 2 3 7" xfId="33774"/>
    <cellStyle name="LS Input Table Heading 7 2 3 8" xfId="33775"/>
    <cellStyle name="LS Input Table Heading 7 2 3 9" xfId="33776"/>
    <cellStyle name="LS Input Table Heading 7 2 4" xfId="33777"/>
    <cellStyle name="LS Input Table Heading 7 2 5" xfId="33778"/>
    <cellStyle name="LS Input Table Heading 7 2 6" xfId="33779"/>
    <cellStyle name="LS Input Table Heading 7 2 7" xfId="33780"/>
    <cellStyle name="LS Input Table Heading 7 2 8" xfId="33781"/>
    <cellStyle name="LS Input Table Heading 7 2 9" xfId="33782"/>
    <cellStyle name="LS Input Table Heading 7 3" xfId="33783"/>
    <cellStyle name="LS Input Table Heading 7 3 10" xfId="33784"/>
    <cellStyle name="LS Input Table Heading 7 3 2" xfId="33785"/>
    <cellStyle name="LS Input Table Heading 7 3 2 2" xfId="33786"/>
    <cellStyle name="LS Input Table Heading 7 3 2 3" xfId="33787"/>
    <cellStyle name="LS Input Table Heading 7 3 2 4" xfId="33788"/>
    <cellStyle name="LS Input Table Heading 7 3 2 5" xfId="33789"/>
    <cellStyle name="LS Input Table Heading 7 3 2 6" xfId="33790"/>
    <cellStyle name="LS Input Table Heading 7 3 2 7" xfId="33791"/>
    <cellStyle name="LS Input Table Heading 7 3 2 8" xfId="33792"/>
    <cellStyle name="LS Input Table Heading 7 3 2 9" xfId="33793"/>
    <cellStyle name="LS Input Table Heading 7 3 3" xfId="33794"/>
    <cellStyle name="LS Input Table Heading 7 3 4" xfId="33795"/>
    <cellStyle name="LS Input Table Heading 7 3 5" xfId="33796"/>
    <cellStyle name="LS Input Table Heading 7 3 6" xfId="33797"/>
    <cellStyle name="LS Input Table Heading 7 3 7" xfId="33798"/>
    <cellStyle name="LS Input Table Heading 7 3 8" xfId="33799"/>
    <cellStyle name="LS Input Table Heading 7 3 9" xfId="33800"/>
    <cellStyle name="LS Input Table Heading 7 4" xfId="33801"/>
    <cellStyle name="LS Input Table Heading 7 4 2" xfId="33802"/>
    <cellStyle name="LS Input Table Heading 7 4 3" xfId="33803"/>
    <cellStyle name="LS Input Table Heading 7 4 4" xfId="33804"/>
    <cellStyle name="LS Input Table Heading 7 4 5" xfId="33805"/>
    <cellStyle name="LS Input Table Heading 7 4 6" xfId="33806"/>
    <cellStyle name="LS Input Table Heading 7 4 7" xfId="33807"/>
    <cellStyle name="LS Input Table Heading 7 4 8" xfId="33808"/>
    <cellStyle name="LS Input Table Heading 7 4 9" xfId="33809"/>
    <cellStyle name="LS Input Table Heading 7 5" xfId="33810"/>
    <cellStyle name="LS Input Table Heading 7 6" xfId="33811"/>
    <cellStyle name="LS Input Table Heading 7 7" xfId="33812"/>
    <cellStyle name="LS Input Table Heading 7 8" xfId="33813"/>
    <cellStyle name="LS Input Table Heading 7 9" xfId="33814"/>
    <cellStyle name="LS Input Table Heading 8" xfId="33815"/>
    <cellStyle name="LS Input Table Heading 8 10" xfId="33816"/>
    <cellStyle name="LS Input Table Heading 8 11" xfId="33817"/>
    <cellStyle name="LS Input Table Heading 8 12" xfId="33818"/>
    <cellStyle name="LS Input Table Heading 8 2" xfId="33819"/>
    <cellStyle name="LS Input Table Heading 8 2 10" xfId="33820"/>
    <cellStyle name="LS Input Table Heading 8 2 11" xfId="33821"/>
    <cellStyle name="LS Input Table Heading 8 2 2" xfId="33822"/>
    <cellStyle name="LS Input Table Heading 8 2 2 10" xfId="33823"/>
    <cellStyle name="LS Input Table Heading 8 2 2 2" xfId="33824"/>
    <cellStyle name="LS Input Table Heading 8 2 2 2 2" xfId="33825"/>
    <cellStyle name="LS Input Table Heading 8 2 2 2 3" xfId="33826"/>
    <cellStyle name="LS Input Table Heading 8 2 2 2 4" xfId="33827"/>
    <cellStyle name="LS Input Table Heading 8 2 2 2 5" xfId="33828"/>
    <cellStyle name="LS Input Table Heading 8 2 2 2 6" xfId="33829"/>
    <cellStyle name="LS Input Table Heading 8 2 2 2 7" xfId="33830"/>
    <cellStyle name="LS Input Table Heading 8 2 2 2 8" xfId="33831"/>
    <cellStyle name="LS Input Table Heading 8 2 2 2 9" xfId="33832"/>
    <cellStyle name="LS Input Table Heading 8 2 2 3" xfId="33833"/>
    <cellStyle name="LS Input Table Heading 8 2 2 4" xfId="33834"/>
    <cellStyle name="LS Input Table Heading 8 2 2 5" xfId="33835"/>
    <cellStyle name="LS Input Table Heading 8 2 2 6" xfId="33836"/>
    <cellStyle name="LS Input Table Heading 8 2 2 7" xfId="33837"/>
    <cellStyle name="LS Input Table Heading 8 2 2 8" xfId="33838"/>
    <cellStyle name="LS Input Table Heading 8 2 2 9" xfId="33839"/>
    <cellStyle name="LS Input Table Heading 8 2 3" xfId="33840"/>
    <cellStyle name="LS Input Table Heading 8 2 3 2" xfId="33841"/>
    <cellStyle name="LS Input Table Heading 8 2 3 3" xfId="33842"/>
    <cellStyle name="LS Input Table Heading 8 2 3 4" xfId="33843"/>
    <cellStyle name="LS Input Table Heading 8 2 3 5" xfId="33844"/>
    <cellStyle name="LS Input Table Heading 8 2 3 6" xfId="33845"/>
    <cellStyle name="LS Input Table Heading 8 2 3 7" xfId="33846"/>
    <cellStyle name="LS Input Table Heading 8 2 3 8" xfId="33847"/>
    <cellStyle name="LS Input Table Heading 8 2 3 9" xfId="33848"/>
    <cellStyle name="LS Input Table Heading 8 2 4" xfId="33849"/>
    <cellStyle name="LS Input Table Heading 8 2 5" xfId="33850"/>
    <cellStyle name="LS Input Table Heading 8 2 6" xfId="33851"/>
    <cellStyle name="LS Input Table Heading 8 2 7" xfId="33852"/>
    <cellStyle name="LS Input Table Heading 8 2 8" xfId="33853"/>
    <cellStyle name="LS Input Table Heading 8 2 9" xfId="33854"/>
    <cellStyle name="LS Input Table Heading 8 3" xfId="33855"/>
    <cellStyle name="LS Input Table Heading 8 3 10" xfId="33856"/>
    <cellStyle name="LS Input Table Heading 8 3 2" xfId="33857"/>
    <cellStyle name="LS Input Table Heading 8 3 2 2" xfId="33858"/>
    <cellStyle name="LS Input Table Heading 8 3 2 3" xfId="33859"/>
    <cellStyle name="LS Input Table Heading 8 3 2 4" xfId="33860"/>
    <cellStyle name="LS Input Table Heading 8 3 2 5" xfId="33861"/>
    <cellStyle name="LS Input Table Heading 8 3 2 6" xfId="33862"/>
    <cellStyle name="LS Input Table Heading 8 3 2 7" xfId="33863"/>
    <cellStyle name="LS Input Table Heading 8 3 2 8" xfId="33864"/>
    <cellStyle name="LS Input Table Heading 8 3 2 9" xfId="33865"/>
    <cellStyle name="LS Input Table Heading 8 3 3" xfId="33866"/>
    <cellStyle name="LS Input Table Heading 8 3 4" xfId="33867"/>
    <cellStyle name="LS Input Table Heading 8 3 5" xfId="33868"/>
    <cellStyle name="LS Input Table Heading 8 3 6" xfId="33869"/>
    <cellStyle name="LS Input Table Heading 8 3 7" xfId="33870"/>
    <cellStyle name="LS Input Table Heading 8 3 8" xfId="33871"/>
    <cellStyle name="LS Input Table Heading 8 3 9" xfId="33872"/>
    <cellStyle name="LS Input Table Heading 8 4" xfId="33873"/>
    <cellStyle name="LS Input Table Heading 8 4 2" xfId="33874"/>
    <cellStyle name="LS Input Table Heading 8 4 3" xfId="33875"/>
    <cellStyle name="LS Input Table Heading 8 4 4" xfId="33876"/>
    <cellStyle name="LS Input Table Heading 8 4 5" xfId="33877"/>
    <cellStyle name="LS Input Table Heading 8 4 6" xfId="33878"/>
    <cellStyle name="LS Input Table Heading 8 4 7" xfId="33879"/>
    <cellStyle name="LS Input Table Heading 8 4 8" xfId="33880"/>
    <cellStyle name="LS Input Table Heading 8 4 9" xfId="33881"/>
    <cellStyle name="LS Input Table Heading 8 5" xfId="33882"/>
    <cellStyle name="LS Input Table Heading 8 6" xfId="33883"/>
    <cellStyle name="LS Input Table Heading 8 7" xfId="33884"/>
    <cellStyle name="LS Input Table Heading 8 8" xfId="33885"/>
    <cellStyle name="LS Input Table Heading 8 9" xfId="33886"/>
    <cellStyle name="LS Input Table Heading 9" xfId="33887"/>
    <cellStyle name="LS Input Table Heading 9 10" xfId="33888"/>
    <cellStyle name="LS Input Table Heading 9 11" xfId="33889"/>
    <cellStyle name="LS Input Table Heading 9 12" xfId="33890"/>
    <cellStyle name="LS Input Table Heading 9 2" xfId="33891"/>
    <cellStyle name="LS Input Table Heading 9 2 10" xfId="33892"/>
    <cellStyle name="LS Input Table Heading 9 2 11" xfId="33893"/>
    <cellStyle name="LS Input Table Heading 9 2 2" xfId="33894"/>
    <cellStyle name="LS Input Table Heading 9 2 2 10" xfId="33895"/>
    <cellStyle name="LS Input Table Heading 9 2 2 2" xfId="33896"/>
    <cellStyle name="LS Input Table Heading 9 2 2 2 2" xfId="33897"/>
    <cellStyle name="LS Input Table Heading 9 2 2 2 3" xfId="33898"/>
    <cellStyle name="LS Input Table Heading 9 2 2 2 4" xfId="33899"/>
    <cellStyle name="LS Input Table Heading 9 2 2 2 5" xfId="33900"/>
    <cellStyle name="LS Input Table Heading 9 2 2 2 6" xfId="33901"/>
    <cellStyle name="LS Input Table Heading 9 2 2 2 7" xfId="33902"/>
    <cellStyle name="LS Input Table Heading 9 2 2 2 8" xfId="33903"/>
    <cellStyle name="LS Input Table Heading 9 2 2 2 9" xfId="33904"/>
    <cellStyle name="LS Input Table Heading 9 2 2 3" xfId="33905"/>
    <cellStyle name="LS Input Table Heading 9 2 2 4" xfId="33906"/>
    <cellStyle name="LS Input Table Heading 9 2 2 5" xfId="33907"/>
    <cellStyle name="LS Input Table Heading 9 2 2 6" xfId="33908"/>
    <cellStyle name="LS Input Table Heading 9 2 2 7" xfId="33909"/>
    <cellStyle name="LS Input Table Heading 9 2 2 8" xfId="33910"/>
    <cellStyle name="LS Input Table Heading 9 2 2 9" xfId="33911"/>
    <cellStyle name="LS Input Table Heading 9 2 3" xfId="33912"/>
    <cellStyle name="LS Input Table Heading 9 2 3 2" xfId="33913"/>
    <cellStyle name="LS Input Table Heading 9 2 3 3" xfId="33914"/>
    <cellStyle name="LS Input Table Heading 9 2 3 4" xfId="33915"/>
    <cellStyle name="LS Input Table Heading 9 2 3 5" xfId="33916"/>
    <cellStyle name="LS Input Table Heading 9 2 3 6" xfId="33917"/>
    <cellStyle name="LS Input Table Heading 9 2 3 7" xfId="33918"/>
    <cellStyle name="LS Input Table Heading 9 2 3 8" xfId="33919"/>
    <cellStyle name="LS Input Table Heading 9 2 3 9" xfId="33920"/>
    <cellStyle name="LS Input Table Heading 9 2 4" xfId="33921"/>
    <cellStyle name="LS Input Table Heading 9 2 5" xfId="33922"/>
    <cellStyle name="LS Input Table Heading 9 2 6" xfId="33923"/>
    <cellStyle name="LS Input Table Heading 9 2 7" xfId="33924"/>
    <cellStyle name="LS Input Table Heading 9 2 8" xfId="33925"/>
    <cellStyle name="LS Input Table Heading 9 2 9" xfId="33926"/>
    <cellStyle name="LS Input Table Heading 9 3" xfId="33927"/>
    <cellStyle name="LS Input Table Heading 9 3 10" xfId="33928"/>
    <cellStyle name="LS Input Table Heading 9 3 2" xfId="33929"/>
    <cellStyle name="LS Input Table Heading 9 3 2 2" xfId="33930"/>
    <cellStyle name="LS Input Table Heading 9 3 2 3" xfId="33931"/>
    <cellStyle name="LS Input Table Heading 9 3 2 4" xfId="33932"/>
    <cellStyle name="LS Input Table Heading 9 3 2 5" xfId="33933"/>
    <cellStyle name="LS Input Table Heading 9 3 2 6" xfId="33934"/>
    <cellStyle name="LS Input Table Heading 9 3 2 7" xfId="33935"/>
    <cellStyle name="LS Input Table Heading 9 3 2 8" xfId="33936"/>
    <cellStyle name="LS Input Table Heading 9 3 2 9" xfId="33937"/>
    <cellStyle name="LS Input Table Heading 9 3 3" xfId="33938"/>
    <cellStyle name="LS Input Table Heading 9 3 4" xfId="33939"/>
    <cellStyle name="LS Input Table Heading 9 3 5" xfId="33940"/>
    <cellStyle name="LS Input Table Heading 9 3 6" xfId="33941"/>
    <cellStyle name="LS Input Table Heading 9 3 7" xfId="33942"/>
    <cellStyle name="LS Input Table Heading 9 3 8" xfId="33943"/>
    <cellStyle name="LS Input Table Heading 9 3 9" xfId="33944"/>
    <cellStyle name="LS Input Table Heading 9 4" xfId="33945"/>
    <cellStyle name="LS Input Table Heading 9 4 2" xfId="33946"/>
    <cellStyle name="LS Input Table Heading 9 4 3" xfId="33947"/>
    <cellStyle name="LS Input Table Heading 9 4 4" xfId="33948"/>
    <cellStyle name="LS Input Table Heading 9 4 5" xfId="33949"/>
    <cellStyle name="LS Input Table Heading 9 4 6" xfId="33950"/>
    <cellStyle name="LS Input Table Heading 9 4 7" xfId="33951"/>
    <cellStyle name="LS Input Table Heading 9 4 8" xfId="33952"/>
    <cellStyle name="LS Input Table Heading 9 4 9" xfId="33953"/>
    <cellStyle name="LS Input Table Heading 9 5" xfId="33954"/>
    <cellStyle name="LS Input Table Heading 9 6" xfId="33955"/>
    <cellStyle name="LS Input Table Heading 9 7" xfId="33956"/>
    <cellStyle name="LS Input Table Heading 9 8" xfId="33957"/>
    <cellStyle name="LS Input Table Heading 9 9" xfId="33958"/>
    <cellStyle name="LS Input Table No. 1" xfId="33959"/>
    <cellStyle name="LS Input Table No. 1 10" xfId="33960"/>
    <cellStyle name="LS Input Table No. 1 10 10" xfId="33961"/>
    <cellStyle name="LS Input Table No. 1 10 11" xfId="33962"/>
    <cellStyle name="LS Input Table No. 1 10 2" xfId="33963"/>
    <cellStyle name="LS Input Table No. 1 10 2 10" xfId="33964"/>
    <cellStyle name="LS Input Table No. 1 10 2 2" xfId="33965"/>
    <cellStyle name="LS Input Table No. 1 10 2 2 2" xfId="33966"/>
    <cellStyle name="LS Input Table No. 1 10 2 2 3" xfId="33967"/>
    <cellStyle name="LS Input Table No. 1 10 2 2 4" xfId="33968"/>
    <cellStyle name="LS Input Table No. 1 10 2 2 5" xfId="33969"/>
    <cellStyle name="LS Input Table No. 1 10 2 2 6" xfId="33970"/>
    <cellStyle name="LS Input Table No. 1 10 2 2 7" xfId="33971"/>
    <cellStyle name="LS Input Table No. 1 10 2 2 8" xfId="33972"/>
    <cellStyle name="LS Input Table No. 1 10 2 2 9" xfId="33973"/>
    <cellStyle name="LS Input Table No. 1 10 2 3" xfId="33974"/>
    <cellStyle name="LS Input Table No. 1 10 2 4" xfId="33975"/>
    <cellStyle name="LS Input Table No. 1 10 2 5" xfId="33976"/>
    <cellStyle name="LS Input Table No. 1 10 2 6" xfId="33977"/>
    <cellStyle name="LS Input Table No. 1 10 2 7" xfId="33978"/>
    <cellStyle name="LS Input Table No. 1 10 2 8" xfId="33979"/>
    <cellStyle name="LS Input Table No. 1 10 2 9" xfId="33980"/>
    <cellStyle name="LS Input Table No. 1 10 3" xfId="33981"/>
    <cellStyle name="LS Input Table No. 1 10 3 2" xfId="33982"/>
    <cellStyle name="LS Input Table No. 1 10 3 3" xfId="33983"/>
    <cellStyle name="LS Input Table No. 1 10 3 4" xfId="33984"/>
    <cellStyle name="LS Input Table No. 1 10 3 5" xfId="33985"/>
    <cellStyle name="LS Input Table No. 1 10 3 6" xfId="33986"/>
    <cellStyle name="LS Input Table No. 1 10 3 7" xfId="33987"/>
    <cellStyle name="LS Input Table No. 1 10 3 8" xfId="33988"/>
    <cellStyle name="LS Input Table No. 1 10 3 9" xfId="33989"/>
    <cellStyle name="LS Input Table No. 1 10 4" xfId="33990"/>
    <cellStyle name="LS Input Table No. 1 10 5" xfId="33991"/>
    <cellStyle name="LS Input Table No. 1 10 6" xfId="33992"/>
    <cellStyle name="LS Input Table No. 1 10 7" xfId="33993"/>
    <cellStyle name="LS Input Table No. 1 10 8" xfId="33994"/>
    <cellStyle name="LS Input Table No. 1 10 9" xfId="33995"/>
    <cellStyle name="LS Input Table No. 1 11" xfId="33996"/>
    <cellStyle name="LS Input Table No. 1 11 10" xfId="33997"/>
    <cellStyle name="LS Input Table No. 1 11 11" xfId="33998"/>
    <cellStyle name="LS Input Table No. 1 11 2" xfId="33999"/>
    <cellStyle name="LS Input Table No. 1 11 2 10" xfId="34000"/>
    <cellStyle name="LS Input Table No. 1 11 2 2" xfId="34001"/>
    <cellStyle name="LS Input Table No. 1 11 2 2 2" xfId="34002"/>
    <cellStyle name="LS Input Table No. 1 11 2 2 3" xfId="34003"/>
    <cellStyle name="LS Input Table No. 1 11 2 2 4" xfId="34004"/>
    <cellStyle name="LS Input Table No. 1 11 2 2 5" xfId="34005"/>
    <cellStyle name="LS Input Table No. 1 11 2 2 6" xfId="34006"/>
    <cellStyle name="LS Input Table No. 1 11 2 2 7" xfId="34007"/>
    <cellStyle name="LS Input Table No. 1 11 2 2 8" xfId="34008"/>
    <cellStyle name="LS Input Table No. 1 11 2 2 9" xfId="34009"/>
    <cellStyle name="LS Input Table No. 1 11 2 3" xfId="34010"/>
    <cellStyle name="LS Input Table No. 1 11 2 4" xfId="34011"/>
    <cellStyle name="LS Input Table No. 1 11 2 5" xfId="34012"/>
    <cellStyle name="LS Input Table No. 1 11 2 6" xfId="34013"/>
    <cellStyle name="LS Input Table No. 1 11 2 7" xfId="34014"/>
    <cellStyle name="LS Input Table No. 1 11 2 8" xfId="34015"/>
    <cellStyle name="LS Input Table No. 1 11 2 9" xfId="34016"/>
    <cellStyle name="LS Input Table No. 1 11 3" xfId="34017"/>
    <cellStyle name="LS Input Table No. 1 11 3 2" xfId="34018"/>
    <cellStyle name="LS Input Table No. 1 11 3 3" xfId="34019"/>
    <cellStyle name="LS Input Table No. 1 11 3 4" xfId="34020"/>
    <cellStyle name="LS Input Table No. 1 11 3 5" xfId="34021"/>
    <cellStyle name="LS Input Table No. 1 11 3 6" xfId="34022"/>
    <cellStyle name="LS Input Table No. 1 11 3 7" xfId="34023"/>
    <cellStyle name="LS Input Table No. 1 11 3 8" xfId="34024"/>
    <cellStyle name="LS Input Table No. 1 11 3 9" xfId="34025"/>
    <cellStyle name="LS Input Table No. 1 11 4" xfId="34026"/>
    <cellStyle name="LS Input Table No. 1 11 5" xfId="34027"/>
    <cellStyle name="LS Input Table No. 1 11 6" xfId="34028"/>
    <cellStyle name="LS Input Table No. 1 11 7" xfId="34029"/>
    <cellStyle name="LS Input Table No. 1 11 8" xfId="34030"/>
    <cellStyle name="LS Input Table No. 1 11 9" xfId="34031"/>
    <cellStyle name="LS Input Table No. 1 12" xfId="34032"/>
    <cellStyle name="LS Input Table No. 1 12 10" xfId="34033"/>
    <cellStyle name="LS Input Table No. 1 12 2" xfId="34034"/>
    <cellStyle name="LS Input Table No. 1 12 2 2" xfId="34035"/>
    <cellStyle name="LS Input Table No. 1 12 2 3" xfId="34036"/>
    <cellStyle name="LS Input Table No. 1 12 2 4" xfId="34037"/>
    <cellStyle name="LS Input Table No. 1 12 2 5" xfId="34038"/>
    <cellStyle name="LS Input Table No. 1 12 2 6" xfId="34039"/>
    <cellStyle name="LS Input Table No. 1 12 2 7" xfId="34040"/>
    <cellStyle name="LS Input Table No. 1 12 2 8" xfId="34041"/>
    <cellStyle name="LS Input Table No. 1 12 2 9" xfId="34042"/>
    <cellStyle name="LS Input Table No. 1 12 3" xfId="34043"/>
    <cellStyle name="LS Input Table No. 1 12 4" xfId="34044"/>
    <cellStyle name="LS Input Table No. 1 12 5" xfId="34045"/>
    <cellStyle name="LS Input Table No. 1 12 6" xfId="34046"/>
    <cellStyle name="LS Input Table No. 1 12 7" xfId="34047"/>
    <cellStyle name="LS Input Table No. 1 12 8" xfId="34048"/>
    <cellStyle name="LS Input Table No. 1 12 9" xfId="34049"/>
    <cellStyle name="LS Input Table No. 1 13" xfId="34050"/>
    <cellStyle name="LS Input Table No. 1 13 2" xfId="34051"/>
    <cellStyle name="LS Input Table No. 1 13 3" xfId="34052"/>
    <cellStyle name="LS Input Table No. 1 13 4" xfId="34053"/>
    <cellStyle name="LS Input Table No. 1 13 5" xfId="34054"/>
    <cellStyle name="LS Input Table No. 1 13 6" xfId="34055"/>
    <cellStyle name="LS Input Table No. 1 13 7" xfId="34056"/>
    <cellStyle name="LS Input Table No. 1 13 8" xfId="34057"/>
    <cellStyle name="LS Input Table No. 1 13 9" xfId="34058"/>
    <cellStyle name="LS Input Table No. 1 14" xfId="34059"/>
    <cellStyle name="LS Input Table No. 1 15" xfId="34060"/>
    <cellStyle name="LS Input Table No. 1 16" xfId="34061"/>
    <cellStyle name="LS Input Table No. 1 17" xfId="34062"/>
    <cellStyle name="LS Input Table No. 1 2" xfId="34063"/>
    <cellStyle name="LS Input Table No. 1 2 10" xfId="34064"/>
    <cellStyle name="LS Input Table No. 1 2 11" xfId="34065"/>
    <cellStyle name="LS Input Table No. 1 2 12" xfId="34066"/>
    <cellStyle name="LS Input Table No. 1 2 13" xfId="34067"/>
    <cellStyle name="LS Input Table No. 1 2 14" xfId="34068"/>
    <cellStyle name="LS Input Table No. 1 2 15" xfId="34069"/>
    <cellStyle name="LS Input Table No. 1 2 16" xfId="34070"/>
    <cellStyle name="LS Input Table No. 1 2 17" xfId="34071"/>
    <cellStyle name="LS Input Table No. 1 2 18" xfId="34072"/>
    <cellStyle name="LS Input Table No. 1 2 2" xfId="34073"/>
    <cellStyle name="LS Input Table No. 1 2 2 10" xfId="34074"/>
    <cellStyle name="LS Input Table No. 1 2 2 11" xfId="34075"/>
    <cellStyle name="LS Input Table No. 1 2 2 12" xfId="34076"/>
    <cellStyle name="LS Input Table No. 1 2 2 13" xfId="34077"/>
    <cellStyle name="LS Input Table No. 1 2 2 2" xfId="34078"/>
    <cellStyle name="LS Input Table No. 1 2 2 2 10" xfId="34079"/>
    <cellStyle name="LS Input Table No. 1 2 2 2 11" xfId="34080"/>
    <cellStyle name="LS Input Table No. 1 2 2 2 12" xfId="34081"/>
    <cellStyle name="LS Input Table No. 1 2 2 2 2" xfId="34082"/>
    <cellStyle name="LS Input Table No. 1 2 2 2 2 10" xfId="34083"/>
    <cellStyle name="LS Input Table No. 1 2 2 2 2 11" xfId="34084"/>
    <cellStyle name="LS Input Table No. 1 2 2 2 2 2" xfId="34085"/>
    <cellStyle name="LS Input Table No. 1 2 2 2 2 2 10" xfId="34086"/>
    <cellStyle name="LS Input Table No. 1 2 2 2 2 2 2" xfId="34087"/>
    <cellStyle name="LS Input Table No. 1 2 2 2 2 2 2 2" xfId="34088"/>
    <cellStyle name="LS Input Table No. 1 2 2 2 2 2 2 3" xfId="34089"/>
    <cellStyle name="LS Input Table No. 1 2 2 2 2 2 2 4" xfId="34090"/>
    <cellStyle name="LS Input Table No. 1 2 2 2 2 2 2 5" xfId="34091"/>
    <cellStyle name="LS Input Table No. 1 2 2 2 2 2 2 6" xfId="34092"/>
    <cellStyle name="LS Input Table No. 1 2 2 2 2 2 2 7" xfId="34093"/>
    <cellStyle name="LS Input Table No. 1 2 2 2 2 2 2 8" xfId="34094"/>
    <cellStyle name="LS Input Table No. 1 2 2 2 2 2 2 9" xfId="34095"/>
    <cellStyle name="LS Input Table No. 1 2 2 2 2 2 3" xfId="34096"/>
    <cellStyle name="LS Input Table No. 1 2 2 2 2 2 4" xfId="34097"/>
    <cellStyle name="LS Input Table No. 1 2 2 2 2 2 5" xfId="34098"/>
    <cellStyle name="LS Input Table No. 1 2 2 2 2 2 6" xfId="34099"/>
    <cellStyle name="LS Input Table No. 1 2 2 2 2 2 7" xfId="34100"/>
    <cellStyle name="LS Input Table No. 1 2 2 2 2 2 8" xfId="34101"/>
    <cellStyle name="LS Input Table No. 1 2 2 2 2 2 9" xfId="34102"/>
    <cellStyle name="LS Input Table No. 1 2 2 2 2 3" xfId="34103"/>
    <cellStyle name="LS Input Table No. 1 2 2 2 2 3 2" xfId="34104"/>
    <cellStyle name="LS Input Table No. 1 2 2 2 2 3 3" xfId="34105"/>
    <cellStyle name="LS Input Table No. 1 2 2 2 2 3 4" xfId="34106"/>
    <cellStyle name="LS Input Table No. 1 2 2 2 2 3 5" xfId="34107"/>
    <cellStyle name="LS Input Table No. 1 2 2 2 2 3 6" xfId="34108"/>
    <cellStyle name="LS Input Table No. 1 2 2 2 2 3 7" xfId="34109"/>
    <cellStyle name="LS Input Table No. 1 2 2 2 2 3 8" xfId="34110"/>
    <cellStyle name="LS Input Table No. 1 2 2 2 2 3 9" xfId="34111"/>
    <cellStyle name="LS Input Table No. 1 2 2 2 2 4" xfId="34112"/>
    <cellStyle name="LS Input Table No. 1 2 2 2 2 5" xfId="34113"/>
    <cellStyle name="LS Input Table No. 1 2 2 2 2 6" xfId="34114"/>
    <cellStyle name="LS Input Table No. 1 2 2 2 2 7" xfId="34115"/>
    <cellStyle name="LS Input Table No. 1 2 2 2 2 8" xfId="34116"/>
    <cellStyle name="LS Input Table No. 1 2 2 2 2 9" xfId="34117"/>
    <cellStyle name="LS Input Table No. 1 2 2 2 3" xfId="34118"/>
    <cellStyle name="LS Input Table No. 1 2 2 2 3 10" xfId="34119"/>
    <cellStyle name="LS Input Table No. 1 2 2 2 3 2" xfId="34120"/>
    <cellStyle name="LS Input Table No. 1 2 2 2 3 2 2" xfId="34121"/>
    <cellStyle name="LS Input Table No. 1 2 2 2 3 2 3" xfId="34122"/>
    <cellStyle name="LS Input Table No. 1 2 2 2 3 2 4" xfId="34123"/>
    <cellStyle name="LS Input Table No. 1 2 2 2 3 2 5" xfId="34124"/>
    <cellStyle name="LS Input Table No. 1 2 2 2 3 2 6" xfId="34125"/>
    <cellStyle name="LS Input Table No. 1 2 2 2 3 2 7" xfId="34126"/>
    <cellStyle name="LS Input Table No. 1 2 2 2 3 2 8" xfId="34127"/>
    <cellStyle name="LS Input Table No. 1 2 2 2 3 2 9" xfId="34128"/>
    <cellStyle name="LS Input Table No. 1 2 2 2 3 3" xfId="34129"/>
    <cellStyle name="LS Input Table No. 1 2 2 2 3 4" xfId="34130"/>
    <cellStyle name="LS Input Table No. 1 2 2 2 3 5" xfId="34131"/>
    <cellStyle name="LS Input Table No. 1 2 2 2 3 6" xfId="34132"/>
    <cellStyle name="LS Input Table No. 1 2 2 2 3 7" xfId="34133"/>
    <cellStyle name="LS Input Table No. 1 2 2 2 3 8" xfId="34134"/>
    <cellStyle name="LS Input Table No. 1 2 2 2 3 9" xfId="34135"/>
    <cellStyle name="LS Input Table No. 1 2 2 2 4" xfId="34136"/>
    <cellStyle name="LS Input Table No. 1 2 2 2 4 2" xfId="34137"/>
    <cellStyle name="LS Input Table No. 1 2 2 2 4 3" xfId="34138"/>
    <cellStyle name="LS Input Table No. 1 2 2 2 4 4" xfId="34139"/>
    <cellStyle name="LS Input Table No. 1 2 2 2 4 5" xfId="34140"/>
    <cellStyle name="LS Input Table No. 1 2 2 2 4 6" xfId="34141"/>
    <cellStyle name="LS Input Table No. 1 2 2 2 4 7" xfId="34142"/>
    <cellStyle name="LS Input Table No. 1 2 2 2 4 8" xfId="34143"/>
    <cellStyle name="LS Input Table No. 1 2 2 2 4 9" xfId="34144"/>
    <cellStyle name="LS Input Table No. 1 2 2 2 5" xfId="34145"/>
    <cellStyle name="LS Input Table No. 1 2 2 2 6" xfId="34146"/>
    <cellStyle name="LS Input Table No. 1 2 2 2 7" xfId="34147"/>
    <cellStyle name="LS Input Table No. 1 2 2 2 8" xfId="34148"/>
    <cellStyle name="LS Input Table No. 1 2 2 2 9" xfId="34149"/>
    <cellStyle name="LS Input Table No. 1 2 2 3" xfId="34150"/>
    <cellStyle name="LS Input Table No. 1 2 2 3 10" xfId="34151"/>
    <cellStyle name="LS Input Table No. 1 2 2 3 11" xfId="34152"/>
    <cellStyle name="LS Input Table No. 1 2 2 3 2" xfId="34153"/>
    <cellStyle name="LS Input Table No. 1 2 2 3 2 10" xfId="34154"/>
    <cellStyle name="LS Input Table No. 1 2 2 3 2 2" xfId="34155"/>
    <cellStyle name="LS Input Table No. 1 2 2 3 2 2 2" xfId="34156"/>
    <cellStyle name="LS Input Table No. 1 2 2 3 2 2 3" xfId="34157"/>
    <cellStyle name="LS Input Table No. 1 2 2 3 2 2 4" xfId="34158"/>
    <cellStyle name="LS Input Table No. 1 2 2 3 2 2 5" xfId="34159"/>
    <cellStyle name="LS Input Table No. 1 2 2 3 2 2 6" xfId="34160"/>
    <cellStyle name="LS Input Table No. 1 2 2 3 2 2 7" xfId="34161"/>
    <cellStyle name="LS Input Table No. 1 2 2 3 2 2 8" xfId="34162"/>
    <cellStyle name="LS Input Table No. 1 2 2 3 2 2 9" xfId="34163"/>
    <cellStyle name="LS Input Table No. 1 2 2 3 2 3" xfId="34164"/>
    <cellStyle name="LS Input Table No. 1 2 2 3 2 4" xfId="34165"/>
    <cellStyle name="LS Input Table No. 1 2 2 3 2 5" xfId="34166"/>
    <cellStyle name="LS Input Table No. 1 2 2 3 2 6" xfId="34167"/>
    <cellStyle name="LS Input Table No. 1 2 2 3 2 7" xfId="34168"/>
    <cellStyle name="LS Input Table No. 1 2 2 3 2 8" xfId="34169"/>
    <cellStyle name="LS Input Table No. 1 2 2 3 2 9" xfId="34170"/>
    <cellStyle name="LS Input Table No. 1 2 2 3 3" xfId="34171"/>
    <cellStyle name="LS Input Table No. 1 2 2 3 3 2" xfId="34172"/>
    <cellStyle name="LS Input Table No. 1 2 2 3 3 3" xfId="34173"/>
    <cellStyle name="LS Input Table No. 1 2 2 3 3 4" xfId="34174"/>
    <cellStyle name="LS Input Table No. 1 2 2 3 3 5" xfId="34175"/>
    <cellStyle name="LS Input Table No. 1 2 2 3 3 6" xfId="34176"/>
    <cellStyle name="LS Input Table No. 1 2 2 3 3 7" xfId="34177"/>
    <cellStyle name="LS Input Table No. 1 2 2 3 3 8" xfId="34178"/>
    <cellStyle name="LS Input Table No. 1 2 2 3 3 9" xfId="34179"/>
    <cellStyle name="LS Input Table No. 1 2 2 3 4" xfId="34180"/>
    <cellStyle name="LS Input Table No. 1 2 2 3 5" xfId="34181"/>
    <cellStyle name="LS Input Table No. 1 2 2 3 6" xfId="34182"/>
    <cellStyle name="LS Input Table No. 1 2 2 3 7" xfId="34183"/>
    <cellStyle name="LS Input Table No. 1 2 2 3 8" xfId="34184"/>
    <cellStyle name="LS Input Table No. 1 2 2 3 9" xfId="34185"/>
    <cellStyle name="LS Input Table No. 1 2 2 4" xfId="34186"/>
    <cellStyle name="LS Input Table No. 1 2 2 4 10" xfId="34187"/>
    <cellStyle name="LS Input Table No. 1 2 2 4 2" xfId="34188"/>
    <cellStyle name="LS Input Table No. 1 2 2 4 2 2" xfId="34189"/>
    <cellStyle name="LS Input Table No. 1 2 2 4 2 3" xfId="34190"/>
    <cellStyle name="LS Input Table No. 1 2 2 4 2 4" xfId="34191"/>
    <cellStyle name="LS Input Table No. 1 2 2 4 2 5" xfId="34192"/>
    <cellStyle name="LS Input Table No. 1 2 2 4 2 6" xfId="34193"/>
    <cellStyle name="LS Input Table No. 1 2 2 4 2 7" xfId="34194"/>
    <cellStyle name="LS Input Table No. 1 2 2 4 2 8" xfId="34195"/>
    <cellStyle name="LS Input Table No. 1 2 2 4 2 9" xfId="34196"/>
    <cellStyle name="LS Input Table No. 1 2 2 4 3" xfId="34197"/>
    <cellStyle name="LS Input Table No. 1 2 2 4 4" xfId="34198"/>
    <cellStyle name="LS Input Table No. 1 2 2 4 5" xfId="34199"/>
    <cellStyle name="LS Input Table No. 1 2 2 4 6" xfId="34200"/>
    <cellStyle name="LS Input Table No. 1 2 2 4 7" xfId="34201"/>
    <cellStyle name="LS Input Table No. 1 2 2 4 8" xfId="34202"/>
    <cellStyle name="LS Input Table No. 1 2 2 4 9" xfId="34203"/>
    <cellStyle name="LS Input Table No. 1 2 2 5" xfId="34204"/>
    <cellStyle name="LS Input Table No. 1 2 2 5 2" xfId="34205"/>
    <cellStyle name="LS Input Table No. 1 2 2 5 3" xfId="34206"/>
    <cellStyle name="LS Input Table No. 1 2 2 5 4" xfId="34207"/>
    <cellStyle name="LS Input Table No. 1 2 2 5 5" xfId="34208"/>
    <cellStyle name="LS Input Table No. 1 2 2 5 6" xfId="34209"/>
    <cellStyle name="LS Input Table No. 1 2 2 5 7" xfId="34210"/>
    <cellStyle name="LS Input Table No. 1 2 2 5 8" xfId="34211"/>
    <cellStyle name="LS Input Table No. 1 2 2 5 9" xfId="34212"/>
    <cellStyle name="LS Input Table No. 1 2 2 6" xfId="34213"/>
    <cellStyle name="LS Input Table No. 1 2 2 7" xfId="34214"/>
    <cellStyle name="LS Input Table No. 1 2 2 8" xfId="34215"/>
    <cellStyle name="LS Input Table No. 1 2 2 9" xfId="34216"/>
    <cellStyle name="LS Input Table No. 1 2 3" xfId="34217"/>
    <cellStyle name="LS Input Table No. 1 2 3 10" xfId="34218"/>
    <cellStyle name="LS Input Table No. 1 2 3 11" xfId="34219"/>
    <cellStyle name="LS Input Table No. 1 2 3 12" xfId="34220"/>
    <cellStyle name="LS Input Table No. 1 2 3 2" xfId="34221"/>
    <cellStyle name="LS Input Table No. 1 2 3 2 10" xfId="34222"/>
    <cellStyle name="LS Input Table No. 1 2 3 2 11" xfId="34223"/>
    <cellStyle name="LS Input Table No. 1 2 3 2 2" xfId="34224"/>
    <cellStyle name="LS Input Table No. 1 2 3 2 2 10" xfId="34225"/>
    <cellStyle name="LS Input Table No. 1 2 3 2 2 2" xfId="34226"/>
    <cellStyle name="LS Input Table No. 1 2 3 2 2 2 2" xfId="34227"/>
    <cellStyle name="LS Input Table No. 1 2 3 2 2 2 3" xfId="34228"/>
    <cellStyle name="LS Input Table No. 1 2 3 2 2 2 4" xfId="34229"/>
    <cellStyle name="LS Input Table No. 1 2 3 2 2 2 5" xfId="34230"/>
    <cellStyle name="LS Input Table No. 1 2 3 2 2 2 6" xfId="34231"/>
    <cellStyle name="LS Input Table No. 1 2 3 2 2 2 7" xfId="34232"/>
    <cellStyle name="LS Input Table No. 1 2 3 2 2 2 8" xfId="34233"/>
    <cellStyle name="LS Input Table No. 1 2 3 2 2 2 9" xfId="34234"/>
    <cellStyle name="LS Input Table No. 1 2 3 2 2 3" xfId="34235"/>
    <cellStyle name="LS Input Table No. 1 2 3 2 2 4" xfId="34236"/>
    <cellStyle name="LS Input Table No. 1 2 3 2 2 5" xfId="34237"/>
    <cellStyle name="LS Input Table No. 1 2 3 2 2 6" xfId="34238"/>
    <cellStyle name="LS Input Table No. 1 2 3 2 2 7" xfId="34239"/>
    <cellStyle name="LS Input Table No. 1 2 3 2 2 8" xfId="34240"/>
    <cellStyle name="LS Input Table No. 1 2 3 2 2 9" xfId="34241"/>
    <cellStyle name="LS Input Table No. 1 2 3 2 3" xfId="34242"/>
    <cellStyle name="LS Input Table No. 1 2 3 2 3 2" xfId="34243"/>
    <cellStyle name="LS Input Table No. 1 2 3 2 3 3" xfId="34244"/>
    <cellStyle name="LS Input Table No. 1 2 3 2 3 4" xfId="34245"/>
    <cellStyle name="LS Input Table No. 1 2 3 2 3 5" xfId="34246"/>
    <cellStyle name="LS Input Table No. 1 2 3 2 3 6" xfId="34247"/>
    <cellStyle name="LS Input Table No. 1 2 3 2 3 7" xfId="34248"/>
    <cellStyle name="LS Input Table No. 1 2 3 2 3 8" xfId="34249"/>
    <cellStyle name="LS Input Table No. 1 2 3 2 3 9" xfId="34250"/>
    <cellStyle name="LS Input Table No. 1 2 3 2 4" xfId="34251"/>
    <cellStyle name="LS Input Table No. 1 2 3 2 5" xfId="34252"/>
    <cellStyle name="LS Input Table No. 1 2 3 2 6" xfId="34253"/>
    <cellStyle name="LS Input Table No. 1 2 3 2 7" xfId="34254"/>
    <cellStyle name="LS Input Table No. 1 2 3 2 8" xfId="34255"/>
    <cellStyle name="LS Input Table No. 1 2 3 2 9" xfId="34256"/>
    <cellStyle name="LS Input Table No. 1 2 3 3" xfId="34257"/>
    <cellStyle name="LS Input Table No. 1 2 3 3 10" xfId="34258"/>
    <cellStyle name="LS Input Table No. 1 2 3 3 2" xfId="34259"/>
    <cellStyle name="LS Input Table No. 1 2 3 3 2 2" xfId="34260"/>
    <cellStyle name="LS Input Table No. 1 2 3 3 2 3" xfId="34261"/>
    <cellStyle name="LS Input Table No. 1 2 3 3 2 4" xfId="34262"/>
    <cellStyle name="LS Input Table No. 1 2 3 3 2 5" xfId="34263"/>
    <cellStyle name="LS Input Table No. 1 2 3 3 2 6" xfId="34264"/>
    <cellStyle name="LS Input Table No. 1 2 3 3 2 7" xfId="34265"/>
    <cellStyle name="LS Input Table No. 1 2 3 3 2 8" xfId="34266"/>
    <cellStyle name="LS Input Table No. 1 2 3 3 2 9" xfId="34267"/>
    <cellStyle name="LS Input Table No. 1 2 3 3 3" xfId="34268"/>
    <cellStyle name="LS Input Table No. 1 2 3 3 4" xfId="34269"/>
    <cellStyle name="LS Input Table No. 1 2 3 3 5" xfId="34270"/>
    <cellStyle name="LS Input Table No. 1 2 3 3 6" xfId="34271"/>
    <cellStyle name="LS Input Table No. 1 2 3 3 7" xfId="34272"/>
    <cellStyle name="LS Input Table No. 1 2 3 3 8" xfId="34273"/>
    <cellStyle name="LS Input Table No. 1 2 3 3 9" xfId="34274"/>
    <cellStyle name="LS Input Table No. 1 2 3 4" xfId="34275"/>
    <cellStyle name="LS Input Table No. 1 2 3 4 2" xfId="34276"/>
    <cellStyle name="LS Input Table No. 1 2 3 4 3" xfId="34277"/>
    <cellStyle name="LS Input Table No. 1 2 3 4 4" xfId="34278"/>
    <cellStyle name="LS Input Table No. 1 2 3 4 5" xfId="34279"/>
    <cellStyle name="LS Input Table No. 1 2 3 4 6" xfId="34280"/>
    <cellStyle name="LS Input Table No. 1 2 3 4 7" xfId="34281"/>
    <cellStyle name="LS Input Table No. 1 2 3 4 8" xfId="34282"/>
    <cellStyle name="LS Input Table No. 1 2 3 4 9" xfId="34283"/>
    <cellStyle name="LS Input Table No. 1 2 3 5" xfId="34284"/>
    <cellStyle name="LS Input Table No. 1 2 3 6" xfId="34285"/>
    <cellStyle name="LS Input Table No. 1 2 3 7" xfId="34286"/>
    <cellStyle name="LS Input Table No. 1 2 3 8" xfId="34287"/>
    <cellStyle name="LS Input Table No. 1 2 3 9" xfId="34288"/>
    <cellStyle name="LS Input Table No. 1 2 4" xfId="34289"/>
    <cellStyle name="LS Input Table No. 1 2 4 10" xfId="34290"/>
    <cellStyle name="LS Input Table No. 1 2 4 11" xfId="34291"/>
    <cellStyle name="LS Input Table No. 1 2 4 12" xfId="34292"/>
    <cellStyle name="LS Input Table No. 1 2 4 2" xfId="34293"/>
    <cellStyle name="LS Input Table No. 1 2 4 2 10" xfId="34294"/>
    <cellStyle name="LS Input Table No. 1 2 4 2 11" xfId="34295"/>
    <cellStyle name="LS Input Table No. 1 2 4 2 2" xfId="34296"/>
    <cellStyle name="LS Input Table No. 1 2 4 2 2 10" xfId="34297"/>
    <cellStyle name="LS Input Table No. 1 2 4 2 2 2" xfId="34298"/>
    <cellStyle name="LS Input Table No. 1 2 4 2 2 2 2" xfId="34299"/>
    <cellStyle name="LS Input Table No. 1 2 4 2 2 2 3" xfId="34300"/>
    <cellStyle name="LS Input Table No. 1 2 4 2 2 2 4" xfId="34301"/>
    <cellStyle name="LS Input Table No. 1 2 4 2 2 2 5" xfId="34302"/>
    <cellStyle name="LS Input Table No. 1 2 4 2 2 2 6" xfId="34303"/>
    <cellStyle name="LS Input Table No. 1 2 4 2 2 2 7" xfId="34304"/>
    <cellStyle name="LS Input Table No. 1 2 4 2 2 2 8" xfId="34305"/>
    <cellStyle name="LS Input Table No. 1 2 4 2 2 2 9" xfId="34306"/>
    <cellStyle name="LS Input Table No. 1 2 4 2 2 3" xfId="34307"/>
    <cellStyle name="LS Input Table No. 1 2 4 2 2 4" xfId="34308"/>
    <cellStyle name="LS Input Table No. 1 2 4 2 2 5" xfId="34309"/>
    <cellStyle name="LS Input Table No. 1 2 4 2 2 6" xfId="34310"/>
    <cellStyle name="LS Input Table No. 1 2 4 2 2 7" xfId="34311"/>
    <cellStyle name="LS Input Table No. 1 2 4 2 2 8" xfId="34312"/>
    <cellStyle name="LS Input Table No. 1 2 4 2 2 9" xfId="34313"/>
    <cellStyle name="LS Input Table No. 1 2 4 2 3" xfId="34314"/>
    <cellStyle name="LS Input Table No. 1 2 4 2 3 2" xfId="34315"/>
    <cellStyle name="LS Input Table No. 1 2 4 2 3 3" xfId="34316"/>
    <cellStyle name="LS Input Table No. 1 2 4 2 3 4" xfId="34317"/>
    <cellStyle name="LS Input Table No. 1 2 4 2 3 5" xfId="34318"/>
    <cellStyle name="LS Input Table No. 1 2 4 2 3 6" xfId="34319"/>
    <cellStyle name="LS Input Table No. 1 2 4 2 3 7" xfId="34320"/>
    <cellStyle name="LS Input Table No. 1 2 4 2 3 8" xfId="34321"/>
    <cellStyle name="LS Input Table No. 1 2 4 2 3 9" xfId="34322"/>
    <cellStyle name="LS Input Table No. 1 2 4 2 4" xfId="34323"/>
    <cellStyle name="LS Input Table No. 1 2 4 2 5" xfId="34324"/>
    <cellStyle name="LS Input Table No. 1 2 4 2 6" xfId="34325"/>
    <cellStyle name="LS Input Table No. 1 2 4 2 7" xfId="34326"/>
    <cellStyle name="LS Input Table No. 1 2 4 2 8" xfId="34327"/>
    <cellStyle name="LS Input Table No. 1 2 4 2 9" xfId="34328"/>
    <cellStyle name="LS Input Table No. 1 2 4 3" xfId="34329"/>
    <cellStyle name="LS Input Table No. 1 2 4 3 10" xfId="34330"/>
    <cellStyle name="LS Input Table No. 1 2 4 3 2" xfId="34331"/>
    <cellStyle name="LS Input Table No. 1 2 4 3 2 2" xfId="34332"/>
    <cellStyle name="LS Input Table No. 1 2 4 3 2 3" xfId="34333"/>
    <cellStyle name="LS Input Table No. 1 2 4 3 2 4" xfId="34334"/>
    <cellStyle name="LS Input Table No. 1 2 4 3 2 5" xfId="34335"/>
    <cellStyle name="LS Input Table No. 1 2 4 3 2 6" xfId="34336"/>
    <cellStyle name="LS Input Table No. 1 2 4 3 2 7" xfId="34337"/>
    <cellStyle name="LS Input Table No. 1 2 4 3 2 8" xfId="34338"/>
    <cellStyle name="LS Input Table No. 1 2 4 3 2 9" xfId="34339"/>
    <cellStyle name="LS Input Table No. 1 2 4 3 3" xfId="34340"/>
    <cellStyle name="LS Input Table No. 1 2 4 3 4" xfId="34341"/>
    <cellStyle name="LS Input Table No. 1 2 4 3 5" xfId="34342"/>
    <cellStyle name="LS Input Table No. 1 2 4 3 6" xfId="34343"/>
    <cellStyle name="LS Input Table No. 1 2 4 3 7" xfId="34344"/>
    <cellStyle name="LS Input Table No. 1 2 4 3 8" xfId="34345"/>
    <cellStyle name="LS Input Table No. 1 2 4 3 9" xfId="34346"/>
    <cellStyle name="LS Input Table No. 1 2 4 4" xfId="34347"/>
    <cellStyle name="LS Input Table No. 1 2 4 4 2" xfId="34348"/>
    <cellStyle name="LS Input Table No. 1 2 4 4 3" xfId="34349"/>
    <cellStyle name="LS Input Table No. 1 2 4 4 4" xfId="34350"/>
    <cellStyle name="LS Input Table No. 1 2 4 4 5" xfId="34351"/>
    <cellStyle name="LS Input Table No. 1 2 4 4 6" xfId="34352"/>
    <cellStyle name="LS Input Table No. 1 2 4 4 7" xfId="34353"/>
    <cellStyle name="LS Input Table No. 1 2 4 4 8" xfId="34354"/>
    <cellStyle name="LS Input Table No. 1 2 4 4 9" xfId="34355"/>
    <cellStyle name="LS Input Table No. 1 2 4 5" xfId="34356"/>
    <cellStyle name="LS Input Table No. 1 2 4 6" xfId="34357"/>
    <cellStyle name="LS Input Table No. 1 2 4 7" xfId="34358"/>
    <cellStyle name="LS Input Table No. 1 2 4 8" xfId="34359"/>
    <cellStyle name="LS Input Table No. 1 2 4 9" xfId="34360"/>
    <cellStyle name="LS Input Table No. 1 2 5" xfId="34361"/>
    <cellStyle name="LS Input Table No. 1 2 5 10" xfId="34362"/>
    <cellStyle name="LS Input Table No. 1 2 5 11" xfId="34363"/>
    <cellStyle name="LS Input Table No. 1 2 5 12" xfId="34364"/>
    <cellStyle name="LS Input Table No. 1 2 5 2" xfId="34365"/>
    <cellStyle name="LS Input Table No. 1 2 5 2 10" xfId="34366"/>
    <cellStyle name="LS Input Table No. 1 2 5 2 11" xfId="34367"/>
    <cellStyle name="LS Input Table No. 1 2 5 2 2" xfId="34368"/>
    <cellStyle name="LS Input Table No. 1 2 5 2 2 10" xfId="34369"/>
    <cellStyle name="LS Input Table No. 1 2 5 2 2 2" xfId="34370"/>
    <cellStyle name="LS Input Table No. 1 2 5 2 2 2 2" xfId="34371"/>
    <cellStyle name="LS Input Table No. 1 2 5 2 2 2 3" xfId="34372"/>
    <cellStyle name="LS Input Table No. 1 2 5 2 2 2 4" xfId="34373"/>
    <cellStyle name="LS Input Table No. 1 2 5 2 2 2 5" xfId="34374"/>
    <cellStyle name="LS Input Table No. 1 2 5 2 2 2 6" xfId="34375"/>
    <cellStyle name="LS Input Table No. 1 2 5 2 2 2 7" xfId="34376"/>
    <cellStyle name="LS Input Table No. 1 2 5 2 2 2 8" xfId="34377"/>
    <cellStyle name="LS Input Table No. 1 2 5 2 2 2 9" xfId="34378"/>
    <cellStyle name="LS Input Table No. 1 2 5 2 2 3" xfId="34379"/>
    <cellStyle name="LS Input Table No. 1 2 5 2 2 4" xfId="34380"/>
    <cellStyle name="LS Input Table No. 1 2 5 2 2 5" xfId="34381"/>
    <cellStyle name="LS Input Table No. 1 2 5 2 2 6" xfId="34382"/>
    <cellStyle name="LS Input Table No. 1 2 5 2 2 7" xfId="34383"/>
    <cellStyle name="LS Input Table No. 1 2 5 2 2 8" xfId="34384"/>
    <cellStyle name="LS Input Table No. 1 2 5 2 2 9" xfId="34385"/>
    <cellStyle name="LS Input Table No. 1 2 5 2 3" xfId="34386"/>
    <cellStyle name="LS Input Table No. 1 2 5 2 3 2" xfId="34387"/>
    <cellStyle name="LS Input Table No. 1 2 5 2 3 3" xfId="34388"/>
    <cellStyle name="LS Input Table No. 1 2 5 2 3 4" xfId="34389"/>
    <cellStyle name="LS Input Table No. 1 2 5 2 3 5" xfId="34390"/>
    <cellStyle name="LS Input Table No. 1 2 5 2 3 6" xfId="34391"/>
    <cellStyle name="LS Input Table No. 1 2 5 2 3 7" xfId="34392"/>
    <cellStyle name="LS Input Table No. 1 2 5 2 3 8" xfId="34393"/>
    <cellStyle name="LS Input Table No. 1 2 5 2 3 9" xfId="34394"/>
    <cellStyle name="LS Input Table No. 1 2 5 2 4" xfId="34395"/>
    <cellStyle name="LS Input Table No. 1 2 5 2 5" xfId="34396"/>
    <cellStyle name="LS Input Table No. 1 2 5 2 6" xfId="34397"/>
    <cellStyle name="LS Input Table No. 1 2 5 2 7" xfId="34398"/>
    <cellStyle name="LS Input Table No. 1 2 5 2 8" xfId="34399"/>
    <cellStyle name="LS Input Table No. 1 2 5 2 9" xfId="34400"/>
    <cellStyle name="LS Input Table No. 1 2 5 3" xfId="34401"/>
    <cellStyle name="LS Input Table No. 1 2 5 3 10" xfId="34402"/>
    <cellStyle name="LS Input Table No. 1 2 5 3 2" xfId="34403"/>
    <cellStyle name="LS Input Table No. 1 2 5 3 2 2" xfId="34404"/>
    <cellStyle name="LS Input Table No. 1 2 5 3 2 3" xfId="34405"/>
    <cellStyle name="LS Input Table No. 1 2 5 3 2 4" xfId="34406"/>
    <cellStyle name="LS Input Table No. 1 2 5 3 2 5" xfId="34407"/>
    <cellStyle name="LS Input Table No. 1 2 5 3 2 6" xfId="34408"/>
    <cellStyle name="LS Input Table No. 1 2 5 3 2 7" xfId="34409"/>
    <cellStyle name="LS Input Table No. 1 2 5 3 2 8" xfId="34410"/>
    <cellStyle name="LS Input Table No. 1 2 5 3 2 9" xfId="34411"/>
    <cellStyle name="LS Input Table No. 1 2 5 3 3" xfId="34412"/>
    <cellStyle name="LS Input Table No. 1 2 5 3 4" xfId="34413"/>
    <cellStyle name="LS Input Table No. 1 2 5 3 5" xfId="34414"/>
    <cellStyle name="LS Input Table No. 1 2 5 3 6" xfId="34415"/>
    <cellStyle name="LS Input Table No. 1 2 5 3 7" xfId="34416"/>
    <cellStyle name="LS Input Table No. 1 2 5 3 8" xfId="34417"/>
    <cellStyle name="LS Input Table No. 1 2 5 3 9" xfId="34418"/>
    <cellStyle name="LS Input Table No. 1 2 5 4" xfId="34419"/>
    <cellStyle name="LS Input Table No. 1 2 5 4 2" xfId="34420"/>
    <cellStyle name="LS Input Table No. 1 2 5 4 3" xfId="34421"/>
    <cellStyle name="LS Input Table No. 1 2 5 4 4" xfId="34422"/>
    <cellStyle name="LS Input Table No. 1 2 5 4 5" xfId="34423"/>
    <cellStyle name="LS Input Table No. 1 2 5 4 6" xfId="34424"/>
    <cellStyle name="LS Input Table No. 1 2 5 4 7" xfId="34425"/>
    <cellStyle name="LS Input Table No. 1 2 5 4 8" xfId="34426"/>
    <cellStyle name="LS Input Table No. 1 2 5 4 9" xfId="34427"/>
    <cellStyle name="LS Input Table No. 1 2 5 5" xfId="34428"/>
    <cellStyle name="LS Input Table No. 1 2 5 6" xfId="34429"/>
    <cellStyle name="LS Input Table No. 1 2 5 7" xfId="34430"/>
    <cellStyle name="LS Input Table No. 1 2 5 8" xfId="34431"/>
    <cellStyle name="LS Input Table No. 1 2 5 9" xfId="34432"/>
    <cellStyle name="LS Input Table No. 1 2 6" xfId="34433"/>
    <cellStyle name="LS Input Table No. 1 2 6 10" xfId="34434"/>
    <cellStyle name="LS Input Table No. 1 2 6 11" xfId="34435"/>
    <cellStyle name="LS Input Table No. 1 2 6 2" xfId="34436"/>
    <cellStyle name="LS Input Table No. 1 2 6 2 10" xfId="34437"/>
    <cellStyle name="LS Input Table No. 1 2 6 2 2" xfId="34438"/>
    <cellStyle name="LS Input Table No. 1 2 6 2 2 2" xfId="34439"/>
    <cellStyle name="LS Input Table No. 1 2 6 2 2 3" xfId="34440"/>
    <cellStyle name="LS Input Table No. 1 2 6 2 2 4" xfId="34441"/>
    <cellStyle name="LS Input Table No. 1 2 6 2 2 5" xfId="34442"/>
    <cellStyle name="LS Input Table No. 1 2 6 2 2 6" xfId="34443"/>
    <cellStyle name="LS Input Table No. 1 2 6 2 2 7" xfId="34444"/>
    <cellStyle name="LS Input Table No. 1 2 6 2 2 8" xfId="34445"/>
    <cellStyle name="LS Input Table No. 1 2 6 2 2 9" xfId="34446"/>
    <cellStyle name="LS Input Table No. 1 2 6 2 3" xfId="34447"/>
    <cellStyle name="LS Input Table No. 1 2 6 2 4" xfId="34448"/>
    <cellStyle name="LS Input Table No. 1 2 6 2 5" xfId="34449"/>
    <cellStyle name="LS Input Table No. 1 2 6 2 6" xfId="34450"/>
    <cellStyle name="LS Input Table No. 1 2 6 2 7" xfId="34451"/>
    <cellStyle name="LS Input Table No. 1 2 6 2 8" xfId="34452"/>
    <cellStyle name="LS Input Table No. 1 2 6 2 9" xfId="34453"/>
    <cellStyle name="LS Input Table No. 1 2 6 3" xfId="34454"/>
    <cellStyle name="LS Input Table No. 1 2 6 3 2" xfId="34455"/>
    <cellStyle name="LS Input Table No. 1 2 6 3 3" xfId="34456"/>
    <cellStyle name="LS Input Table No. 1 2 6 3 4" xfId="34457"/>
    <cellStyle name="LS Input Table No. 1 2 6 3 5" xfId="34458"/>
    <cellStyle name="LS Input Table No. 1 2 6 3 6" xfId="34459"/>
    <cellStyle name="LS Input Table No. 1 2 6 3 7" xfId="34460"/>
    <cellStyle name="LS Input Table No. 1 2 6 3 8" xfId="34461"/>
    <cellStyle name="LS Input Table No. 1 2 6 3 9" xfId="34462"/>
    <cellStyle name="LS Input Table No. 1 2 6 4" xfId="34463"/>
    <cellStyle name="LS Input Table No. 1 2 6 5" xfId="34464"/>
    <cellStyle name="LS Input Table No. 1 2 6 6" xfId="34465"/>
    <cellStyle name="LS Input Table No. 1 2 6 7" xfId="34466"/>
    <cellStyle name="LS Input Table No. 1 2 6 8" xfId="34467"/>
    <cellStyle name="LS Input Table No. 1 2 6 9" xfId="34468"/>
    <cellStyle name="LS Input Table No. 1 2 7" xfId="34469"/>
    <cellStyle name="LS Input Table No. 1 2 7 10" xfId="34470"/>
    <cellStyle name="LS Input Table No. 1 2 7 11" xfId="34471"/>
    <cellStyle name="LS Input Table No. 1 2 7 2" xfId="34472"/>
    <cellStyle name="LS Input Table No. 1 2 7 2 10" xfId="34473"/>
    <cellStyle name="LS Input Table No. 1 2 7 2 2" xfId="34474"/>
    <cellStyle name="LS Input Table No. 1 2 7 2 2 2" xfId="34475"/>
    <cellStyle name="LS Input Table No. 1 2 7 2 2 3" xfId="34476"/>
    <cellStyle name="LS Input Table No. 1 2 7 2 2 4" xfId="34477"/>
    <cellStyle name="LS Input Table No. 1 2 7 2 2 5" xfId="34478"/>
    <cellStyle name="LS Input Table No. 1 2 7 2 2 6" xfId="34479"/>
    <cellStyle name="LS Input Table No. 1 2 7 2 2 7" xfId="34480"/>
    <cellStyle name="LS Input Table No. 1 2 7 2 2 8" xfId="34481"/>
    <cellStyle name="LS Input Table No. 1 2 7 2 2 9" xfId="34482"/>
    <cellStyle name="LS Input Table No. 1 2 7 2 3" xfId="34483"/>
    <cellStyle name="LS Input Table No. 1 2 7 2 4" xfId="34484"/>
    <cellStyle name="LS Input Table No. 1 2 7 2 5" xfId="34485"/>
    <cellStyle name="LS Input Table No. 1 2 7 2 6" xfId="34486"/>
    <cellStyle name="LS Input Table No. 1 2 7 2 7" xfId="34487"/>
    <cellStyle name="LS Input Table No. 1 2 7 2 8" xfId="34488"/>
    <cellStyle name="LS Input Table No. 1 2 7 2 9" xfId="34489"/>
    <cellStyle name="LS Input Table No. 1 2 7 3" xfId="34490"/>
    <cellStyle name="LS Input Table No. 1 2 7 3 2" xfId="34491"/>
    <cellStyle name="LS Input Table No. 1 2 7 3 3" xfId="34492"/>
    <cellStyle name="LS Input Table No. 1 2 7 3 4" xfId="34493"/>
    <cellStyle name="LS Input Table No. 1 2 7 3 5" xfId="34494"/>
    <cellStyle name="LS Input Table No. 1 2 7 3 6" xfId="34495"/>
    <cellStyle name="LS Input Table No. 1 2 7 3 7" xfId="34496"/>
    <cellStyle name="LS Input Table No. 1 2 7 3 8" xfId="34497"/>
    <cellStyle name="LS Input Table No. 1 2 7 3 9" xfId="34498"/>
    <cellStyle name="LS Input Table No. 1 2 7 4" xfId="34499"/>
    <cellStyle name="LS Input Table No. 1 2 7 5" xfId="34500"/>
    <cellStyle name="LS Input Table No. 1 2 7 6" xfId="34501"/>
    <cellStyle name="LS Input Table No. 1 2 7 7" xfId="34502"/>
    <cellStyle name="LS Input Table No. 1 2 7 8" xfId="34503"/>
    <cellStyle name="LS Input Table No. 1 2 7 9" xfId="34504"/>
    <cellStyle name="LS Input Table No. 1 2 8" xfId="34505"/>
    <cellStyle name="LS Input Table No. 1 2 8 10" xfId="34506"/>
    <cellStyle name="LS Input Table No. 1 2 8 2" xfId="34507"/>
    <cellStyle name="LS Input Table No. 1 2 8 2 2" xfId="34508"/>
    <cellStyle name="LS Input Table No. 1 2 8 2 3" xfId="34509"/>
    <cellStyle name="LS Input Table No. 1 2 8 2 4" xfId="34510"/>
    <cellStyle name="LS Input Table No. 1 2 8 2 5" xfId="34511"/>
    <cellStyle name="LS Input Table No. 1 2 8 2 6" xfId="34512"/>
    <cellStyle name="LS Input Table No. 1 2 8 2 7" xfId="34513"/>
    <cellStyle name="LS Input Table No. 1 2 8 2 8" xfId="34514"/>
    <cellStyle name="LS Input Table No. 1 2 8 2 9" xfId="34515"/>
    <cellStyle name="LS Input Table No. 1 2 8 3" xfId="34516"/>
    <cellStyle name="LS Input Table No. 1 2 8 4" xfId="34517"/>
    <cellStyle name="LS Input Table No. 1 2 8 5" xfId="34518"/>
    <cellStyle name="LS Input Table No. 1 2 8 6" xfId="34519"/>
    <cellStyle name="LS Input Table No. 1 2 8 7" xfId="34520"/>
    <cellStyle name="LS Input Table No. 1 2 8 8" xfId="34521"/>
    <cellStyle name="LS Input Table No. 1 2 8 9" xfId="34522"/>
    <cellStyle name="LS Input Table No. 1 2 9" xfId="34523"/>
    <cellStyle name="LS Input Table No. 1 2 9 2" xfId="34524"/>
    <cellStyle name="LS Input Table No. 1 2 9 3" xfId="34525"/>
    <cellStyle name="LS Input Table No. 1 2 9 4" xfId="34526"/>
    <cellStyle name="LS Input Table No. 1 2 9 5" xfId="34527"/>
    <cellStyle name="LS Input Table No. 1 2 9 6" xfId="34528"/>
    <cellStyle name="LS Input Table No. 1 2 9 7" xfId="34529"/>
    <cellStyle name="LS Input Table No. 1 2 9 8" xfId="34530"/>
    <cellStyle name="LS Input Table No. 1 2 9 9" xfId="34531"/>
    <cellStyle name="LS Input Table No. 1 3" xfId="34532"/>
    <cellStyle name="LS Input Table No. 1 3 10" xfId="34533"/>
    <cellStyle name="LS Input Table No. 1 3 11" xfId="34534"/>
    <cellStyle name="LS Input Table No. 1 3 12" xfId="34535"/>
    <cellStyle name="LS Input Table No. 1 3 13" xfId="34536"/>
    <cellStyle name="LS Input Table No. 1 3 14" xfId="34537"/>
    <cellStyle name="LS Input Table No. 1 3 15" xfId="34538"/>
    <cellStyle name="LS Input Table No. 1 3 16" xfId="34539"/>
    <cellStyle name="LS Input Table No. 1 3 2" xfId="34540"/>
    <cellStyle name="LS Input Table No. 1 3 2 10" xfId="34541"/>
    <cellStyle name="LS Input Table No. 1 3 2 11" xfId="34542"/>
    <cellStyle name="LS Input Table No. 1 3 2 12" xfId="34543"/>
    <cellStyle name="LS Input Table No. 1 3 2 13" xfId="34544"/>
    <cellStyle name="LS Input Table No. 1 3 2 2" xfId="34545"/>
    <cellStyle name="LS Input Table No. 1 3 2 2 10" xfId="34546"/>
    <cellStyle name="LS Input Table No. 1 3 2 2 11" xfId="34547"/>
    <cellStyle name="LS Input Table No. 1 3 2 2 12" xfId="34548"/>
    <cellStyle name="LS Input Table No. 1 3 2 2 2" xfId="34549"/>
    <cellStyle name="LS Input Table No. 1 3 2 2 2 10" xfId="34550"/>
    <cellStyle name="LS Input Table No. 1 3 2 2 2 11" xfId="34551"/>
    <cellStyle name="LS Input Table No. 1 3 2 2 2 2" xfId="34552"/>
    <cellStyle name="LS Input Table No. 1 3 2 2 2 2 10" xfId="34553"/>
    <cellStyle name="LS Input Table No. 1 3 2 2 2 2 2" xfId="34554"/>
    <cellStyle name="LS Input Table No. 1 3 2 2 2 2 2 2" xfId="34555"/>
    <cellStyle name="LS Input Table No. 1 3 2 2 2 2 2 3" xfId="34556"/>
    <cellStyle name="LS Input Table No. 1 3 2 2 2 2 2 4" xfId="34557"/>
    <cellStyle name="LS Input Table No. 1 3 2 2 2 2 2 5" xfId="34558"/>
    <cellStyle name="LS Input Table No. 1 3 2 2 2 2 2 6" xfId="34559"/>
    <cellStyle name="LS Input Table No. 1 3 2 2 2 2 2 7" xfId="34560"/>
    <cellStyle name="LS Input Table No. 1 3 2 2 2 2 2 8" xfId="34561"/>
    <cellStyle name="LS Input Table No. 1 3 2 2 2 2 2 9" xfId="34562"/>
    <cellStyle name="LS Input Table No. 1 3 2 2 2 2 3" xfId="34563"/>
    <cellStyle name="LS Input Table No. 1 3 2 2 2 2 4" xfId="34564"/>
    <cellStyle name="LS Input Table No. 1 3 2 2 2 2 5" xfId="34565"/>
    <cellStyle name="LS Input Table No. 1 3 2 2 2 2 6" xfId="34566"/>
    <cellStyle name="LS Input Table No. 1 3 2 2 2 2 7" xfId="34567"/>
    <cellStyle name="LS Input Table No. 1 3 2 2 2 2 8" xfId="34568"/>
    <cellStyle name="LS Input Table No. 1 3 2 2 2 2 9" xfId="34569"/>
    <cellStyle name="LS Input Table No. 1 3 2 2 2 3" xfId="34570"/>
    <cellStyle name="LS Input Table No. 1 3 2 2 2 3 2" xfId="34571"/>
    <cellStyle name="LS Input Table No. 1 3 2 2 2 3 3" xfId="34572"/>
    <cellStyle name="LS Input Table No. 1 3 2 2 2 3 4" xfId="34573"/>
    <cellStyle name="LS Input Table No. 1 3 2 2 2 3 5" xfId="34574"/>
    <cellStyle name="LS Input Table No. 1 3 2 2 2 3 6" xfId="34575"/>
    <cellStyle name="LS Input Table No. 1 3 2 2 2 3 7" xfId="34576"/>
    <cellStyle name="LS Input Table No. 1 3 2 2 2 3 8" xfId="34577"/>
    <cellStyle name="LS Input Table No. 1 3 2 2 2 3 9" xfId="34578"/>
    <cellStyle name="LS Input Table No. 1 3 2 2 2 4" xfId="34579"/>
    <cellStyle name="LS Input Table No. 1 3 2 2 2 5" xfId="34580"/>
    <cellStyle name="LS Input Table No. 1 3 2 2 2 6" xfId="34581"/>
    <cellStyle name="LS Input Table No. 1 3 2 2 2 7" xfId="34582"/>
    <cellStyle name="LS Input Table No. 1 3 2 2 2 8" xfId="34583"/>
    <cellStyle name="LS Input Table No. 1 3 2 2 2 9" xfId="34584"/>
    <cellStyle name="LS Input Table No. 1 3 2 2 3" xfId="34585"/>
    <cellStyle name="LS Input Table No. 1 3 2 2 3 10" xfId="34586"/>
    <cellStyle name="LS Input Table No. 1 3 2 2 3 2" xfId="34587"/>
    <cellStyle name="LS Input Table No. 1 3 2 2 3 2 2" xfId="34588"/>
    <cellStyle name="LS Input Table No. 1 3 2 2 3 2 3" xfId="34589"/>
    <cellStyle name="LS Input Table No. 1 3 2 2 3 2 4" xfId="34590"/>
    <cellStyle name="LS Input Table No. 1 3 2 2 3 2 5" xfId="34591"/>
    <cellStyle name="LS Input Table No. 1 3 2 2 3 2 6" xfId="34592"/>
    <cellStyle name="LS Input Table No. 1 3 2 2 3 2 7" xfId="34593"/>
    <cellStyle name="LS Input Table No. 1 3 2 2 3 2 8" xfId="34594"/>
    <cellStyle name="LS Input Table No. 1 3 2 2 3 2 9" xfId="34595"/>
    <cellStyle name="LS Input Table No. 1 3 2 2 3 3" xfId="34596"/>
    <cellStyle name="LS Input Table No. 1 3 2 2 3 4" xfId="34597"/>
    <cellStyle name="LS Input Table No. 1 3 2 2 3 5" xfId="34598"/>
    <cellStyle name="LS Input Table No. 1 3 2 2 3 6" xfId="34599"/>
    <cellStyle name="LS Input Table No. 1 3 2 2 3 7" xfId="34600"/>
    <cellStyle name="LS Input Table No. 1 3 2 2 3 8" xfId="34601"/>
    <cellStyle name="LS Input Table No. 1 3 2 2 3 9" xfId="34602"/>
    <cellStyle name="LS Input Table No. 1 3 2 2 4" xfId="34603"/>
    <cellStyle name="LS Input Table No. 1 3 2 2 4 2" xfId="34604"/>
    <cellStyle name="LS Input Table No. 1 3 2 2 4 3" xfId="34605"/>
    <cellStyle name="LS Input Table No. 1 3 2 2 4 4" xfId="34606"/>
    <cellStyle name="LS Input Table No. 1 3 2 2 4 5" xfId="34607"/>
    <cellStyle name="LS Input Table No. 1 3 2 2 4 6" xfId="34608"/>
    <cellStyle name="LS Input Table No. 1 3 2 2 4 7" xfId="34609"/>
    <cellStyle name="LS Input Table No. 1 3 2 2 4 8" xfId="34610"/>
    <cellStyle name="LS Input Table No. 1 3 2 2 4 9" xfId="34611"/>
    <cellStyle name="LS Input Table No. 1 3 2 2 5" xfId="34612"/>
    <cellStyle name="LS Input Table No. 1 3 2 2 6" xfId="34613"/>
    <cellStyle name="LS Input Table No. 1 3 2 2 7" xfId="34614"/>
    <cellStyle name="LS Input Table No. 1 3 2 2 8" xfId="34615"/>
    <cellStyle name="LS Input Table No. 1 3 2 2 9" xfId="34616"/>
    <cellStyle name="LS Input Table No. 1 3 2 3" xfId="34617"/>
    <cellStyle name="LS Input Table No. 1 3 2 3 10" xfId="34618"/>
    <cellStyle name="LS Input Table No. 1 3 2 3 11" xfId="34619"/>
    <cellStyle name="LS Input Table No. 1 3 2 3 2" xfId="34620"/>
    <cellStyle name="LS Input Table No. 1 3 2 3 2 10" xfId="34621"/>
    <cellStyle name="LS Input Table No. 1 3 2 3 2 2" xfId="34622"/>
    <cellStyle name="LS Input Table No. 1 3 2 3 2 2 2" xfId="34623"/>
    <cellStyle name="LS Input Table No. 1 3 2 3 2 2 3" xfId="34624"/>
    <cellStyle name="LS Input Table No. 1 3 2 3 2 2 4" xfId="34625"/>
    <cellStyle name="LS Input Table No. 1 3 2 3 2 2 5" xfId="34626"/>
    <cellStyle name="LS Input Table No. 1 3 2 3 2 2 6" xfId="34627"/>
    <cellStyle name="LS Input Table No. 1 3 2 3 2 2 7" xfId="34628"/>
    <cellStyle name="LS Input Table No. 1 3 2 3 2 2 8" xfId="34629"/>
    <cellStyle name="LS Input Table No. 1 3 2 3 2 2 9" xfId="34630"/>
    <cellStyle name="LS Input Table No. 1 3 2 3 2 3" xfId="34631"/>
    <cellStyle name="LS Input Table No. 1 3 2 3 2 4" xfId="34632"/>
    <cellStyle name="LS Input Table No. 1 3 2 3 2 5" xfId="34633"/>
    <cellStyle name="LS Input Table No. 1 3 2 3 2 6" xfId="34634"/>
    <cellStyle name="LS Input Table No. 1 3 2 3 2 7" xfId="34635"/>
    <cellStyle name="LS Input Table No. 1 3 2 3 2 8" xfId="34636"/>
    <cellStyle name="LS Input Table No. 1 3 2 3 2 9" xfId="34637"/>
    <cellStyle name="LS Input Table No. 1 3 2 3 3" xfId="34638"/>
    <cellStyle name="LS Input Table No. 1 3 2 3 3 2" xfId="34639"/>
    <cellStyle name="LS Input Table No. 1 3 2 3 3 3" xfId="34640"/>
    <cellStyle name="LS Input Table No. 1 3 2 3 3 4" xfId="34641"/>
    <cellStyle name="LS Input Table No. 1 3 2 3 3 5" xfId="34642"/>
    <cellStyle name="LS Input Table No. 1 3 2 3 3 6" xfId="34643"/>
    <cellStyle name="LS Input Table No. 1 3 2 3 3 7" xfId="34644"/>
    <cellStyle name="LS Input Table No. 1 3 2 3 3 8" xfId="34645"/>
    <cellStyle name="LS Input Table No. 1 3 2 3 3 9" xfId="34646"/>
    <cellStyle name="LS Input Table No. 1 3 2 3 4" xfId="34647"/>
    <cellStyle name="LS Input Table No. 1 3 2 3 5" xfId="34648"/>
    <cellStyle name="LS Input Table No. 1 3 2 3 6" xfId="34649"/>
    <cellStyle name="LS Input Table No. 1 3 2 3 7" xfId="34650"/>
    <cellStyle name="LS Input Table No. 1 3 2 3 8" xfId="34651"/>
    <cellStyle name="LS Input Table No. 1 3 2 3 9" xfId="34652"/>
    <cellStyle name="LS Input Table No. 1 3 2 4" xfId="34653"/>
    <cellStyle name="LS Input Table No. 1 3 2 4 10" xfId="34654"/>
    <cellStyle name="LS Input Table No. 1 3 2 4 2" xfId="34655"/>
    <cellStyle name="LS Input Table No. 1 3 2 4 2 2" xfId="34656"/>
    <cellStyle name="LS Input Table No. 1 3 2 4 2 3" xfId="34657"/>
    <cellStyle name="LS Input Table No. 1 3 2 4 2 4" xfId="34658"/>
    <cellStyle name="LS Input Table No. 1 3 2 4 2 5" xfId="34659"/>
    <cellStyle name="LS Input Table No. 1 3 2 4 2 6" xfId="34660"/>
    <cellStyle name="LS Input Table No. 1 3 2 4 2 7" xfId="34661"/>
    <cellStyle name="LS Input Table No. 1 3 2 4 2 8" xfId="34662"/>
    <cellStyle name="LS Input Table No. 1 3 2 4 2 9" xfId="34663"/>
    <cellStyle name="LS Input Table No. 1 3 2 4 3" xfId="34664"/>
    <cellStyle name="LS Input Table No. 1 3 2 4 4" xfId="34665"/>
    <cellStyle name="LS Input Table No. 1 3 2 4 5" xfId="34666"/>
    <cellStyle name="LS Input Table No. 1 3 2 4 6" xfId="34667"/>
    <cellStyle name="LS Input Table No. 1 3 2 4 7" xfId="34668"/>
    <cellStyle name="LS Input Table No. 1 3 2 4 8" xfId="34669"/>
    <cellStyle name="LS Input Table No. 1 3 2 4 9" xfId="34670"/>
    <cellStyle name="LS Input Table No. 1 3 2 5" xfId="34671"/>
    <cellStyle name="LS Input Table No. 1 3 2 5 2" xfId="34672"/>
    <cellStyle name="LS Input Table No. 1 3 2 5 3" xfId="34673"/>
    <cellStyle name="LS Input Table No. 1 3 2 5 4" xfId="34674"/>
    <cellStyle name="LS Input Table No. 1 3 2 5 5" xfId="34675"/>
    <cellStyle name="LS Input Table No. 1 3 2 5 6" xfId="34676"/>
    <cellStyle name="LS Input Table No. 1 3 2 5 7" xfId="34677"/>
    <cellStyle name="LS Input Table No. 1 3 2 5 8" xfId="34678"/>
    <cellStyle name="LS Input Table No. 1 3 2 5 9" xfId="34679"/>
    <cellStyle name="LS Input Table No. 1 3 2 6" xfId="34680"/>
    <cellStyle name="LS Input Table No. 1 3 2 7" xfId="34681"/>
    <cellStyle name="LS Input Table No. 1 3 2 8" xfId="34682"/>
    <cellStyle name="LS Input Table No. 1 3 2 9" xfId="34683"/>
    <cellStyle name="LS Input Table No. 1 3 3" xfId="34684"/>
    <cellStyle name="LS Input Table No. 1 3 3 10" xfId="34685"/>
    <cellStyle name="LS Input Table No. 1 3 3 11" xfId="34686"/>
    <cellStyle name="LS Input Table No. 1 3 3 12" xfId="34687"/>
    <cellStyle name="LS Input Table No. 1 3 3 2" xfId="34688"/>
    <cellStyle name="LS Input Table No. 1 3 3 2 10" xfId="34689"/>
    <cellStyle name="LS Input Table No. 1 3 3 2 11" xfId="34690"/>
    <cellStyle name="LS Input Table No. 1 3 3 2 2" xfId="34691"/>
    <cellStyle name="LS Input Table No. 1 3 3 2 2 10" xfId="34692"/>
    <cellStyle name="LS Input Table No. 1 3 3 2 2 2" xfId="34693"/>
    <cellStyle name="LS Input Table No. 1 3 3 2 2 2 2" xfId="34694"/>
    <cellStyle name="LS Input Table No. 1 3 3 2 2 2 3" xfId="34695"/>
    <cellStyle name="LS Input Table No. 1 3 3 2 2 2 4" xfId="34696"/>
    <cellStyle name="LS Input Table No. 1 3 3 2 2 2 5" xfId="34697"/>
    <cellStyle name="LS Input Table No. 1 3 3 2 2 2 6" xfId="34698"/>
    <cellStyle name="LS Input Table No. 1 3 3 2 2 2 7" xfId="34699"/>
    <cellStyle name="LS Input Table No. 1 3 3 2 2 2 8" xfId="34700"/>
    <cellStyle name="LS Input Table No. 1 3 3 2 2 2 9" xfId="34701"/>
    <cellStyle name="LS Input Table No. 1 3 3 2 2 3" xfId="34702"/>
    <cellStyle name="LS Input Table No. 1 3 3 2 2 4" xfId="34703"/>
    <cellStyle name="LS Input Table No. 1 3 3 2 2 5" xfId="34704"/>
    <cellStyle name="LS Input Table No. 1 3 3 2 2 6" xfId="34705"/>
    <cellStyle name="LS Input Table No. 1 3 3 2 2 7" xfId="34706"/>
    <cellStyle name="LS Input Table No. 1 3 3 2 2 8" xfId="34707"/>
    <cellStyle name="LS Input Table No. 1 3 3 2 2 9" xfId="34708"/>
    <cellStyle name="LS Input Table No. 1 3 3 2 3" xfId="34709"/>
    <cellStyle name="LS Input Table No. 1 3 3 2 3 2" xfId="34710"/>
    <cellStyle name="LS Input Table No. 1 3 3 2 3 3" xfId="34711"/>
    <cellStyle name="LS Input Table No. 1 3 3 2 3 4" xfId="34712"/>
    <cellStyle name="LS Input Table No. 1 3 3 2 3 5" xfId="34713"/>
    <cellStyle name="LS Input Table No. 1 3 3 2 3 6" xfId="34714"/>
    <cellStyle name="LS Input Table No. 1 3 3 2 3 7" xfId="34715"/>
    <cellStyle name="LS Input Table No. 1 3 3 2 3 8" xfId="34716"/>
    <cellStyle name="LS Input Table No. 1 3 3 2 3 9" xfId="34717"/>
    <cellStyle name="LS Input Table No. 1 3 3 2 4" xfId="34718"/>
    <cellStyle name="LS Input Table No. 1 3 3 2 5" xfId="34719"/>
    <cellStyle name="LS Input Table No. 1 3 3 2 6" xfId="34720"/>
    <cellStyle name="LS Input Table No. 1 3 3 2 7" xfId="34721"/>
    <cellStyle name="LS Input Table No. 1 3 3 2 8" xfId="34722"/>
    <cellStyle name="LS Input Table No. 1 3 3 2 9" xfId="34723"/>
    <cellStyle name="LS Input Table No. 1 3 3 3" xfId="34724"/>
    <cellStyle name="LS Input Table No. 1 3 3 3 10" xfId="34725"/>
    <cellStyle name="LS Input Table No. 1 3 3 3 2" xfId="34726"/>
    <cellStyle name="LS Input Table No. 1 3 3 3 2 2" xfId="34727"/>
    <cellStyle name="LS Input Table No. 1 3 3 3 2 3" xfId="34728"/>
    <cellStyle name="LS Input Table No. 1 3 3 3 2 4" xfId="34729"/>
    <cellStyle name="LS Input Table No. 1 3 3 3 2 5" xfId="34730"/>
    <cellStyle name="LS Input Table No. 1 3 3 3 2 6" xfId="34731"/>
    <cellStyle name="LS Input Table No. 1 3 3 3 2 7" xfId="34732"/>
    <cellStyle name="LS Input Table No. 1 3 3 3 2 8" xfId="34733"/>
    <cellStyle name="LS Input Table No. 1 3 3 3 2 9" xfId="34734"/>
    <cellStyle name="LS Input Table No. 1 3 3 3 3" xfId="34735"/>
    <cellStyle name="LS Input Table No. 1 3 3 3 4" xfId="34736"/>
    <cellStyle name="LS Input Table No. 1 3 3 3 5" xfId="34737"/>
    <cellStyle name="LS Input Table No. 1 3 3 3 6" xfId="34738"/>
    <cellStyle name="LS Input Table No. 1 3 3 3 7" xfId="34739"/>
    <cellStyle name="LS Input Table No. 1 3 3 3 8" xfId="34740"/>
    <cellStyle name="LS Input Table No. 1 3 3 3 9" xfId="34741"/>
    <cellStyle name="LS Input Table No. 1 3 3 4" xfId="34742"/>
    <cellStyle name="LS Input Table No. 1 3 3 4 2" xfId="34743"/>
    <cellStyle name="LS Input Table No. 1 3 3 4 3" xfId="34744"/>
    <cellStyle name="LS Input Table No. 1 3 3 4 4" xfId="34745"/>
    <cellStyle name="LS Input Table No. 1 3 3 4 5" xfId="34746"/>
    <cellStyle name="LS Input Table No. 1 3 3 4 6" xfId="34747"/>
    <cellStyle name="LS Input Table No. 1 3 3 4 7" xfId="34748"/>
    <cellStyle name="LS Input Table No. 1 3 3 4 8" xfId="34749"/>
    <cellStyle name="LS Input Table No. 1 3 3 4 9" xfId="34750"/>
    <cellStyle name="LS Input Table No. 1 3 3 5" xfId="34751"/>
    <cellStyle name="LS Input Table No. 1 3 3 6" xfId="34752"/>
    <cellStyle name="LS Input Table No. 1 3 3 7" xfId="34753"/>
    <cellStyle name="LS Input Table No. 1 3 3 8" xfId="34754"/>
    <cellStyle name="LS Input Table No. 1 3 3 9" xfId="34755"/>
    <cellStyle name="LS Input Table No. 1 3 4" xfId="34756"/>
    <cellStyle name="LS Input Table No. 1 3 4 10" xfId="34757"/>
    <cellStyle name="LS Input Table No. 1 3 4 11" xfId="34758"/>
    <cellStyle name="LS Input Table No. 1 3 4 12" xfId="34759"/>
    <cellStyle name="LS Input Table No. 1 3 4 2" xfId="34760"/>
    <cellStyle name="LS Input Table No. 1 3 4 2 10" xfId="34761"/>
    <cellStyle name="LS Input Table No. 1 3 4 2 11" xfId="34762"/>
    <cellStyle name="LS Input Table No. 1 3 4 2 2" xfId="34763"/>
    <cellStyle name="LS Input Table No. 1 3 4 2 2 10" xfId="34764"/>
    <cellStyle name="LS Input Table No. 1 3 4 2 2 2" xfId="34765"/>
    <cellStyle name="LS Input Table No. 1 3 4 2 2 2 2" xfId="34766"/>
    <cellStyle name="LS Input Table No. 1 3 4 2 2 2 3" xfId="34767"/>
    <cellStyle name="LS Input Table No. 1 3 4 2 2 2 4" xfId="34768"/>
    <cellStyle name="LS Input Table No. 1 3 4 2 2 2 5" xfId="34769"/>
    <cellStyle name="LS Input Table No. 1 3 4 2 2 2 6" xfId="34770"/>
    <cellStyle name="LS Input Table No. 1 3 4 2 2 2 7" xfId="34771"/>
    <cellStyle name="LS Input Table No. 1 3 4 2 2 2 8" xfId="34772"/>
    <cellStyle name="LS Input Table No. 1 3 4 2 2 2 9" xfId="34773"/>
    <cellStyle name="LS Input Table No. 1 3 4 2 2 3" xfId="34774"/>
    <cellStyle name="LS Input Table No. 1 3 4 2 2 4" xfId="34775"/>
    <cellStyle name="LS Input Table No. 1 3 4 2 2 5" xfId="34776"/>
    <cellStyle name="LS Input Table No. 1 3 4 2 2 6" xfId="34777"/>
    <cellStyle name="LS Input Table No. 1 3 4 2 2 7" xfId="34778"/>
    <cellStyle name="LS Input Table No. 1 3 4 2 2 8" xfId="34779"/>
    <cellStyle name="LS Input Table No. 1 3 4 2 2 9" xfId="34780"/>
    <cellStyle name="LS Input Table No. 1 3 4 2 3" xfId="34781"/>
    <cellStyle name="LS Input Table No. 1 3 4 2 3 2" xfId="34782"/>
    <cellStyle name="LS Input Table No. 1 3 4 2 3 3" xfId="34783"/>
    <cellStyle name="LS Input Table No. 1 3 4 2 3 4" xfId="34784"/>
    <cellStyle name="LS Input Table No. 1 3 4 2 3 5" xfId="34785"/>
    <cellStyle name="LS Input Table No. 1 3 4 2 3 6" xfId="34786"/>
    <cellStyle name="LS Input Table No. 1 3 4 2 3 7" xfId="34787"/>
    <cellStyle name="LS Input Table No. 1 3 4 2 3 8" xfId="34788"/>
    <cellStyle name="LS Input Table No. 1 3 4 2 3 9" xfId="34789"/>
    <cellStyle name="LS Input Table No. 1 3 4 2 4" xfId="34790"/>
    <cellStyle name="LS Input Table No. 1 3 4 2 5" xfId="34791"/>
    <cellStyle name="LS Input Table No. 1 3 4 2 6" xfId="34792"/>
    <cellStyle name="LS Input Table No. 1 3 4 2 7" xfId="34793"/>
    <cellStyle name="LS Input Table No. 1 3 4 2 8" xfId="34794"/>
    <cellStyle name="LS Input Table No. 1 3 4 2 9" xfId="34795"/>
    <cellStyle name="LS Input Table No. 1 3 4 3" xfId="34796"/>
    <cellStyle name="LS Input Table No. 1 3 4 3 10" xfId="34797"/>
    <cellStyle name="LS Input Table No. 1 3 4 3 2" xfId="34798"/>
    <cellStyle name="LS Input Table No. 1 3 4 3 2 2" xfId="34799"/>
    <cellStyle name="LS Input Table No. 1 3 4 3 2 3" xfId="34800"/>
    <cellStyle name="LS Input Table No. 1 3 4 3 2 4" xfId="34801"/>
    <cellStyle name="LS Input Table No. 1 3 4 3 2 5" xfId="34802"/>
    <cellStyle name="LS Input Table No. 1 3 4 3 2 6" xfId="34803"/>
    <cellStyle name="LS Input Table No. 1 3 4 3 2 7" xfId="34804"/>
    <cellStyle name="LS Input Table No. 1 3 4 3 2 8" xfId="34805"/>
    <cellStyle name="LS Input Table No. 1 3 4 3 2 9" xfId="34806"/>
    <cellStyle name="LS Input Table No. 1 3 4 3 3" xfId="34807"/>
    <cellStyle name="LS Input Table No. 1 3 4 3 4" xfId="34808"/>
    <cellStyle name="LS Input Table No. 1 3 4 3 5" xfId="34809"/>
    <cellStyle name="LS Input Table No. 1 3 4 3 6" xfId="34810"/>
    <cellStyle name="LS Input Table No. 1 3 4 3 7" xfId="34811"/>
    <cellStyle name="LS Input Table No. 1 3 4 3 8" xfId="34812"/>
    <cellStyle name="LS Input Table No. 1 3 4 3 9" xfId="34813"/>
    <cellStyle name="LS Input Table No. 1 3 4 4" xfId="34814"/>
    <cellStyle name="LS Input Table No. 1 3 4 4 2" xfId="34815"/>
    <cellStyle name="LS Input Table No. 1 3 4 4 3" xfId="34816"/>
    <cellStyle name="LS Input Table No. 1 3 4 4 4" xfId="34817"/>
    <cellStyle name="LS Input Table No. 1 3 4 4 5" xfId="34818"/>
    <cellStyle name="LS Input Table No. 1 3 4 4 6" xfId="34819"/>
    <cellStyle name="LS Input Table No. 1 3 4 4 7" xfId="34820"/>
    <cellStyle name="LS Input Table No. 1 3 4 4 8" xfId="34821"/>
    <cellStyle name="LS Input Table No. 1 3 4 4 9" xfId="34822"/>
    <cellStyle name="LS Input Table No. 1 3 4 5" xfId="34823"/>
    <cellStyle name="LS Input Table No. 1 3 4 6" xfId="34824"/>
    <cellStyle name="LS Input Table No. 1 3 4 7" xfId="34825"/>
    <cellStyle name="LS Input Table No. 1 3 4 8" xfId="34826"/>
    <cellStyle name="LS Input Table No. 1 3 4 9" xfId="34827"/>
    <cellStyle name="LS Input Table No. 1 3 5" xfId="34828"/>
    <cellStyle name="LS Input Table No. 1 3 5 10" xfId="34829"/>
    <cellStyle name="LS Input Table No. 1 3 5 11" xfId="34830"/>
    <cellStyle name="LS Input Table No. 1 3 5 2" xfId="34831"/>
    <cellStyle name="LS Input Table No. 1 3 5 2 10" xfId="34832"/>
    <cellStyle name="LS Input Table No. 1 3 5 2 2" xfId="34833"/>
    <cellStyle name="LS Input Table No. 1 3 5 2 2 2" xfId="34834"/>
    <cellStyle name="LS Input Table No. 1 3 5 2 2 3" xfId="34835"/>
    <cellStyle name="LS Input Table No. 1 3 5 2 2 4" xfId="34836"/>
    <cellStyle name="LS Input Table No. 1 3 5 2 2 5" xfId="34837"/>
    <cellStyle name="LS Input Table No. 1 3 5 2 2 6" xfId="34838"/>
    <cellStyle name="LS Input Table No. 1 3 5 2 2 7" xfId="34839"/>
    <cellStyle name="LS Input Table No. 1 3 5 2 2 8" xfId="34840"/>
    <cellStyle name="LS Input Table No. 1 3 5 2 2 9" xfId="34841"/>
    <cellStyle name="LS Input Table No. 1 3 5 2 3" xfId="34842"/>
    <cellStyle name="LS Input Table No. 1 3 5 2 4" xfId="34843"/>
    <cellStyle name="LS Input Table No. 1 3 5 2 5" xfId="34844"/>
    <cellStyle name="LS Input Table No. 1 3 5 2 6" xfId="34845"/>
    <cellStyle name="LS Input Table No. 1 3 5 2 7" xfId="34846"/>
    <cellStyle name="LS Input Table No. 1 3 5 2 8" xfId="34847"/>
    <cellStyle name="LS Input Table No. 1 3 5 2 9" xfId="34848"/>
    <cellStyle name="LS Input Table No. 1 3 5 3" xfId="34849"/>
    <cellStyle name="LS Input Table No. 1 3 5 3 2" xfId="34850"/>
    <cellStyle name="LS Input Table No. 1 3 5 3 3" xfId="34851"/>
    <cellStyle name="LS Input Table No. 1 3 5 3 4" xfId="34852"/>
    <cellStyle name="LS Input Table No. 1 3 5 3 5" xfId="34853"/>
    <cellStyle name="LS Input Table No. 1 3 5 3 6" xfId="34854"/>
    <cellStyle name="LS Input Table No. 1 3 5 3 7" xfId="34855"/>
    <cellStyle name="LS Input Table No. 1 3 5 3 8" xfId="34856"/>
    <cellStyle name="LS Input Table No. 1 3 5 3 9" xfId="34857"/>
    <cellStyle name="LS Input Table No. 1 3 5 4" xfId="34858"/>
    <cellStyle name="LS Input Table No. 1 3 5 5" xfId="34859"/>
    <cellStyle name="LS Input Table No. 1 3 5 6" xfId="34860"/>
    <cellStyle name="LS Input Table No. 1 3 5 7" xfId="34861"/>
    <cellStyle name="LS Input Table No. 1 3 5 8" xfId="34862"/>
    <cellStyle name="LS Input Table No. 1 3 5 9" xfId="34863"/>
    <cellStyle name="LS Input Table No. 1 3 6" xfId="34864"/>
    <cellStyle name="LS Input Table No. 1 3 6 10" xfId="34865"/>
    <cellStyle name="LS Input Table No. 1 3 6 2" xfId="34866"/>
    <cellStyle name="LS Input Table No. 1 3 6 2 2" xfId="34867"/>
    <cellStyle name="LS Input Table No. 1 3 6 2 3" xfId="34868"/>
    <cellStyle name="LS Input Table No. 1 3 6 2 4" xfId="34869"/>
    <cellStyle name="LS Input Table No. 1 3 6 2 5" xfId="34870"/>
    <cellStyle name="LS Input Table No. 1 3 6 2 6" xfId="34871"/>
    <cellStyle name="LS Input Table No. 1 3 6 2 7" xfId="34872"/>
    <cellStyle name="LS Input Table No. 1 3 6 2 8" xfId="34873"/>
    <cellStyle name="LS Input Table No. 1 3 6 2 9" xfId="34874"/>
    <cellStyle name="LS Input Table No. 1 3 6 3" xfId="34875"/>
    <cellStyle name="LS Input Table No. 1 3 6 4" xfId="34876"/>
    <cellStyle name="LS Input Table No. 1 3 6 5" xfId="34877"/>
    <cellStyle name="LS Input Table No. 1 3 6 6" xfId="34878"/>
    <cellStyle name="LS Input Table No. 1 3 6 7" xfId="34879"/>
    <cellStyle name="LS Input Table No. 1 3 6 8" xfId="34880"/>
    <cellStyle name="LS Input Table No. 1 3 6 9" xfId="34881"/>
    <cellStyle name="LS Input Table No. 1 3 7" xfId="34882"/>
    <cellStyle name="LS Input Table No. 1 3 7 2" xfId="34883"/>
    <cellStyle name="LS Input Table No. 1 3 7 3" xfId="34884"/>
    <cellStyle name="LS Input Table No. 1 3 7 4" xfId="34885"/>
    <cellStyle name="LS Input Table No. 1 3 7 5" xfId="34886"/>
    <cellStyle name="LS Input Table No. 1 3 7 6" xfId="34887"/>
    <cellStyle name="LS Input Table No. 1 3 7 7" xfId="34888"/>
    <cellStyle name="LS Input Table No. 1 3 7 8" xfId="34889"/>
    <cellStyle name="LS Input Table No. 1 3 7 9" xfId="34890"/>
    <cellStyle name="LS Input Table No. 1 3 8" xfId="34891"/>
    <cellStyle name="LS Input Table No. 1 3 9" xfId="34892"/>
    <cellStyle name="LS Input Table No. 1 4" xfId="34893"/>
    <cellStyle name="LS Input Table No. 1 4 10" xfId="34894"/>
    <cellStyle name="LS Input Table No. 1 4 11" xfId="34895"/>
    <cellStyle name="LS Input Table No. 1 4 12" xfId="34896"/>
    <cellStyle name="LS Input Table No. 1 4 2" xfId="34897"/>
    <cellStyle name="LS Input Table No. 1 4 2 10" xfId="34898"/>
    <cellStyle name="LS Input Table No. 1 4 2 11" xfId="34899"/>
    <cellStyle name="LS Input Table No. 1 4 2 2" xfId="34900"/>
    <cellStyle name="LS Input Table No. 1 4 2 2 10" xfId="34901"/>
    <cellStyle name="LS Input Table No. 1 4 2 2 2" xfId="34902"/>
    <cellStyle name="LS Input Table No. 1 4 2 2 2 2" xfId="34903"/>
    <cellStyle name="LS Input Table No. 1 4 2 2 2 3" xfId="34904"/>
    <cellStyle name="LS Input Table No. 1 4 2 2 2 4" xfId="34905"/>
    <cellStyle name="LS Input Table No. 1 4 2 2 2 5" xfId="34906"/>
    <cellStyle name="LS Input Table No. 1 4 2 2 2 6" xfId="34907"/>
    <cellStyle name="LS Input Table No. 1 4 2 2 2 7" xfId="34908"/>
    <cellStyle name="LS Input Table No. 1 4 2 2 2 8" xfId="34909"/>
    <cellStyle name="LS Input Table No. 1 4 2 2 2 9" xfId="34910"/>
    <cellStyle name="LS Input Table No. 1 4 2 2 3" xfId="34911"/>
    <cellStyle name="LS Input Table No. 1 4 2 2 4" xfId="34912"/>
    <cellStyle name="LS Input Table No. 1 4 2 2 5" xfId="34913"/>
    <cellStyle name="LS Input Table No. 1 4 2 2 6" xfId="34914"/>
    <cellStyle name="LS Input Table No. 1 4 2 2 7" xfId="34915"/>
    <cellStyle name="LS Input Table No. 1 4 2 2 8" xfId="34916"/>
    <cellStyle name="LS Input Table No. 1 4 2 2 9" xfId="34917"/>
    <cellStyle name="LS Input Table No. 1 4 2 3" xfId="34918"/>
    <cellStyle name="LS Input Table No. 1 4 2 3 2" xfId="34919"/>
    <cellStyle name="LS Input Table No. 1 4 2 3 3" xfId="34920"/>
    <cellStyle name="LS Input Table No. 1 4 2 3 4" xfId="34921"/>
    <cellStyle name="LS Input Table No. 1 4 2 3 5" xfId="34922"/>
    <cellStyle name="LS Input Table No. 1 4 2 3 6" xfId="34923"/>
    <cellStyle name="LS Input Table No. 1 4 2 3 7" xfId="34924"/>
    <cellStyle name="LS Input Table No. 1 4 2 3 8" xfId="34925"/>
    <cellStyle name="LS Input Table No. 1 4 2 3 9" xfId="34926"/>
    <cellStyle name="LS Input Table No. 1 4 2 4" xfId="34927"/>
    <cellStyle name="LS Input Table No. 1 4 2 5" xfId="34928"/>
    <cellStyle name="LS Input Table No. 1 4 2 6" xfId="34929"/>
    <cellStyle name="LS Input Table No. 1 4 2 7" xfId="34930"/>
    <cellStyle name="LS Input Table No. 1 4 2 8" xfId="34931"/>
    <cellStyle name="LS Input Table No. 1 4 2 9" xfId="34932"/>
    <cellStyle name="LS Input Table No. 1 4 3" xfId="34933"/>
    <cellStyle name="LS Input Table No. 1 4 3 10" xfId="34934"/>
    <cellStyle name="LS Input Table No. 1 4 3 2" xfId="34935"/>
    <cellStyle name="LS Input Table No. 1 4 3 2 2" xfId="34936"/>
    <cellStyle name="LS Input Table No. 1 4 3 2 3" xfId="34937"/>
    <cellStyle name="LS Input Table No. 1 4 3 2 4" xfId="34938"/>
    <cellStyle name="LS Input Table No. 1 4 3 2 5" xfId="34939"/>
    <cellStyle name="LS Input Table No. 1 4 3 2 6" xfId="34940"/>
    <cellStyle name="LS Input Table No. 1 4 3 2 7" xfId="34941"/>
    <cellStyle name="LS Input Table No. 1 4 3 2 8" xfId="34942"/>
    <cellStyle name="LS Input Table No. 1 4 3 2 9" xfId="34943"/>
    <cellStyle name="LS Input Table No. 1 4 3 3" xfId="34944"/>
    <cellStyle name="LS Input Table No. 1 4 3 4" xfId="34945"/>
    <cellStyle name="LS Input Table No. 1 4 3 5" xfId="34946"/>
    <cellStyle name="LS Input Table No. 1 4 3 6" xfId="34947"/>
    <cellStyle name="LS Input Table No. 1 4 3 7" xfId="34948"/>
    <cellStyle name="LS Input Table No. 1 4 3 8" xfId="34949"/>
    <cellStyle name="LS Input Table No. 1 4 3 9" xfId="34950"/>
    <cellStyle name="LS Input Table No. 1 4 4" xfId="34951"/>
    <cellStyle name="LS Input Table No. 1 4 4 2" xfId="34952"/>
    <cellStyle name="LS Input Table No. 1 4 4 3" xfId="34953"/>
    <cellStyle name="LS Input Table No. 1 4 4 4" xfId="34954"/>
    <cellStyle name="LS Input Table No. 1 4 4 5" xfId="34955"/>
    <cellStyle name="LS Input Table No. 1 4 4 6" xfId="34956"/>
    <cellStyle name="LS Input Table No. 1 4 4 7" xfId="34957"/>
    <cellStyle name="LS Input Table No. 1 4 4 8" xfId="34958"/>
    <cellStyle name="LS Input Table No. 1 4 4 9" xfId="34959"/>
    <cellStyle name="LS Input Table No. 1 4 5" xfId="34960"/>
    <cellStyle name="LS Input Table No. 1 4 6" xfId="34961"/>
    <cellStyle name="LS Input Table No. 1 4 7" xfId="34962"/>
    <cellStyle name="LS Input Table No. 1 4 8" xfId="34963"/>
    <cellStyle name="LS Input Table No. 1 4 9" xfId="34964"/>
    <cellStyle name="LS Input Table No. 1 5" xfId="34965"/>
    <cellStyle name="LS Input Table No. 1 5 10" xfId="34966"/>
    <cellStyle name="LS Input Table No. 1 5 11" xfId="34967"/>
    <cellStyle name="LS Input Table No. 1 5 12" xfId="34968"/>
    <cellStyle name="LS Input Table No. 1 5 2" xfId="34969"/>
    <cellStyle name="LS Input Table No. 1 5 2 10" xfId="34970"/>
    <cellStyle name="LS Input Table No. 1 5 2 11" xfId="34971"/>
    <cellStyle name="LS Input Table No. 1 5 2 2" xfId="34972"/>
    <cellStyle name="LS Input Table No. 1 5 2 2 10" xfId="34973"/>
    <cellStyle name="LS Input Table No. 1 5 2 2 2" xfId="34974"/>
    <cellStyle name="LS Input Table No. 1 5 2 2 2 2" xfId="34975"/>
    <cellStyle name="LS Input Table No. 1 5 2 2 2 3" xfId="34976"/>
    <cellStyle name="LS Input Table No. 1 5 2 2 2 4" xfId="34977"/>
    <cellStyle name="LS Input Table No. 1 5 2 2 2 5" xfId="34978"/>
    <cellStyle name="LS Input Table No. 1 5 2 2 2 6" xfId="34979"/>
    <cellStyle name="LS Input Table No. 1 5 2 2 2 7" xfId="34980"/>
    <cellStyle name="LS Input Table No. 1 5 2 2 2 8" xfId="34981"/>
    <cellStyle name="LS Input Table No. 1 5 2 2 2 9" xfId="34982"/>
    <cellStyle name="LS Input Table No. 1 5 2 2 3" xfId="34983"/>
    <cellStyle name="LS Input Table No. 1 5 2 2 4" xfId="34984"/>
    <cellStyle name="LS Input Table No. 1 5 2 2 5" xfId="34985"/>
    <cellStyle name="LS Input Table No. 1 5 2 2 6" xfId="34986"/>
    <cellStyle name="LS Input Table No. 1 5 2 2 7" xfId="34987"/>
    <cellStyle name="LS Input Table No. 1 5 2 2 8" xfId="34988"/>
    <cellStyle name="LS Input Table No. 1 5 2 2 9" xfId="34989"/>
    <cellStyle name="LS Input Table No. 1 5 2 3" xfId="34990"/>
    <cellStyle name="LS Input Table No. 1 5 2 3 2" xfId="34991"/>
    <cellStyle name="LS Input Table No. 1 5 2 3 3" xfId="34992"/>
    <cellStyle name="LS Input Table No. 1 5 2 3 4" xfId="34993"/>
    <cellStyle name="LS Input Table No. 1 5 2 3 5" xfId="34994"/>
    <cellStyle name="LS Input Table No. 1 5 2 3 6" xfId="34995"/>
    <cellStyle name="LS Input Table No. 1 5 2 3 7" xfId="34996"/>
    <cellStyle name="LS Input Table No. 1 5 2 3 8" xfId="34997"/>
    <cellStyle name="LS Input Table No. 1 5 2 3 9" xfId="34998"/>
    <cellStyle name="LS Input Table No. 1 5 2 4" xfId="34999"/>
    <cellStyle name="LS Input Table No. 1 5 2 5" xfId="35000"/>
    <cellStyle name="LS Input Table No. 1 5 2 6" xfId="35001"/>
    <cellStyle name="LS Input Table No. 1 5 2 7" xfId="35002"/>
    <cellStyle name="LS Input Table No. 1 5 2 8" xfId="35003"/>
    <cellStyle name="LS Input Table No. 1 5 2 9" xfId="35004"/>
    <cellStyle name="LS Input Table No. 1 5 3" xfId="35005"/>
    <cellStyle name="LS Input Table No. 1 5 3 10" xfId="35006"/>
    <cellStyle name="LS Input Table No. 1 5 3 2" xfId="35007"/>
    <cellStyle name="LS Input Table No. 1 5 3 2 2" xfId="35008"/>
    <cellStyle name="LS Input Table No. 1 5 3 2 3" xfId="35009"/>
    <cellStyle name="LS Input Table No. 1 5 3 2 4" xfId="35010"/>
    <cellStyle name="LS Input Table No. 1 5 3 2 5" xfId="35011"/>
    <cellStyle name="LS Input Table No. 1 5 3 2 6" xfId="35012"/>
    <cellStyle name="LS Input Table No. 1 5 3 2 7" xfId="35013"/>
    <cellStyle name="LS Input Table No. 1 5 3 2 8" xfId="35014"/>
    <cellStyle name="LS Input Table No. 1 5 3 2 9" xfId="35015"/>
    <cellStyle name="LS Input Table No. 1 5 3 3" xfId="35016"/>
    <cellStyle name="LS Input Table No. 1 5 3 4" xfId="35017"/>
    <cellStyle name="LS Input Table No. 1 5 3 5" xfId="35018"/>
    <cellStyle name="LS Input Table No. 1 5 3 6" xfId="35019"/>
    <cellStyle name="LS Input Table No. 1 5 3 7" xfId="35020"/>
    <cellStyle name="LS Input Table No. 1 5 3 8" xfId="35021"/>
    <cellStyle name="LS Input Table No. 1 5 3 9" xfId="35022"/>
    <cellStyle name="LS Input Table No. 1 5 4" xfId="35023"/>
    <cellStyle name="LS Input Table No. 1 5 4 2" xfId="35024"/>
    <cellStyle name="LS Input Table No. 1 5 4 3" xfId="35025"/>
    <cellStyle name="LS Input Table No. 1 5 4 4" xfId="35026"/>
    <cellStyle name="LS Input Table No. 1 5 4 5" xfId="35027"/>
    <cellStyle name="LS Input Table No. 1 5 4 6" xfId="35028"/>
    <cellStyle name="LS Input Table No. 1 5 4 7" xfId="35029"/>
    <cellStyle name="LS Input Table No. 1 5 4 8" xfId="35030"/>
    <cellStyle name="LS Input Table No. 1 5 4 9" xfId="35031"/>
    <cellStyle name="LS Input Table No. 1 5 5" xfId="35032"/>
    <cellStyle name="LS Input Table No. 1 5 6" xfId="35033"/>
    <cellStyle name="LS Input Table No. 1 5 7" xfId="35034"/>
    <cellStyle name="LS Input Table No. 1 5 8" xfId="35035"/>
    <cellStyle name="LS Input Table No. 1 5 9" xfId="35036"/>
    <cellStyle name="LS Input Table No. 1 6" xfId="35037"/>
    <cellStyle name="LS Input Table No. 1 6 10" xfId="35038"/>
    <cellStyle name="LS Input Table No. 1 6 11" xfId="35039"/>
    <cellStyle name="LS Input Table No. 1 6 12" xfId="35040"/>
    <cellStyle name="LS Input Table No. 1 6 2" xfId="35041"/>
    <cellStyle name="LS Input Table No. 1 6 2 10" xfId="35042"/>
    <cellStyle name="LS Input Table No. 1 6 2 11" xfId="35043"/>
    <cellStyle name="LS Input Table No. 1 6 2 2" xfId="35044"/>
    <cellStyle name="LS Input Table No. 1 6 2 2 10" xfId="35045"/>
    <cellStyle name="LS Input Table No. 1 6 2 2 2" xfId="35046"/>
    <cellStyle name="LS Input Table No. 1 6 2 2 2 2" xfId="35047"/>
    <cellStyle name="LS Input Table No. 1 6 2 2 2 3" xfId="35048"/>
    <cellStyle name="LS Input Table No. 1 6 2 2 2 4" xfId="35049"/>
    <cellStyle name="LS Input Table No. 1 6 2 2 2 5" xfId="35050"/>
    <cellStyle name="LS Input Table No. 1 6 2 2 2 6" xfId="35051"/>
    <cellStyle name="LS Input Table No. 1 6 2 2 2 7" xfId="35052"/>
    <cellStyle name="LS Input Table No. 1 6 2 2 2 8" xfId="35053"/>
    <cellStyle name="LS Input Table No. 1 6 2 2 2 9" xfId="35054"/>
    <cellStyle name="LS Input Table No. 1 6 2 2 3" xfId="35055"/>
    <cellStyle name="LS Input Table No. 1 6 2 2 4" xfId="35056"/>
    <cellStyle name="LS Input Table No. 1 6 2 2 5" xfId="35057"/>
    <cellStyle name="LS Input Table No. 1 6 2 2 6" xfId="35058"/>
    <cellStyle name="LS Input Table No. 1 6 2 2 7" xfId="35059"/>
    <cellStyle name="LS Input Table No. 1 6 2 2 8" xfId="35060"/>
    <cellStyle name="LS Input Table No. 1 6 2 2 9" xfId="35061"/>
    <cellStyle name="LS Input Table No. 1 6 2 3" xfId="35062"/>
    <cellStyle name="LS Input Table No. 1 6 2 3 2" xfId="35063"/>
    <cellStyle name="LS Input Table No. 1 6 2 3 3" xfId="35064"/>
    <cellStyle name="LS Input Table No. 1 6 2 3 4" xfId="35065"/>
    <cellStyle name="LS Input Table No. 1 6 2 3 5" xfId="35066"/>
    <cellStyle name="LS Input Table No. 1 6 2 3 6" xfId="35067"/>
    <cellStyle name="LS Input Table No. 1 6 2 3 7" xfId="35068"/>
    <cellStyle name="LS Input Table No. 1 6 2 3 8" xfId="35069"/>
    <cellStyle name="LS Input Table No. 1 6 2 3 9" xfId="35070"/>
    <cellStyle name="LS Input Table No. 1 6 2 4" xfId="35071"/>
    <cellStyle name="LS Input Table No. 1 6 2 5" xfId="35072"/>
    <cellStyle name="LS Input Table No. 1 6 2 6" xfId="35073"/>
    <cellStyle name="LS Input Table No. 1 6 2 7" xfId="35074"/>
    <cellStyle name="LS Input Table No. 1 6 2 8" xfId="35075"/>
    <cellStyle name="LS Input Table No. 1 6 2 9" xfId="35076"/>
    <cellStyle name="LS Input Table No. 1 6 3" xfId="35077"/>
    <cellStyle name="LS Input Table No. 1 6 3 10" xfId="35078"/>
    <cellStyle name="LS Input Table No. 1 6 3 2" xfId="35079"/>
    <cellStyle name="LS Input Table No. 1 6 3 2 2" xfId="35080"/>
    <cellStyle name="LS Input Table No. 1 6 3 2 3" xfId="35081"/>
    <cellStyle name="LS Input Table No. 1 6 3 2 4" xfId="35082"/>
    <cellStyle name="LS Input Table No. 1 6 3 2 5" xfId="35083"/>
    <cellStyle name="LS Input Table No. 1 6 3 2 6" xfId="35084"/>
    <cellStyle name="LS Input Table No. 1 6 3 2 7" xfId="35085"/>
    <cellStyle name="LS Input Table No. 1 6 3 2 8" xfId="35086"/>
    <cellStyle name="LS Input Table No. 1 6 3 2 9" xfId="35087"/>
    <cellStyle name="LS Input Table No. 1 6 3 3" xfId="35088"/>
    <cellStyle name="LS Input Table No. 1 6 3 4" xfId="35089"/>
    <cellStyle name="LS Input Table No. 1 6 3 5" xfId="35090"/>
    <cellStyle name="LS Input Table No. 1 6 3 6" xfId="35091"/>
    <cellStyle name="LS Input Table No. 1 6 3 7" xfId="35092"/>
    <cellStyle name="LS Input Table No. 1 6 3 8" xfId="35093"/>
    <cellStyle name="LS Input Table No. 1 6 3 9" xfId="35094"/>
    <cellStyle name="LS Input Table No. 1 6 4" xfId="35095"/>
    <cellStyle name="LS Input Table No. 1 6 4 2" xfId="35096"/>
    <cellStyle name="LS Input Table No. 1 6 4 3" xfId="35097"/>
    <cellStyle name="LS Input Table No. 1 6 4 4" xfId="35098"/>
    <cellStyle name="LS Input Table No. 1 6 4 5" xfId="35099"/>
    <cellStyle name="LS Input Table No. 1 6 4 6" xfId="35100"/>
    <cellStyle name="LS Input Table No. 1 6 4 7" xfId="35101"/>
    <cellStyle name="LS Input Table No. 1 6 4 8" xfId="35102"/>
    <cellStyle name="LS Input Table No. 1 6 4 9" xfId="35103"/>
    <cellStyle name="LS Input Table No. 1 6 5" xfId="35104"/>
    <cellStyle name="LS Input Table No. 1 6 6" xfId="35105"/>
    <cellStyle name="LS Input Table No. 1 6 7" xfId="35106"/>
    <cellStyle name="LS Input Table No. 1 6 8" xfId="35107"/>
    <cellStyle name="LS Input Table No. 1 6 9" xfId="35108"/>
    <cellStyle name="LS Input Table No. 1 7" xfId="35109"/>
    <cellStyle name="LS Input Table No. 1 7 10" xfId="35110"/>
    <cellStyle name="LS Input Table No. 1 7 11" xfId="35111"/>
    <cellStyle name="LS Input Table No. 1 7 12" xfId="35112"/>
    <cellStyle name="LS Input Table No. 1 7 2" xfId="35113"/>
    <cellStyle name="LS Input Table No. 1 7 2 10" xfId="35114"/>
    <cellStyle name="LS Input Table No. 1 7 2 11" xfId="35115"/>
    <cellStyle name="LS Input Table No. 1 7 2 2" xfId="35116"/>
    <cellStyle name="LS Input Table No. 1 7 2 2 10" xfId="35117"/>
    <cellStyle name="LS Input Table No. 1 7 2 2 2" xfId="35118"/>
    <cellStyle name="LS Input Table No. 1 7 2 2 2 2" xfId="35119"/>
    <cellStyle name="LS Input Table No. 1 7 2 2 2 3" xfId="35120"/>
    <cellStyle name="LS Input Table No. 1 7 2 2 2 4" xfId="35121"/>
    <cellStyle name="LS Input Table No. 1 7 2 2 2 5" xfId="35122"/>
    <cellStyle name="LS Input Table No. 1 7 2 2 2 6" xfId="35123"/>
    <cellStyle name="LS Input Table No. 1 7 2 2 2 7" xfId="35124"/>
    <cellStyle name="LS Input Table No. 1 7 2 2 2 8" xfId="35125"/>
    <cellStyle name="LS Input Table No. 1 7 2 2 2 9" xfId="35126"/>
    <cellStyle name="LS Input Table No. 1 7 2 2 3" xfId="35127"/>
    <cellStyle name="LS Input Table No. 1 7 2 2 4" xfId="35128"/>
    <cellStyle name="LS Input Table No. 1 7 2 2 5" xfId="35129"/>
    <cellStyle name="LS Input Table No. 1 7 2 2 6" xfId="35130"/>
    <cellStyle name="LS Input Table No. 1 7 2 2 7" xfId="35131"/>
    <cellStyle name="LS Input Table No. 1 7 2 2 8" xfId="35132"/>
    <cellStyle name="LS Input Table No. 1 7 2 2 9" xfId="35133"/>
    <cellStyle name="LS Input Table No. 1 7 2 3" xfId="35134"/>
    <cellStyle name="LS Input Table No. 1 7 2 3 2" xfId="35135"/>
    <cellStyle name="LS Input Table No. 1 7 2 3 3" xfId="35136"/>
    <cellStyle name="LS Input Table No. 1 7 2 3 4" xfId="35137"/>
    <cellStyle name="LS Input Table No. 1 7 2 3 5" xfId="35138"/>
    <cellStyle name="LS Input Table No. 1 7 2 3 6" xfId="35139"/>
    <cellStyle name="LS Input Table No. 1 7 2 3 7" xfId="35140"/>
    <cellStyle name="LS Input Table No. 1 7 2 3 8" xfId="35141"/>
    <cellStyle name="LS Input Table No. 1 7 2 3 9" xfId="35142"/>
    <cellStyle name="LS Input Table No. 1 7 2 4" xfId="35143"/>
    <cellStyle name="LS Input Table No. 1 7 2 5" xfId="35144"/>
    <cellStyle name="LS Input Table No. 1 7 2 6" xfId="35145"/>
    <cellStyle name="LS Input Table No. 1 7 2 7" xfId="35146"/>
    <cellStyle name="LS Input Table No. 1 7 2 8" xfId="35147"/>
    <cellStyle name="LS Input Table No. 1 7 2 9" xfId="35148"/>
    <cellStyle name="LS Input Table No. 1 7 3" xfId="35149"/>
    <cellStyle name="LS Input Table No. 1 7 3 10" xfId="35150"/>
    <cellStyle name="LS Input Table No. 1 7 3 2" xfId="35151"/>
    <cellStyle name="LS Input Table No. 1 7 3 2 2" xfId="35152"/>
    <cellStyle name="LS Input Table No. 1 7 3 2 3" xfId="35153"/>
    <cellStyle name="LS Input Table No. 1 7 3 2 4" xfId="35154"/>
    <cellStyle name="LS Input Table No. 1 7 3 2 5" xfId="35155"/>
    <cellStyle name="LS Input Table No. 1 7 3 2 6" xfId="35156"/>
    <cellStyle name="LS Input Table No. 1 7 3 2 7" xfId="35157"/>
    <cellStyle name="LS Input Table No. 1 7 3 2 8" xfId="35158"/>
    <cellStyle name="LS Input Table No. 1 7 3 2 9" xfId="35159"/>
    <cellStyle name="LS Input Table No. 1 7 3 3" xfId="35160"/>
    <cellStyle name="LS Input Table No. 1 7 3 4" xfId="35161"/>
    <cellStyle name="LS Input Table No. 1 7 3 5" xfId="35162"/>
    <cellStyle name="LS Input Table No. 1 7 3 6" xfId="35163"/>
    <cellStyle name="LS Input Table No. 1 7 3 7" xfId="35164"/>
    <cellStyle name="LS Input Table No. 1 7 3 8" xfId="35165"/>
    <cellStyle name="LS Input Table No. 1 7 3 9" xfId="35166"/>
    <cellStyle name="LS Input Table No. 1 7 4" xfId="35167"/>
    <cellStyle name="LS Input Table No. 1 7 4 2" xfId="35168"/>
    <cellStyle name="LS Input Table No. 1 7 4 3" xfId="35169"/>
    <cellStyle name="LS Input Table No. 1 7 4 4" xfId="35170"/>
    <cellStyle name="LS Input Table No. 1 7 4 5" xfId="35171"/>
    <cellStyle name="LS Input Table No. 1 7 4 6" xfId="35172"/>
    <cellStyle name="LS Input Table No. 1 7 4 7" xfId="35173"/>
    <cellStyle name="LS Input Table No. 1 7 4 8" xfId="35174"/>
    <cellStyle name="LS Input Table No. 1 7 4 9" xfId="35175"/>
    <cellStyle name="LS Input Table No. 1 7 5" xfId="35176"/>
    <cellStyle name="LS Input Table No. 1 7 6" xfId="35177"/>
    <cellStyle name="LS Input Table No. 1 7 7" xfId="35178"/>
    <cellStyle name="LS Input Table No. 1 7 8" xfId="35179"/>
    <cellStyle name="LS Input Table No. 1 7 9" xfId="35180"/>
    <cellStyle name="LS Input Table No. 1 8" xfId="35181"/>
    <cellStyle name="LS Input Table No. 1 8 10" xfId="35182"/>
    <cellStyle name="LS Input Table No. 1 8 11" xfId="35183"/>
    <cellStyle name="LS Input Table No. 1 8 12" xfId="35184"/>
    <cellStyle name="LS Input Table No. 1 8 2" xfId="35185"/>
    <cellStyle name="LS Input Table No. 1 8 2 10" xfId="35186"/>
    <cellStyle name="LS Input Table No. 1 8 2 11" xfId="35187"/>
    <cellStyle name="LS Input Table No. 1 8 2 2" xfId="35188"/>
    <cellStyle name="LS Input Table No. 1 8 2 2 10" xfId="35189"/>
    <cellStyle name="LS Input Table No. 1 8 2 2 2" xfId="35190"/>
    <cellStyle name="LS Input Table No. 1 8 2 2 2 2" xfId="35191"/>
    <cellStyle name="LS Input Table No. 1 8 2 2 2 3" xfId="35192"/>
    <cellStyle name="LS Input Table No. 1 8 2 2 2 4" xfId="35193"/>
    <cellStyle name="LS Input Table No. 1 8 2 2 2 5" xfId="35194"/>
    <cellStyle name="LS Input Table No. 1 8 2 2 2 6" xfId="35195"/>
    <cellStyle name="LS Input Table No. 1 8 2 2 2 7" xfId="35196"/>
    <cellStyle name="LS Input Table No. 1 8 2 2 2 8" xfId="35197"/>
    <cellStyle name="LS Input Table No. 1 8 2 2 2 9" xfId="35198"/>
    <cellStyle name="LS Input Table No. 1 8 2 2 3" xfId="35199"/>
    <cellStyle name="LS Input Table No. 1 8 2 2 4" xfId="35200"/>
    <cellStyle name="LS Input Table No. 1 8 2 2 5" xfId="35201"/>
    <cellStyle name="LS Input Table No. 1 8 2 2 6" xfId="35202"/>
    <cellStyle name="LS Input Table No. 1 8 2 2 7" xfId="35203"/>
    <cellStyle name="LS Input Table No. 1 8 2 2 8" xfId="35204"/>
    <cellStyle name="LS Input Table No. 1 8 2 2 9" xfId="35205"/>
    <cellStyle name="LS Input Table No. 1 8 2 3" xfId="35206"/>
    <cellStyle name="LS Input Table No. 1 8 2 3 2" xfId="35207"/>
    <cellStyle name="LS Input Table No. 1 8 2 3 3" xfId="35208"/>
    <cellStyle name="LS Input Table No. 1 8 2 3 4" xfId="35209"/>
    <cellStyle name="LS Input Table No. 1 8 2 3 5" xfId="35210"/>
    <cellStyle name="LS Input Table No. 1 8 2 3 6" xfId="35211"/>
    <cellStyle name="LS Input Table No. 1 8 2 3 7" xfId="35212"/>
    <cellStyle name="LS Input Table No. 1 8 2 3 8" xfId="35213"/>
    <cellStyle name="LS Input Table No. 1 8 2 3 9" xfId="35214"/>
    <cellStyle name="LS Input Table No. 1 8 2 4" xfId="35215"/>
    <cellStyle name="LS Input Table No. 1 8 2 5" xfId="35216"/>
    <cellStyle name="LS Input Table No. 1 8 2 6" xfId="35217"/>
    <cellStyle name="LS Input Table No. 1 8 2 7" xfId="35218"/>
    <cellStyle name="LS Input Table No. 1 8 2 8" xfId="35219"/>
    <cellStyle name="LS Input Table No. 1 8 2 9" xfId="35220"/>
    <cellStyle name="LS Input Table No. 1 8 3" xfId="35221"/>
    <cellStyle name="LS Input Table No. 1 8 3 10" xfId="35222"/>
    <cellStyle name="LS Input Table No. 1 8 3 2" xfId="35223"/>
    <cellStyle name="LS Input Table No. 1 8 3 2 2" xfId="35224"/>
    <cellStyle name="LS Input Table No. 1 8 3 2 3" xfId="35225"/>
    <cellStyle name="LS Input Table No. 1 8 3 2 4" xfId="35226"/>
    <cellStyle name="LS Input Table No. 1 8 3 2 5" xfId="35227"/>
    <cellStyle name="LS Input Table No. 1 8 3 2 6" xfId="35228"/>
    <cellStyle name="LS Input Table No. 1 8 3 2 7" xfId="35229"/>
    <cellStyle name="LS Input Table No. 1 8 3 2 8" xfId="35230"/>
    <cellStyle name="LS Input Table No. 1 8 3 2 9" xfId="35231"/>
    <cellStyle name="LS Input Table No. 1 8 3 3" xfId="35232"/>
    <cellStyle name="LS Input Table No. 1 8 3 4" xfId="35233"/>
    <cellStyle name="LS Input Table No. 1 8 3 5" xfId="35234"/>
    <cellStyle name="LS Input Table No. 1 8 3 6" xfId="35235"/>
    <cellStyle name="LS Input Table No. 1 8 3 7" xfId="35236"/>
    <cellStyle name="LS Input Table No. 1 8 3 8" xfId="35237"/>
    <cellStyle name="LS Input Table No. 1 8 3 9" xfId="35238"/>
    <cellStyle name="LS Input Table No. 1 8 4" xfId="35239"/>
    <cellStyle name="LS Input Table No. 1 8 4 2" xfId="35240"/>
    <cellStyle name="LS Input Table No. 1 8 4 3" xfId="35241"/>
    <cellStyle name="LS Input Table No. 1 8 4 4" xfId="35242"/>
    <cellStyle name="LS Input Table No. 1 8 4 5" xfId="35243"/>
    <cellStyle name="LS Input Table No. 1 8 4 6" xfId="35244"/>
    <cellStyle name="LS Input Table No. 1 8 4 7" xfId="35245"/>
    <cellStyle name="LS Input Table No. 1 8 4 8" xfId="35246"/>
    <cellStyle name="LS Input Table No. 1 8 4 9" xfId="35247"/>
    <cellStyle name="LS Input Table No. 1 8 5" xfId="35248"/>
    <cellStyle name="LS Input Table No. 1 8 6" xfId="35249"/>
    <cellStyle name="LS Input Table No. 1 8 7" xfId="35250"/>
    <cellStyle name="LS Input Table No. 1 8 8" xfId="35251"/>
    <cellStyle name="LS Input Table No. 1 8 9" xfId="35252"/>
    <cellStyle name="LS Input Table No. 1 9" xfId="35253"/>
    <cellStyle name="LS Input Table No. 1 9 10" xfId="35254"/>
    <cellStyle name="LS Input Table No. 1 9 11" xfId="35255"/>
    <cellStyle name="LS Input Table No. 1 9 12" xfId="35256"/>
    <cellStyle name="LS Input Table No. 1 9 2" xfId="35257"/>
    <cellStyle name="LS Input Table No. 1 9 2 10" xfId="35258"/>
    <cellStyle name="LS Input Table No. 1 9 2 11" xfId="35259"/>
    <cellStyle name="LS Input Table No. 1 9 2 2" xfId="35260"/>
    <cellStyle name="LS Input Table No. 1 9 2 2 10" xfId="35261"/>
    <cellStyle name="LS Input Table No. 1 9 2 2 2" xfId="35262"/>
    <cellStyle name="LS Input Table No. 1 9 2 2 2 2" xfId="35263"/>
    <cellStyle name="LS Input Table No. 1 9 2 2 2 3" xfId="35264"/>
    <cellStyle name="LS Input Table No. 1 9 2 2 2 4" xfId="35265"/>
    <cellStyle name="LS Input Table No. 1 9 2 2 2 5" xfId="35266"/>
    <cellStyle name="LS Input Table No. 1 9 2 2 2 6" xfId="35267"/>
    <cellStyle name="LS Input Table No. 1 9 2 2 2 7" xfId="35268"/>
    <cellStyle name="LS Input Table No. 1 9 2 2 2 8" xfId="35269"/>
    <cellStyle name="LS Input Table No. 1 9 2 2 2 9" xfId="35270"/>
    <cellStyle name="LS Input Table No. 1 9 2 2 3" xfId="35271"/>
    <cellStyle name="LS Input Table No. 1 9 2 2 4" xfId="35272"/>
    <cellStyle name="LS Input Table No. 1 9 2 2 5" xfId="35273"/>
    <cellStyle name="LS Input Table No. 1 9 2 2 6" xfId="35274"/>
    <cellStyle name="LS Input Table No. 1 9 2 2 7" xfId="35275"/>
    <cellStyle name="LS Input Table No. 1 9 2 2 8" xfId="35276"/>
    <cellStyle name="LS Input Table No. 1 9 2 2 9" xfId="35277"/>
    <cellStyle name="LS Input Table No. 1 9 2 3" xfId="35278"/>
    <cellStyle name="LS Input Table No. 1 9 2 3 2" xfId="35279"/>
    <cellStyle name="LS Input Table No. 1 9 2 3 3" xfId="35280"/>
    <cellStyle name="LS Input Table No. 1 9 2 3 4" xfId="35281"/>
    <cellStyle name="LS Input Table No. 1 9 2 3 5" xfId="35282"/>
    <cellStyle name="LS Input Table No. 1 9 2 3 6" xfId="35283"/>
    <cellStyle name="LS Input Table No. 1 9 2 3 7" xfId="35284"/>
    <cellStyle name="LS Input Table No. 1 9 2 3 8" xfId="35285"/>
    <cellStyle name="LS Input Table No. 1 9 2 3 9" xfId="35286"/>
    <cellStyle name="LS Input Table No. 1 9 2 4" xfId="35287"/>
    <cellStyle name="LS Input Table No. 1 9 2 5" xfId="35288"/>
    <cellStyle name="LS Input Table No. 1 9 2 6" xfId="35289"/>
    <cellStyle name="LS Input Table No. 1 9 2 7" xfId="35290"/>
    <cellStyle name="LS Input Table No. 1 9 2 8" xfId="35291"/>
    <cellStyle name="LS Input Table No. 1 9 2 9" xfId="35292"/>
    <cellStyle name="LS Input Table No. 1 9 3" xfId="35293"/>
    <cellStyle name="LS Input Table No. 1 9 3 10" xfId="35294"/>
    <cellStyle name="LS Input Table No. 1 9 3 2" xfId="35295"/>
    <cellStyle name="LS Input Table No. 1 9 3 2 2" xfId="35296"/>
    <cellStyle name="LS Input Table No. 1 9 3 2 3" xfId="35297"/>
    <cellStyle name="LS Input Table No. 1 9 3 2 4" xfId="35298"/>
    <cellStyle name="LS Input Table No. 1 9 3 2 5" xfId="35299"/>
    <cellStyle name="LS Input Table No. 1 9 3 2 6" xfId="35300"/>
    <cellStyle name="LS Input Table No. 1 9 3 2 7" xfId="35301"/>
    <cellStyle name="LS Input Table No. 1 9 3 2 8" xfId="35302"/>
    <cellStyle name="LS Input Table No. 1 9 3 2 9" xfId="35303"/>
    <cellStyle name="LS Input Table No. 1 9 3 3" xfId="35304"/>
    <cellStyle name="LS Input Table No. 1 9 3 4" xfId="35305"/>
    <cellStyle name="LS Input Table No. 1 9 3 5" xfId="35306"/>
    <cellStyle name="LS Input Table No. 1 9 3 6" xfId="35307"/>
    <cellStyle name="LS Input Table No. 1 9 3 7" xfId="35308"/>
    <cellStyle name="LS Input Table No. 1 9 3 8" xfId="35309"/>
    <cellStyle name="LS Input Table No. 1 9 3 9" xfId="35310"/>
    <cellStyle name="LS Input Table No. 1 9 4" xfId="35311"/>
    <cellStyle name="LS Input Table No. 1 9 4 2" xfId="35312"/>
    <cellStyle name="LS Input Table No. 1 9 4 3" xfId="35313"/>
    <cellStyle name="LS Input Table No. 1 9 4 4" xfId="35314"/>
    <cellStyle name="LS Input Table No. 1 9 4 5" xfId="35315"/>
    <cellStyle name="LS Input Table No. 1 9 4 6" xfId="35316"/>
    <cellStyle name="LS Input Table No. 1 9 4 7" xfId="35317"/>
    <cellStyle name="LS Input Table No. 1 9 4 8" xfId="35318"/>
    <cellStyle name="LS Input Table No. 1 9 4 9" xfId="35319"/>
    <cellStyle name="LS Input Table No. 1 9 5" xfId="35320"/>
    <cellStyle name="LS Input Table No. 1 9 6" xfId="35321"/>
    <cellStyle name="LS Input Table No. 1 9 7" xfId="35322"/>
    <cellStyle name="LS Input Table No. 1 9 8" xfId="35323"/>
    <cellStyle name="LS Input Table No. 1 9 9" xfId="35324"/>
    <cellStyle name="LS Output Table No. 2+" xfId="35325"/>
    <cellStyle name="LS Output Table No. 2+ 10" xfId="35326"/>
    <cellStyle name="LS Output Table No. 2+ 10 10" xfId="35327"/>
    <cellStyle name="LS Output Table No. 2+ 10 11" xfId="35328"/>
    <cellStyle name="LS Output Table No. 2+ 10 2" xfId="35329"/>
    <cellStyle name="LS Output Table No. 2+ 10 2 10" xfId="35330"/>
    <cellStyle name="LS Output Table No. 2+ 10 2 2" xfId="35331"/>
    <cellStyle name="LS Output Table No. 2+ 10 2 2 2" xfId="35332"/>
    <cellStyle name="LS Output Table No. 2+ 10 2 2 3" xfId="35333"/>
    <cellStyle name="LS Output Table No. 2+ 10 2 2 4" xfId="35334"/>
    <cellStyle name="LS Output Table No. 2+ 10 2 2 5" xfId="35335"/>
    <cellStyle name="LS Output Table No. 2+ 10 2 2 6" xfId="35336"/>
    <cellStyle name="LS Output Table No. 2+ 10 2 2 7" xfId="35337"/>
    <cellStyle name="LS Output Table No. 2+ 10 2 2 8" xfId="35338"/>
    <cellStyle name="LS Output Table No. 2+ 10 2 2 9" xfId="35339"/>
    <cellStyle name="LS Output Table No. 2+ 10 2 3" xfId="35340"/>
    <cellStyle name="LS Output Table No. 2+ 10 2 4" xfId="35341"/>
    <cellStyle name="LS Output Table No. 2+ 10 2 5" xfId="35342"/>
    <cellStyle name="LS Output Table No. 2+ 10 2 6" xfId="35343"/>
    <cellStyle name="LS Output Table No. 2+ 10 2 7" xfId="35344"/>
    <cellStyle name="LS Output Table No. 2+ 10 2 8" xfId="35345"/>
    <cellStyle name="LS Output Table No. 2+ 10 2 9" xfId="35346"/>
    <cellStyle name="LS Output Table No. 2+ 10 3" xfId="35347"/>
    <cellStyle name="LS Output Table No. 2+ 10 3 2" xfId="35348"/>
    <cellStyle name="LS Output Table No. 2+ 10 3 3" xfId="35349"/>
    <cellStyle name="LS Output Table No. 2+ 10 3 4" xfId="35350"/>
    <cellStyle name="LS Output Table No. 2+ 10 3 5" xfId="35351"/>
    <cellStyle name="LS Output Table No. 2+ 10 3 6" xfId="35352"/>
    <cellStyle name="LS Output Table No. 2+ 10 3 7" xfId="35353"/>
    <cellStyle name="LS Output Table No. 2+ 10 3 8" xfId="35354"/>
    <cellStyle name="LS Output Table No. 2+ 10 3 9" xfId="35355"/>
    <cellStyle name="LS Output Table No. 2+ 10 4" xfId="35356"/>
    <cellStyle name="LS Output Table No. 2+ 10 5" xfId="35357"/>
    <cellStyle name="LS Output Table No. 2+ 10 6" xfId="35358"/>
    <cellStyle name="LS Output Table No. 2+ 10 7" xfId="35359"/>
    <cellStyle name="LS Output Table No. 2+ 10 8" xfId="35360"/>
    <cellStyle name="LS Output Table No. 2+ 10 9" xfId="35361"/>
    <cellStyle name="LS Output Table No. 2+ 11" xfId="35362"/>
    <cellStyle name="LS Output Table No. 2+ 11 10" xfId="35363"/>
    <cellStyle name="LS Output Table No. 2+ 11 11" xfId="35364"/>
    <cellStyle name="LS Output Table No. 2+ 11 2" xfId="35365"/>
    <cellStyle name="LS Output Table No. 2+ 11 2 10" xfId="35366"/>
    <cellStyle name="LS Output Table No. 2+ 11 2 2" xfId="35367"/>
    <cellStyle name="LS Output Table No. 2+ 11 2 2 2" xfId="35368"/>
    <cellStyle name="LS Output Table No. 2+ 11 2 2 3" xfId="35369"/>
    <cellStyle name="LS Output Table No. 2+ 11 2 2 4" xfId="35370"/>
    <cellStyle name="LS Output Table No. 2+ 11 2 2 5" xfId="35371"/>
    <cellStyle name="LS Output Table No. 2+ 11 2 2 6" xfId="35372"/>
    <cellStyle name="LS Output Table No. 2+ 11 2 2 7" xfId="35373"/>
    <cellStyle name="LS Output Table No. 2+ 11 2 2 8" xfId="35374"/>
    <cellStyle name="LS Output Table No. 2+ 11 2 2 9" xfId="35375"/>
    <cellStyle name="LS Output Table No. 2+ 11 2 3" xfId="35376"/>
    <cellStyle name="LS Output Table No. 2+ 11 2 4" xfId="35377"/>
    <cellStyle name="LS Output Table No. 2+ 11 2 5" xfId="35378"/>
    <cellStyle name="LS Output Table No. 2+ 11 2 6" xfId="35379"/>
    <cellStyle name="LS Output Table No. 2+ 11 2 7" xfId="35380"/>
    <cellStyle name="LS Output Table No. 2+ 11 2 8" xfId="35381"/>
    <cellStyle name="LS Output Table No. 2+ 11 2 9" xfId="35382"/>
    <cellStyle name="LS Output Table No. 2+ 11 3" xfId="35383"/>
    <cellStyle name="LS Output Table No. 2+ 11 3 2" xfId="35384"/>
    <cellStyle name="LS Output Table No. 2+ 11 3 3" xfId="35385"/>
    <cellStyle name="LS Output Table No. 2+ 11 3 4" xfId="35386"/>
    <cellStyle name="LS Output Table No. 2+ 11 3 5" xfId="35387"/>
    <cellStyle name="LS Output Table No. 2+ 11 3 6" xfId="35388"/>
    <cellStyle name="LS Output Table No. 2+ 11 3 7" xfId="35389"/>
    <cellStyle name="LS Output Table No. 2+ 11 3 8" xfId="35390"/>
    <cellStyle name="LS Output Table No. 2+ 11 3 9" xfId="35391"/>
    <cellStyle name="LS Output Table No. 2+ 11 4" xfId="35392"/>
    <cellStyle name="LS Output Table No. 2+ 11 5" xfId="35393"/>
    <cellStyle name="LS Output Table No. 2+ 11 6" xfId="35394"/>
    <cellStyle name="LS Output Table No. 2+ 11 7" xfId="35395"/>
    <cellStyle name="LS Output Table No. 2+ 11 8" xfId="35396"/>
    <cellStyle name="LS Output Table No. 2+ 11 9" xfId="35397"/>
    <cellStyle name="LS Output Table No. 2+ 12" xfId="35398"/>
    <cellStyle name="LS Output Table No. 2+ 12 10" xfId="35399"/>
    <cellStyle name="LS Output Table No. 2+ 12 2" xfId="35400"/>
    <cellStyle name="LS Output Table No. 2+ 12 2 2" xfId="35401"/>
    <cellStyle name="LS Output Table No. 2+ 12 2 3" xfId="35402"/>
    <cellStyle name="LS Output Table No. 2+ 12 2 4" xfId="35403"/>
    <cellStyle name="LS Output Table No. 2+ 12 2 5" xfId="35404"/>
    <cellStyle name="LS Output Table No. 2+ 12 2 6" xfId="35405"/>
    <cellStyle name="LS Output Table No. 2+ 12 2 7" xfId="35406"/>
    <cellStyle name="LS Output Table No. 2+ 12 2 8" xfId="35407"/>
    <cellStyle name="LS Output Table No. 2+ 12 2 9" xfId="35408"/>
    <cellStyle name="LS Output Table No. 2+ 12 3" xfId="35409"/>
    <cellStyle name="LS Output Table No. 2+ 12 4" xfId="35410"/>
    <cellStyle name="LS Output Table No. 2+ 12 5" xfId="35411"/>
    <cellStyle name="LS Output Table No. 2+ 12 6" xfId="35412"/>
    <cellStyle name="LS Output Table No. 2+ 12 7" xfId="35413"/>
    <cellStyle name="LS Output Table No. 2+ 12 8" xfId="35414"/>
    <cellStyle name="LS Output Table No. 2+ 12 9" xfId="35415"/>
    <cellStyle name="LS Output Table No. 2+ 13" xfId="35416"/>
    <cellStyle name="LS Output Table No. 2+ 13 2" xfId="35417"/>
    <cellStyle name="LS Output Table No. 2+ 13 3" xfId="35418"/>
    <cellStyle name="LS Output Table No. 2+ 13 4" xfId="35419"/>
    <cellStyle name="LS Output Table No. 2+ 13 5" xfId="35420"/>
    <cellStyle name="LS Output Table No. 2+ 13 6" xfId="35421"/>
    <cellStyle name="LS Output Table No. 2+ 13 7" xfId="35422"/>
    <cellStyle name="LS Output Table No. 2+ 13 8" xfId="35423"/>
    <cellStyle name="LS Output Table No. 2+ 13 9" xfId="35424"/>
    <cellStyle name="LS Output Table No. 2+ 14" xfId="35425"/>
    <cellStyle name="LS Output Table No. 2+ 15" xfId="35426"/>
    <cellStyle name="LS Output Table No. 2+ 16" xfId="35427"/>
    <cellStyle name="LS Output Table No. 2+ 17" xfId="35428"/>
    <cellStyle name="LS Output Table No. 2+ 2" xfId="35429"/>
    <cellStyle name="LS Output Table No. 2+ 2 10" xfId="35430"/>
    <cellStyle name="LS Output Table No. 2+ 2 11" xfId="35431"/>
    <cellStyle name="LS Output Table No. 2+ 2 12" xfId="35432"/>
    <cellStyle name="LS Output Table No. 2+ 2 13" xfId="35433"/>
    <cellStyle name="LS Output Table No. 2+ 2 14" xfId="35434"/>
    <cellStyle name="LS Output Table No. 2+ 2 15" xfId="35435"/>
    <cellStyle name="LS Output Table No. 2+ 2 16" xfId="35436"/>
    <cellStyle name="LS Output Table No. 2+ 2 17" xfId="35437"/>
    <cellStyle name="LS Output Table No. 2+ 2 18" xfId="35438"/>
    <cellStyle name="LS Output Table No. 2+ 2 2" xfId="35439"/>
    <cellStyle name="LS Output Table No. 2+ 2 2 10" xfId="35440"/>
    <cellStyle name="LS Output Table No. 2+ 2 2 11" xfId="35441"/>
    <cellStyle name="LS Output Table No. 2+ 2 2 12" xfId="35442"/>
    <cellStyle name="LS Output Table No. 2+ 2 2 13" xfId="35443"/>
    <cellStyle name="LS Output Table No. 2+ 2 2 2" xfId="35444"/>
    <cellStyle name="LS Output Table No. 2+ 2 2 2 10" xfId="35445"/>
    <cellStyle name="LS Output Table No. 2+ 2 2 2 11" xfId="35446"/>
    <cellStyle name="LS Output Table No. 2+ 2 2 2 12" xfId="35447"/>
    <cellStyle name="LS Output Table No. 2+ 2 2 2 2" xfId="35448"/>
    <cellStyle name="LS Output Table No. 2+ 2 2 2 2 10" xfId="35449"/>
    <cellStyle name="LS Output Table No. 2+ 2 2 2 2 11" xfId="35450"/>
    <cellStyle name="LS Output Table No. 2+ 2 2 2 2 2" xfId="35451"/>
    <cellStyle name="LS Output Table No. 2+ 2 2 2 2 2 10" xfId="35452"/>
    <cellStyle name="LS Output Table No. 2+ 2 2 2 2 2 2" xfId="35453"/>
    <cellStyle name="LS Output Table No. 2+ 2 2 2 2 2 2 2" xfId="35454"/>
    <cellStyle name="LS Output Table No. 2+ 2 2 2 2 2 2 3" xfId="35455"/>
    <cellStyle name="LS Output Table No. 2+ 2 2 2 2 2 2 4" xfId="35456"/>
    <cellStyle name="LS Output Table No. 2+ 2 2 2 2 2 2 5" xfId="35457"/>
    <cellStyle name="LS Output Table No. 2+ 2 2 2 2 2 2 6" xfId="35458"/>
    <cellStyle name="LS Output Table No. 2+ 2 2 2 2 2 2 7" xfId="35459"/>
    <cellStyle name="LS Output Table No. 2+ 2 2 2 2 2 2 8" xfId="35460"/>
    <cellStyle name="LS Output Table No. 2+ 2 2 2 2 2 2 9" xfId="35461"/>
    <cellStyle name="LS Output Table No. 2+ 2 2 2 2 2 3" xfId="35462"/>
    <cellStyle name="LS Output Table No. 2+ 2 2 2 2 2 4" xfId="35463"/>
    <cellStyle name="LS Output Table No. 2+ 2 2 2 2 2 5" xfId="35464"/>
    <cellStyle name="LS Output Table No. 2+ 2 2 2 2 2 6" xfId="35465"/>
    <cellStyle name="LS Output Table No. 2+ 2 2 2 2 2 7" xfId="35466"/>
    <cellStyle name="LS Output Table No. 2+ 2 2 2 2 2 8" xfId="35467"/>
    <cellStyle name="LS Output Table No. 2+ 2 2 2 2 2 9" xfId="35468"/>
    <cellStyle name="LS Output Table No. 2+ 2 2 2 2 3" xfId="35469"/>
    <cellStyle name="LS Output Table No. 2+ 2 2 2 2 3 2" xfId="35470"/>
    <cellStyle name="LS Output Table No. 2+ 2 2 2 2 3 3" xfId="35471"/>
    <cellStyle name="LS Output Table No. 2+ 2 2 2 2 3 4" xfId="35472"/>
    <cellStyle name="LS Output Table No. 2+ 2 2 2 2 3 5" xfId="35473"/>
    <cellStyle name="LS Output Table No. 2+ 2 2 2 2 3 6" xfId="35474"/>
    <cellStyle name="LS Output Table No. 2+ 2 2 2 2 3 7" xfId="35475"/>
    <cellStyle name="LS Output Table No. 2+ 2 2 2 2 3 8" xfId="35476"/>
    <cellStyle name="LS Output Table No. 2+ 2 2 2 2 3 9" xfId="35477"/>
    <cellStyle name="LS Output Table No. 2+ 2 2 2 2 4" xfId="35478"/>
    <cellStyle name="LS Output Table No. 2+ 2 2 2 2 5" xfId="35479"/>
    <cellStyle name="LS Output Table No. 2+ 2 2 2 2 6" xfId="35480"/>
    <cellStyle name="LS Output Table No. 2+ 2 2 2 2 7" xfId="35481"/>
    <cellStyle name="LS Output Table No. 2+ 2 2 2 2 8" xfId="35482"/>
    <cellStyle name="LS Output Table No. 2+ 2 2 2 2 9" xfId="35483"/>
    <cellStyle name="LS Output Table No. 2+ 2 2 2 3" xfId="35484"/>
    <cellStyle name="LS Output Table No. 2+ 2 2 2 3 10" xfId="35485"/>
    <cellStyle name="LS Output Table No. 2+ 2 2 2 3 2" xfId="35486"/>
    <cellStyle name="LS Output Table No. 2+ 2 2 2 3 2 2" xfId="35487"/>
    <cellStyle name="LS Output Table No. 2+ 2 2 2 3 2 3" xfId="35488"/>
    <cellStyle name="LS Output Table No. 2+ 2 2 2 3 2 4" xfId="35489"/>
    <cellStyle name="LS Output Table No. 2+ 2 2 2 3 2 5" xfId="35490"/>
    <cellStyle name="LS Output Table No. 2+ 2 2 2 3 2 6" xfId="35491"/>
    <cellStyle name="LS Output Table No. 2+ 2 2 2 3 2 7" xfId="35492"/>
    <cellStyle name="LS Output Table No. 2+ 2 2 2 3 2 8" xfId="35493"/>
    <cellStyle name="LS Output Table No. 2+ 2 2 2 3 2 9" xfId="35494"/>
    <cellStyle name="LS Output Table No. 2+ 2 2 2 3 3" xfId="35495"/>
    <cellStyle name="LS Output Table No. 2+ 2 2 2 3 4" xfId="35496"/>
    <cellStyle name="LS Output Table No. 2+ 2 2 2 3 5" xfId="35497"/>
    <cellStyle name="LS Output Table No. 2+ 2 2 2 3 6" xfId="35498"/>
    <cellStyle name="LS Output Table No. 2+ 2 2 2 3 7" xfId="35499"/>
    <cellStyle name="LS Output Table No. 2+ 2 2 2 3 8" xfId="35500"/>
    <cellStyle name="LS Output Table No. 2+ 2 2 2 3 9" xfId="35501"/>
    <cellStyle name="LS Output Table No. 2+ 2 2 2 4" xfId="35502"/>
    <cellStyle name="LS Output Table No. 2+ 2 2 2 4 2" xfId="35503"/>
    <cellStyle name="LS Output Table No. 2+ 2 2 2 4 3" xfId="35504"/>
    <cellStyle name="LS Output Table No. 2+ 2 2 2 4 4" xfId="35505"/>
    <cellStyle name="LS Output Table No. 2+ 2 2 2 4 5" xfId="35506"/>
    <cellStyle name="LS Output Table No. 2+ 2 2 2 4 6" xfId="35507"/>
    <cellStyle name="LS Output Table No. 2+ 2 2 2 4 7" xfId="35508"/>
    <cellStyle name="LS Output Table No. 2+ 2 2 2 4 8" xfId="35509"/>
    <cellStyle name="LS Output Table No. 2+ 2 2 2 4 9" xfId="35510"/>
    <cellStyle name="LS Output Table No. 2+ 2 2 2 5" xfId="35511"/>
    <cellStyle name="LS Output Table No. 2+ 2 2 2 6" xfId="35512"/>
    <cellStyle name="LS Output Table No. 2+ 2 2 2 7" xfId="35513"/>
    <cellStyle name="LS Output Table No. 2+ 2 2 2 8" xfId="35514"/>
    <cellStyle name="LS Output Table No. 2+ 2 2 2 9" xfId="35515"/>
    <cellStyle name="LS Output Table No. 2+ 2 2 3" xfId="35516"/>
    <cellStyle name="LS Output Table No. 2+ 2 2 3 10" xfId="35517"/>
    <cellStyle name="LS Output Table No. 2+ 2 2 3 11" xfId="35518"/>
    <cellStyle name="LS Output Table No. 2+ 2 2 3 2" xfId="35519"/>
    <cellStyle name="LS Output Table No. 2+ 2 2 3 2 10" xfId="35520"/>
    <cellStyle name="LS Output Table No. 2+ 2 2 3 2 2" xfId="35521"/>
    <cellStyle name="LS Output Table No. 2+ 2 2 3 2 2 2" xfId="35522"/>
    <cellStyle name="LS Output Table No. 2+ 2 2 3 2 2 3" xfId="35523"/>
    <cellStyle name="LS Output Table No. 2+ 2 2 3 2 2 4" xfId="35524"/>
    <cellStyle name="LS Output Table No. 2+ 2 2 3 2 2 5" xfId="35525"/>
    <cellStyle name="LS Output Table No. 2+ 2 2 3 2 2 6" xfId="35526"/>
    <cellStyle name="LS Output Table No. 2+ 2 2 3 2 2 7" xfId="35527"/>
    <cellStyle name="LS Output Table No. 2+ 2 2 3 2 2 8" xfId="35528"/>
    <cellStyle name="LS Output Table No. 2+ 2 2 3 2 2 9" xfId="35529"/>
    <cellStyle name="LS Output Table No. 2+ 2 2 3 2 3" xfId="35530"/>
    <cellStyle name="LS Output Table No. 2+ 2 2 3 2 4" xfId="35531"/>
    <cellStyle name="LS Output Table No. 2+ 2 2 3 2 5" xfId="35532"/>
    <cellStyle name="LS Output Table No. 2+ 2 2 3 2 6" xfId="35533"/>
    <cellStyle name="LS Output Table No. 2+ 2 2 3 2 7" xfId="35534"/>
    <cellStyle name="LS Output Table No. 2+ 2 2 3 2 8" xfId="35535"/>
    <cellStyle name="LS Output Table No. 2+ 2 2 3 2 9" xfId="35536"/>
    <cellStyle name="LS Output Table No. 2+ 2 2 3 3" xfId="35537"/>
    <cellStyle name="LS Output Table No. 2+ 2 2 3 3 2" xfId="35538"/>
    <cellStyle name="LS Output Table No. 2+ 2 2 3 3 3" xfId="35539"/>
    <cellStyle name="LS Output Table No. 2+ 2 2 3 3 4" xfId="35540"/>
    <cellStyle name="LS Output Table No. 2+ 2 2 3 3 5" xfId="35541"/>
    <cellStyle name="LS Output Table No. 2+ 2 2 3 3 6" xfId="35542"/>
    <cellStyle name="LS Output Table No. 2+ 2 2 3 3 7" xfId="35543"/>
    <cellStyle name="LS Output Table No. 2+ 2 2 3 3 8" xfId="35544"/>
    <cellStyle name="LS Output Table No. 2+ 2 2 3 3 9" xfId="35545"/>
    <cellStyle name="LS Output Table No. 2+ 2 2 3 4" xfId="35546"/>
    <cellStyle name="LS Output Table No. 2+ 2 2 3 5" xfId="35547"/>
    <cellStyle name="LS Output Table No. 2+ 2 2 3 6" xfId="35548"/>
    <cellStyle name="LS Output Table No. 2+ 2 2 3 7" xfId="35549"/>
    <cellStyle name="LS Output Table No. 2+ 2 2 3 8" xfId="35550"/>
    <cellStyle name="LS Output Table No. 2+ 2 2 3 9" xfId="35551"/>
    <cellStyle name="LS Output Table No. 2+ 2 2 4" xfId="35552"/>
    <cellStyle name="LS Output Table No. 2+ 2 2 4 10" xfId="35553"/>
    <cellStyle name="LS Output Table No. 2+ 2 2 4 2" xfId="35554"/>
    <cellStyle name="LS Output Table No. 2+ 2 2 4 2 2" xfId="35555"/>
    <cellStyle name="LS Output Table No. 2+ 2 2 4 2 3" xfId="35556"/>
    <cellStyle name="LS Output Table No. 2+ 2 2 4 2 4" xfId="35557"/>
    <cellStyle name="LS Output Table No. 2+ 2 2 4 2 5" xfId="35558"/>
    <cellStyle name="LS Output Table No. 2+ 2 2 4 2 6" xfId="35559"/>
    <cellStyle name="LS Output Table No. 2+ 2 2 4 2 7" xfId="35560"/>
    <cellStyle name="LS Output Table No. 2+ 2 2 4 2 8" xfId="35561"/>
    <cellStyle name="LS Output Table No. 2+ 2 2 4 2 9" xfId="35562"/>
    <cellStyle name="LS Output Table No. 2+ 2 2 4 3" xfId="35563"/>
    <cellStyle name="LS Output Table No. 2+ 2 2 4 4" xfId="35564"/>
    <cellStyle name="LS Output Table No. 2+ 2 2 4 5" xfId="35565"/>
    <cellStyle name="LS Output Table No. 2+ 2 2 4 6" xfId="35566"/>
    <cellStyle name="LS Output Table No. 2+ 2 2 4 7" xfId="35567"/>
    <cellStyle name="LS Output Table No. 2+ 2 2 4 8" xfId="35568"/>
    <cellStyle name="LS Output Table No. 2+ 2 2 4 9" xfId="35569"/>
    <cellStyle name="LS Output Table No. 2+ 2 2 5" xfId="35570"/>
    <cellStyle name="LS Output Table No. 2+ 2 2 5 2" xfId="35571"/>
    <cellStyle name="LS Output Table No. 2+ 2 2 5 3" xfId="35572"/>
    <cellStyle name="LS Output Table No. 2+ 2 2 5 4" xfId="35573"/>
    <cellStyle name="LS Output Table No. 2+ 2 2 5 5" xfId="35574"/>
    <cellStyle name="LS Output Table No. 2+ 2 2 5 6" xfId="35575"/>
    <cellStyle name="LS Output Table No. 2+ 2 2 5 7" xfId="35576"/>
    <cellStyle name="LS Output Table No. 2+ 2 2 5 8" xfId="35577"/>
    <cellStyle name="LS Output Table No. 2+ 2 2 5 9" xfId="35578"/>
    <cellStyle name="LS Output Table No. 2+ 2 2 6" xfId="35579"/>
    <cellStyle name="LS Output Table No. 2+ 2 2 7" xfId="35580"/>
    <cellStyle name="LS Output Table No. 2+ 2 2 8" xfId="35581"/>
    <cellStyle name="LS Output Table No. 2+ 2 2 9" xfId="35582"/>
    <cellStyle name="LS Output Table No. 2+ 2 3" xfId="35583"/>
    <cellStyle name="LS Output Table No. 2+ 2 3 10" xfId="35584"/>
    <cellStyle name="LS Output Table No. 2+ 2 3 11" xfId="35585"/>
    <cellStyle name="LS Output Table No. 2+ 2 3 12" xfId="35586"/>
    <cellStyle name="LS Output Table No. 2+ 2 3 2" xfId="35587"/>
    <cellStyle name="LS Output Table No. 2+ 2 3 2 10" xfId="35588"/>
    <cellStyle name="LS Output Table No. 2+ 2 3 2 11" xfId="35589"/>
    <cellStyle name="LS Output Table No. 2+ 2 3 2 2" xfId="35590"/>
    <cellStyle name="LS Output Table No. 2+ 2 3 2 2 10" xfId="35591"/>
    <cellStyle name="LS Output Table No. 2+ 2 3 2 2 2" xfId="35592"/>
    <cellStyle name="LS Output Table No. 2+ 2 3 2 2 2 2" xfId="35593"/>
    <cellStyle name="LS Output Table No. 2+ 2 3 2 2 2 3" xfId="35594"/>
    <cellStyle name="LS Output Table No. 2+ 2 3 2 2 2 4" xfId="35595"/>
    <cellStyle name="LS Output Table No. 2+ 2 3 2 2 2 5" xfId="35596"/>
    <cellStyle name="LS Output Table No. 2+ 2 3 2 2 2 6" xfId="35597"/>
    <cellStyle name="LS Output Table No. 2+ 2 3 2 2 2 7" xfId="35598"/>
    <cellStyle name="LS Output Table No. 2+ 2 3 2 2 2 8" xfId="35599"/>
    <cellStyle name="LS Output Table No. 2+ 2 3 2 2 2 9" xfId="35600"/>
    <cellStyle name="LS Output Table No. 2+ 2 3 2 2 3" xfId="35601"/>
    <cellStyle name="LS Output Table No. 2+ 2 3 2 2 4" xfId="35602"/>
    <cellStyle name="LS Output Table No. 2+ 2 3 2 2 5" xfId="35603"/>
    <cellStyle name="LS Output Table No. 2+ 2 3 2 2 6" xfId="35604"/>
    <cellStyle name="LS Output Table No. 2+ 2 3 2 2 7" xfId="35605"/>
    <cellStyle name="LS Output Table No. 2+ 2 3 2 2 8" xfId="35606"/>
    <cellStyle name="LS Output Table No. 2+ 2 3 2 2 9" xfId="35607"/>
    <cellStyle name="LS Output Table No. 2+ 2 3 2 3" xfId="35608"/>
    <cellStyle name="LS Output Table No. 2+ 2 3 2 3 2" xfId="35609"/>
    <cellStyle name="LS Output Table No. 2+ 2 3 2 3 3" xfId="35610"/>
    <cellStyle name="LS Output Table No. 2+ 2 3 2 3 4" xfId="35611"/>
    <cellStyle name="LS Output Table No. 2+ 2 3 2 3 5" xfId="35612"/>
    <cellStyle name="LS Output Table No. 2+ 2 3 2 3 6" xfId="35613"/>
    <cellStyle name="LS Output Table No. 2+ 2 3 2 3 7" xfId="35614"/>
    <cellStyle name="LS Output Table No. 2+ 2 3 2 3 8" xfId="35615"/>
    <cellStyle name="LS Output Table No. 2+ 2 3 2 3 9" xfId="35616"/>
    <cellStyle name="LS Output Table No. 2+ 2 3 2 4" xfId="35617"/>
    <cellStyle name="LS Output Table No. 2+ 2 3 2 5" xfId="35618"/>
    <cellStyle name="LS Output Table No. 2+ 2 3 2 6" xfId="35619"/>
    <cellStyle name="LS Output Table No. 2+ 2 3 2 7" xfId="35620"/>
    <cellStyle name="LS Output Table No. 2+ 2 3 2 8" xfId="35621"/>
    <cellStyle name="LS Output Table No. 2+ 2 3 2 9" xfId="35622"/>
    <cellStyle name="LS Output Table No. 2+ 2 3 3" xfId="35623"/>
    <cellStyle name="LS Output Table No. 2+ 2 3 3 10" xfId="35624"/>
    <cellStyle name="LS Output Table No. 2+ 2 3 3 2" xfId="35625"/>
    <cellStyle name="LS Output Table No. 2+ 2 3 3 2 2" xfId="35626"/>
    <cellStyle name="LS Output Table No. 2+ 2 3 3 2 3" xfId="35627"/>
    <cellStyle name="LS Output Table No. 2+ 2 3 3 2 4" xfId="35628"/>
    <cellStyle name="LS Output Table No. 2+ 2 3 3 2 5" xfId="35629"/>
    <cellStyle name="LS Output Table No. 2+ 2 3 3 2 6" xfId="35630"/>
    <cellStyle name="LS Output Table No. 2+ 2 3 3 2 7" xfId="35631"/>
    <cellStyle name="LS Output Table No. 2+ 2 3 3 2 8" xfId="35632"/>
    <cellStyle name="LS Output Table No. 2+ 2 3 3 2 9" xfId="35633"/>
    <cellStyle name="LS Output Table No. 2+ 2 3 3 3" xfId="35634"/>
    <cellStyle name="LS Output Table No. 2+ 2 3 3 4" xfId="35635"/>
    <cellStyle name="LS Output Table No. 2+ 2 3 3 5" xfId="35636"/>
    <cellStyle name="LS Output Table No. 2+ 2 3 3 6" xfId="35637"/>
    <cellStyle name="LS Output Table No. 2+ 2 3 3 7" xfId="35638"/>
    <cellStyle name="LS Output Table No. 2+ 2 3 3 8" xfId="35639"/>
    <cellStyle name="LS Output Table No. 2+ 2 3 3 9" xfId="35640"/>
    <cellStyle name="LS Output Table No. 2+ 2 3 4" xfId="35641"/>
    <cellStyle name="LS Output Table No. 2+ 2 3 4 2" xfId="35642"/>
    <cellStyle name="LS Output Table No. 2+ 2 3 4 3" xfId="35643"/>
    <cellStyle name="LS Output Table No. 2+ 2 3 4 4" xfId="35644"/>
    <cellStyle name="LS Output Table No. 2+ 2 3 4 5" xfId="35645"/>
    <cellStyle name="LS Output Table No. 2+ 2 3 4 6" xfId="35646"/>
    <cellStyle name="LS Output Table No. 2+ 2 3 4 7" xfId="35647"/>
    <cellStyle name="LS Output Table No. 2+ 2 3 4 8" xfId="35648"/>
    <cellStyle name="LS Output Table No. 2+ 2 3 4 9" xfId="35649"/>
    <cellStyle name="LS Output Table No. 2+ 2 3 5" xfId="35650"/>
    <cellStyle name="LS Output Table No. 2+ 2 3 6" xfId="35651"/>
    <cellStyle name="LS Output Table No. 2+ 2 3 7" xfId="35652"/>
    <cellStyle name="LS Output Table No. 2+ 2 3 8" xfId="35653"/>
    <cellStyle name="LS Output Table No. 2+ 2 3 9" xfId="35654"/>
    <cellStyle name="LS Output Table No. 2+ 2 4" xfId="35655"/>
    <cellStyle name="LS Output Table No. 2+ 2 4 10" xfId="35656"/>
    <cellStyle name="LS Output Table No. 2+ 2 4 11" xfId="35657"/>
    <cellStyle name="LS Output Table No. 2+ 2 4 12" xfId="35658"/>
    <cellStyle name="LS Output Table No. 2+ 2 4 2" xfId="35659"/>
    <cellStyle name="LS Output Table No. 2+ 2 4 2 10" xfId="35660"/>
    <cellStyle name="LS Output Table No. 2+ 2 4 2 11" xfId="35661"/>
    <cellStyle name="LS Output Table No. 2+ 2 4 2 2" xfId="35662"/>
    <cellStyle name="LS Output Table No. 2+ 2 4 2 2 10" xfId="35663"/>
    <cellStyle name="LS Output Table No. 2+ 2 4 2 2 2" xfId="35664"/>
    <cellStyle name="LS Output Table No. 2+ 2 4 2 2 2 2" xfId="35665"/>
    <cellStyle name="LS Output Table No. 2+ 2 4 2 2 2 3" xfId="35666"/>
    <cellStyle name="LS Output Table No. 2+ 2 4 2 2 2 4" xfId="35667"/>
    <cellStyle name="LS Output Table No. 2+ 2 4 2 2 2 5" xfId="35668"/>
    <cellStyle name="LS Output Table No. 2+ 2 4 2 2 2 6" xfId="35669"/>
    <cellStyle name="LS Output Table No. 2+ 2 4 2 2 2 7" xfId="35670"/>
    <cellStyle name="LS Output Table No. 2+ 2 4 2 2 2 8" xfId="35671"/>
    <cellStyle name="LS Output Table No. 2+ 2 4 2 2 2 9" xfId="35672"/>
    <cellStyle name="LS Output Table No. 2+ 2 4 2 2 3" xfId="35673"/>
    <cellStyle name="LS Output Table No. 2+ 2 4 2 2 4" xfId="35674"/>
    <cellStyle name="LS Output Table No. 2+ 2 4 2 2 5" xfId="35675"/>
    <cellStyle name="LS Output Table No. 2+ 2 4 2 2 6" xfId="35676"/>
    <cellStyle name="LS Output Table No. 2+ 2 4 2 2 7" xfId="35677"/>
    <cellStyle name="LS Output Table No. 2+ 2 4 2 2 8" xfId="35678"/>
    <cellStyle name="LS Output Table No. 2+ 2 4 2 2 9" xfId="35679"/>
    <cellStyle name="LS Output Table No. 2+ 2 4 2 3" xfId="35680"/>
    <cellStyle name="LS Output Table No. 2+ 2 4 2 3 2" xfId="35681"/>
    <cellStyle name="LS Output Table No. 2+ 2 4 2 3 3" xfId="35682"/>
    <cellStyle name="LS Output Table No. 2+ 2 4 2 3 4" xfId="35683"/>
    <cellStyle name="LS Output Table No. 2+ 2 4 2 3 5" xfId="35684"/>
    <cellStyle name="LS Output Table No. 2+ 2 4 2 3 6" xfId="35685"/>
    <cellStyle name="LS Output Table No. 2+ 2 4 2 3 7" xfId="35686"/>
    <cellStyle name="LS Output Table No. 2+ 2 4 2 3 8" xfId="35687"/>
    <cellStyle name="LS Output Table No. 2+ 2 4 2 3 9" xfId="35688"/>
    <cellStyle name="LS Output Table No. 2+ 2 4 2 4" xfId="35689"/>
    <cellStyle name="LS Output Table No. 2+ 2 4 2 5" xfId="35690"/>
    <cellStyle name="LS Output Table No. 2+ 2 4 2 6" xfId="35691"/>
    <cellStyle name="LS Output Table No. 2+ 2 4 2 7" xfId="35692"/>
    <cellStyle name="LS Output Table No. 2+ 2 4 2 8" xfId="35693"/>
    <cellStyle name="LS Output Table No. 2+ 2 4 2 9" xfId="35694"/>
    <cellStyle name="LS Output Table No. 2+ 2 4 3" xfId="35695"/>
    <cellStyle name="LS Output Table No. 2+ 2 4 3 10" xfId="35696"/>
    <cellStyle name="LS Output Table No. 2+ 2 4 3 2" xfId="35697"/>
    <cellStyle name="LS Output Table No. 2+ 2 4 3 2 2" xfId="35698"/>
    <cellStyle name="LS Output Table No. 2+ 2 4 3 2 3" xfId="35699"/>
    <cellStyle name="LS Output Table No. 2+ 2 4 3 2 4" xfId="35700"/>
    <cellStyle name="LS Output Table No. 2+ 2 4 3 2 5" xfId="35701"/>
    <cellStyle name="LS Output Table No. 2+ 2 4 3 2 6" xfId="35702"/>
    <cellStyle name="LS Output Table No. 2+ 2 4 3 2 7" xfId="35703"/>
    <cellStyle name="LS Output Table No. 2+ 2 4 3 2 8" xfId="35704"/>
    <cellStyle name="LS Output Table No. 2+ 2 4 3 2 9" xfId="35705"/>
    <cellStyle name="LS Output Table No. 2+ 2 4 3 3" xfId="35706"/>
    <cellStyle name="LS Output Table No. 2+ 2 4 3 4" xfId="35707"/>
    <cellStyle name="LS Output Table No. 2+ 2 4 3 5" xfId="35708"/>
    <cellStyle name="LS Output Table No. 2+ 2 4 3 6" xfId="35709"/>
    <cellStyle name="LS Output Table No. 2+ 2 4 3 7" xfId="35710"/>
    <cellStyle name="LS Output Table No. 2+ 2 4 3 8" xfId="35711"/>
    <cellStyle name="LS Output Table No. 2+ 2 4 3 9" xfId="35712"/>
    <cellStyle name="LS Output Table No. 2+ 2 4 4" xfId="35713"/>
    <cellStyle name="LS Output Table No. 2+ 2 4 4 2" xfId="35714"/>
    <cellStyle name="LS Output Table No. 2+ 2 4 4 3" xfId="35715"/>
    <cellStyle name="LS Output Table No. 2+ 2 4 4 4" xfId="35716"/>
    <cellStyle name="LS Output Table No. 2+ 2 4 4 5" xfId="35717"/>
    <cellStyle name="LS Output Table No. 2+ 2 4 4 6" xfId="35718"/>
    <cellStyle name="LS Output Table No. 2+ 2 4 4 7" xfId="35719"/>
    <cellStyle name="LS Output Table No. 2+ 2 4 4 8" xfId="35720"/>
    <cellStyle name="LS Output Table No. 2+ 2 4 4 9" xfId="35721"/>
    <cellStyle name="LS Output Table No. 2+ 2 4 5" xfId="35722"/>
    <cellStyle name="LS Output Table No. 2+ 2 4 6" xfId="35723"/>
    <cellStyle name="LS Output Table No. 2+ 2 4 7" xfId="35724"/>
    <cellStyle name="LS Output Table No. 2+ 2 4 8" xfId="35725"/>
    <cellStyle name="LS Output Table No. 2+ 2 4 9" xfId="35726"/>
    <cellStyle name="LS Output Table No. 2+ 2 5" xfId="35727"/>
    <cellStyle name="LS Output Table No. 2+ 2 5 10" xfId="35728"/>
    <cellStyle name="LS Output Table No. 2+ 2 5 11" xfId="35729"/>
    <cellStyle name="LS Output Table No. 2+ 2 5 12" xfId="35730"/>
    <cellStyle name="LS Output Table No. 2+ 2 5 2" xfId="35731"/>
    <cellStyle name="LS Output Table No. 2+ 2 5 2 10" xfId="35732"/>
    <cellStyle name="LS Output Table No. 2+ 2 5 2 11" xfId="35733"/>
    <cellStyle name="LS Output Table No. 2+ 2 5 2 2" xfId="35734"/>
    <cellStyle name="LS Output Table No. 2+ 2 5 2 2 10" xfId="35735"/>
    <cellStyle name="LS Output Table No. 2+ 2 5 2 2 2" xfId="35736"/>
    <cellStyle name="LS Output Table No. 2+ 2 5 2 2 2 2" xfId="35737"/>
    <cellStyle name="LS Output Table No. 2+ 2 5 2 2 2 3" xfId="35738"/>
    <cellStyle name="LS Output Table No. 2+ 2 5 2 2 2 4" xfId="35739"/>
    <cellStyle name="LS Output Table No. 2+ 2 5 2 2 2 5" xfId="35740"/>
    <cellStyle name="LS Output Table No. 2+ 2 5 2 2 2 6" xfId="35741"/>
    <cellStyle name="LS Output Table No. 2+ 2 5 2 2 2 7" xfId="35742"/>
    <cellStyle name="LS Output Table No. 2+ 2 5 2 2 2 8" xfId="35743"/>
    <cellStyle name="LS Output Table No. 2+ 2 5 2 2 2 9" xfId="35744"/>
    <cellStyle name="LS Output Table No. 2+ 2 5 2 2 3" xfId="35745"/>
    <cellStyle name="LS Output Table No. 2+ 2 5 2 2 4" xfId="35746"/>
    <cellStyle name="LS Output Table No. 2+ 2 5 2 2 5" xfId="35747"/>
    <cellStyle name="LS Output Table No. 2+ 2 5 2 2 6" xfId="35748"/>
    <cellStyle name="LS Output Table No. 2+ 2 5 2 2 7" xfId="35749"/>
    <cellStyle name="LS Output Table No. 2+ 2 5 2 2 8" xfId="35750"/>
    <cellStyle name="LS Output Table No. 2+ 2 5 2 2 9" xfId="35751"/>
    <cellStyle name="LS Output Table No. 2+ 2 5 2 3" xfId="35752"/>
    <cellStyle name="LS Output Table No. 2+ 2 5 2 3 2" xfId="35753"/>
    <cellStyle name="LS Output Table No. 2+ 2 5 2 3 3" xfId="35754"/>
    <cellStyle name="LS Output Table No. 2+ 2 5 2 3 4" xfId="35755"/>
    <cellStyle name="LS Output Table No. 2+ 2 5 2 3 5" xfId="35756"/>
    <cellStyle name="LS Output Table No. 2+ 2 5 2 3 6" xfId="35757"/>
    <cellStyle name="LS Output Table No. 2+ 2 5 2 3 7" xfId="35758"/>
    <cellStyle name="LS Output Table No. 2+ 2 5 2 3 8" xfId="35759"/>
    <cellStyle name="LS Output Table No. 2+ 2 5 2 3 9" xfId="35760"/>
    <cellStyle name="LS Output Table No. 2+ 2 5 2 4" xfId="35761"/>
    <cellStyle name="LS Output Table No. 2+ 2 5 2 5" xfId="35762"/>
    <cellStyle name="LS Output Table No. 2+ 2 5 2 6" xfId="35763"/>
    <cellStyle name="LS Output Table No. 2+ 2 5 2 7" xfId="35764"/>
    <cellStyle name="LS Output Table No. 2+ 2 5 2 8" xfId="35765"/>
    <cellStyle name="LS Output Table No. 2+ 2 5 2 9" xfId="35766"/>
    <cellStyle name="LS Output Table No. 2+ 2 5 3" xfId="35767"/>
    <cellStyle name="LS Output Table No. 2+ 2 5 3 10" xfId="35768"/>
    <cellStyle name="LS Output Table No. 2+ 2 5 3 2" xfId="35769"/>
    <cellStyle name="LS Output Table No. 2+ 2 5 3 2 2" xfId="35770"/>
    <cellStyle name="LS Output Table No. 2+ 2 5 3 2 3" xfId="35771"/>
    <cellStyle name="LS Output Table No. 2+ 2 5 3 2 4" xfId="35772"/>
    <cellStyle name="LS Output Table No. 2+ 2 5 3 2 5" xfId="35773"/>
    <cellStyle name="LS Output Table No. 2+ 2 5 3 2 6" xfId="35774"/>
    <cellStyle name="LS Output Table No. 2+ 2 5 3 2 7" xfId="35775"/>
    <cellStyle name="LS Output Table No. 2+ 2 5 3 2 8" xfId="35776"/>
    <cellStyle name="LS Output Table No. 2+ 2 5 3 2 9" xfId="35777"/>
    <cellStyle name="LS Output Table No. 2+ 2 5 3 3" xfId="35778"/>
    <cellStyle name="LS Output Table No. 2+ 2 5 3 4" xfId="35779"/>
    <cellStyle name="LS Output Table No. 2+ 2 5 3 5" xfId="35780"/>
    <cellStyle name="LS Output Table No. 2+ 2 5 3 6" xfId="35781"/>
    <cellStyle name="LS Output Table No. 2+ 2 5 3 7" xfId="35782"/>
    <cellStyle name="LS Output Table No. 2+ 2 5 3 8" xfId="35783"/>
    <cellStyle name="LS Output Table No. 2+ 2 5 3 9" xfId="35784"/>
    <cellStyle name="LS Output Table No. 2+ 2 5 4" xfId="35785"/>
    <cellStyle name="LS Output Table No. 2+ 2 5 4 2" xfId="35786"/>
    <cellStyle name="LS Output Table No. 2+ 2 5 4 3" xfId="35787"/>
    <cellStyle name="LS Output Table No. 2+ 2 5 4 4" xfId="35788"/>
    <cellStyle name="LS Output Table No. 2+ 2 5 4 5" xfId="35789"/>
    <cellStyle name="LS Output Table No. 2+ 2 5 4 6" xfId="35790"/>
    <cellStyle name="LS Output Table No. 2+ 2 5 4 7" xfId="35791"/>
    <cellStyle name="LS Output Table No. 2+ 2 5 4 8" xfId="35792"/>
    <cellStyle name="LS Output Table No. 2+ 2 5 4 9" xfId="35793"/>
    <cellStyle name="LS Output Table No. 2+ 2 5 5" xfId="35794"/>
    <cellStyle name="LS Output Table No. 2+ 2 5 6" xfId="35795"/>
    <cellStyle name="LS Output Table No. 2+ 2 5 7" xfId="35796"/>
    <cellStyle name="LS Output Table No. 2+ 2 5 8" xfId="35797"/>
    <cellStyle name="LS Output Table No. 2+ 2 5 9" xfId="35798"/>
    <cellStyle name="LS Output Table No. 2+ 2 6" xfId="35799"/>
    <cellStyle name="LS Output Table No. 2+ 2 6 10" xfId="35800"/>
    <cellStyle name="LS Output Table No. 2+ 2 6 11" xfId="35801"/>
    <cellStyle name="LS Output Table No. 2+ 2 6 2" xfId="35802"/>
    <cellStyle name="LS Output Table No. 2+ 2 6 2 10" xfId="35803"/>
    <cellStyle name="LS Output Table No. 2+ 2 6 2 2" xfId="35804"/>
    <cellStyle name="LS Output Table No. 2+ 2 6 2 2 2" xfId="35805"/>
    <cellStyle name="LS Output Table No. 2+ 2 6 2 2 3" xfId="35806"/>
    <cellStyle name="LS Output Table No. 2+ 2 6 2 2 4" xfId="35807"/>
    <cellStyle name="LS Output Table No. 2+ 2 6 2 2 5" xfId="35808"/>
    <cellStyle name="LS Output Table No. 2+ 2 6 2 2 6" xfId="35809"/>
    <cellStyle name="LS Output Table No. 2+ 2 6 2 2 7" xfId="35810"/>
    <cellStyle name="LS Output Table No. 2+ 2 6 2 2 8" xfId="35811"/>
    <cellStyle name="LS Output Table No. 2+ 2 6 2 2 9" xfId="35812"/>
    <cellStyle name="LS Output Table No. 2+ 2 6 2 3" xfId="35813"/>
    <cellStyle name="LS Output Table No. 2+ 2 6 2 4" xfId="35814"/>
    <cellStyle name="LS Output Table No. 2+ 2 6 2 5" xfId="35815"/>
    <cellStyle name="LS Output Table No. 2+ 2 6 2 6" xfId="35816"/>
    <cellStyle name="LS Output Table No. 2+ 2 6 2 7" xfId="35817"/>
    <cellStyle name="LS Output Table No. 2+ 2 6 2 8" xfId="35818"/>
    <cellStyle name="LS Output Table No. 2+ 2 6 2 9" xfId="35819"/>
    <cellStyle name="LS Output Table No. 2+ 2 6 3" xfId="35820"/>
    <cellStyle name="LS Output Table No. 2+ 2 6 3 2" xfId="35821"/>
    <cellStyle name="LS Output Table No. 2+ 2 6 3 3" xfId="35822"/>
    <cellStyle name="LS Output Table No. 2+ 2 6 3 4" xfId="35823"/>
    <cellStyle name="LS Output Table No. 2+ 2 6 3 5" xfId="35824"/>
    <cellStyle name="LS Output Table No. 2+ 2 6 3 6" xfId="35825"/>
    <cellStyle name="LS Output Table No. 2+ 2 6 3 7" xfId="35826"/>
    <cellStyle name="LS Output Table No. 2+ 2 6 3 8" xfId="35827"/>
    <cellStyle name="LS Output Table No. 2+ 2 6 3 9" xfId="35828"/>
    <cellStyle name="LS Output Table No. 2+ 2 6 4" xfId="35829"/>
    <cellStyle name="LS Output Table No. 2+ 2 6 5" xfId="35830"/>
    <cellStyle name="LS Output Table No. 2+ 2 6 6" xfId="35831"/>
    <cellStyle name="LS Output Table No. 2+ 2 6 7" xfId="35832"/>
    <cellStyle name="LS Output Table No. 2+ 2 6 8" xfId="35833"/>
    <cellStyle name="LS Output Table No. 2+ 2 6 9" xfId="35834"/>
    <cellStyle name="LS Output Table No. 2+ 2 7" xfId="35835"/>
    <cellStyle name="LS Output Table No. 2+ 2 7 10" xfId="35836"/>
    <cellStyle name="LS Output Table No. 2+ 2 7 11" xfId="35837"/>
    <cellStyle name="LS Output Table No. 2+ 2 7 2" xfId="35838"/>
    <cellStyle name="LS Output Table No. 2+ 2 7 2 10" xfId="35839"/>
    <cellStyle name="LS Output Table No. 2+ 2 7 2 2" xfId="35840"/>
    <cellStyle name="LS Output Table No. 2+ 2 7 2 2 2" xfId="35841"/>
    <cellStyle name="LS Output Table No. 2+ 2 7 2 2 3" xfId="35842"/>
    <cellStyle name="LS Output Table No. 2+ 2 7 2 2 4" xfId="35843"/>
    <cellStyle name="LS Output Table No. 2+ 2 7 2 2 5" xfId="35844"/>
    <cellStyle name="LS Output Table No. 2+ 2 7 2 2 6" xfId="35845"/>
    <cellStyle name="LS Output Table No. 2+ 2 7 2 2 7" xfId="35846"/>
    <cellStyle name="LS Output Table No. 2+ 2 7 2 2 8" xfId="35847"/>
    <cellStyle name="LS Output Table No. 2+ 2 7 2 2 9" xfId="35848"/>
    <cellStyle name="LS Output Table No. 2+ 2 7 2 3" xfId="35849"/>
    <cellStyle name="LS Output Table No. 2+ 2 7 2 4" xfId="35850"/>
    <cellStyle name="LS Output Table No. 2+ 2 7 2 5" xfId="35851"/>
    <cellStyle name="LS Output Table No. 2+ 2 7 2 6" xfId="35852"/>
    <cellStyle name="LS Output Table No. 2+ 2 7 2 7" xfId="35853"/>
    <cellStyle name="LS Output Table No. 2+ 2 7 2 8" xfId="35854"/>
    <cellStyle name="LS Output Table No. 2+ 2 7 2 9" xfId="35855"/>
    <cellStyle name="LS Output Table No. 2+ 2 7 3" xfId="35856"/>
    <cellStyle name="LS Output Table No. 2+ 2 7 3 2" xfId="35857"/>
    <cellStyle name="LS Output Table No. 2+ 2 7 3 3" xfId="35858"/>
    <cellStyle name="LS Output Table No. 2+ 2 7 3 4" xfId="35859"/>
    <cellStyle name="LS Output Table No. 2+ 2 7 3 5" xfId="35860"/>
    <cellStyle name="LS Output Table No. 2+ 2 7 3 6" xfId="35861"/>
    <cellStyle name="LS Output Table No. 2+ 2 7 3 7" xfId="35862"/>
    <cellStyle name="LS Output Table No. 2+ 2 7 3 8" xfId="35863"/>
    <cellStyle name="LS Output Table No. 2+ 2 7 3 9" xfId="35864"/>
    <cellStyle name="LS Output Table No. 2+ 2 7 4" xfId="35865"/>
    <cellStyle name="LS Output Table No. 2+ 2 7 5" xfId="35866"/>
    <cellStyle name="LS Output Table No. 2+ 2 7 6" xfId="35867"/>
    <cellStyle name="LS Output Table No. 2+ 2 7 7" xfId="35868"/>
    <cellStyle name="LS Output Table No. 2+ 2 7 8" xfId="35869"/>
    <cellStyle name="LS Output Table No. 2+ 2 7 9" xfId="35870"/>
    <cellStyle name="LS Output Table No. 2+ 2 8" xfId="35871"/>
    <cellStyle name="LS Output Table No. 2+ 2 8 10" xfId="35872"/>
    <cellStyle name="LS Output Table No. 2+ 2 8 2" xfId="35873"/>
    <cellStyle name="LS Output Table No. 2+ 2 8 2 2" xfId="35874"/>
    <cellStyle name="LS Output Table No. 2+ 2 8 2 3" xfId="35875"/>
    <cellStyle name="LS Output Table No. 2+ 2 8 2 4" xfId="35876"/>
    <cellStyle name="LS Output Table No. 2+ 2 8 2 5" xfId="35877"/>
    <cellStyle name="LS Output Table No. 2+ 2 8 2 6" xfId="35878"/>
    <cellStyle name="LS Output Table No. 2+ 2 8 2 7" xfId="35879"/>
    <cellStyle name="LS Output Table No. 2+ 2 8 2 8" xfId="35880"/>
    <cellStyle name="LS Output Table No. 2+ 2 8 2 9" xfId="35881"/>
    <cellStyle name="LS Output Table No. 2+ 2 8 3" xfId="35882"/>
    <cellStyle name="LS Output Table No. 2+ 2 8 4" xfId="35883"/>
    <cellStyle name="LS Output Table No. 2+ 2 8 5" xfId="35884"/>
    <cellStyle name="LS Output Table No. 2+ 2 8 6" xfId="35885"/>
    <cellStyle name="LS Output Table No. 2+ 2 8 7" xfId="35886"/>
    <cellStyle name="LS Output Table No. 2+ 2 8 8" xfId="35887"/>
    <cellStyle name="LS Output Table No. 2+ 2 8 9" xfId="35888"/>
    <cellStyle name="LS Output Table No. 2+ 2 9" xfId="35889"/>
    <cellStyle name="LS Output Table No. 2+ 2 9 2" xfId="35890"/>
    <cellStyle name="LS Output Table No. 2+ 2 9 3" xfId="35891"/>
    <cellStyle name="LS Output Table No. 2+ 2 9 4" xfId="35892"/>
    <cellStyle name="LS Output Table No. 2+ 2 9 5" xfId="35893"/>
    <cellStyle name="LS Output Table No. 2+ 2 9 6" xfId="35894"/>
    <cellStyle name="LS Output Table No. 2+ 2 9 7" xfId="35895"/>
    <cellStyle name="LS Output Table No. 2+ 2 9 8" xfId="35896"/>
    <cellStyle name="LS Output Table No. 2+ 2 9 9" xfId="35897"/>
    <cellStyle name="LS Output Table No. 2+ 3" xfId="35898"/>
    <cellStyle name="LS Output Table No. 2+ 3 10" xfId="35899"/>
    <cellStyle name="LS Output Table No. 2+ 3 11" xfId="35900"/>
    <cellStyle name="LS Output Table No. 2+ 3 12" xfId="35901"/>
    <cellStyle name="LS Output Table No. 2+ 3 13" xfId="35902"/>
    <cellStyle name="LS Output Table No. 2+ 3 14" xfId="35903"/>
    <cellStyle name="LS Output Table No. 2+ 3 15" xfId="35904"/>
    <cellStyle name="LS Output Table No. 2+ 3 16" xfId="35905"/>
    <cellStyle name="LS Output Table No. 2+ 3 2" xfId="35906"/>
    <cellStyle name="LS Output Table No. 2+ 3 2 10" xfId="35907"/>
    <cellStyle name="LS Output Table No. 2+ 3 2 11" xfId="35908"/>
    <cellStyle name="LS Output Table No. 2+ 3 2 12" xfId="35909"/>
    <cellStyle name="LS Output Table No. 2+ 3 2 13" xfId="35910"/>
    <cellStyle name="LS Output Table No. 2+ 3 2 2" xfId="35911"/>
    <cellStyle name="LS Output Table No. 2+ 3 2 2 10" xfId="35912"/>
    <cellStyle name="LS Output Table No. 2+ 3 2 2 11" xfId="35913"/>
    <cellStyle name="LS Output Table No. 2+ 3 2 2 12" xfId="35914"/>
    <cellStyle name="LS Output Table No. 2+ 3 2 2 2" xfId="35915"/>
    <cellStyle name="LS Output Table No. 2+ 3 2 2 2 10" xfId="35916"/>
    <cellStyle name="LS Output Table No. 2+ 3 2 2 2 11" xfId="35917"/>
    <cellStyle name="LS Output Table No. 2+ 3 2 2 2 2" xfId="35918"/>
    <cellStyle name="LS Output Table No. 2+ 3 2 2 2 2 10" xfId="35919"/>
    <cellStyle name="LS Output Table No. 2+ 3 2 2 2 2 2" xfId="35920"/>
    <cellStyle name="LS Output Table No. 2+ 3 2 2 2 2 2 2" xfId="35921"/>
    <cellStyle name="LS Output Table No. 2+ 3 2 2 2 2 2 3" xfId="35922"/>
    <cellStyle name="LS Output Table No. 2+ 3 2 2 2 2 2 4" xfId="35923"/>
    <cellStyle name="LS Output Table No. 2+ 3 2 2 2 2 2 5" xfId="35924"/>
    <cellStyle name="LS Output Table No. 2+ 3 2 2 2 2 2 6" xfId="35925"/>
    <cellStyle name="LS Output Table No. 2+ 3 2 2 2 2 2 7" xfId="35926"/>
    <cellStyle name="LS Output Table No. 2+ 3 2 2 2 2 2 8" xfId="35927"/>
    <cellStyle name="LS Output Table No. 2+ 3 2 2 2 2 2 9" xfId="35928"/>
    <cellStyle name="LS Output Table No. 2+ 3 2 2 2 2 3" xfId="35929"/>
    <cellStyle name="LS Output Table No. 2+ 3 2 2 2 2 4" xfId="35930"/>
    <cellStyle name="LS Output Table No. 2+ 3 2 2 2 2 5" xfId="35931"/>
    <cellStyle name="LS Output Table No. 2+ 3 2 2 2 2 6" xfId="35932"/>
    <cellStyle name="LS Output Table No. 2+ 3 2 2 2 2 7" xfId="35933"/>
    <cellStyle name="LS Output Table No. 2+ 3 2 2 2 2 8" xfId="35934"/>
    <cellStyle name="LS Output Table No. 2+ 3 2 2 2 2 9" xfId="35935"/>
    <cellStyle name="LS Output Table No. 2+ 3 2 2 2 3" xfId="35936"/>
    <cellStyle name="LS Output Table No. 2+ 3 2 2 2 3 2" xfId="35937"/>
    <cellStyle name="LS Output Table No. 2+ 3 2 2 2 3 3" xfId="35938"/>
    <cellStyle name="LS Output Table No. 2+ 3 2 2 2 3 4" xfId="35939"/>
    <cellStyle name="LS Output Table No. 2+ 3 2 2 2 3 5" xfId="35940"/>
    <cellStyle name="LS Output Table No. 2+ 3 2 2 2 3 6" xfId="35941"/>
    <cellStyle name="LS Output Table No. 2+ 3 2 2 2 3 7" xfId="35942"/>
    <cellStyle name="LS Output Table No. 2+ 3 2 2 2 3 8" xfId="35943"/>
    <cellStyle name="LS Output Table No. 2+ 3 2 2 2 3 9" xfId="35944"/>
    <cellStyle name="LS Output Table No. 2+ 3 2 2 2 4" xfId="35945"/>
    <cellStyle name="LS Output Table No. 2+ 3 2 2 2 5" xfId="35946"/>
    <cellStyle name="LS Output Table No. 2+ 3 2 2 2 6" xfId="35947"/>
    <cellStyle name="LS Output Table No. 2+ 3 2 2 2 7" xfId="35948"/>
    <cellStyle name="LS Output Table No. 2+ 3 2 2 2 8" xfId="35949"/>
    <cellStyle name="LS Output Table No. 2+ 3 2 2 2 9" xfId="35950"/>
    <cellStyle name="LS Output Table No. 2+ 3 2 2 3" xfId="35951"/>
    <cellStyle name="LS Output Table No. 2+ 3 2 2 3 10" xfId="35952"/>
    <cellStyle name="LS Output Table No. 2+ 3 2 2 3 2" xfId="35953"/>
    <cellStyle name="LS Output Table No. 2+ 3 2 2 3 2 2" xfId="35954"/>
    <cellStyle name="LS Output Table No. 2+ 3 2 2 3 2 3" xfId="35955"/>
    <cellStyle name="LS Output Table No. 2+ 3 2 2 3 2 4" xfId="35956"/>
    <cellStyle name="LS Output Table No. 2+ 3 2 2 3 2 5" xfId="35957"/>
    <cellStyle name="LS Output Table No. 2+ 3 2 2 3 2 6" xfId="35958"/>
    <cellStyle name="LS Output Table No. 2+ 3 2 2 3 2 7" xfId="35959"/>
    <cellStyle name="LS Output Table No. 2+ 3 2 2 3 2 8" xfId="35960"/>
    <cellStyle name="LS Output Table No. 2+ 3 2 2 3 2 9" xfId="35961"/>
    <cellStyle name="LS Output Table No. 2+ 3 2 2 3 3" xfId="35962"/>
    <cellStyle name="LS Output Table No. 2+ 3 2 2 3 4" xfId="35963"/>
    <cellStyle name="LS Output Table No. 2+ 3 2 2 3 5" xfId="35964"/>
    <cellStyle name="LS Output Table No. 2+ 3 2 2 3 6" xfId="35965"/>
    <cellStyle name="LS Output Table No. 2+ 3 2 2 3 7" xfId="35966"/>
    <cellStyle name="LS Output Table No. 2+ 3 2 2 3 8" xfId="35967"/>
    <cellStyle name="LS Output Table No. 2+ 3 2 2 3 9" xfId="35968"/>
    <cellStyle name="LS Output Table No. 2+ 3 2 2 4" xfId="35969"/>
    <cellStyle name="LS Output Table No. 2+ 3 2 2 4 2" xfId="35970"/>
    <cellStyle name="LS Output Table No. 2+ 3 2 2 4 3" xfId="35971"/>
    <cellStyle name="LS Output Table No. 2+ 3 2 2 4 4" xfId="35972"/>
    <cellStyle name="LS Output Table No. 2+ 3 2 2 4 5" xfId="35973"/>
    <cellStyle name="LS Output Table No. 2+ 3 2 2 4 6" xfId="35974"/>
    <cellStyle name="LS Output Table No. 2+ 3 2 2 4 7" xfId="35975"/>
    <cellStyle name="LS Output Table No. 2+ 3 2 2 4 8" xfId="35976"/>
    <cellStyle name="LS Output Table No. 2+ 3 2 2 4 9" xfId="35977"/>
    <cellStyle name="LS Output Table No. 2+ 3 2 2 5" xfId="35978"/>
    <cellStyle name="LS Output Table No. 2+ 3 2 2 6" xfId="35979"/>
    <cellStyle name="LS Output Table No. 2+ 3 2 2 7" xfId="35980"/>
    <cellStyle name="LS Output Table No. 2+ 3 2 2 8" xfId="35981"/>
    <cellStyle name="LS Output Table No. 2+ 3 2 2 9" xfId="35982"/>
    <cellStyle name="LS Output Table No. 2+ 3 2 3" xfId="35983"/>
    <cellStyle name="LS Output Table No. 2+ 3 2 3 10" xfId="35984"/>
    <cellStyle name="LS Output Table No. 2+ 3 2 3 11" xfId="35985"/>
    <cellStyle name="LS Output Table No. 2+ 3 2 3 2" xfId="35986"/>
    <cellStyle name="LS Output Table No. 2+ 3 2 3 2 10" xfId="35987"/>
    <cellStyle name="LS Output Table No. 2+ 3 2 3 2 2" xfId="35988"/>
    <cellStyle name="LS Output Table No. 2+ 3 2 3 2 2 2" xfId="35989"/>
    <cellStyle name="LS Output Table No. 2+ 3 2 3 2 2 3" xfId="35990"/>
    <cellStyle name="LS Output Table No. 2+ 3 2 3 2 2 4" xfId="35991"/>
    <cellStyle name="LS Output Table No. 2+ 3 2 3 2 2 5" xfId="35992"/>
    <cellStyle name="LS Output Table No. 2+ 3 2 3 2 2 6" xfId="35993"/>
    <cellStyle name="LS Output Table No. 2+ 3 2 3 2 2 7" xfId="35994"/>
    <cellStyle name="LS Output Table No. 2+ 3 2 3 2 2 8" xfId="35995"/>
    <cellStyle name="LS Output Table No. 2+ 3 2 3 2 2 9" xfId="35996"/>
    <cellStyle name="LS Output Table No. 2+ 3 2 3 2 3" xfId="35997"/>
    <cellStyle name="LS Output Table No. 2+ 3 2 3 2 4" xfId="35998"/>
    <cellStyle name="LS Output Table No. 2+ 3 2 3 2 5" xfId="35999"/>
    <cellStyle name="LS Output Table No. 2+ 3 2 3 2 6" xfId="36000"/>
    <cellStyle name="LS Output Table No. 2+ 3 2 3 2 7" xfId="36001"/>
    <cellStyle name="LS Output Table No. 2+ 3 2 3 2 8" xfId="36002"/>
    <cellStyle name="LS Output Table No. 2+ 3 2 3 2 9" xfId="36003"/>
    <cellStyle name="LS Output Table No. 2+ 3 2 3 3" xfId="36004"/>
    <cellStyle name="LS Output Table No. 2+ 3 2 3 3 2" xfId="36005"/>
    <cellStyle name="LS Output Table No. 2+ 3 2 3 3 3" xfId="36006"/>
    <cellStyle name="LS Output Table No. 2+ 3 2 3 3 4" xfId="36007"/>
    <cellStyle name="LS Output Table No. 2+ 3 2 3 3 5" xfId="36008"/>
    <cellStyle name="LS Output Table No. 2+ 3 2 3 3 6" xfId="36009"/>
    <cellStyle name="LS Output Table No. 2+ 3 2 3 3 7" xfId="36010"/>
    <cellStyle name="LS Output Table No. 2+ 3 2 3 3 8" xfId="36011"/>
    <cellStyle name="LS Output Table No. 2+ 3 2 3 3 9" xfId="36012"/>
    <cellStyle name="LS Output Table No. 2+ 3 2 3 4" xfId="36013"/>
    <cellStyle name="LS Output Table No. 2+ 3 2 3 5" xfId="36014"/>
    <cellStyle name="LS Output Table No. 2+ 3 2 3 6" xfId="36015"/>
    <cellStyle name="LS Output Table No. 2+ 3 2 3 7" xfId="36016"/>
    <cellStyle name="LS Output Table No. 2+ 3 2 3 8" xfId="36017"/>
    <cellStyle name="LS Output Table No. 2+ 3 2 3 9" xfId="36018"/>
    <cellStyle name="LS Output Table No. 2+ 3 2 4" xfId="36019"/>
    <cellStyle name="LS Output Table No. 2+ 3 2 4 10" xfId="36020"/>
    <cellStyle name="LS Output Table No. 2+ 3 2 4 2" xfId="36021"/>
    <cellStyle name="LS Output Table No. 2+ 3 2 4 2 2" xfId="36022"/>
    <cellStyle name="LS Output Table No. 2+ 3 2 4 2 3" xfId="36023"/>
    <cellStyle name="LS Output Table No. 2+ 3 2 4 2 4" xfId="36024"/>
    <cellStyle name="LS Output Table No. 2+ 3 2 4 2 5" xfId="36025"/>
    <cellStyle name="LS Output Table No. 2+ 3 2 4 2 6" xfId="36026"/>
    <cellStyle name="LS Output Table No. 2+ 3 2 4 2 7" xfId="36027"/>
    <cellStyle name="LS Output Table No. 2+ 3 2 4 2 8" xfId="36028"/>
    <cellStyle name="LS Output Table No. 2+ 3 2 4 2 9" xfId="36029"/>
    <cellStyle name="LS Output Table No. 2+ 3 2 4 3" xfId="36030"/>
    <cellStyle name="LS Output Table No. 2+ 3 2 4 4" xfId="36031"/>
    <cellStyle name="LS Output Table No. 2+ 3 2 4 5" xfId="36032"/>
    <cellStyle name="LS Output Table No. 2+ 3 2 4 6" xfId="36033"/>
    <cellStyle name="LS Output Table No. 2+ 3 2 4 7" xfId="36034"/>
    <cellStyle name="LS Output Table No. 2+ 3 2 4 8" xfId="36035"/>
    <cellStyle name="LS Output Table No. 2+ 3 2 4 9" xfId="36036"/>
    <cellStyle name="LS Output Table No. 2+ 3 2 5" xfId="36037"/>
    <cellStyle name="LS Output Table No. 2+ 3 2 5 2" xfId="36038"/>
    <cellStyle name="LS Output Table No. 2+ 3 2 5 3" xfId="36039"/>
    <cellStyle name="LS Output Table No. 2+ 3 2 5 4" xfId="36040"/>
    <cellStyle name="LS Output Table No. 2+ 3 2 5 5" xfId="36041"/>
    <cellStyle name="LS Output Table No. 2+ 3 2 5 6" xfId="36042"/>
    <cellStyle name="LS Output Table No. 2+ 3 2 5 7" xfId="36043"/>
    <cellStyle name="LS Output Table No. 2+ 3 2 5 8" xfId="36044"/>
    <cellStyle name="LS Output Table No. 2+ 3 2 5 9" xfId="36045"/>
    <cellStyle name="LS Output Table No. 2+ 3 2 6" xfId="36046"/>
    <cellStyle name="LS Output Table No. 2+ 3 2 7" xfId="36047"/>
    <cellStyle name="LS Output Table No. 2+ 3 2 8" xfId="36048"/>
    <cellStyle name="LS Output Table No. 2+ 3 2 9" xfId="36049"/>
    <cellStyle name="LS Output Table No. 2+ 3 3" xfId="36050"/>
    <cellStyle name="LS Output Table No. 2+ 3 3 10" xfId="36051"/>
    <cellStyle name="LS Output Table No. 2+ 3 3 11" xfId="36052"/>
    <cellStyle name="LS Output Table No. 2+ 3 3 12" xfId="36053"/>
    <cellStyle name="LS Output Table No. 2+ 3 3 2" xfId="36054"/>
    <cellStyle name="LS Output Table No. 2+ 3 3 2 10" xfId="36055"/>
    <cellStyle name="LS Output Table No. 2+ 3 3 2 11" xfId="36056"/>
    <cellStyle name="LS Output Table No. 2+ 3 3 2 2" xfId="36057"/>
    <cellStyle name="LS Output Table No. 2+ 3 3 2 2 10" xfId="36058"/>
    <cellStyle name="LS Output Table No. 2+ 3 3 2 2 2" xfId="36059"/>
    <cellStyle name="LS Output Table No. 2+ 3 3 2 2 2 2" xfId="36060"/>
    <cellStyle name="LS Output Table No. 2+ 3 3 2 2 2 3" xfId="36061"/>
    <cellStyle name="LS Output Table No. 2+ 3 3 2 2 2 4" xfId="36062"/>
    <cellStyle name="LS Output Table No. 2+ 3 3 2 2 2 5" xfId="36063"/>
    <cellStyle name="LS Output Table No. 2+ 3 3 2 2 2 6" xfId="36064"/>
    <cellStyle name="LS Output Table No. 2+ 3 3 2 2 2 7" xfId="36065"/>
    <cellStyle name="LS Output Table No. 2+ 3 3 2 2 2 8" xfId="36066"/>
    <cellStyle name="LS Output Table No. 2+ 3 3 2 2 2 9" xfId="36067"/>
    <cellStyle name="LS Output Table No. 2+ 3 3 2 2 3" xfId="36068"/>
    <cellStyle name="LS Output Table No. 2+ 3 3 2 2 4" xfId="36069"/>
    <cellStyle name="LS Output Table No. 2+ 3 3 2 2 5" xfId="36070"/>
    <cellStyle name="LS Output Table No. 2+ 3 3 2 2 6" xfId="36071"/>
    <cellStyle name="LS Output Table No. 2+ 3 3 2 2 7" xfId="36072"/>
    <cellStyle name="LS Output Table No. 2+ 3 3 2 2 8" xfId="36073"/>
    <cellStyle name="LS Output Table No. 2+ 3 3 2 2 9" xfId="36074"/>
    <cellStyle name="LS Output Table No. 2+ 3 3 2 3" xfId="36075"/>
    <cellStyle name="LS Output Table No. 2+ 3 3 2 3 2" xfId="36076"/>
    <cellStyle name="LS Output Table No. 2+ 3 3 2 3 3" xfId="36077"/>
    <cellStyle name="LS Output Table No. 2+ 3 3 2 3 4" xfId="36078"/>
    <cellStyle name="LS Output Table No. 2+ 3 3 2 3 5" xfId="36079"/>
    <cellStyle name="LS Output Table No. 2+ 3 3 2 3 6" xfId="36080"/>
    <cellStyle name="LS Output Table No. 2+ 3 3 2 3 7" xfId="36081"/>
    <cellStyle name="LS Output Table No. 2+ 3 3 2 3 8" xfId="36082"/>
    <cellStyle name="LS Output Table No. 2+ 3 3 2 3 9" xfId="36083"/>
    <cellStyle name="LS Output Table No. 2+ 3 3 2 4" xfId="36084"/>
    <cellStyle name="LS Output Table No. 2+ 3 3 2 5" xfId="36085"/>
    <cellStyle name="LS Output Table No. 2+ 3 3 2 6" xfId="36086"/>
    <cellStyle name="LS Output Table No. 2+ 3 3 2 7" xfId="36087"/>
    <cellStyle name="LS Output Table No. 2+ 3 3 2 8" xfId="36088"/>
    <cellStyle name="LS Output Table No. 2+ 3 3 2 9" xfId="36089"/>
    <cellStyle name="LS Output Table No. 2+ 3 3 3" xfId="36090"/>
    <cellStyle name="LS Output Table No. 2+ 3 3 3 10" xfId="36091"/>
    <cellStyle name="LS Output Table No. 2+ 3 3 3 2" xfId="36092"/>
    <cellStyle name="LS Output Table No. 2+ 3 3 3 2 2" xfId="36093"/>
    <cellStyle name="LS Output Table No. 2+ 3 3 3 2 3" xfId="36094"/>
    <cellStyle name="LS Output Table No. 2+ 3 3 3 2 4" xfId="36095"/>
    <cellStyle name="LS Output Table No. 2+ 3 3 3 2 5" xfId="36096"/>
    <cellStyle name="LS Output Table No. 2+ 3 3 3 2 6" xfId="36097"/>
    <cellStyle name="LS Output Table No. 2+ 3 3 3 2 7" xfId="36098"/>
    <cellStyle name="LS Output Table No. 2+ 3 3 3 2 8" xfId="36099"/>
    <cellStyle name="LS Output Table No. 2+ 3 3 3 2 9" xfId="36100"/>
    <cellStyle name="LS Output Table No. 2+ 3 3 3 3" xfId="36101"/>
    <cellStyle name="LS Output Table No. 2+ 3 3 3 4" xfId="36102"/>
    <cellStyle name="LS Output Table No. 2+ 3 3 3 5" xfId="36103"/>
    <cellStyle name="LS Output Table No. 2+ 3 3 3 6" xfId="36104"/>
    <cellStyle name="LS Output Table No. 2+ 3 3 3 7" xfId="36105"/>
    <cellStyle name="LS Output Table No. 2+ 3 3 3 8" xfId="36106"/>
    <cellStyle name="LS Output Table No. 2+ 3 3 3 9" xfId="36107"/>
    <cellStyle name="LS Output Table No. 2+ 3 3 4" xfId="36108"/>
    <cellStyle name="LS Output Table No. 2+ 3 3 4 2" xfId="36109"/>
    <cellStyle name="LS Output Table No. 2+ 3 3 4 3" xfId="36110"/>
    <cellStyle name="LS Output Table No. 2+ 3 3 4 4" xfId="36111"/>
    <cellStyle name="LS Output Table No. 2+ 3 3 4 5" xfId="36112"/>
    <cellStyle name="LS Output Table No. 2+ 3 3 4 6" xfId="36113"/>
    <cellStyle name="LS Output Table No. 2+ 3 3 4 7" xfId="36114"/>
    <cellStyle name="LS Output Table No. 2+ 3 3 4 8" xfId="36115"/>
    <cellStyle name="LS Output Table No. 2+ 3 3 4 9" xfId="36116"/>
    <cellStyle name="LS Output Table No. 2+ 3 3 5" xfId="36117"/>
    <cellStyle name="LS Output Table No. 2+ 3 3 6" xfId="36118"/>
    <cellStyle name="LS Output Table No. 2+ 3 3 7" xfId="36119"/>
    <cellStyle name="LS Output Table No. 2+ 3 3 8" xfId="36120"/>
    <cellStyle name="LS Output Table No. 2+ 3 3 9" xfId="36121"/>
    <cellStyle name="LS Output Table No. 2+ 3 4" xfId="36122"/>
    <cellStyle name="LS Output Table No. 2+ 3 4 10" xfId="36123"/>
    <cellStyle name="LS Output Table No. 2+ 3 4 11" xfId="36124"/>
    <cellStyle name="LS Output Table No. 2+ 3 4 12" xfId="36125"/>
    <cellStyle name="LS Output Table No. 2+ 3 4 2" xfId="36126"/>
    <cellStyle name="LS Output Table No. 2+ 3 4 2 10" xfId="36127"/>
    <cellStyle name="LS Output Table No. 2+ 3 4 2 11" xfId="36128"/>
    <cellStyle name="LS Output Table No. 2+ 3 4 2 2" xfId="36129"/>
    <cellStyle name="LS Output Table No. 2+ 3 4 2 2 10" xfId="36130"/>
    <cellStyle name="LS Output Table No. 2+ 3 4 2 2 2" xfId="36131"/>
    <cellStyle name="LS Output Table No. 2+ 3 4 2 2 2 2" xfId="36132"/>
    <cellStyle name="LS Output Table No. 2+ 3 4 2 2 2 3" xfId="36133"/>
    <cellStyle name="LS Output Table No. 2+ 3 4 2 2 2 4" xfId="36134"/>
    <cellStyle name="LS Output Table No. 2+ 3 4 2 2 2 5" xfId="36135"/>
    <cellStyle name="LS Output Table No. 2+ 3 4 2 2 2 6" xfId="36136"/>
    <cellStyle name="LS Output Table No. 2+ 3 4 2 2 2 7" xfId="36137"/>
    <cellStyle name="LS Output Table No. 2+ 3 4 2 2 2 8" xfId="36138"/>
    <cellStyle name="LS Output Table No. 2+ 3 4 2 2 2 9" xfId="36139"/>
    <cellStyle name="LS Output Table No. 2+ 3 4 2 2 3" xfId="36140"/>
    <cellStyle name="LS Output Table No. 2+ 3 4 2 2 4" xfId="36141"/>
    <cellStyle name="LS Output Table No. 2+ 3 4 2 2 5" xfId="36142"/>
    <cellStyle name="LS Output Table No. 2+ 3 4 2 2 6" xfId="36143"/>
    <cellStyle name="LS Output Table No. 2+ 3 4 2 2 7" xfId="36144"/>
    <cellStyle name="LS Output Table No. 2+ 3 4 2 2 8" xfId="36145"/>
    <cellStyle name="LS Output Table No. 2+ 3 4 2 2 9" xfId="36146"/>
    <cellStyle name="LS Output Table No. 2+ 3 4 2 3" xfId="36147"/>
    <cellStyle name="LS Output Table No. 2+ 3 4 2 3 2" xfId="36148"/>
    <cellStyle name="LS Output Table No. 2+ 3 4 2 3 3" xfId="36149"/>
    <cellStyle name="LS Output Table No. 2+ 3 4 2 3 4" xfId="36150"/>
    <cellStyle name="LS Output Table No. 2+ 3 4 2 3 5" xfId="36151"/>
    <cellStyle name="LS Output Table No. 2+ 3 4 2 3 6" xfId="36152"/>
    <cellStyle name="LS Output Table No. 2+ 3 4 2 3 7" xfId="36153"/>
    <cellStyle name="LS Output Table No. 2+ 3 4 2 3 8" xfId="36154"/>
    <cellStyle name="LS Output Table No. 2+ 3 4 2 3 9" xfId="36155"/>
    <cellStyle name="LS Output Table No. 2+ 3 4 2 4" xfId="36156"/>
    <cellStyle name="LS Output Table No. 2+ 3 4 2 5" xfId="36157"/>
    <cellStyle name="LS Output Table No. 2+ 3 4 2 6" xfId="36158"/>
    <cellStyle name="LS Output Table No. 2+ 3 4 2 7" xfId="36159"/>
    <cellStyle name="LS Output Table No. 2+ 3 4 2 8" xfId="36160"/>
    <cellStyle name="LS Output Table No. 2+ 3 4 2 9" xfId="36161"/>
    <cellStyle name="LS Output Table No. 2+ 3 4 3" xfId="36162"/>
    <cellStyle name="LS Output Table No. 2+ 3 4 3 10" xfId="36163"/>
    <cellStyle name="LS Output Table No. 2+ 3 4 3 2" xfId="36164"/>
    <cellStyle name="LS Output Table No. 2+ 3 4 3 2 2" xfId="36165"/>
    <cellStyle name="LS Output Table No. 2+ 3 4 3 2 3" xfId="36166"/>
    <cellStyle name="LS Output Table No. 2+ 3 4 3 2 4" xfId="36167"/>
    <cellStyle name="LS Output Table No. 2+ 3 4 3 2 5" xfId="36168"/>
    <cellStyle name="LS Output Table No. 2+ 3 4 3 2 6" xfId="36169"/>
    <cellStyle name="LS Output Table No. 2+ 3 4 3 2 7" xfId="36170"/>
    <cellStyle name="LS Output Table No. 2+ 3 4 3 2 8" xfId="36171"/>
    <cellStyle name="LS Output Table No. 2+ 3 4 3 2 9" xfId="36172"/>
    <cellStyle name="LS Output Table No. 2+ 3 4 3 3" xfId="36173"/>
    <cellStyle name="LS Output Table No. 2+ 3 4 3 4" xfId="36174"/>
    <cellStyle name="LS Output Table No. 2+ 3 4 3 5" xfId="36175"/>
    <cellStyle name="LS Output Table No. 2+ 3 4 3 6" xfId="36176"/>
    <cellStyle name="LS Output Table No. 2+ 3 4 3 7" xfId="36177"/>
    <cellStyle name="LS Output Table No. 2+ 3 4 3 8" xfId="36178"/>
    <cellStyle name="LS Output Table No. 2+ 3 4 3 9" xfId="36179"/>
    <cellStyle name="LS Output Table No. 2+ 3 4 4" xfId="36180"/>
    <cellStyle name="LS Output Table No. 2+ 3 4 4 2" xfId="36181"/>
    <cellStyle name="LS Output Table No. 2+ 3 4 4 3" xfId="36182"/>
    <cellStyle name="LS Output Table No. 2+ 3 4 4 4" xfId="36183"/>
    <cellStyle name="LS Output Table No. 2+ 3 4 4 5" xfId="36184"/>
    <cellStyle name="LS Output Table No. 2+ 3 4 4 6" xfId="36185"/>
    <cellStyle name="LS Output Table No. 2+ 3 4 4 7" xfId="36186"/>
    <cellStyle name="LS Output Table No. 2+ 3 4 4 8" xfId="36187"/>
    <cellStyle name="LS Output Table No. 2+ 3 4 4 9" xfId="36188"/>
    <cellStyle name="LS Output Table No. 2+ 3 4 5" xfId="36189"/>
    <cellStyle name="LS Output Table No. 2+ 3 4 6" xfId="36190"/>
    <cellStyle name="LS Output Table No. 2+ 3 4 7" xfId="36191"/>
    <cellStyle name="LS Output Table No. 2+ 3 4 8" xfId="36192"/>
    <cellStyle name="LS Output Table No. 2+ 3 4 9" xfId="36193"/>
    <cellStyle name="LS Output Table No. 2+ 3 5" xfId="36194"/>
    <cellStyle name="LS Output Table No. 2+ 3 5 10" xfId="36195"/>
    <cellStyle name="LS Output Table No. 2+ 3 5 11" xfId="36196"/>
    <cellStyle name="LS Output Table No. 2+ 3 5 2" xfId="36197"/>
    <cellStyle name="LS Output Table No. 2+ 3 5 2 10" xfId="36198"/>
    <cellStyle name="LS Output Table No. 2+ 3 5 2 2" xfId="36199"/>
    <cellStyle name="LS Output Table No. 2+ 3 5 2 2 2" xfId="36200"/>
    <cellStyle name="LS Output Table No. 2+ 3 5 2 2 3" xfId="36201"/>
    <cellStyle name="LS Output Table No. 2+ 3 5 2 2 4" xfId="36202"/>
    <cellStyle name="LS Output Table No. 2+ 3 5 2 2 5" xfId="36203"/>
    <cellStyle name="LS Output Table No. 2+ 3 5 2 2 6" xfId="36204"/>
    <cellStyle name="LS Output Table No. 2+ 3 5 2 2 7" xfId="36205"/>
    <cellStyle name="LS Output Table No. 2+ 3 5 2 2 8" xfId="36206"/>
    <cellStyle name="LS Output Table No. 2+ 3 5 2 2 9" xfId="36207"/>
    <cellStyle name="LS Output Table No. 2+ 3 5 2 3" xfId="36208"/>
    <cellStyle name="LS Output Table No. 2+ 3 5 2 4" xfId="36209"/>
    <cellStyle name="LS Output Table No. 2+ 3 5 2 5" xfId="36210"/>
    <cellStyle name="LS Output Table No. 2+ 3 5 2 6" xfId="36211"/>
    <cellStyle name="LS Output Table No. 2+ 3 5 2 7" xfId="36212"/>
    <cellStyle name="LS Output Table No. 2+ 3 5 2 8" xfId="36213"/>
    <cellStyle name="LS Output Table No. 2+ 3 5 2 9" xfId="36214"/>
    <cellStyle name="LS Output Table No. 2+ 3 5 3" xfId="36215"/>
    <cellStyle name="LS Output Table No. 2+ 3 5 3 2" xfId="36216"/>
    <cellStyle name="LS Output Table No. 2+ 3 5 3 3" xfId="36217"/>
    <cellStyle name="LS Output Table No. 2+ 3 5 3 4" xfId="36218"/>
    <cellStyle name="LS Output Table No. 2+ 3 5 3 5" xfId="36219"/>
    <cellStyle name="LS Output Table No. 2+ 3 5 3 6" xfId="36220"/>
    <cellStyle name="LS Output Table No. 2+ 3 5 3 7" xfId="36221"/>
    <cellStyle name="LS Output Table No. 2+ 3 5 3 8" xfId="36222"/>
    <cellStyle name="LS Output Table No. 2+ 3 5 3 9" xfId="36223"/>
    <cellStyle name="LS Output Table No. 2+ 3 5 4" xfId="36224"/>
    <cellStyle name="LS Output Table No. 2+ 3 5 5" xfId="36225"/>
    <cellStyle name="LS Output Table No. 2+ 3 5 6" xfId="36226"/>
    <cellStyle name="LS Output Table No. 2+ 3 5 7" xfId="36227"/>
    <cellStyle name="LS Output Table No. 2+ 3 5 8" xfId="36228"/>
    <cellStyle name="LS Output Table No. 2+ 3 5 9" xfId="36229"/>
    <cellStyle name="LS Output Table No. 2+ 3 6" xfId="36230"/>
    <cellStyle name="LS Output Table No. 2+ 3 6 10" xfId="36231"/>
    <cellStyle name="LS Output Table No. 2+ 3 6 2" xfId="36232"/>
    <cellStyle name="LS Output Table No. 2+ 3 6 2 2" xfId="36233"/>
    <cellStyle name="LS Output Table No. 2+ 3 6 2 3" xfId="36234"/>
    <cellStyle name="LS Output Table No. 2+ 3 6 2 4" xfId="36235"/>
    <cellStyle name="LS Output Table No. 2+ 3 6 2 5" xfId="36236"/>
    <cellStyle name="LS Output Table No. 2+ 3 6 2 6" xfId="36237"/>
    <cellStyle name="LS Output Table No. 2+ 3 6 2 7" xfId="36238"/>
    <cellStyle name="LS Output Table No. 2+ 3 6 2 8" xfId="36239"/>
    <cellStyle name="LS Output Table No. 2+ 3 6 2 9" xfId="36240"/>
    <cellStyle name="LS Output Table No. 2+ 3 6 3" xfId="36241"/>
    <cellStyle name="LS Output Table No. 2+ 3 6 4" xfId="36242"/>
    <cellStyle name="LS Output Table No. 2+ 3 6 5" xfId="36243"/>
    <cellStyle name="LS Output Table No. 2+ 3 6 6" xfId="36244"/>
    <cellStyle name="LS Output Table No. 2+ 3 6 7" xfId="36245"/>
    <cellStyle name="LS Output Table No. 2+ 3 6 8" xfId="36246"/>
    <cellStyle name="LS Output Table No. 2+ 3 6 9" xfId="36247"/>
    <cellStyle name="LS Output Table No. 2+ 3 7" xfId="36248"/>
    <cellStyle name="LS Output Table No. 2+ 3 7 2" xfId="36249"/>
    <cellStyle name="LS Output Table No. 2+ 3 7 3" xfId="36250"/>
    <cellStyle name="LS Output Table No. 2+ 3 7 4" xfId="36251"/>
    <cellStyle name="LS Output Table No. 2+ 3 7 5" xfId="36252"/>
    <cellStyle name="LS Output Table No. 2+ 3 7 6" xfId="36253"/>
    <cellStyle name="LS Output Table No. 2+ 3 7 7" xfId="36254"/>
    <cellStyle name="LS Output Table No. 2+ 3 7 8" xfId="36255"/>
    <cellStyle name="LS Output Table No. 2+ 3 7 9" xfId="36256"/>
    <cellStyle name="LS Output Table No. 2+ 3 8" xfId="36257"/>
    <cellStyle name="LS Output Table No. 2+ 3 9" xfId="36258"/>
    <cellStyle name="LS Output Table No. 2+ 4" xfId="36259"/>
    <cellStyle name="LS Output Table No. 2+ 4 10" xfId="36260"/>
    <cellStyle name="LS Output Table No. 2+ 4 11" xfId="36261"/>
    <cellStyle name="LS Output Table No. 2+ 4 12" xfId="36262"/>
    <cellStyle name="LS Output Table No. 2+ 4 2" xfId="36263"/>
    <cellStyle name="LS Output Table No. 2+ 4 2 10" xfId="36264"/>
    <cellStyle name="LS Output Table No. 2+ 4 2 11" xfId="36265"/>
    <cellStyle name="LS Output Table No. 2+ 4 2 2" xfId="36266"/>
    <cellStyle name="LS Output Table No. 2+ 4 2 2 10" xfId="36267"/>
    <cellStyle name="LS Output Table No. 2+ 4 2 2 2" xfId="36268"/>
    <cellStyle name="LS Output Table No. 2+ 4 2 2 2 2" xfId="36269"/>
    <cellStyle name="LS Output Table No. 2+ 4 2 2 2 3" xfId="36270"/>
    <cellStyle name="LS Output Table No. 2+ 4 2 2 2 4" xfId="36271"/>
    <cellStyle name="LS Output Table No. 2+ 4 2 2 2 5" xfId="36272"/>
    <cellStyle name="LS Output Table No. 2+ 4 2 2 2 6" xfId="36273"/>
    <cellStyle name="LS Output Table No. 2+ 4 2 2 2 7" xfId="36274"/>
    <cellStyle name="LS Output Table No. 2+ 4 2 2 2 8" xfId="36275"/>
    <cellStyle name="LS Output Table No. 2+ 4 2 2 2 9" xfId="36276"/>
    <cellStyle name="LS Output Table No. 2+ 4 2 2 3" xfId="36277"/>
    <cellStyle name="LS Output Table No. 2+ 4 2 2 4" xfId="36278"/>
    <cellStyle name="LS Output Table No. 2+ 4 2 2 5" xfId="36279"/>
    <cellStyle name="LS Output Table No. 2+ 4 2 2 6" xfId="36280"/>
    <cellStyle name="LS Output Table No. 2+ 4 2 2 7" xfId="36281"/>
    <cellStyle name="LS Output Table No. 2+ 4 2 2 8" xfId="36282"/>
    <cellStyle name="LS Output Table No. 2+ 4 2 2 9" xfId="36283"/>
    <cellStyle name="LS Output Table No. 2+ 4 2 3" xfId="36284"/>
    <cellStyle name="LS Output Table No. 2+ 4 2 3 2" xfId="36285"/>
    <cellStyle name="LS Output Table No. 2+ 4 2 3 3" xfId="36286"/>
    <cellStyle name="LS Output Table No. 2+ 4 2 3 4" xfId="36287"/>
    <cellStyle name="LS Output Table No. 2+ 4 2 3 5" xfId="36288"/>
    <cellStyle name="LS Output Table No. 2+ 4 2 3 6" xfId="36289"/>
    <cellStyle name="LS Output Table No. 2+ 4 2 3 7" xfId="36290"/>
    <cellStyle name="LS Output Table No. 2+ 4 2 3 8" xfId="36291"/>
    <cellStyle name="LS Output Table No. 2+ 4 2 3 9" xfId="36292"/>
    <cellStyle name="LS Output Table No. 2+ 4 2 4" xfId="36293"/>
    <cellStyle name="LS Output Table No. 2+ 4 2 5" xfId="36294"/>
    <cellStyle name="LS Output Table No. 2+ 4 2 6" xfId="36295"/>
    <cellStyle name="LS Output Table No. 2+ 4 2 7" xfId="36296"/>
    <cellStyle name="LS Output Table No. 2+ 4 2 8" xfId="36297"/>
    <cellStyle name="LS Output Table No. 2+ 4 2 9" xfId="36298"/>
    <cellStyle name="LS Output Table No. 2+ 4 3" xfId="36299"/>
    <cellStyle name="LS Output Table No. 2+ 4 3 10" xfId="36300"/>
    <cellStyle name="LS Output Table No. 2+ 4 3 2" xfId="36301"/>
    <cellStyle name="LS Output Table No. 2+ 4 3 2 2" xfId="36302"/>
    <cellStyle name="LS Output Table No. 2+ 4 3 2 3" xfId="36303"/>
    <cellStyle name="LS Output Table No. 2+ 4 3 2 4" xfId="36304"/>
    <cellStyle name="LS Output Table No. 2+ 4 3 2 5" xfId="36305"/>
    <cellStyle name="LS Output Table No. 2+ 4 3 2 6" xfId="36306"/>
    <cellStyle name="LS Output Table No. 2+ 4 3 2 7" xfId="36307"/>
    <cellStyle name="LS Output Table No. 2+ 4 3 2 8" xfId="36308"/>
    <cellStyle name="LS Output Table No. 2+ 4 3 2 9" xfId="36309"/>
    <cellStyle name="LS Output Table No. 2+ 4 3 3" xfId="36310"/>
    <cellStyle name="LS Output Table No. 2+ 4 3 4" xfId="36311"/>
    <cellStyle name="LS Output Table No. 2+ 4 3 5" xfId="36312"/>
    <cellStyle name="LS Output Table No. 2+ 4 3 6" xfId="36313"/>
    <cellStyle name="LS Output Table No. 2+ 4 3 7" xfId="36314"/>
    <cellStyle name="LS Output Table No. 2+ 4 3 8" xfId="36315"/>
    <cellStyle name="LS Output Table No. 2+ 4 3 9" xfId="36316"/>
    <cellStyle name="LS Output Table No. 2+ 4 4" xfId="36317"/>
    <cellStyle name="LS Output Table No. 2+ 4 4 2" xfId="36318"/>
    <cellStyle name="LS Output Table No. 2+ 4 4 3" xfId="36319"/>
    <cellStyle name="LS Output Table No. 2+ 4 4 4" xfId="36320"/>
    <cellStyle name="LS Output Table No. 2+ 4 4 5" xfId="36321"/>
    <cellStyle name="LS Output Table No. 2+ 4 4 6" xfId="36322"/>
    <cellStyle name="LS Output Table No. 2+ 4 4 7" xfId="36323"/>
    <cellStyle name="LS Output Table No. 2+ 4 4 8" xfId="36324"/>
    <cellStyle name="LS Output Table No. 2+ 4 4 9" xfId="36325"/>
    <cellStyle name="LS Output Table No. 2+ 4 5" xfId="36326"/>
    <cellStyle name="LS Output Table No. 2+ 4 6" xfId="36327"/>
    <cellStyle name="LS Output Table No. 2+ 4 7" xfId="36328"/>
    <cellStyle name="LS Output Table No. 2+ 4 8" xfId="36329"/>
    <cellStyle name="LS Output Table No. 2+ 4 9" xfId="36330"/>
    <cellStyle name="LS Output Table No. 2+ 5" xfId="36331"/>
    <cellStyle name="LS Output Table No. 2+ 5 10" xfId="36332"/>
    <cellStyle name="LS Output Table No. 2+ 5 11" xfId="36333"/>
    <cellStyle name="LS Output Table No. 2+ 5 12" xfId="36334"/>
    <cellStyle name="LS Output Table No. 2+ 5 2" xfId="36335"/>
    <cellStyle name="LS Output Table No. 2+ 5 2 10" xfId="36336"/>
    <cellStyle name="LS Output Table No. 2+ 5 2 11" xfId="36337"/>
    <cellStyle name="LS Output Table No. 2+ 5 2 2" xfId="36338"/>
    <cellStyle name="LS Output Table No. 2+ 5 2 2 10" xfId="36339"/>
    <cellStyle name="LS Output Table No. 2+ 5 2 2 2" xfId="36340"/>
    <cellStyle name="LS Output Table No. 2+ 5 2 2 2 2" xfId="36341"/>
    <cellStyle name="LS Output Table No. 2+ 5 2 2 2 3" xfId="36342"/>
    <cellStyle name="LS Output Table No. 2+ 5 2 2 2 4" xfId="36343"/>
    <cellStyle name="LS Output Table No. 2+ 5 2 2 2 5" xfId="36344"/>
    <cellStyle name="LS Output Table No. 2+ 5 2 2 2 6" xfId="36345"/>
    <cellStyle name="LS Output Table No. 2+ 5 2 2 2 7" xfId="36346"/>
    <cellStyle name="LS Output Table No. 2+ 5 2 2 2 8" xfId="36347"/>
    <cellStyle name="LS Output Table No. 2+ 5 2 2 2 9" xfId="36348"/>
    <cellStyle name="LS Output Table No. 2+ 5 2 2 3" xfId="36349"/>
    <cellStyle name="LS Output Table No. 2+ 5 2 2 4" xfId="36350"/>
    <cellStyle name="LS Output Table No. 2+ 5 2 2 5" xfId="36351"/>
    <cellStyle name="LS Output Table No. 2+ 5 2 2 6" xfId="36352"/>
    <cellStyle name="LS Output Table No. 2+ 5 2 2 7" xfId="36353"/>
    <cellStyle name="LS Output Table No. 2+ 5 2 2 8" xfId="36354"/>
    <cellStyle name="LS Output Table No. 2+ 5 2 2 9" xfId="36355"/>
    <cellStyle name="LS Output Table No. 2+ 5 2 3" xfId="36356"/>
    <cellStyle name="LS Output Table No. 2+ 5 2 3 2" xfId="36357"/>
    <cellStyle name="LS Output Table No. 2+ 5 2 3 3" xfId="36358"/>
    <cellStyle name="LS Output Table No. 2+ 5 2 3 4" xfId="36359"/>
    <cellStyle name="LS Output Table No. 2+ 5 2 3 5" xfId="36360"/>
    <cellStyle name="LS Output Table No. 2+ 5 2 3 6" xfId="36361"/>
    <cellStyle name="LS Output Table No. 2+ 5 2 3 7" xfId="36362"/>
    <cellStyle name="LS Output Table No. 2+ 5 2 3 8" xfId="36363"/>
    <cellStyle name="LS Output Table No. 2+ 5 2 3 9" xfId="36364"/>
    <cellStyle name="LS Output Table No. 2+ 5 2 4" xfId="36365"/>
    <cellStyle name="LS Output Table No. 2+ 5 2 5" xfId="36366"/>
    <cellStyle name="LS Output Table No. 2+ 5 2 6" xfId="36367"/>
    <cellStyle name="LS Output Table No. 2+ 5 2 7" xfId="36368"/>
    <cellStyle name="LS Output Table No. 2+ 5 2 8" xfId="36369"/>
    <cellStyle name="LS Output Table No. 2+ 5 2 9" xfId="36370"/>
    <cellStyle name="LS Output Table No. 2+ 5 3" xfId="36371"/>
    <cellStyle name="LS Output Table No. 2+ 5 3 10" xfId="36372"/>
    <cellStyle name="LS Output Table No. 2+ 5 3 2" xfId="36373"/>
    <cellStyle name="LS Output Table No. 2+ 5 3 2 2" xfId="36374"/>
    <cellStyle name="LS Output Table No. 2+ 5 3 2 3" xfId="36375"/>
    <cellStyle name="LS Output Table No. 2+ 5 3 2 4" xfId="36376"/>
    <cellStyle name="LS Output Table No. 2+ 5 3 2 5" xfId="36377"/>
    <cellStyle name="LS Output Table No. 2+ 5 3 2 6" xfId="36378"/>
    <cellStyle name="LS Output Table No. 2+ 5 3 2 7" xfId="36379"/>
    <cellStyle name="LS Output Table No. 2+ 5 3 2 8" xfId="36380"/>
    <cellStyle name="LS Output Table No. 2+ 5 3 2 9" xfId="36381"/>
    <cellStyle name="LS Output Table No. 2+ 5 3 3" xfId="36382"/>
    <cellStyle name="LS Output Table No. 2+ 5 3 4" xfId="36383"/>
    <cellStyle name="LS Output Table No. 2+ 5 3 5" xfId="36384"/>
    <cellStyle name="LS Output Table No. 2+ 5 3 6" xfId="36385"/>
    <cellStyle name="LS Output Table No. 2+ 5 3 7" xfId="36386"/>
    <cellStyle name="LS Output Table No. 2+ 5 3 8" xfId="36387"/>
    <cellStyle name="LS Output Table No. 2+ 5 3 9" xfId="36388"/>
    <cellStyle name="LS Output Table No. 2+ 5 4" xfId="36389"/>
    <cellStyle name="LS Output Table No. 2+ 5 4 2" xfId="36390"/>
    <cellStyle name="LS Output Table No. 2+ 5 4 3" xfId="36391"/>
    <cellStyle name="LS Output Table No. 2+ 5 4 4" xfId="36392"/>
    <cellStyle name="LS Output Table No. 2+ 5 4 5" xfId="36393"/>
    <cellStyle name="LS Output Table No. 2+ 5 4 6" xfId="36394"/>
    <cellStyle name="LS Output Table No. 2+ 5 4 7" xfId="36395"/>
    <cellStyle name="LS Output Table No. 2+ 5 4 8" xfId="36396"/>
    <cellStyle name="LS Output Table No. 2+ 5 4 9" xfId="36397"/>
    <cellStyle name="LS Output Table No. 2+ 5 5" xfId="36398"/>
    <cellStyle name="LS Output Table No. 2+ 5 6" xfId="36399"/>
    <cellStyle name="LS Output Table No. 2+ 5 7" xfId="36400"/>
    <cellStyle name="LS Output Table No. 2+ 5 8" xfId="36401"/>
    <cellStyle name="LS Output Table No. 2+ 5 9" xfId="36402"/>
    <cellStyle name="LS Output Table No. 2+ 6" xfId="36403"/>
    <cellStyle name="LS Output Table No. 2+ 6 10" xfId="36404"/>
    <cellStyle name="LS Output Table No. 2+ 6 11" xfId="36405"/>
    <cellStyle name="LS Output Table No. 2+ 6 12" xfId="36406"/>
    <cellStyle name="LS Output Table No. 2+ 6 2" xfId="36407"/>
    <cellStyle name="LS Output Table No. 2+ 6 2 10" xfId="36408"/>
    <cellStyle name="LS Output Table No. 2+ 6 2 11" xfId="36409"/>
    <cellStyle name="LS Output Table No. 2+ 6 2 2" xfId="36410"/>
    <cellStyle name="LS Output Table No. 2+ 6 2 2 10" xfId="36411"/>
    <cellStyle name="LS Output Table No. 2+ 6 2 2 2" xfId="36412"/>
    <cellStyle name="LS Output Table No. 2+ 6 2 2 2 2" xfId="36413"/>
    <cellStyle name="LS Output Table No. 2+ 6 2 2 2 3" xfId="36414"/>
    <cellStyle name="LS Output Table No. 2+ 6 2 2 2 4" xfId="36415"/>
    <cellStyle name="LS Output Table No. 2+ 6 2 2 2 5" xfId="36416"/>
    <cellStyle name="LS Output Table No. 2+ 6 2 2 2 6" xfId="36417"/>
    <cellStyle name="LS Output Table No. 2+ 6 2 2 2 7" xfId="36418"/>
    <cellStyle name="LS Output Table No. 2+ 6 2 2 2 8" xfId="36419"/>
    <cellStyle name="LS Output Table No. 2+ 6 2 2 2 9" xfId="36420"/>
    <cellStyle name="LS Output Table No. 2+ 6 2 2 3" xfId="36421"/>
    <cellStyle name="LS Output Table No. 2+ 6 2 2 4" xfId="36422"/>
    <cellStyle name="LS Output Table No. 2+ 6 2 2 5" xfId="36423"/>
    <cellStyle name="LS Output Table No. 2+ 6 2 2 6" xfId="36424"/>
    <cellStyle name="LS Output Table No. 2+ 6 2 2 7" xfId="36425"/>
    <cellStyle name="LS Output Table No. 2+ 6 2 2 8" xfId="36426"/>
    <cellStyle name="LS Output Table No. 2+ 6 2 2 9" xfId="36427"/>
    <cellStyle name="LS Output Table No. 2+ 6 2 3" xfId="36428"/>
    <cellStyle name="LS Output Table No. 2+ 6 2 3 2" xfId="36429"/>
    <cellStyle name="LS Output Table No. 2+ 6 2 3 3" xfId="36430"/>
    <cellStyle name="LS Output Table No. 2+ 6 2 3 4" xfId="36431"/>
    <cellStyle name="LS Output Table No. 2+ 6 2 3 5" xfId="36432"/>
    <cellStyle name="LS Output Table No. 2+ 6 2 3 6" xfId="36433"/>
    <cellStyle name="LS Output Table No. 2+ 6 2 3 7" xfId="36434"/>
    <cellStyle name="LS Output Table No. 2+ 6 2 3 8" xfId="36435"/>
    <cellStyle name="LS Output Table No. 2+ 6 2 3 9" xfId="36436"/>
    <cellStyle name="LS Output Table No. 2+ 6 2 4" xfId="36437"/>
    <cellStyle name="LS Output Table No. 2+ 6 2 5" xfId="36438"/>
    <cellStyle name="LS Output Table No. 2+ 6 2 6" xfId="36439"/>
    <cellStyle name="LS Output Table No. 2+ 6 2 7" xfId="36440"/>
    <cellStyle name="LS Output Table No. 2+ 6 2 8" xfId="36441"/>
    <cellStyle name="LS Output Table No. 2+ 6 2 9" xfId="36442"/>
    <cellStyle name="LS Output Table No. 2+ 6 3" xfId="36443"/>
    <cellStyle name="LS Output Table No. 2+ 6 3 10" xfId="36444"/>
    <cellStyle name="LS Output Table No. 2+ 6 3 2" xfId="36445"/>
    <cellStyle name="LS Output Table No. 2+ 6 3 2 2" xfId="36446"/>
    <cellStyle name="LS Output Table No. 2+ 6 3 2 3" xfId="36447"/>
    <cellStyle name="LS Output Table No. 2+ 6 3 2 4" xfId="36448"/>
    <cellStyle name="LS Output Table No. 2+ 6 3 2 5" xfId="36449"/>
    <cellStyle name="LS Output Table No. 2+ 6 3 2 6" xfId="36450"/>
    <cellStyle name="LS Output Table No. 2+ 6 3 2 7" xfId="36451"/>
    <cellStyle name="LS Output Table No. 2+ 6 3 2 8" xfId="36452"/>
    <cellStyle name="LS Output Table No. 2+ 6 3 2 9" xfId="36453"/>
    <cellStyle name="LS Output Table No. 2+ 6 3 3" xfId="36454"/>
    <cellStyle name="LS Output Table No. 2+ 6 3 4" xfId="36455"/>
    <cellStyle name="LS Output Table No. 2+ 6 3 5" xfId="36456"/>
    <cellStyle name="LS Output Table No. 2+ 6 3 6" xfId="36457"/>
    <cellStyle name="LS Output Table No. 2+ 6 3 7" xfId="36458"/>
    <cellStyle name="LS Output Table No. 2+ 6 3 8" xfId="36459"/>
    <cellStyle name="LS Output Table No. 2+ 6 3 9" xfId="36460"/>
    <cellStyle name="LS Output Table No. 2+ 6 4" xfId="36461"/>
    <cellStyle name="LS Output Table No. 2+ 6 4 2" xfId="36462"/>
    <cellStyle name="LS Output Table No. 2+ 6 4 3" xfId="36463"/>
    <cellStyle name="LS Output Table No. 2+ 6 4 4" xfId="36464"/>
    <cellStyle name="LS Output Table No. 2+ 6 4 5" xfId="36465"/>
    <cellStyle name="LS Output Table No. 2+ 6 4 6" xfId="36466"/>
    <cellStyle name="LS Output Table No. 2+ 6 4 7" xfId="36467"/>
    <cellStyle name="LS Output Table No. 2+ 6 4 8" xfId="36468"/>
    <cellStyle name="LS Output Table No. 2+ 6 4 9" xfId="36469"/>
    <cellStyle name="LS Output Table No. 2+ 6 5" xfId="36470"/>
    <cellStyle name="LS Output Table No. 2+ 6 6" xfId="36471"/>
    <cellStyle name="LS Output Table No. 2+ 6 7" xfId="36472"/>
    <cellStyle name="LS Output Table No. 2+ 6 8" xfId="36473"/>
    <cellStyle name="LS Output Table No. 2+ 6 9" xfId="36474"/>
    <cellStyle name="LS Output Table No. 2+ 7" xfId="36475"/>
    <cellStyle name="LS Output Table No. 2+ 7 10" xfId="36476"/>
    <cellStyle name="LS Output Table No. 2+ 7 11" xfId="36477"/>
    <cellStyle name="LS Output Table No. 2+ 7 12" xfId="36478"/>
    <cellStyle name="LS Output Table No. 2+ 7 2" xfId="36479"/>
    <cellStyle name="LS Output Table No. 2+ 7 2 10" xfId="36480"/>
    <cellStyle name="LS Output Table No. 2+ 7 2 11" xfId="36481"/>
    <cellStyle name="LS Output Table No. 2+ 7 2 2" xfId="36482"/>
    <cellStyle name="LS Output Table No. 2+ 7 2 2 10" xfId="36483"/>
    <cellStyle name="LS Output Table No. 2+ 7 2 2 2" xfId="36484"/>
    <cellStyle name="LS Output Table No. 2+ 7 2 2 2 2" xfId="36485"/>
    <cellStyle name="LS Output Table No. 2+ 7 2 2 2 3" xfId="36486"/>
    <cellStyle name="LS Output Table No. 2+ 7 2 2 2 4" xfId="36487"/>
    <cellStyle name="LS Output Table No. 2+ 7 2 2 2 5" xfId="36488"/>
    <cellStyle name="LS Output Table No. 2+ 7 2 2 2 6" xfId="36489"/>
    <cellStyle name="LS Output Table No. 2+ 7 2 2 2 7" xfId="36490"/>
    <cellStyle name="LS Output Table No. 2+ 7 2 2 2 8" xfId="36491"/>
    <cellStyle name="LS Output Table No. 2+ 7 2 2 2 9" xfId="36492"/>
    <cellStyle name="LS Output Table No. 2+ 7 2 2 3" xfId="36493"/>
    <cellStyle name="LS Output Table No. 2+ 7 2 2 4" xfId="36494"/>
    <cellStyle name="LS Output Table No. 2+ 7 2 2 5" xfId="36495"/>
    <cellStyle name="LS Output Table No. 2+ 7 2 2 6" xfId="36496"/>
    <cellStyle name="LS Output Table No. 2+ 7 2 2 7" xfId="36497"/>
    <cellStyle name="LS Output Table No. 2+ 7 2 2 8" xfId="36498"/>
    <cellStyle name="LS Output Table No. 2+ 7 2 2 9" xfId="36499"/>
    <cellStyle name="LS Output Table No. 2+ 7 2 3" xfId="36500"/>
    <cellStyle name="LS Output Table No. 2+ 7 2 3 2" xfId="36501"/>
    <cellStyle name="LS Output Table No. 2+ 7 2 3 3" xfId="36502"/>
    <cellStyle name="LS Output Table No. 2+ 7 2 3 4" xfId="36503"/>
    <cellStyle name="LS Output Table No. 2+ 7 2 3 5" xfId="36504"/>
    <cellStyle name="LS Output Table No. 2+ 7 2 3 6" xfId="36505"/>
    <cellStyle name="LS Output Table No. 2+ 7 2 3 7" xfId="36506"/>
    <cellStyle name="LS Output Table No. 2+ 7 2 3 8" xfId="36507"/>
    <cellStyle name="LS Output Table No. 2+ 7 2 3 9" xfId="36508"/>
    <cellStyle name="LS Output Table No. 2+ 7 2 4" xfId="36509"/>
    <cellStyle name="LS Output Table No. 2+ 7 2 5" xfId="36510"/>
    <cellStyle name="LS Output Table No. 2+ 7 2 6" xfId="36511"/>
    <cellStyle name="LS Output Table No. 2+ 7 2 7" xfId="36512"/>
    <cellStyle name="LS Output Table No. 2+ 7 2 8" xfId="36513"/>
    <cellStyle name="LS Output Table No. 2+ 7 2 9" xfId="36514"/>
    <cellStyle name="LS Output Table No. 2+ 7 3" xfId="36515"/>
    <cellStyle name="LS Output Table No. 2+ 7 3 10" xfId="36516"/>
    <cellStyle name="LS Output Table No. 2+ 7 3 2" xfId="36517"/>
    <cellStyle name="LS Output Table No. 2+ 7 3 2 2" xfId="36518"/>
    <cellStyle name="LS Output Table No. 2+ 7 3 2 3" xfId="36519"/>
    <cellStyle name="LS Output Table No. 2+ 7 3 2 4" xfId="36520"/>
    <cellStyle name="LS Output Table No. 2+ 7 3 2 5" xfId="36521"/>
    <cellStyle name="LS Output Table No. 2+ 7 3 2 6" xfId="36522"/>
    <cellStyle name="LS Output Table No. 2+ 7 3 2 7" xfId="36523"/>
    <cellStyle name="LS Output Table No. 2+ 7 3 2 8" xfId="36524"/>
    <cellStyle name="LS Output Table No. 2+ 7 3 2 9" xfId="36525"/>
    <cellStyle name="LS Output Table No. 2+ 7 3 3" xfId="36526"/>
    <cellStyle name="LS Output Table No. 2+ 7 3 4" xfId="36527"/>
    <cellStyle name="LS Output Table No. 2+ 7 3 5" xfId="36528"/>
    <cellStyle name="LS Output Table No. 2+ 7 3 6" xfId="36529"/>
    <cellStyle name="LS Output Table No. 2+ 7 3 7" xfId="36530"/>
    <cellStyle name="LS Output Table No. 2+ 7 3 8" xfId="36531"/>
    <cellStyle name="LS Output Table No. 2+ 7 3 9" xfId="36532"/>
    <cellStyle name="LS Output Table No. 2+ 7 4" xfId="36533"/>
    <cellStyle name="LS Output Table No. 2+ 7 4 2" xfId="36534"/>
    <cellStyle name="LS Output Table No. 2+ 7 4 3" xfId="36535"/>
    <cellStyle name="LS Output Table No. 2+ 7 4 4" xfId="36536"/>
    <cellStyle name="LS Output Table No. 2+ 7 4 5" xfId="36537"/>
    <cellStyle name="LS Output Table No. 2+ 7 4 6" xfId="36538"/>
    <cellStyle name="LS Output Table No. 2+ 7 4 7" xfId="36539"/>
    <cellStyle name="LS Output Table No. 2+ 7 4 8" xfId="36540"/>
    <cellStyle name="LS Output Table No. 2+ 7 4 9" xfId="36541"/>
    <cellStyle name="LS Output Table No. 2+ 7 5" xfId="36542"/>
    <cellStyle name="LS Output Table No. 2+ 7 6" xfId="36543"/>
    <cellStyle name="LS Output Table No. 2+ 7 7" xfId="36544"/>
    <cellStyle name="LS Output Table No. 2+ 7 8" xfId="36545"/>
    <cellStyle name="LS Output Table No. 2+ 7 9" xfId="36546"/>
    <cellStyle name="LS Output Table No. 2+ 8" xfId="36547"/>
    <cellStyle name="LS Output Table No. 2+ 8 10" xfId="36548"/>
    <cellStyle name="LS Output Table No. 2+ 8 11" xfId="36549"/>
    <cellStyle name="LS Output Table No. 2+ 8 12" xfId="36550"/>
    <cellStyle name="LS Output Table No. 2+ 8 2" xfId="36551"/>
    <cellStyle name="LS Output Table No. 2+ 8 2 10" xfId="36552"/>
    <cellStyle name="LS Output Table No. 2+ 8 2 11" xfId="36553"/>
    <cellStyle name="LS Output Table No. 2+ 8 2 2" xfId="36554"/>
    <cellStyle name="LS Output Table No. 2+ 8 2 2 10" xfId="36555"/>
    <cellStyle name="LS Output Table No. 2+ 8 2 2 2" xfId="36556"/>
    <cellStyle name="LS Output Table No. 2+ 8 2 2 2 2" xfId="36557"/>
    <cellStyle name="LS Output Table No. 2+ 8 2 2 2 3" xfId="36558"/>
    <cellStyle name="LS Output Table No. 2+ 8 2 2 2 4" xfId="36559"/>
    <cellStyle name="LS Output Table No. 2+ 8 2 2 2 5" xfId="36560"/>
    <cellStyle name="LS Output Table No. 2+ 8 2 2 2 6" xfId="36561"/>
    <cellStyle name="LS Output Table No. 2+ 8 2 2 2 7" xfId="36562"/>
    <cellStyle name="LS Output Table No. 2+ 8 2 2 2 8" xfId="36563"/>
    <cellStyle name="LS Output Table No. 2+ 8 2 2 2 9" xfId="36564"/>
    <cellStyle name="LS Output Table No. 2+ 8 2 2 3" xfId="36565"/>
    <cellStyle name="LS Output Table No. 2+ 8 2 2 4" xfId="36566"/>
    <cellStyle name="LS Output Table No. 2+ 8 2 2 5" xfId="36567"/>
    <cellStyle name="LS Output Table No. 2+ 8 2 2 6" xfId="36568"/>
    <cellStyle name="LS Output Table No. 2+ 8 2 2 7" xfId="36569"/>
    <cellStyle name="LS Output Table No. 2+ 8 2 2 8" xfId="36570"/>
    <cellStyle name="LS Output Table No. 2+ 8 2 2 9" xfId="36571"/>
    <cellStyle name="LS Output Table No. 2+ 8 2 3" xfId="36572"/>
    <cellStyle name="LS Output Table No. 2+ 8 2 3 2" xfId="36573"/>
    <cellStyle name="LS Output Table No. 2+ 8 2 3 3" xfId="36574"/>
    <cellStyle name="LS Output Table No. 2+ 8 2 3 4" xfId="36575"/>
    <cellStyle name="LS Output Table No. 2+ 8 2 3 5" xfId="36576"/>
    <cellStyle name="LS Output Table No. 2+ 8 2 3 6" xfId="36577"/>
    <cellStyle name="LS Output Table No. 2+ 8 2 3 7" xfId="36578"/>
    <cellStyle name="LS Output Table No. 2+ 8 2 3 8" xfId="36579"/>
    <cellStyle name="LS Output Table No. 2+ 8 2 3 9" xfId="36580"/>
    <cellStyle name="LS Output Table No. 2+ 8 2 4" xfId="36581"/>
    <cellStyle name="LS Output Table No. 2+ 8 2 5" xfId="36582"/>
    <cellStyle name="LS Output Table No. 2+ 8 2 6" xfId="36583"/>
    <cellStyle name="LS Output Table No. 2+ 8 2 7" xfId="36584"/>
    <cellStyle name="LS Output Table No. 2+ 8 2 8" xfId="36585"/>
    <cellStyle name="LS Output Table No. 2+ 8 2 9" xfId="36586"/>
    <cellStyle name="LS Output Table No. 2+ 8 3" xfId="36587"/>
    <cellStyle name="LS Output Table No. 2+ 8 3 10" xfId="36588"/>
    <cellStyle name="LS Output Table No. 2+ 8 3 2" xfId="36589"/>
    <cellStyle name="LS Output Table No. 2+ 8 3 2 2" xfId="36590"/>
    <cellStyle name="LS Output Table No. 2+ 8 3 2 3" xfId="36591"/>
    <cellStyle name="LS Output Table No. 2+ 8 3 2 4" xfId="36592"/>
    <cellStyle name="LS Output Table No. 2+ 8 3 2 5" xfId="36593"/>
    <cellStyle name="LS Output Table No. 2+ 8 3 2 6" xfId="36594"/>
    <cellStyle name="LS Output Table No. 2+ 8 3 2 7" xfId="36595"/>
    <cellStyle name="LS Output Table No. 2+ 8 3 2 8" xfId="36596"/>
    <cellStyle name="LS Output Table No. 2+ 8 3 2 9" xfId="36597"/>
    <cellStyle name="LS Output Table No. 2+ 8 3 3" xfId="36598"/>
    <cellStyle name="LS Output Table No. 2+ 8 3 4" xfId="36599"/>
    <cellStyle name="LS Output Table No. 2+ 8 3 5" xfId="36600"/>
    <cellStyle name="LS Output Table No. 2+ 8 3 6" xfId="36601"/>
    <cellStyle name="LS Output Table No. 2+ 8 3 7" xfId="36602"/>
    <cellStyle name="LS Output Table No. 2+ 8 3 8" xfId="36603"/>
    <cellStyle name="LS Output Table No. 2+ 8 3 9" xfId="36604"/>
    <cellStyle name="LS Output Table No. 2+ 8 4" xfId="36605"/>
    <cellStyle name="LS Output Table No. 2+ 8 4 2" xfId="36606"/>
    <cellStyle name="LS Output Table No. 2+ 8 4 3" xfId="36607"/>
    <cellStyle name="LS Output Table No. 2+ 8 4 4" xfId="36608"/>
    <cellStyle name="LS Output Table No. 2+ 8 4 5" xfId="36609"/>
    <cellStyle name="LS Output Table No. 2+ 8 4 6" xfId="36610"/>
    <cellStyle name="LS Output Table No. 2+ 8 4 7" xfId="36611"/>
    <cellStyle name="LS Output Table No. 2+ 8 4 8" xfId="36612"/>
    <cellStyle name="LS Output Table No. 2+ 8 4 9" xfId="36613"/>
    <cellStyle name="LS Output Table No. 2+ 8 5" xfId="36614"/>
    <cellStyle name="LS Output Table No. 2+ 8 6" xfId="36615"/>
    <cellStyle name="LS Output Table No. 2+ 8 7" xfId="36616"/>
    <cellStyle name="LS Output Table No. 2+ 8 8" xfId="36617"/>
    <cellStyle name="LS Output Table No. 2+ 8 9" xfId="36618"/>
    <cellStyle name="LS Output Table No. 2+ 9" xfId="36619"/>
    <cellStyle name="LS Output Table No. 2+ 9 10" xfId="36620"/>
    <cellStyle name="LS Output Table No. 2+ 9 11" xfId="36621"/>
    <cellStyle name="LS Output Table No. 2+ 9 12" xfId="36622"/>
    <cellStyle name="LS Output Table No. 2+ 9 2" xfId="36623"/>
    <cellStyle name="LS Output Table No. 2+ 9 2 10" xfId="36624"/>
    <cellStyle name="LS Output Table No. 2+ 9 2 11" xfId="36625"/>
    <cellStyle name="LS Output Table No. 2+ 9 2 2" xfId="36626"/>
    <cellStyle name="LS Output Table No. 2+ 9 2 2 10" xfId="36627"/>
    <cellStyle name="LS Output Table No. 2+ 9 2 2 2" xfId="36628"/>
    <cellStyle name="LS Output Table No. 2+ 9 2 2 2 2" xfId="36629"/>
    <cellStyle name="LS Output Table No. 2+ 9 2 2 2 3" xfId="36630"/>
    <cellStyle name="LS Output Table No. 2+ 9 2 2 2 4" xfId="36631"/>
    <cellStyle name="LS Output Table No. 2+ 9 2 2 2 5" xfId="36632"/>
    <cellStyle name="LS Output Table No. 2+ 9 2 2 2 6" xfId="36633"/>
    <cellStyle name="LS Output Table No. 2+ 9 2 2 2 7" xfId="36634"/>
    <cellStyle name="LS Output Table No. 2+ 9 2 2 2 8" xfId="36635"/>
    <cellStyle name="LS Output Table No. 2+ 9 2 2 2 9" xfId="36636"/>
    <cellStyle name="LS Output Table No. 2+ 9 2 2 3" xfId="36637"/>
    <cellStyle name="LS Output Table No. 2+ 9 2 2 4" xfId="36638"/>
    <cellStyle name="LS Output Table No. 2+ 9 2 2 5" xfId="36639"/>
    <cellStyle name="LS Output Table No. 2+ 9 2 2 6" xfId="36640"/>
    <cellStyle name="LS Output Table No. 2+ 9 2 2 7" xfId="36641"/>
    <cellStyle name="LS Output Table No. 2+ 9 2 2 8" xfId="36642"/>
    <cellStyle name="LS Output Table No. 2+ 9 2 2 9" xfId="36643"/>
    <cellStyle name="LS Output Table No. 2+ 9 2 3" xfId="36644"/>
    <cellStyle name="LS Output Table No. 2+ 9 2 3 2" xfId="36645"/>
    <cellStyle name="LS Output Table No. 2+ 9 2 3 3" xfId="36646"/>
    <cellStyle name="LS Output Table No. 2+ 9 2 3 4" xfId="36647"/>
    <cellStyle name="LS Output Table No. 2+ 9 2 3 5" xfId="36648"/>
    <cellStyle name="LS Output Table No. 2+ 9 2 3 6" xfId="36649"/>
    <cellStyle name="LS Output Table No. 2+ 9 2 3 7" xfId="36650"/>
    <cellStyle name="LS Output Table No. 2+ 9 2 3 8" xfId="36651"/>
    <cellStyle name="LS Output Table No. 2+ 9 2 3 9" xfId="36652"/>
    <cellStyle name="LS Output Table No. 2+ 9 2 4" xfId="36653"/>
    <cellStyle name="LS Output Table No. 2+ 9 2 5" xfId="36654"/>
    <cellStyle name="LS Output Table No. 2+ 9 2 6" xfId="36655"/>
    <cellStyle name="LS Output Table No. 2+ 9 2 7" xfId="36656"/>
    <cellStyle name="LS Output Table No. 2+ 9 2 8" xfId="36657"/>
    <cellStyle name="LS Output Table No. 2+ 9 2 9" xfId="36658"/>
    <cellStyle name="LS Output Table No. 2+ 9 3" xfId="36659"/>
    <cellStyle name="LS Output Table No. 2+ 9 3 10" xfId="36660"/>
    <cellStyle name="LS Output Table No. 2+ 9 3 2" xfId="36661"/>
    <cellStyle name="LS Output Table No. 2+ 9 3 2 2" xfId="36662"/>
    <cellStyle name="LS Output Table No. 2+ 9 3 2 3" xfId="36663"/>
    <cellStyle name="LS Output Table No. 2+ 9 3 2 4" xfId="36664"/>
    <cellStyle name="LS Output Table No. 2+ 9 3 2 5" xfId="36665"/>
    <cellStyle name="LS Output Table No. 2+ 9 3 2 6" xfId="36666"/>
    <cellStyle name="LS Output Table No. 2+ 9 3 2 7" xfId="36667"/>
    <cellStyle name="LS Output Table No. 2+ 9 3 2 8" xfId="36668"/>
    <cellStyle name="LS Output Table No. 2+ 9 3 2 9" xfId="36669"/>
    <cellStyle name="LS Output Table No. 2+ 9 3 3" xfId="36670"/>
    <cellStyle name="LS Output Table No. 2+ 9 3 4" xfId="36671"/>
    <cellStyle name="LS Output Table No. 2+ 9 3 5" xfId="36672"/>
    <cellStyle name="LS Output Table No. 2+ 9 3 6" xfId="36673"/>
    <cellStyle name="LS Output Table No. 2+ 9 3 7" xfId="36674"/>
    <cellStyle name="LS Output Table No. 2+ 9 3 8" xfId="36675"/>
    <cellStyle name="LS Output Table No. 2+ 9 3 9" xfId="36676"/>
    <cellStyle name="LS Output Table No. 2+ 9 4" xfId="36677"/>
    <cellStyle name="LS Output Table No. 2+ 9 4 2" xfId="36678"/>
    <cellStyle name="LS Output Table No. 2+ 9 4 3" xfId="36679"/>
    <cellStyle name="LS Output Table No. 2+ 9 4 4" xfId="36680"/>
    <cellStyle name="LS Output Table No. 2+ 9 4 5" xfId="36681"/>
    <cellStyle name="LS Output Table No. 2+ 9 4 6" xfId="36682"/>
    <cellStyle name="LS Output Table No. 2+ 9 4 7" xfId="36683"/>
    <cellStyle name="LS Output Table No. 2+ 9 4 8" xfId="36684"/>
    <cellStyle name="LS Output Table No. 2+ 9 4 9" xfId="36685"/>
    <cellStyle name="LS Output Table No. 2+ 9 5" xfId="36686"/>
    <cellStyle name="LS Output Table No. 2+ 9 6" xfId="36687"/>
    <cellStyle name="LS Output Table No. 2+ 9 7" xfId="36688"/>
    <cellStyle name="LS Output Table No. 2+ 9 8" xfId="36689"/>
    <cellStyle name="LS Output Table No. 2+ 9 9" xfId="36690"/>
    <cellStyle name="Middle Currency" xfId="36691"/>
    <cellStyle name="Middle Date" xfId="36692"/>
    <cellStyle name="Middle Multiple" xfId="36693"/>
    <cellStyle name="Middle Number" xfId="36694"/>
    <cellStyle name="Middle Percentage" xfId="36695"/>
    <cellStyle name="Middle Title / Name" xfId="36696"/>
    <cellStyle name="Middle Year" xfId="36697"/>
    <cellStyle name="Mine" xfId="36698"/>
    <cellStyle name="Model Name" xfId="36699"/>
    <cellStyle name="Model Name 2" xfId="36700"/>
    <cellStyle name="Model Name 3" xfId="36701"/>
    <cellStyle name="Model Name 4" xfId="36702"/>
    <cellStyle name="Model Name." xfId="36703"/>
    <cellStyle name="Model Name. 2" xfId="36704"/>
    <cellStyle name="Model Name_Book3" xfId="36705"/>
    <cellStyle name="Multiple" xfId="36706"/>
    <cellStyle name="Multiple." xfId="36707"/>
    <cellStyle name="Multiple. 2" xfId="36708"/>
    <cellStyle name="Neutral 2" xfId="36709"/>
    <cellStyle name="Neutral 3" xfId="36710"/>
    <cellStyle name="Neutral 4" xfId="36711"/>
    <cellStyle name="Neutral 5" xfId="36712"/>
    <cellStyle name="Normal" xfId="0" builtinId="0"/>
    <cellStyle name="Normal - Style1" xfId="36713"/>
    <cellStyle name="Normal 10" xfId="36714"/>
    <cellStyle name="Normal 10 2" xfId="62"/>
    <cellStyle name="Normal 100" xfId="36715"/>
    <cellStyle name="Normal 100 10" xfId="36716"/>
    <cellStyle name="Normal 100 11" xfId="36717"/>
    <cellStyle name="Normal 100 2" xfId="36718"/>
    <cellStyle name="Normal 100 2 2" xfId="36719"/>
    <cellStyle name="Normal 100 2 2 2" xfId="36720"/>
    <cellStyle name="Normal 100 2 2 2 2" xfId="36721"/>
    <cellStyle name="Normal 100 2 2 2 2 2" xfId="36722"/>
    <cellStyle name="Normal 100 2 2 2 2 3" xfId="36723"/>
    <cellStyle name="Normal 100 2 2 2 2 4" xfId="36724"/>
    <cellStyle name="Normal 100 2 2 2 2 5" xfId="36725"/>
    <cellStyle name="Normal 100 2 2 2 2 6" xfId="36726"/>
    <cellStyle name="Normal 100 2 2 2 3" xfId="36727"/>
    <cellStyle name="Normal 100 2 2 2 4" xfId="36728"/>
    <cellStyle name="Normal 100 2 2 2 5" xfId="36729"/>
    <cellStyle name="Normal 100 2 2 2 6" xfId="36730"/>
    <cellStyle name="Normal 100 2 2 2 7" xfId="36731"/>
    <cellStyle name="Normal 100 2 2 3" xfId="36732"/>
    <cellStyle name="Normal 100 2 2 3 2" xfId="36733"/>
    <cellStyle name="Normal 100 2 2 3 3" xfId="36734"/>
    <cellStyle name="Normal 100 2 2 3 4" xfId="36735"/>
    <cellStyle name="Normal 100 2 2 3 5" xfId="36736"/>
    <cellStyle name="Normal 100 2 2 3 6" xfId="36737"/>
    <cellStyle name="Normal 100 2 2 4" xfId="36738"/>
    <cellStyle name="Normal 100 2 2 5" xfId="36739"/>
    <cellStyle name="Normal 100 2 2 6" xfId="36740"/>
    <cellStyle name="Normal 100 2 2 7" xfId="36741"/>
    <cellStyle name="Normal 100 2 2 8" xfId="36742"/>
    <cellStyle name="Normal 100 2 3" xfId="36743"/>
    <cellStyle name="Normal 100 2 3 2" xfId="36744"/>
    <cellStyle name="Normal 100 2 3 2 2" xfId="36745"/>
    <cellStyle name="Normal 100 2 3 2 3" xfId="36746"/>
    <cellStyle name="Normal 100 2 3 2 4" xfId="36747"/>
    <cellStyle name="Normal 100 2 3 2 5" xfId="36748"/>
    <cellStyle name="Normal 100 2 3 2 6" xfId="36749"/>
    <cellStyle name="Normal 100 2 3 3" xfId="36750"/>
    <cellStyle name="Normal 100 2 3 4" xfId="36751"/>
    <cellStyle name="Normal 100 2 3 5" xfId="36752"/>
    <cellStyle name="Normal 100 2 3 6" xfId="36753"/>
    <cellStyle name="Normal 100 2 3 7" xfId="36754"/>
    <cellStyle name="Normal 100 2 4" xfId="36755"/>
    <cellStyle name="Normal 100 2 4 2" xfId="36756"/>
    <cellStyle name="Normal 100 2 4 3" xfId="36757"/>
    <cellStyle name="Normal 100 2 4 4" xfId="36758"/>
    <cellStyle name="Normal 100 2 4 5" xfId="36759"/>
    <cellStyle name="Normal 100 2 4 6" xfId="36760"/>
    <cellStyle name="Normal 100 2 5" xfId="36761"/>
    <cellStyle name="Normal 100 2 6" xfId="36762"/>
    <cellStyle name="Normal 100 2 7" xfId="36763"/>
    <cellStyle name="Normal 100 2 8" xfId="36764"/>
    <cellStyle name="Normal 100 2 9" xfId="36765"/>
    <cellStyle name="Normal 100 3" xfId="36766"/>
    <cellStyle name="Normal 100 3 2" xfId="36767"/>
    <cellStyle name="Normal 100 3 2 2" xfId="36768"/>
    <cellStyle name="Normal 100 3 2 2 2" xfId="36769"/>
    <cellStyle name="Normal 100 3 2 2 2 2" xfId="36770"/>
    <cellStyle name="Normal 100 3 2 2 2 3" xfId="36771"/>
    <cellStyle name="Normal 100 3 2 2 2 4" xfId="36772"/>
    <cellStyle name="Normal 100 3 2 2 2 5" xfId="36773"/>
    <cellStyle name="Normal 100 3 2 2 2 6" xfId="36774"/>
    <cellStyle name="Normal 100 3 2 2 3" xfId="36775"/>
    <cellStyle name="Normal 100 3 2 2 4" xfId="36776"/>
    <cellStyle name="Normal 100 3 2 2 5" xfId="36777"/>
    <cellStyle name="Normal 100 3 2 2 6" xfId="36778"/>
    <cellStyle name="Normal 100 3 2 2 7" xfId="36779"/>
    <cellStyle name="Normal 100 3 2 3" xfId="36780"/>
    <cellStyle name="Normal 100 3 2 3 2" xfId="36781"/>
    <cellStyle name="Normal 100 3 2 3 3" xfId="36782"/>
    <cellStyle name="Normal 100 3 2 3 4" xfId="36783"/>
    <cellStyle name="Normal 100 3 2 3 5" xfId="36784"/>
    <cellStyle name="Normal 100 3 2 3 6" xfId="36785"/>
    <cellStyle name="Normal 100 3 2 4" xfId="36786"/>
    <cellStyle name="Normal 100 3 2 5" xfId="36787"/>
    <cellStyle name="Normal 100 3 2 6" xfId="36788"/>
    <cellStyle name="Normal 100 3 2 7" xfId="36789"/>
    <cellStyle name="Normal 100 3 2 8" xfId="36790"/>
    <cellStyle name="Normal 100 3 3" xfId="36791"/>
    <cellStyle name="Normal 100 3 3 2" xfId="36792"/>
    <cellStyle name="Normal 100 3 3 2 2" xfId="36793"/>
    <cellStyle name="Normal 100 3 3 2 3" xfId="36794"/>
    <cellStyle name="Normal 100 3 3 2 4" xfId="36795"/>
    <cellStyle name="Normal 100 3 3 2 5" xfId="36796"/>
    <cellStyle name="Normal 100 3 3 2 6" xfId="36797"/>
    <cellStyle name="Normal 100 3 3 3" xfId="36798"/>
    <cellStyle name="Normal 100 3 3 4" xfId="36799"/>
    <cellStyle name="Normal 100 3 3 5" xfId="36800"/>
    <cellStyle name="Normal 100 3 3 6" xfId="36801"/>
    <cellStyle name="Normal 100 3 3 7" xfId="36802"/>
    <cellStyle name="Normal 100 3 4" xfId="36803"/>
    <cellStyle name="Normal 100 3 4 2" xfId="36804"/>
    <cellStyle name="Normal 100 3 4 3" xfId="36805"/>
    <cellStyle name="Normal 100 3 4 4" xfId="36806"/>
    <cellStyle name="Normal 100 3 4 5" xfId="36807"/>
    <cellStyle name="Normal 100 3 4 6" xfId="36808"/>
    <cellStyle name="Normal 100 3 5" xfId="36809"/>
    <cellStyle name="Normal 100 3 6" xfId="36810"/>
    <cellStyle name="Normal 100 3 7" xfId="36811"/>
    <cellStyle name="Normal 100 3 8" xfId="36812"/>
    <cellStyle name="Normal 100 3 9" xfId="36813"/>
    <cellStyle name="Normal 100 4" xfId="36814"/>
    <cellStyle name="Normal 100 4 2" xfId="36815"/>
    <cellStyle name="Normal 100 4 2 2" xfId="36816"/>
    <cellStyle name="Normal 100 4 2 2 2" xfId="36817"/>
    <cellStyle name="Normal 100 4 2 2 3" xfId="36818"/>
    <cellStyle name="Normal 100 4 2 2 4" xfId="36819"/>
    <cellStyle name="Normal 100 4 2 2 5" xfId="36820"/>
    <cellStyle name="Normal 100 4 2 2 6" xfId="36821"/>
    <cellStyle name="Normal 100 4 2 3" xfId="36822"/>
    <cellStyle name="Normal 100 4 2 4" xfId="36823"/>
    <cellStyle name="Normal 100 4 2 5" xfId="36824"/>
    <cellStyle name="Normal 100 4 2 6" xfId="36825"/>
    <cellStyle name="Normal 100 4 2 7" xfId="36826"/>
    <cellStyle name="Normal 100 4 3" xfId="36827"/>
    <cellStyle name="Normal 100 4 3 2" xfId="36828"/>
    <cellStyle name="Normal 100 4 3 3" xfId="36829"/>
    <cellStyle name="Normal 100 4 3 4" xfId="36830"/>
    <cellStyle name="Normal 100 4 3 5" xfId="36831"/>
    <cellStyle name="Normal 100 4 3 6" xfId="36832"/>
    <cellStyle name="Normal 100 4 4" xfId="36833"/>
    <cellStyle name="Normal 100 4 5" xfId="36834"/>
    <cellStyle name="Normal 100 4 6" xfId="36835"/>
    <cellStyle name="Normal 100 4 7" xfId="36836"/>
    <cellStyle name="Normal 100 4 8" xfId="36837"/>
    <cellStyle name="Normal 100 5" xfId="36838"/>
    <cellStyle name="Normal 100 5 2" xfId="36839"/>
    <cellStyle name="Normal 100 5 2 2" xfId="36840"/>
    <cellStyle name="Normal 100 5 2 3" xfId="36841"/>
    <cellStyle name="Normal 100 5 2 4" xfId="36842"/>
    <cellStyle name="Normal 100 5 2 5" xfId="36843"/>
    <cellStyle name="Normal 100 5 2 6" xfId="36844"/>
    <cellStyle name="Normal 100 5 3" xfId="36845"/>
    <cellStyle name="Normal 100 5 4" xfId="36846"/>
    <cellStyle name="Normal 100 5 5" xfId="36847"/>
    <cellStyle name="Normal 100 5 6" xfId="36848"/>
    <cellStyle name="Normal 100 5 7" xfId="36849"/>
    <cellStyle name="Normal 100 6" xfId="36850"/>
    <cellStyle name="Normal 100 6 2" xfId="36851"/>
    <cellStyle name="Normal 100 6 3" xfId="36852"/>
    <cellStyle name="Normal 100 6 4" xfId="36853"/>
    <cellStyle name="Normal 100 6 5" xfId="36854"/>
    <cellStyle name="Normal 100 6 6" xfId="36855"/>
    <cellStyle name="Normal 100 7" xfId="36856"/>
    <cellStyle name="Normal 100 8" xfId="36857"/>
    <cellStyle name="Normal 100 9" xfId="36858"/>
    <cellStyle name="Normal 101" xfId="36859"/>
    <cellStyle name="Normal 101 10" xfId="36860"/>
    <cellStyle name="Normal 101 2" xfId="36861"/>
    <cellStyle name="Normal 101 2 2" xfId="36862"/>
    <cellStyle name="Normal 101 2 2 2" xfId="36863"/>
    <cellStyle name="Normal 101 2 2 2 2" xfId="36864"/>
    <cellStyle name="Normal 101 2 2 2 2 2" xfId="36865"/>
    <cellStyle name="Normal 101 2 2 2 2 3" xfId="36866"/>
    <cellStyle name="Normal 101 2 2 2 2 4" xfId="36867"/>
    <cellStyle name="Normal 101 2 2 2 2 5" xfId="36868"/>
    <cellStyle name="Normal 101 2 2 2 2 6" xfId="36869"/>
    <cellStyle name="Normal 101 2 2 2 3" xfId="36870"/>
    <cellStyle name="Normal 101 2 2 2 4" xfId="36871"/>
    <cellStyle name="Normal 101 2 2 2 5" xfId="36872"/>
    <cellStyle name="Normal 101 2 2 2 6" xfId="36873"/>
    <cellStyle name="Normal 101 2 2 2 7" xfId="36874"/>
    <cellStyle name="Normal 101 2 2 3" xfId="36875"/>
    <cellStyle name="Normal 101 2 2 3 2" xfId="36876"/>
    <cellStyle name="Normal 101 2 2 3 3" xfId="36877"/>
    <cellStyle name="Normal 101 2 2 3 4" xfId="36878"/>
    <cellStyle name="Normal 101 2 2 3 5" xfId="36879"/>
    <cellStyle name="Normal 101 2 2 3 6" xfId="36880"/>
    <cellStyle name="Normal 101 2 2 4" xfId="36881"/>
    <cellStyle name="Normal 101 2 2 5" xfId="36882"/>
    <cellStyle name="Normal 101 2 2 6" xfId="36883"/>
    <cellStyle name="Normal 101 2 2 7" xfId="36884"/>
    <cellStyle name="Normal 101 2 2 8" xfId="36885"/>
    <cellStyle name="Normal 101 2 3" xfId="36886"/>
    <cellStyle name="Normal 101 2 3 2" xfId="36887"/>
    <cellStyle name="Normal 101 2 3 2 2" xfId="36888"/>
    <cellStyle name="Normal 101 2 3 2 3" xfId="36889"/>
    <cellStyle name="Normal 101 2 3 2 4" xfId="36890"/>
    <cellStyle name="Normal 101 2 3 2 5" xfId="36891"/>
    <cellStyle name="Normal 101 2 3 2 6" xfId="36892"/>
    <cellStyle name="Normal 101 2 3 3" xfId="36893"/>
    <cellStyle name="Normal 101 2 3 4" xfId="36894"/>
    <cellStyle name="Normal 101 2 3 5" xfId="36895"/>
    <cellStyle name="Normal 101 2 3 6" xfId="36896"/>
    <cellStyle name="Normal 101 2 3 7" xfId="36897"/>
    <cellStyle name="Normal 101 2 4" xfId="36898"/>
    <cellStyle name="Normal 101 2 4 2" xfId="36899"/>
    <cellStyle name="Normal 101 2 4 3" xfId="36900"/>
    <cellStyle name="Normal 101 2 4 4" xfId="36901"/>
    <cellStyle name="Normal 101 2 4 5" xfId="36902"/>
    <cellStyle name="Normal 101 2 4 6" xfId="36903"/>
    <cellStyle name="Normal 101 2 5" xfId="36904"/>
    <cellStyle name="Normal 101 2 6" xfId="36905"/>
    <cellStyle name="Normal 101 2 7" xfId="36906"/>
    <cellStyle name="Normal 101 2 8" xfId="36907"/>
    <cellStyle name="Normal 101 2 9" xfId="36908"/>
    <cellStyle name="Normal 101 3" xfId="36909"/>
    <cellStyle name="Normal 101 3 2" xfId="36910"/>
    <cellStyle name="Normal 101 3 2 2" xfId="36911"/>
    <cellStyle name="Normal 101 3 2 2 2" xfId="36912"/>
    <cellStyle name="Normal 101 3 2 2 3" xfId="36913"/>
    <cellStyle name="Normal 101 3 2 2 4" xfId="36914"/>
    <cellStyle name="Normal 101 3 2 2 5" xfId="36915"/>
    <cellStyle name="Normal 101 3 2 2 6" xfId="36916"/>
    <cellStyle name="Normal 101 3 2 3" xfId="36917"/>
    <cellStyle name="Normal 101 3 2 4" xfId="36918"/>
    <cellStyle name="Normal 101 3 2 5" xfId="36919"/>
    <cellStyle name="Normal 101 3 2 6" xfId="36920"/>
    <cellStyle name="Normal 101 3 2 7" xfId="36921"/>
    <cellStyle name="Normal 101 3 3" xfId="36922"/>
    <cellStyle name="Normal 101 3 3 2" xfId="36923"/>
    <cellStyle name="Normal 101 3 3 3" xfId="36924"/>
    <cellStyle name="Normal 101 3 3 4" xfId="36925"/>
    <cellStyle name="Normal 101 3 3 5" xfId="36926"/>
    <cellStyle name="Normal 101 3 3 6" xfId="36927"/>
    <cellStyle name="Normal 101 3 4" xfId="36928"/>
    <cellStyle name="Normal 101 3 5" xfId="36929"/>
    <cellStyle name="Normal 101 3 6" xfId="36930"/>
    <cellStyle name="Normal 101 3 7" xfId="36931"/>
    <cellStyle name="Normal 101 3 8" xfId="36932"/>
    <cellStyle name="Normal 101 4" xfId="36933"/>
    <cellStyle name="Normal 101 4 2" xfId="36934"/>
    <cellStyle name="Normal 101 4 2 2" xfId="36935"/>
    <cellStyle name="Normal 101 4 2 3" xfId="36936"/>
    <cellStyle name="Normal 101 4 2 4" xfId="36937"/>
    <cellStyle name="Normal 101 4 2 5" xfId="36938"/>
    <cellStyle name="Normal 101 4 2 6" xfId="36939"/>
    <cellStyle name="Normal 101 4 3" xfId="36940"/>
    <cellStyle name="Normal 101 4 4" xfId="36941"/>
    <cellStyle name="Normal 101 4 5" xfId="36942"/>
    <cellStyle name="Normal 101 4 6" xfId="36943"/>
    <cellStyle name="Normal 101 4 7" xfId="36944"/>
    <cellStyle name="Normal 101 5" xfId="36945"/>
    <cellStyle name="Normal 101 5 2" xfId="36946"/>
    <cellStyle name="Normal 101 5 3" xfId="36947"/>
    <cellStyle name="Normal 101 5 4" xfId="36948"/>
    <cellStyle name="Normal 101 5 5" xfId="36949"/>
    <cellStyle name="Normal 101 5 6" xfId="36950"/>
    <cellStyle name="Normal 101 6" xfId="36951"/>
    <cellStyle name="Normal 101 7" xfId="36952"/>
    <cellStyle name="Normal 101 8" xfId="36953"/>
    <cellStyle name="Normal 101 9" xfId="36954"/>
    <cellStyle name="Normal 102" xfId="36955"/>
    <cellStyle name="Normal 102 10" xfId="36956"/>
    <cellStyle name="Normal 102 2" xfId="36957"/>
    <cellStyle name="Normal 102 2 2" xfId="36958"/>
    <cellStyle name="Normal 102 2 2 2" xfId="36959"/>
    <cellStyle name="Normal 102 2 2 2 2" xfId="36960"/>
    <cellStyle name="Normal 102 2 2 2 2 2" xfId="36961"/>
    <cellStyle name="Normal 102 2 2 2 2 3" xfId="36962"/>
    <cellStyle name="Normal 102 2 2 2 2 4" xfId="36963"/>
    <cellStyle name="Normal 102 2 2 2 2 5" xfId="36964"/>
    <cellStyle name="Normal 102 2 2 2 2 6" xfId="36965"/>
    <cellStyle name="Normal 102 2 2 2 3" xfId="36966"/>
    <cellStyle name="Normal 102 2 2 2 4" xfId="36967"/>
    <cellStyle name="Normal 102 2 2 2 5" xfId="36968"/>
    <cellStyle name="Normal 102 2 2 2 6" xfId="36969"/>
    <cellStyle name="Normal 102 2 2 2 7" xfId="36970"/>
    <cellStyle name="Normal 102 2 2 3" xfId="36971"/>
    <cellStyle name="Normal 102 2 2 3 2" xfId="36972"/>
    <cellStyle name="Normal 102 2 2 3 3" xfId="36973"/>
    <cellStyle name="Normal 102 2 2 3 4" xfId="36974"/>
    <cellStyle name="Normal 102 2 2 3 5" xfId="36975"/>
    <cellStyle name="Normal 102 2 2 3 6" xfId="36976"/>
    <cellStyle name="Normal 102 2 2 4" xfId="36977"/>
    <cellStyle name="Normal 102 2 2 5" xfId="36978"/>
    <cellStyle name="Normal 102 2 2 6" xfId="36979"/>
    <cellStyle name="Normal 102 2 2 7" xfId="36980"/>
    <cellStyle name="Normal 102 2 2 8" xfId="36981"/>
    <cellStyle name="Normal 102 2 3" xfId="36982"/>
    <cellStyle name="Normal 102 2 3 2" xfId="36983"/>
    <cellStyle name="Normal 102 2 3 2 2" xfId="36984"/>
    <cellStyle name="Normal 102 2 3 2 3" xfId="36985"/>
    <cellStyle name="Normal 102 2 3 2 4" xfId="36986"/>
    <cellStyle name="Normal 102 2 3 2 5" xfId="36987"/>
    <cellStyle name="Normal 102 2 3 2 6" xfId="36988"/>
    <cellStyle name="Normal 102 2 3 3" xfId="36989"/>
    <cellStyle name="Normal 102 2 3 4" xfId="36990"/>
    <cellStyle name="Normal 102 2 3 5" xfId="36991"/>
    <cellStyle name="Normal 102 2 3 6" xfId="36992"/>
    <cellStyle name="Normal 102 2 3 7" xfId="36993"/>
    <cellStyle name="Normal 102 2 4" xfId="36994"/>
    <cellStyle name="Normal 102 2 4 2" xfId="36995"/>
    <cellStyle name="Normal 102 2 4 3" xfId="36996"/>
    <cellStyle name="Normal 102 2 4 4" xfId="36997"/>
    <cellStyle name="Normal 102 2 4 5" xfId="36998"/>
    <cellStyle name="Normal 102 2 4 6" xfId="36999"/>
    <cellStyle name="Normal 102 2 5" xfId="37000"/>
    <cellStyle name="Normal 102 2 6" xfId="37001"/>
    <cellStyle name="Normal 102 2 7" xfId="37002"/>
    <cellStyle name="Normal 102 2 8" xfId="37003"/>
    <cellStyle name="Normal 102 2 9" xfId="37004"/>
    <cellStyle name="Normal 102 3" xfId="37005"/>
    <cellStyle name="Normal 102 3 2" xfId="37006"/>
    <cellStyle name="Normal 102 3 2 2" xfId="37007"/>
    <cellStyle name="Normal 102 3 2 2 2" xfId="37008"/>
    <cellStyle name="Normal 102 3 2 2 3" xfId="37009"/>
    <cellStyle name="Normal 102 3 2 2 4" xfId="37010"/>
    <cellStyle name="Normal 102 3 2 2 5" xfId="37011"/>
    <cellStyle name="Normal 102 3 2 2 6" xfId="37012"/>
    <cellStyle name="Normal 102 3 2 3" xfId="37013"/>
    <cellStyle name="Normal 102 3 2 4" xfId="37014"/>
    <cellStyle name="Normal 102 3 2 5" xfId="37015"/>
    <cellStyle name="Normal 102 3 2 6" xfId="37016"/>
    <cellStyle name="Normal 102 3 2 7" xfId="37017"/>
    <cellStyle name="Normal 102 3 3" xfId="37018"/>
    <cellStyle name="Normal 102 3 3 2" xfId="37019"/>
    <cellStyle name="Normal 102 3 3 3" xfId="37020"/>
    <cellStyle name="Normal 102 3 3 4" xfId="37021"/>
    <cellStyle name="Normal 102 3 3 5" xfId="37022"/>
    <cellStyle name="Normal 102 3 3 6" xfId="37023"/>
    <cellStyle name="Normal 102 3 4" xfId="37024"/>
    <cellStyle name="Normal 102 3 5" xfId="37025"/>
    <cellStyle name="Normal 102 3 6" xfId="37026"/>
    <cellStyle name="Normal 102 3 7" xfId="37027"/>
    <cellStyle name="Normal 102 3 8" xfId="37028"/>
    <cellStyle name="Normal 102 4" xfId="37029"/>
    <cellStyle name="Normal 102 4 2" xfId="37030"/>
    <cellStyle name="Normal 102 4 2 2" xfId="37031"/>
    <cellStyle name="Normal 102 4 2 3" xfId="37032"/>
    <cellStyle name="Normal 102 4 2 4" xfId="37033"/>
    <cellStyle name="Normal 102 4 2 5" xfId="37034"/>
    <cellStyle name="Normal 102 4 2 6" xfId="37035"/>
    <cellStyle name="Normal 102 4 3" xfId="37036"/>
    <cellStyle name="Normal 102 4 4" xfId="37037"/>
    <cellStyle name="Normal 102 4 5" xfId="37038"/>
    <cellStyle name="Normal 102 4 6" xfId="37039"/>
    <cellStyle name="Normal 102 4 7" xfId="37040"/>
    <cellStyle name="Normal 102 5" xfId="37041"/>
    <cellStyle name="Normal 102 5 2" xfId="37042"/>
    <cellStyle name="Normal 102 5 3" xfId="37043"/>
    <cellStyle name="Normal 102 5 4" xfId="37044"/>
    <cellStyle name="Normal 102 5 5" xfId="37045"/>
    <cellStyle name="Normal 102 5 6" xfId="37046"/>
    <cellStyle name="Normal 102 6" xfId="37047"/>
    <cellStyle name="Normal 102 7" xfId="37048"/>
    <cellStyle name="Normal 102 8" xfId="37049"/>
    <cellStyle name="Normal 102 9" xfId="37050"/>
    <cellStyle name="Normal 103" xfId="37051"/>
    <cellStyle name="Normal 103 10" xfId="37052"/>
    <cellStyle name="Normal 103 2" xfId="37053"/>
    <cellStyle name="Normal 103 2 2" xfId="37054"/>
    <cellStyle name="Normal 103 2 2 2" xfId="37055"/>
    <cellStyle name="Normal 103 2 2 2 2" xfId="37056"/>
    <cellStyle name="Normal 103 2 2 2 2 2" xfId="37057"/>
    <cellStyle name="Normal 103 2 2 2 2 3" xfId="37058"/>
    <cellStyle name="Normal 103 2 2 2 2 4" xfId="37059"/>
    <cellStyle name="Normal 103 2 2 2 2 5" xfId="37060"/>
    <cellStyle name="Normal 103 2 2 2 2 6" xfId="37061"/>
    <cellStyle name="Normal 103 2 2 2 3" xfId="37062"/>
    <cellStyle name="Normal 103 2 2 2 4" xfId="37063"/>
    <cellStyle name="Normal 103 2 2 2 5" xfId="37064"/>
    <cellStyle name="Normal 103 2 2 2 6" xfId="37065"/>
    <cellStyle name="Normal 103 2 2 2 7" xfId="37066"/>
    <cellStyle name="Normal 103 2 2 3" xfId="37067"/>
    <cellStyle name="Normal 103 2 2 3 2" xfId="37068"/>
    <cellStyle name="Normal 103 2 2 3 3" xfId="37069"/>
    <cellStyle name="Normal 103 2 2 3 4" xfId="37070"/>
    <cellStyle name="Normal 103 2 2 3 5" xfId="37071"/>
    <cellStyle name="Normal 103 2 2 3 6" xfId="37072"/>
    <cellStyle name="Normal 103 2 2 4" xfId="37073"/>
    <cellStyle name="Normal 103 2 2 5" xfId="37074"/>
    <cellStyle name="Normal 103 2 2 6" xfId="37075"/>
    <cellStyle name="Normal 103 2 2 7" xfId="37076"/>
    <cellStyle name="Normal 103 2 2 8" xfId="37077"/>
    <cellStyle name="Normal 103 2 3" xfId="37078"/>
    <cellStyle name="Normal 103 2 3 2" xfId="37079"/>
    <cellStyle name="Normal 103 2 3 2 2" xfId="37080"/>
    <cellStyle name="Normal 103 2 3 2 3" xfId="37081"/>
    <cellStyle name="Normal 103 2 3 2 4" xfId="37082"/>
    <cellStyle name="Normal 103 2 3 2 5" xfId="37083"/>
    <cellStyle name="Normal 103 2 3 2 6" xfId="37084"/>
    <cellStyle name="Normal 103 2 3 3" xfId="37085"/>
    <cellStyle name="Normal 103 2 3 4" xfId="37086"/>
    <cellStyle name="Normal 103 2 3 5" xfId="37087"/>
    <cellStyle name="Normal 103 2 3 6" xfId="37088"/>
    <cellStyle name="Normal 103 2 3 7" xfId="37089"/>
    <cellStyle name="Normal 103 2 4" xfId="37090"/>
    <cellStyle name="Normal 103 2 4 2" xfId="37091"/>
    <cellStyle name="Normal 103 2 4 3" xfId="37092"/>
    <cellStyle name="Normal 103 2 4 4" xfId="37093"/>
    <cellStyle name="Normal 103 2 4 5" xfId="37094"/>
    <cellStyle name="Normal 103 2 4 6" xfId="37095"/>
    <cellStyle name="Normal 103 2 5" xfId="37096"/>
    <cellStyle name="Normal 103 2 6" xfId="37097"/>
    <cellStyle name="Normal 103 2 7" xfId="37098"/>
    <cellStyle name="Normal 103 2 8" xfId="37099"/>
    <cellStyle name="Normal 103 2 9" xfId="37100"/>
    <cellStyle name="Normal 103 3" xfId="37101"/>
    <cellStyle name="Normal 103 3 2" xfId="37102"/>
    <cellStyle name="Normal 103 3 2 2" xfId="37103"/>
    <cellStyle name="Normal 103 3 2 2 2" xfId="37104"/>
    <cellStyle name="Normal 103 3 2 2 3" xfId="37105"/>
    <cellStyle name="Normal 103 3 2 2 4" xfId="37106"/>
    <cellStyle name="Normal 103 3 2 2 5" xfId="37107"/>
    <cellStyle name="Normal 103 3 2 2 6" xfId="37108"/>
    <cellStyle name="Normal 103 3 2 3" xfId="37109"/>
    <cellStyle name="Normal 103 3 2 4" xfId="37110"/>
    <cellStyle name="Normal 103 3 2 5" xfId="37111"/>
    <cellStyle name="Normal 103 3 2 6" xfId="37112"/>
    <cellStyle name="Normal 103 3 2 7" xfId="37113"/>
    <cellStyle name="Normal 103 3 3" xfId="37114"/>
    <cellStyle name="Normal 103 3 3 2" xfId="37115"/>
    <cellStyle name="Normal 103 3 3 3" xfId="37116"/>
    <cellStyle name="Normal 103 3 3 4" xfId="37117"/>
    <cellStyle name="Normal 103 3 3 5" xfId="37118"/>
    <cellStyle name="Normal 103 3 3 6" xfId="37119"/>
    <cellStyle name="Normal 103 3 4" xfId="37120"/>
    <cellStyle name="Normal 103 3 5" xfId="37121"/>
    <cellStyle name="Normal 103 3 6" xfId="37122"/>
    <cellStyle name="Normal 103 3 7" xfId="37123"/>
    <cellStyle name="Normal 103 3 8" xfId="37124"/>
    <cellStyle name="Normal 103 4" xfId="37125"/>
    <cellStyle name="Normal 103 4 2" xfId="37126"/>
    <cellStyle name="Normal 103 4 2 2" xfId="37127"/>
    <cellStyle name="Normal 103 4 2 3" xfId="37128"/>
    <cellStyle name="Normal 103 4 2 4" xfId="37129"/>
    <cellStyle name="Normal 103 4 2 5" xfId="37130"/>
    <cellStyle name="Normal 103 4 2 6" xfId="37131"/>
    <cellStyle name="Normal 103 4 3" xfId="37132"/>
    <cellStyle name="Normal 103 4 4" xfId="37133"/>
    <cellStyle name="Normal 103 4 5" xfId="37134"/>
    <cellStyle name="Normal 103 4 6" xfId="37135"/>
    <cellStyle name="Normal 103 4 7" xfId="37136"/>
    <cellStyle name="Normal 103 5" xfId="37137"/>
    <cellStyle name="Normal 103 5 2" xfId="37138"/>
    <cellStyle name="Normal 103 5 3" xfId="37139"/>
    <cellStyle name="Normal 103 5 4" xfId="37140"/>
    <cellStyle name="Normal 103 5 5" xfId="37141"/>
    <cellStyle name="Normal 103 5 6" xfId="37142"/>
    <cellStyle name="Normal 103 6" xfId="37143"/>
    <cellStyle name="Normal 103 7" xfId="37144"/>
    <cellStyle name="Normal 103 8" xfId="37145"/>
    <cellStyle name="Normal 103 9" xfId="37146"/>
    <cellStyle name="Normal 104" xfId="37147"/>
    <cellStyle name="Normal 104 10" xfId="37148"/>
    <cellStyle name="Normal 104 2" xfId="37149"/>
    <cellStyle name="Normal 104 2 2" xfId="37150"/>
    <cellStyle name="Normal 104 2 2 2" xfId="37151"/>
    <cellStyle name="Normal 104 2 2 2 2" xfId="37152"/>
    <cellStyle name="Normal 104 2 2 2 2 2" xfId="37153"/>
    <cellStyle name="Normal 104 2 2 2 2 3" xfId="37154"/>
    <cellStyle name="Normal 104 2 2 2 2 4" xfId="37155"/>
    <cellStyle name="Normal 104 2 2 2 2 5" xfId="37156"/>
    <cellStyle name="Normal 104 2 2 2 2 6" xfId="37157"/>
    <cellStyle name="Normal 104 2 2 2 3" xfId="37158"/>
    <cellStyle name="Normal 104 2 2 2 4" xfId="37159"/>
    <cellStyle name="Normal 104 2 2 2 5" xfId="37160"/>
    <cellStyle name="Normal 104 2 2 2 6" xfId="37161"/>
    <cellStyle name="Normal 104 2 2 2 7" xfId="37162"/>
    <cellStyle name="Normal 104 2 2 3" xfId="37163"/>
    <cellStyle name="Normal 104 2 2 3 2" xfId="37164"/>
    <cellStyle name="Normal 104 2 2 3 3" xfId="37165"/>
    <cellStyle name="Normal 104 2 2 3 4" xfId="37166"/>
    <cellStyle name="Normal 104 2 2 3 5" xfId="37167"/>
    <cellStyle name="Normal 104 2 2 3 6" xfId="37168"/>
    <cellStyle name="Normal 104 2 2 4" xfId="37169"/>
    <cellStyle name="Normal 104 2 2 5" xfId="37170"/>
    <cellStyle name="Normal 104 2 2 6" xfId="37171"/>
    <cellStyle name="Normal 104 2 2 7" xfId="37172"/>
    <cellStyle name="Normal 104 2 2 8" xfId="37173"/>
    <cellStyle name="Normal 104 2 3" xfId="37174"/>
    <cellStyle name="Normal 104 2 3 2" xfId="37175"/>
    <cellStyle name="Normal 104 2 3 2 2" xfId="37176"/>
    <cellStyle name="Normal 104 2 3 2 3" xfId="37177"/>
    <cellStyle name="Normal 104 2 3 2 4" xfId="37178"/>
    <cellStyle name="Normal 104 2 3 2 5" xfId="37179"/>
    <cellStyle name="Normal 104 2 3 2 6" xfId="37180"/>
    <cellStyle name="Normal 104 2 3 3" xfId="37181"/>
    <cellStyle name="Normal 104 2 3 4" xfId="37182"/>
    <cellStyle name="Normal 104 2 3 5" xfId="37183"/>
    <cellStyle name="Normal 104 2 3 6" xfId="37184"/>
    <cellStyle name="Normal 104 2 3 7" xfId="37185"/>
    <cellStyle name="Normal 104 2 4" xfId="37186"/>
    <cellStyle name="Normal 104 2 4 2" xfId="37187"/>
    <cellStyle name="Normal 104 2 4 3" xfId="37188"/>
    <cellStyle name="Normal 104 2 4 4" xfId="37189"/>
    <cellStyle name="Normal 104 2 4 5" xfId="37190"/>
    <cellStyle name="Normal 104 2 4 6" xfId="37191"/>
    <cellStyle name="Normal 104 2 5" xfId="37192"/>
    <cellStyle name="Normal 104 2 6" xfId="37193"/>
    <cellStyle name="Normal 104 2 7" xfId="37194"/>
    <cellStyle name="Normal 104 2 8" xfId="37195"/>
    <cellStyle name="Normal 104 2 9" xfId="37196"/>
    <cellStyle name="Normal 104 3" xfId="37197"/>
    <cellStyle name="Normal 104 3 2" xfId="37198"/>
    <cellStyle name="Normal 104 3 2 2" xfId="37199"/>
    <cellStyle name="Normal 104 3 2 2 2" xfId="37200"/>
    <cellStyle name="Normal 104 3 2 2 3" xfId="37201"/>
    <cellStyle name="Normal 104 3 2 2 4" xfId="37202"/>
    <cellStyle name="Normal 104 3 2 2 5" xfId="37203"/>
    <cellStyle name="Normal 104 3 2 2 6" xfId="37204"/>
    <cellStyle name="Normal 104 3 2 3" xfId="37205"/>
    <cellStyle name="Normal 104 3 2 4" xfId="37206"/>
    <cellStyle name="Normal 104 3 2 5" xfId="37207"/>
    <cellStyle name="Normal 104 3 2 6" xfId="37208"/>
    <cellStyle name="Normal 104 3 2 7" xfId="37209"/>
    <cellStyle name="Normal 104 3 3" xfId="37210"/>
    <cellStyle name="Normal 104 3 3 2" xfId="37211"/>
    <cellStyle name="Normal 104 3 3 3" xfId="37212"/>
    <cellStyle name="Normal 104 3 3 4" xfId="37213"/>
    <cellStyle name="Normal 104 3 3 5" xfId="37214"/>
    <cellStyle name="Normal 104 3 3 6" xfId="37215"/>
    <cellStyle name="Normal 104 3 4" xfId="37216"/>
    <cellStyle name="Normal 104 3 5" xfId="37217"/>
    <cellStyle name="Normal 104 3 6" xfId="37218"/>
    <cellStyle name="Normal 104 3 7" xfId="37219"/>
    <cellStyle name="Normal 104 3 8" xfId="37220"/>
    <cellStyle name="Normal 104 4" xfId="37221"/>
    <cellStyle name="Normal 104 4 2" xfId="37222"/>
    <cellStyle name="Normal 104 4 2 2" xfId="37223"/>
    <cellStyle name="Normal 104 4 2 3" xfId="37224"/>
    <cellStyle name="Normal 104 4 2 4" xfId="37225"/>
    <cellStyle name="Normal 104 4 2 5" xfId="37226"/>
    <cellStyle name="Normal 104 4 2 6" xfId="37227"/>
    <cellStyle name="Normal 104 4 3" xfId="37228"/>
    <cellStyle name="Normal 104 4 4" xfId="37229"/>
    <cellStyle name="Normal 104 4 5" xfId="37230"/>
    <cellStyle name="Normal 104 4 6" xfId="37231"/>
    <cellStyle name="Normal 104 4 7" xfId="37232"/>
    <cellStyle name="Normal 104 5" xfId="37233"/>
    <cellStyle name="Normal 104 5 2" xfId="37234"/>
    <cellStyle name="Normal 104 5 3" xfId="37235"/>
    <cellStyle name="Normal 104 5 4" xfId="37236"/>
    <cellStyle name="Normal 104 5 5" xfId="37237"/>
    <cellStyle name="Normal 104 5 6" xfId="37238"/>
    <cellStyle name="Normal 104 6" xfId="37239"/>
    <cellStyle name="Normal 104 7" xfId="37240"/>
    <cellStyle name="Normal 104 8" xfId="37241"/>
    <cellStyle name="Normal 104 9" xfId="37242"/>
    <cellStyle name="Normal 105" xfId="37243"/>
    <cellStyle name="Normal 105 10" xfId="37244"/>
    <cellStyle name="Normal 105 2" xfId="37245"/>
    <cellStyle name="Normal 105 2 2" xfId="37246"/>
    <cellStyle name="Normal 105 2 2 2" xfId="37247"/>
    <cellStyle name="Normal 105 2 2 2 2" xfId="37248"/>
    <cellStyle name="Normal 105 2 2 2 2 2" xfId="37249"/>
    <cellStyle name="Normal 105 2 2 2 2 3" xfId="37250"/>
    <cellStyle name="Normal 105 2 2 2 2 4" xfId="37251"/>
    <cellStyle name="Normal 105 2 2 2 2 5" xfId="37252"/>
    <cellStyle name="Normal 105 2 2 2 2 6" xfId="37253"/>
    <cellStyle name="Normal 105 2 2 2 3" xfId="37254"/>
    <cellStyle name="Normal 105 2 2 2 4" xfId="37255"/>
    <cellStyle name="Normal 105 2 2 2 5" xfId="37256"/>
    <cellStyle name="Normal 105 2 2 2 6" xfId="37257"/>
    <cellStyle name="Normal 105 2 2 2 7" xfId="37258"/>
    <cellStyle name="Normal 105 2 2 3" xfId="37259"/>
    <cellStyle name="Normal 105 2 2 3 2" xfId="37260"/>
    <cellStyle name="Normal 105 2 2 3 3" xfId="37261"/>
    <cellStyle name="Normal 105 2 2 3 4" xfId="37262"/>
    <cellStyle name="Normal 105 2 2 3 5" xfId="37263"/>
    <cellStyle name="Normal 105 2 2 3 6" xfId="37264"/>
    <cellStyle name="Normal 105 2 2 4" xfId="37265"/>
    <cellStyle name="Normal 105 2 2 5" xfId="37266"/>
    <cellStyle name="Normal 105 2 2 6" xfId="37267"/>
    <cellStyle name="Normal 105 2 2 7" xfId="37268"/>
    <cellStyle name="Normal 105 2 2 8" xfId="37269"/>
    <cellStyle name="Normal 105 2 3" xfId="37270"/>
    <cellStyle name="Normal 105 2 3 2" xfId="37271"/>
    <cellStyle name="Normal 105 2 3 2 2" xfId="37272"/>
    <cellStyle name="Normal 105 2 3 2 3" xfId="37273"/>
    <cellStyle name="Normal 105 2 3 2 4" xfId="37274"/>
    <cellStyle name="Normal 105 2 3 2 5" xfId="37275"/>
    <cellStyle name="Normal 105 2 3 2 6" xfId="37276"/>
    <cellStyle name="Normal 105 2 3 3" xfId="37277"/>
    <cellStyle name="Normal 105 2 3 4" xfId="37278"/>
    <cellStyle name="Normal 105 2 3 5" xfId="37279"/>
    <cellStyle name="Normal 105 2 3 6" xfId="37280"/>
    <cellStyle name="Normal 105 2 3 7" xfId="37281"/>
    <cellStyle name="Normal 105 2 4" xfId="37282"/>
    <cellStyle name="Normal 105 2 4 2" xfId="37283"/>
    <cellStyle name="Normal 105 2 4 3" xfId="37284"/>
    <cellStyle name="Normal 105 2 4 4" xfId="37285"/>
    <cellStyle name="Normal 105 2 4 5" xfId="37286"/>
    <cellStyle name="Normal 105 2 4 6" xfId="37287"/>
    <cellStyle name="Normal 105 2 5" xfId="37288"/>
    <cellStyle name="Normal 105 2 6" xfId="37289"/>
    <cellStyle name="Normal 105 2 7" xfId="37290"/>
    <cellStyle name="Normal 105 2 8" xfId="37291"/>
    <cellStyle name="Normal 105 2 9" xfId="37292"/>
    <cellStyle name="Normal 105 3" xfId="37293"/>
    <cellStyle name="Normal 105 3 2" xfId="37294"/>
    <cellStyle name="Normal 105 3 2 2" xfId="37295"/>
    <cellStyle name="Normal 105 3 2 2 2" xfId="37296"/>
    <cellStyle name="Normal 105 3 2 2 3" xfId="37297"/>
    <cellStyle name="Normal 105 3 2 2 4" xfId="37298"/>
    <cellStyle name="Normal 105 3 2 2 5" xfId="37299"/>
    <cellStyle name="Normal 105 3 2 2 6" xfId="37300"/>
    <cellStyle name="Normal 105 3 2 3" xfId="37301"/>
    <cellStyle name="Normal 105 3 2 4" xfId="37302"/>
    <cellStyle name="Normal 105 3 2 5" xfId="37303"/>
    <cellStyle name="Normal 105 3 2 6" xfId="37304"/>
    <cellStyle name="Normal 105 3 2 7" xfId="37305"/>
    <cellStyle name="Normal 105 3 3" xfId="37306"/>
    <cellStyle name="Normal 105 3 3 2" xfId="37307"/>
    <cellStyle name="Normal 105 3 3 3" xfId="37308"/>
    <cellStyle name="Normal 105 3 3 4" xfId="37309"/>
    <cellStyle name="Normal 105 3 3 5" xfId="37310"/>
    <cellStyle name="Normal 105 3 3 6" xfId="37311"/>
    <cellStyle name="Normal 105 3 4" xfId="37312"/>
    <cellStyle name="Normal 105 3 5" xfId="37313"/>
    <cellStyle name="Normal 105 3 6" xfId="37314"/>
    <cellStyle name="Normal 105 3 7" xfId="37315"/>
    <cellStyle name="Normal 105 3 8" xfId="37316"/>
    <cellStyle name="Normal 105 4" xfId="37317"/>
    <cellStyle name="Normal 105 4 2" xfId="37318"/>
    <cellStyle name="Normal 105 4 2 2" xfId="37319"/>
    <cellStyle name="Normal 105 4 2 3" xfId="37320"/>
    <cellStyle name="Normal 105 4 2 4" xfId="37321"/>
    <cellStyle name="Normal 105 4 2 5" xfId="37322"/>
    <cellStyle name="Normal 105 4 2 6" xfId="37323"/>
    <cellStyle name="Normal 105 4 3" xfId="37324"/>
    <cellStyle name="Normal 105 4 4" xfId="37325"/>
    <cellStyle name="Normal 105 4 5" xfId="37326"/>
    <cellStyle name="Normal 105 4 6" xfId="37327"/>
    <cellStyle name="Normal 105 4 7" xfId="37328"/>
    <cellStyle name="Normal 105 5" xfId="37329"/>
    <cellStyle name="Normal 105 5 2" xfId="37330"/>
    <cellStyle name="Normal 105 5 3" xfId="37331"/>
    <cellStyle name="Normal 105 5 4" xfId="37332"/>
    <cellStyle name="Normal 105 5 5" xfId="37333"/>
    <cellStyle name="Normal 105 5 6" xfId="37334"/>
    <cellStyle name="Normal 105 6" xfId="37335"/>
    <cellStyle name="Normal 105 7" xfId="37336"/>
    <cellStyle name="Normal 105 8" xfId="37337"/>
    <cellStyle name="Normal 105 9" xfId="37338"/>
    <cellStyle name="Normal 106" xfId="37339"/>
    <cellStyle name="Normal 106 10" xfId="37340"/>
    <cellStyle name="Normal 106 2" xfId="37341"/>
    <cellStyle name="Normal 106 2 2" xfId="37342"/>
    <cellStyle name="Normal 106 2 2 2" xfId="37343"/>
    <cellStyle name="Normal 106 2 2 2 2" xfId="37344"/>
    <cellStyle name="Normal 106 2 2 2 2 2" xfId="37345"/>
    <cellStyle name="Normal 106 2 2 2 2 3" xfId="37346"/>
    <cellStyle name="Normal 106 2 2 2 2 4" xfId="37347"/>
    <cellStyle name="Normal 106 2 2 2 2 5" xfId="37348"/>
    <cellStyle name="Normal 106 2 2 2 2 6" xfId="37349"/>
    <cellStyle name="Normal 106 2 2 2 3" xfId="37350"/>
    <cellStyle name="Normal 106 2 2 2 4" xfId="37351"/>
    <cellStyle name="Normal 106 2 2 2 5" xfId="37352"/>
    <cellStyle name="Normal 106 2 2 2 6" xfId="37353"/>
    <cellStyle name="Normal 106 2 2 2 7" xfId="37354"/>
    <cellStyle name="Normal 106 2 2 3" xfId="37355"/>
    <cellStyle name="Normal 106 2 2 3 2" xfId="37356"/>
    <cellStyle name="Normal 106 2 2 3 3" xfId="37357"/>
    <cellStyle name="Normal 106 2 2 3 4" xfId="37358"/>
    <cellStyle name="Normal 106 2 2 3 5" xfId="37359"/>
    <cellStyle name="Normal 106 2 2 3 6" xfId="37360"/>
    <cellStyle name="Normal 106 2 2 4" xfId="37361"/>
    <cellStyle name="Normal 106 2 2 5" xfId="37362"/>
    <cellStyle name="Normal 106 2 2 6" xfId="37363"/>
    <cellStyle name="Normal 106 2 2 7" xfId="37364"/>
    <cellStyle name="Normal 106 2 2 8" xfId="37365"/>
    <cellStyle name="Normal 106 2 3" xfId="37366"/>
    <cellStyle name="Normal 106 2 3 2" xfId="37367"/>
    <cellStyle name="Normal 106 2 3 2 2" xfId="37368"/>
    <cellStyle name="Normal 106 2 3 2 3" xfId="37369"/>
    <cellStyle name="Normal 106 2 3 2 4" xfId="37370"/>
    <cellStyle name="Normal 106 2 3 2 5" xfId="37371"/>
    <cellStyle name="Normal 106 2 3 2 6" xfId="37372"/>
    <cellStyle name="Normal 106 2 3 3" xfId="37373"/>
    <cellStyle name="Normal 106 2 3 4" xfId="37374"/>
    <cellStyle name="Normal 106 2 3 5" xfId="37375"/>
    <cellStyle name="Normal 106 2 3 6" xfId="37376"/>
    <cellStyle name="Normal 106 2 3 7" xfId="37377"/>
    <cellStyle name="Normal 106 2 4" xfId="37378"/>
    <cellStyle name="Normal 106 2 4 2" xfId="37379"/>
    <cellStyle name="Normal 106 2 4 3" xfId="37380"/>
    <cellStyle name="Normal 106 2 4 4" xfId="37381"/>
    <cellStyle name="Normal 106 2 4 5" xfId="37382"/>
    <cellStyle name="Normal 106 2 4 6" xfId="37383"/>
    <cellStyle name="Normal 106 2 5" xfId="37384"/>
    <cellStyle name="Normal 106 2 6" xfId="37385"/>
    <cellStyle name="Normal 106 2 7" xfId="37386"/>
    <cellStyle name="Normal 106 2 8" xfId="37387"/>
    <cellStyle name="Normal 106 2 9" xfId="37388"/>
    <cellStyle name="Normal 106 3" xfId="37389"/>
    <cellStyle name="Normal 106 3 2" xfId="37390"/>
    <cellStyle name="Normal 106 3 2 2" xfId="37391"/>
    <cellStyle name="Normal 106 3 2 2 2" xfId="37392"/>
    <cellStyle name="Normal 106 3 2 2 3" xfId="37393"/>
    <cellStyle name="Normal 106 3 2 2 4" xfId="37394"/>
    <cellStyle name="Normal 106 3 2 2 5" xfId="37395"/>
    <cellStyle name="Normal 106 3 2 2 6" xfId="37396"/>
    <cellStyle name="Normal 106 3 2 3" xfId="37397"/>
    <cellStyle name="Normal 106 3 2 4" xfId="37398"/>
    <cellStyle name="Normal 106 3 2 5" xfId="37399"/>
    <cellStyle name="Normal 106 3 2 6" xfId="37400"/>
    <cellStyle name="Normal 106 3 2 7" xfId="37401"/>
    <cellStyle name="Normal 106 3 3" xfId="37402"/>
    <cellStyle name="Normal 106 3 3 2" xfId="37403"/>
    <cellStyle name="Normal 106 3 3 3" xfId="37404"/>
    <cellStyle name="Normal 106 3 3 4" xfId="37405"/>
    <cellStyle name="Normal 106 3 3 5" xfId="37406"/>
    <cellStyle name="Normal 106 3 3 6" xfId="37407"/>
    <cellStyle name="Normal 106 3 4" xfId="37408"/>
    <cellStyle name="Normal 106 3 5" xfId="37409"/>
    <cellStyle name="Normal 106 3 6" xfId="37410"/>
    <cellStyle name="Normal 106 3 7" xfId="37411"/>
    <cellStyle name="Normal 106 3 8" xfId="37412"/>
    <cellStyle name="Normal 106 4" xfId="37413"/>
    <cellStyle name="Normal 106 4 2" xfId="37414"/>
    <cellStyle name="Normal 106 4 2 2" xfId="37415"/>
    <cellStyle name="Normal 106 4 2 3" xfId="37416"/>
    <cellStyle name="Normal 106 4 2 4" xfId="37417"/>
    <cellStyle name="Normal 106 4 2 5" xfId="37418"/>
    <cellStyle name="Normal 106 4 2 6" xfId="37419"/>
    <cellStyle name="Normal 106 4 3" xfId="37420"/>
    <cellStyle name="Normal 106 4 4" xfId="37421"/>
    <cellStyle name="Normal 106 4 5" xfId="37422"/>
    <cellStyle name="Normal 106 4 6" xfId="37423"/>
    <cellStyle name="Normal 106 4 7" xfId="37424"/>
    <cellStyle name="Normal 106 5" xfId="37425"/>
    <cellStyle name="Normal 106 5 2" xfId="37426"/>
    <cellStyle name="Normal 106 5 3" xfId="37427"/>
    <cellStyle name="Normal 106 5 4" xfId="37428"/>
    <cellStyle name="Normal 106 5 5" xfId="37429"/>
    <cellStyle name="Normal 106 5 6" xfId="37430"/>
    <cellStyle name="Normal 106 6" xfId="37431"/>
    <cellStyle name="Normal 106 7" xfId="37432"/>
    <cellStyle name="Normal 106 8" xfId="37433"/>
    <cellStyle name="Normal 106 9" xfId="37434"/>
    <cellStyle name="Normal 107" xfId="37435"/>
    <cellStyle name="Normal 107 10" xfId="37436"/>
    <cellStyle name="Normal 107 2" xfId="37437"/>
    <cellStyle name="Normal 107 2 2" xfId="37438"/>
    <cellStyle name="Normal 107 2 2 2" xfId="37439"/>
    <cellStyle name="Normal 107 2 2 2 2" xfId="37440"/>
    <cellStyle name="Normal 107 2 2 2 2 2" xfId="37441"/>
    <cellStyle name="Normal 107 2 2 2 2 3" xfId="37442"/>
    <cellStyle name="Normal 107 2 2 2 2 4" xfId="37443"/>
    <cellStyle name="Normal 107 2 2 2 2 5" xfId="37444"/>
    <cellStyle name="Normal 107 2 2 2 2 6" xfId="37445"/>
    <cellStyle name="Normal 107 2 2 2 3" xfId="37446"/>
    <cellStyle name="Normal 107 2 2 2 4" xfId="37447"/>
    <cellStyle name="Normal 107 2 2 2 5" xfId="37448"/>
    <cellStyle name="Normal 107 2 2 2 6" xfId="37449"/>
    <cellStyle name="Normal 107 2 2 2 7" xfId="37450"/>
    <cellStyle name="Normal 107 2 2 3" xfId="37451"/>
    <cellStyle name="Normal 107 2 2 3 2" xfId="37452"/>
    <cellStyle name="Normal 107 2 2 3 3" xfId="37453"/>
    <cellStyle name="Normal 107 2 2 3 4" xfId="37454"/>
    <cellStyle name="Normal 107 2 2 3 5" xfId="37455"/>
    <cellStyle name="Normal 107 2 2 3 6" xfId="37456"/>
    <cellStyle name="Normal 107 2 2 4" xfId="37457"/>
    <cellStyle name="Normal 107 2 2 5" xfId="37458"/>
    <cellStyle name="Normal 107 2 2 6" xfId="37459"/>
    <cellStyle name="Normal 107 2 2 7" xfId="37460"/>
    <cellStyle name="Normal 107 2 2 8" xfId="37461"/>
    <cellStyle name="Normal 107 2 3" xfId="37462"/>
    <cellStyle name="Normal 107 2 3 2" xfId="37463"/>
    <cellStyle name="Normal 107 2 3 2 2" xfId="37464"/>
    <cellStyle name="Normal 107 2 3 2 3" xfId="37465"/>
    <cellStyle name="Normal 107 2 3 2 4" xfId="37466"/>
    <cellStyle name="Normal 107 2 3 2 5" xfId="37467"/>
    <cellStyle name="Normal 107 2 3 2 6" xfId="37468"/>
    <cellStyle name="Normal 107 2 3 3" xfId="37469"/>
    <cellStyle name="Normal 107 2 3 4" xfId="37470"/>
    <cellStyle name="Normal 107 2 3 5" xfId="37471"/>
    <cellStyle name="Normal 107 2 3 6" xfId="37472"/>
    <cellStyle name="Normal 107 2 3 7" xfId="37473"/>
    <cellStyle name="Normal 107 2 4" xfId="37474"/>
    <cellStyle name="Normal 107 2 4 2" xfId="37475"/>
    <cellStyle name="Normal 107 2 4 3" xfId="37476"/>
    <cellStyle name="Normal 107 2 4 4" xfId="37477"/>
    <cellStyle name="Normal 107 2 4 5" xfId="37478"/>
    <cellStyle name="Normal 107 2 4 6" xfId="37479"/>
    <cellStyle name="Normal 107 2 5" xfId="37480"/>
    <cellStyle name="Normal 107 2 6" xfId="37481"/>
    <cellStyle name="Normal 107 2 7" xfId="37482"/>
    <cellStyle name="Normal 107 2 8" xfId="37483"/>
    <cellStyle name="Normal 107 2 9" xfId="37484"/>
    <cellStyle name="Normal 107 3" xfId="37485"/>
    <cellStyle name="Normal 107 3 2" xfId="37486"/>
    <cellStyle name="Normal 107 3 2 2" xfId="37487"/>
    <cellStyle name="Normal 107 3 2 2 2" xfId="37488"/>
    <cellStyle name="Normal 107 3 2 2 3" xfId="37489"/>
    <cellStyle name="Normal 107 3 2 2 4" xfId="37490"/>
    <cellStyle name="Normal 107 3 2 2 5" xfId="37491"/>
    <cellStyle name="Normal 107 3 2 2 6" xfId="37492"/>
    <cellStyle name="Normal 107 3 2 3" xfId="37493"/>
    <cellStyle name="Normal 107 3 2 4" xfId="37494"/>
    <cellStyle name="Normal 107 3 2 5" xfId="37495"/>
    <cellStyle name="Normal 107 3 2 6" xfId="37496"/>
    <cellStyle name="Normal 107 3 2 7" xfId="37497"/>
    <cellStyle name="Normal 107 3 3" xfId="37498"/>
    <cellStyle name="Normal 107 3 3 2" xfId="37499"/>
    <cellStyle name="Normal 107 3 3 3" xfId="37500"/>
    <cellStyle name="Normal 107 3 3 4" xfId="37501"/>
    <cellStyle name="Normal 107 3 3 5" xfId="37502"/>
    <cellStyle name="Normal 107 3 3 6" xfId="37503"/>
    <cellStyle name="Normal 107 3 4" xfId="37504"/>
    <cellStyle name="Normal 107 3 5" xfId="37505"/>
    <cellStyle name="Normal 107 3 6" xfId="37506"/>
    <cellStyle name="Normal 107 3 7" xfId="37507"/>
    <cellStyle name="Normal 107 3 8" xfId="37508"/>
    <cellStyle name="Normal 107 4" xfId="37509"/>
    <cellStyle name="Normal 107 4 2" xfId="37510"/>
    <cellStyle name="Normal 107 4 2 2" xfId="37511"/>
    <cellStyle name="Normal 107 4 2 3" xfId="37512"/>
    <cellStyle name="Normal 107 4 2 4" xfId="37513"/>
    <cellStyle name="Normal 107 4 2 5" xfId="37514"/>
    <cellStyle name="Normal 107 4 2 6" xfId="37515"/>
    <cellStyle name="Normal 107 4 3" xfId="37516"/>
    <cellStyle name="Normal 107 4 4" xfId="37517"/>
    <cellStyle name="Normal 107 4 5" xfId="37518"/>
    <cellStyle name="Normal 107 4 6" xfId="37519"/>
    <cellStyle name="Normal 107 4 7" xfId="37520"/>
    <cellStyle name="Normal 107 5" xfId="37521"/>
    <cellStyle name="Normal 107 5 2" xfId="37522"/>
    <cellStyle name="Normal 107 5 3" xfId="37523"/>
    <cellStyle name="Normal 107 5 4" xfId="37524"/>
    <cellStyle name="Normal 107 5 5" xfId="37525"/>
    <cellStyle name="Normal 107 5 6" xfId="37526"/>
    <cellStyle name="Normal 107 6" xfId="37527"/>
    <cellStyle name="Normal 107 7" xfId="37528"/>
    <cellStyle name="Normal 107 8" xfId="37529"/>
    <cellStyle name="Normal 107 9" xfId="37530"/>
    <cellStyle name="Normal 108" xfId="37531"/>
    <cellStyle name="Normal 108 10" xfId="37532"/>
    <cellStyle name="Normal 108 2" xfId="37533"/>
    <cellStyle name="Normal 108 2 2" xfId="37534"/>
    <cellStyle name="Normal 108 2 2 2" xfId="37535"/>
    <cellStyle name="Normal 108 2 2 2 2" xfId="37536"/>
    <cellStyle name="Normal 108 2 2 2 2 2" xfId="37537"/>
    <cellStyle name="Normal 108 2 2 2 2 3" xfId="37538"/>
    <cellStyle name="Normal 108 2 2 2 2 4" xfId="37539"/>
    <cellStyle name="Normal 108 2 2 2 2 5" xfId="37540"/>
    <cellStyle name="Normal 108 2 2 2 2 6" xfId="37541"/>
    <cellStyle name="Normal 108 2 2 2 3" xfId="37542"/>
    <cellStyle name="Normal 108 2 2 2 4" xfId="37543"/>
    <cellStyle name="Normal 108 2 2 2 5" xfId="37544"/>
    <cellStyle name="Normal 108 2 2 2 6" xfId="37545"/>
    <cellStyle name="Normal 108 2 2 2 7" xfId="37546"/>
    <cellStyle name="Normal 108 2 2 3" xfId="37547"/>
    <cellStyle name="Normal 108 2 2 3 2" xfId="37548"/>
    <cellStyle name="Normal 108 2 2 3 3" xfId="37549"/>
    <cellStyle name="Normal 108 2 2 3 4" xfId="37550"/>
    <cellStyle name="Normal 108 2 2 3 5" xfId="37551"/>
    <cellStyle name="Normal 108 2 2 3 6" xfId="37552"/>
    <cellStyle name="Normal 108 2 2 4" xfId="37553"/>
    <cellStyle name="Normal 108 2 2 5" xfId="37554"/>
    <cellStyle name="Normal 108 2 2 6" xfId="37555"/>
    <cellStyle name="Normal 108 2 2 7" xfId="37556"/>
    <cellStyle name="Normal 108 2 2 8" xfId="37557"/>
    <cellStyle name="Normal 108 2 3" xfId="37558"/>
    <cellStyle name="Normal 108 2 3 2" xfId="37559"/>
    <cellStyle name="Normal 108 2 3 2 2" xfId="37560"/>
    <cellStyle name="Normal 108 2 3 2 3" xfId="37561"/>
    <cellStyle name="Normal 108 2 3 2 4" xfId="37562"/>
    <cellStyle name="Normal 108 2 3 2 5" xfId="37563"/>
    <cellStyle name="Normal 108 2 3 2 6" xfId="37564"/>
    <cellStyle name="Normal 108 2 3 3" xfId="37565"/>
    <cellStyle name="Normal 108 2 3 4" xfId="37566"/>
    <cellStyle name="Normal 108 2 3 5" xfId="37567"/>
    <cellStyle name="Normal 108 2 3 6" xfId="37568"/>
    <cellStyle name="Normal 108 2 3 7" xfId="37569"/>
    <cellStyle name="Normal 108 2 4" xfId="37570"/>
    <cellStyle name="Normal 108 2 4 2" xfId="37571"/>
    <cellStyle name="Normal 108 2 4 3" xfId="37572"/>
    <cellStyle name="Normal 108 2 4 4" xfId="37573"/>
    <cellStyle name="Normal 108 2 4 5" xfId="37574"/>
    <cellStyle name="Normal 108 2 4 6" xfId="37575"/>
    <cellStyle name="Normal 108 2 5" xfId="37576"/>
    <cellStyle name="Normal 108 2 6" xfId="37577"/>
    <cellStyle name="Normal 108 2 7" xfId="37578"/>
    <cellStyle name="Normal 108 2 8" xfId="37579"/>
    <cellStyle name="Normal 108 2 9" xfId="37580"/>
    <cellStyle name="Normal 108 3" xfId="37581"/>
    <cellStyle name="Normal 108 3 2" xfId="37582"/>
    <cellStyle name="Normal 108 3 2 2" xfId="37583"/>
    <cellStyle name="Normal 108 3 2 2 2" xfId="37584"/>
    <cellStyle name="Normal 108 3 2 2 3" xfId="37585"/>
    <cellStyle name="Normal 108 3 2 2 4" xfId="37586"/>
    <cellStyle name="Normal 108 3 2 2 5" xfId="37587"/>
    <cellStyle name="Normal 108 3 2 2 6" xfId="37588"/>
    <cellStyle name="Normal 108 3 2 3" xfId="37589"/>
    <cellStyle name="Normal 108 3 2 4" xfId="37590"/>
    <cellStyle name="Normal 108 3 2 5" xfId="37591"/>
    <cellStyle name="Normal 108 3 2 6" xfId="37592"/>
    <cellStyle name="Normal 108 3 2 7" xfId="37593"/>
    <cellStyle name="Normal 108 3 3" xfId="37594"/>
    <cellStyle name="Normal 108 3 3 2" xfId="37595"/>
    <cellStyle name="Normal 108 3 3 3" xfId="37596"/>
    <cellStyle name="Normal 108 3 3 4" xfId="37597"/>
    <cellStyle name="Normal 108 3 3 5" xfId="37598"/>
    <cellStyle name="Normal 108 3 3 6" xfId="37599"/>
    <cellStyle name="Normal 108 3 4" xfId="37600"/>
    <cellStyle name="Normal 108 3 5" xfId="37601"/>
    <cellStyle name="Normal 108 3 6" xfId="37602"/>
    <cellStyle name="Normal 108 3 7" xfId="37603"/>
    <cellStyle name="Normal 108 3 8" xfId="37604"/>
    <cellStyle name="Normal 108 4" xfId="37605"/>
    <cellStyle name="Normal 108 4 2" xfId="37606"/>
    <cellStyle name="Normal 108 4 2 2" xfId="37607"/>
    <cellStyle name="Normal 108 4 2 3" xfId="37608"/>
    <cellStyle name="Normal 108 4 2 4" xfId="37609"/>
    <cellStyle name="Normal 108 4 2 5" xfId="37610"/>
    <cellStyle name="Normal 108 4 2 6" xfId="37611"/>
    <cellStyle name="Normal 108 4 3" xfId="37612"/>
    <cellStyle name="Normal 108 4 4" xfId="37613"/>
    <cellStyle name="Normal 108 4 5" xfId="37614"/>
    <cellStyle name="Normal 108 4 6" xfId="37615"/>
    <cellStyle name="Normal 108 4 7" xfId="37616"/>
    <cellStyle name="Normal 108 5" xfId="37617"/>
    <cellStyle name="Normal 108 5 2" xfId="37618"/>
    <cellStyle name="Normal 108 5 3" xfId="37619"/>
    <cellStyle name="Normal 108 5 4" xfId="37620"/>
    <cellStyle name="Normal 108 5 5" xfId="37621"/>
    <cellStyle name="Normal 108 5 6" xfId="37622"/>
    <cellStyle name="Normal 108 6" xfId="37623"/>
    <cellStyle name="Normal 108 7" xfId="37624"/>
    <cellStyle name="Normal 108 8" xfId="37625"/>
    <cellStyle name="Normal 108 9" xfId="37626"/>
    <cellStyle name="Normal 109" xfId="37627"/>
    <cellStyle name="Normal 109 10" xfId="37628"/>
    <cellStyle name="Normal 109 2" xfId="37629"/>
    <cellStyle name="Normal 109 2 2" xfId="37630"/>
    <cellStyle name="Normal 109 2 2 2" xfId="37631"/>
    <cellStyle name="Normal 109 2 2 2 2" xfId="37632"/>
    <cellStyle name="Normal 109 2 2 2 2 2" xfId="37633"/>
    <cellStyle name="Normal 109 2 2 2 2 3" xfId="37634"/>
    <cellStyle name="Normal 109 2 2 2 2 4" xfId="37635"/>
    <cellStyle name="Normal 109 2 2 2 2 5" xfId="37636"/>
    <cellStyle name="Normal 109 2 2 2 2 6" xfId="37637"/>
    <cellStyle name="Normal 109 2 2 2 3" xfId="37638"/>
    <cellStyle name="Normal 109 2 2 2 4" xfId="37639"/>
    <cellStyle name="Normal 109 2 2 2 5" xfId="37640"/>
    <cellStyle name="Normal 109 2 2 2 6" xfId="37641"/>
    <cellStyle name="Normal 109 2 2 2 7" xfId="37642"/>
    <cellStyle name="Normal 109 2 2 3" xfId="37643"/>
    <cellStyle name="Normal 109 2 2 3 2" xfId="37644"/>
    <cellStyle name="Normal 109 2 2 3 3" xfId="37645"/>
    <cellStyle name="Normal 109 2 2 3 4" xfId="37646"/>
    <cellStyle name="Normal 109 2 2 3 5" xfId="37647"/>
    <cellStyle name="Normal 109 2 2 3 6" xfId="37648"/>
    <cellStyle name="Normal 109 2 2 4" xfId="37649"/>
    <cellStyle name="Normal 109 2 2 5" xfId="37650"/>
    <cellStyle name="Normal 109 2 2 6" xfId="37651"/>
    <cellStyle name="Normal 109 2 2 7" xfId="37652"/>
    <cellStyle name="Normal 109 2 2 8" xfId="37653"/>
    <cellStyle name="Normal 109 2 3" xfId="37654"/>
    <cellStyle name="Normal 109 2 3 2" xfId="37655"/>
    <cellStyle name="Normal 109 2 3 2 2" xfId="37656"/>
    <cellStyle name="Normal 109 2 3 2 3" xfId="37657"/>
    <cellStyle name="Normal 109 2 3 2 4" xfId="37658"/>
    <cellStyle name="Normal 109 2 3 2 5" xfId="37659"/>
    <cellStyle name="Normal 109 2 3 2 6" xfId="37660"/>
    <cellStyle name="Normal 109 2 3 3" xfId="37661"/>
    <cellStyle name="Normal 109 2 3 4" xfId="37662"/>
    <cellStyle name="Normal 109 2 3 5" xfId="37663"/>
    <cellStyle name="Normal 109 2 3 6" xfId="37664"/>
    <cellStyle name="Normal 109 2 3 7" xfId="37665"/>
    <cellStyle name="Normal 109 2 4" xfId="37666"/>
    <cellStyle name="Normal 109 2 4 2" xfId="37667"/>
    <cellStyle name="Normal 109 2 4 3" xfId="37668"/>
    <cellStyle name="Normal 109 2 4 4" xfId="37669"/>
    <cellStyle name="Normal 109 2 4 5" xfId="37670"/>
    <cellStyle name="Normal 109 2 4 6" xfId="37671"/>
    <cellStyle name="Normal 109 2 5" xfId="37672"/>
    <cellStyle name="Normal 109 2 6" xfId="37673"/>
    <cellStyle name="Normal 109 2 7" xfId="37674"/>
    <cellStyle name="Normal 109 2 8" xfId="37675"/>
    <cellStyle name="Normal 109 2 9" xfId="37676"/>
    <cellStyle name="Normal 109 3" xfId="37677"/>
    <cellStyle name="Normal 109 3 2" xfId="37678"/>
    <cellStyle name="Normal 109 3 2 2" xfId="37679"/>
    <cellStyle name="Normal 109 3 2 2 2" xfId="37680"/>
    <cellStyle name="Normal 109 3 2 2 3" xfId="37681"/>
    <cellStyle name="Normal 109 3 2 2 4" xfId="37682"/>
    <cellStyle name="Normal 109 3 2 2 5" xfId="37683"/>
    <cellStyle name="Normal 109 3 2 2 6" xfId="37684"/>
    <cellStyle name="Normal 109 3 2 3" xfId="37685"/>
    <cellStyle name="Normal 109 3 2 4" xfId="37686"/>
    <cellStyle name="Normal 109 3 2 5" xfId="37687"/>
    <cellStyle name="Normal 109 3 2 6" xfId="37688"/>
    <cellStyle name="Normal 109 3 2 7" xfId="37689"/>
    <cellStyle name="Normal 109 3 3" xfId="37690"/>
    <cellStyle name="Normal 109 3 3 2" xfId="37691"/>
    <cellStyle name="Normal 109 3 3 3" xfId="37692"/>
    <cellStyle name="Normal 109 3 3 4" xfId="37693"/>
    <cellStyle name="Normal 109 3 3 5" xfId="37694"/>
    <cellStyle name="Normal 109 3 3 6" xfId="37695"/>
    <cellStyle name="Normal 109 3 4" xfId="37696"/>
    <cellStyle name="Normal 109 3 5" xfId="37697"/>
    <cellStyle name="Normal 109 3 6" xfId="37698"/>
    <cellStyle name="Normal 109 3 7" xfId="37699"/>
    <cellStyle name="Normal 109 3 8" xfId="37700"/>
    <cellStyle name="Normal 109 4" xfId="37701"/>
    <cellStyle name="Normal 109 4 2" xfId="37702"/>
    <cellStyle name="Normal 109 4 2 2" xfId="37703"/>
    <cellStyle name="Normal 109 4 2 3" xfId="37704"/>
    <cellStyle name="Normal 109 4 2 4" xfId="37705"/>
    <cellStyle name="Normal 109 4 2 5" xfId="37706"/>
    <cellStyle name="Normal 109 4 2 6" xfId="37707"/>
    <cellStyle name="Normal 109 4 3" xfId="37708"/>
    <cellStyle name="Normal 109 4 4" xfId="37709"/>
    <cellStyle name="Normal 109 4 5" xfId="37710"/>
    <cellStyle name="Normal 109 4 6" xfId="37711"/>
    <cellStyle name="Normal 109 4 7" xfId="37712"/>
    <cellStyle name="Normal 109 5" xfId="37713"/>
    <cellStyle name="Normal 109 5 2" xfId="37714"/>
    <cellStyle name="Normal 109 5 3" xfId="37715"/>
    <cellStyle name="Normal 109 5 4" xfId="37716"/>
    <cellStyle name="Normal 109 5 5" xfId="37717"/>
    <cellStyle name="Normal 109 5 6" xfId="37718"/>
    <cellStyle name="Normal 109 6" xfId="37719"/>
    <cellStyle name="Normal 109 7" xfId="37720"/>
    <cellStyle name="Normal 109 8" xfId="37721"/>
    <cellStyle name="Normal 109 9" xfId="37722"/>
    <cellStyle name="Normal 11" xfId="37723"/>
    <cellStyle name="Normal 110" xfId="37724"/>
    <cellStyle name="Normal 110 10" xfId="37725"/>
    <cellStyle name="Normal 110 2" xfId="37726"/>
    <cellStyle name="Normal 110 2 2" xfId="37727"/>
    <cellStyle name="Normal 110 2 2 2" xfId="37728"/>
    <cellStyle name="Normal 110 2 2 2 2" xfId="37729"/>
    <cellStyle name="Normal 110 2 2 2 2 2" xfId="37730"/>
    <cellStyle name="Normal 110 2 2 2 2 3" xfId="37731"/>
    <cellStyle name="Normal 110 2 2 2 2 4" xfId="37732"/>
    <cellStyle name="Normal 110 2 2 2 2 5" xfId="37733"/>
    <cellStyle name="Normal 110 2 2 2 2 6" xfId="37734"/>
    <cellStyle name="Normal 110 2 2 2 3" xfId="37735"/>
    <cellStyle name="Normal 110 2 2 2 4" xfId="37736"/>
    <cellStyle name="Normal 110 2 2 2 5" xfId="37737"/>
    <cellStyle name="Normal 110 2 2 2 6" xfId="37738"/>
    <cellStyle name="Normal 110 2 2 2 7" xfId="37739"/>
    <cellStyle name="Normal 110 2 2 3" xfId="37740"/>
    <cellStyle name="Normal 110 2 2 3 2" xfId="37741"/>
    <cellStyle name="Normal 110 2 2 3 3" xfId="37742"/>
    <cellStyle name="Normal 110 2 2 3 4" xfId="37743"/>
    <cellStyle name="Normal 110 2 2 3 5" xfId="37744"/>
    <cellStyle name="Normal 110 2 2 3 6" xfId="37745"/>
    <cellStyle name="Normal 110 2 2 4" xfId="37746"/>
    <cellStyle name="Normal 110 2 2 5" xfId="37747"/>
    <cellStyle name="Normal 110 2 2 6" xfId="37748"/>
    <cellStyle name="Normal 110 2 2 7" xfId="37749"/>
    <cellStyle name="Normal 110 2 2 8" xfId="37750"/>
    <cellStyle name="Normal 110 2 3" xfId="37751"/>
    <cellStyle name="Normal 110 2 3 2" xfId="37752"/>
    <cellStyle name="Normal 110 2 3 2 2" xfId="37753"/>
    <cellStyle name="Normal 110 2 3 2 3" xfId="37754"/>
    <cellStyle name="Normal 110 2 3 2 4" xfId="37755"/>
    <cellStyle name="Normal 110 2 3 2 5" xfId="37756"/>
    <cellStyle name="Normal 110 2 3 2 6" xfId="37757"/>
    <cellStyle name="Normal 110 2 3 3" xfId="37758"/>
    <cellStyle name="Normal 110 2 3 4" xfId="37759"/>
    <cellStyle name="Normal 110 2 3 5" xfId="37760"/>
    <cellStyle name="Normal 110 2 3 6" xfId="37761"/>
    <cellStyle name="Normal 110 2 3 7" xfId="37762"/>
    <cellStyle name="Normal 110 2 4" xfId="37763"/>
    <cellStyle name="Normal 110 2 4 2" xfId="37764"/>
    <cellStyle name="Normal 110 2 4 3" xfId="37765"/>
    <cellStyle name="Normal 110 2 4 4" xfId="37766"/>
    <cellStyle name="Normal 110 2 4 5" xfId="37767"/>
    <cellStyle name="Normal 110 2 4 6" xfId="37768"/>
    <cellStyle name="Normal 110 2 5" xfId="37769"/>
    <cellStyle name="Normal 110 2 6" xfId="37770"/>
    <cellStyle name="Normal 110 2 7" xfId="37771"/>
    <cellStyle name="Normal 110 2 8" xfId="37772"/>
    <cellStyle name="Normal 110 2 9" xfId="37773"/>
    <cellStyle name="Normal 110 3" xfId="37774"/>
    <cellStyle name="Normal 110 3 2" xfId="37775"/>
    <cellStyle name="Normal 110 3 2 2" xfId="37776"/>
    <cellStyle name="Normal 110 3 2 2 2" xfId="37777"/>
    <cellStyle name="Normal 110 3 2 2 3" xfId="37778"/>
    <cellStyle name="Normal 110 3 2 2 4" xfId="37779"/>
    <cellStyle name="Normal 110 3 2 2 5" xfId="37780"/>
    <cellStyle name="Normal 110 3 2 2 6" xfId="37781"/>
    <cellStyle name="Normal 110 3 2 3" xfId="37782"/>
    <cellStyle name="Normal 110 3 2 4" xfId="37783"/>
    <cellStyle name="Normal 110 3 2 5" xfId="37784"/>
    <cellStyle name="Normal 110 3 2 6" xfId="37785"/>
    <cellStyle name="Normal 110 3 2 7" xfId="37786"/>
    <cellStyle name="Normal 110 3 3" xfId="37787"/>
    <cellStyle name="Normal 110 3 3 2" xfId="37788"/>
    <cellStyle name="Normal 110 3 3 3" xfId="37789"/>
    <cellStyle name="Normal 110 3 3 4" xfId="37790"/>
    <cellStyle name="Normal 110 3 3 5" xfId="37791"/>
    <cellStyle name="Normal 110 3 3 6" xfId="37792"/>
    <cellStyle name="Normal 110 3 4" xfId="37793"/>
    <cellStyle name="Normal 110 3 5" xfId="37794"/>
    <cellStyle name="Normal 110 3 6" xfId="37795"/>
    <cellStyle name="Normal 110 3 7" xfId="37796"/>
    <cellStyle name="Normal 110 3 8" xfId="37797"/>
    <cellStyle name="Normal 110 4" xfId="37798"/>
    <cellStyle name="Normal 110 4 2" xfId="37799"/>
    <cellStyle name="Normal 110 4 2 2" xfId="37800"/>
    <cellStyle name="Normal 110 4 2 3" xfId="37801"/>
    <cellStyle name="Normal 110 4 2 4" xfId="37802"/>
    <cellStyle name="Normal 110 4 2 5" xfId="37803"/>
    <cellStyle name="Normal 110 4 2 6" xfId="37804"/>
    <cellStyle name="Normal 110 4 3" xfId="37805"/>
    <cellStyle name="Normal 110 4 4" xfId="37806"/>
    <cellStyle name="Normal 110 4 5" xfId="37807"/>
    <cellStyle name="Normal 110 4 6" xfId="37808"/>
    <cellStyle name="Normal 110 4 7" xfId="37809"/>
    <cellStyle name="Normal 110 5" xfId="37810"/>
    <cellStyle name="Normal 110 5 2" xfId="37811"/>
    <cellStyle name="Normal 110 5 3" xfId="37812"/>
    <cellStyle name="Normal 110 5 4" xfId="37813"/>
    <cellStyle name="Normal 110 5 5" xfId="37814"/>
    <cellStyle name="Normal 110 5 6" xfId="37815"/>
    <cellStyle name="Normal 110 6" xfId="37816"/>
    <cellStyle name="Normal 110 7" xfId="37817"/>
    <cellStyle name="Normal 110 8" xfId="37818"/>
    <cellStyle name="Normal 110 9" xfId="37819"/>
    <cellStyle name="Normal 111" xfId="37820"/>
    <cellStyle name="Normal 112" xfId="37821"/>
    <cellStyle name="Normal 113" xfId="37822"/>
    <cellStyle name="Normal 114" xfId="37823"/>
    <cellStyle name="Normal 115" xfId="37824"/>
    <cellStyle name="Normal 116" xfId="37825"/>
    <cellStyle name="Normal 116 10" xfId="37826"/>
    <cellStyle name="Normal 116 2" xfId="37827"/>
    <cellStyle name="Normal 116 2 2" xfId="37828"/>
    <cellStyle name="Normal 116 2 2 2" xfId="37829"/>
    <cellStyle name="Normal 116 2 2 2 2" xfId="37830"/>
    <cellStyle name="Normal 116 2 2 2 2 2" xfId="37831"/>
    <cellStyle name="Normal 116 2 2 2 2 3" xfId="37832"/>
    <cellStyle name="Normal 116 2 2 2 2 4" xfId="37833"/>
    <cellStyle name="Normal 116 2 2 2 2 5" xfId="37834"/>
    <cellStyle name="Normal 116 2 2 2 2 6" xfId="37835"/>
    <cellStyle name="Normal 116 2 2 2 3" xfId="37836"/>
    <cellStyle name="Normal 116 2 2 2 4" xfId="37837"/>
    <cellStyle name="Normal 116 2 2 2 5" xfId="37838"/>
    <cellStyle name="Normal 116 2 2 2 6" xfId="37839"/>
    <cellStyle name="Normal 116 2 2 2 7" xfId="37840"/>
    <cellStyle name="Normal 116 2 2 3" xfId="37841"/>
    <cellStyle name="Normal 116 2 2 3 2" xfId="37842"/>
    <cellStyle name="Normal 116 2 2 3 3" xfId="37843"/>
    <cellStyle name="Normal 116 2 2 3 4" xfId="37844"/>
    <cellStyle name="Normal 116 2 2 3 5" xfId="37845"/>
    <cellStyle name="Normal 116 2 2 3 6" xfId="37846"/>
    <cellStyle name="Normal 116 2 2 4" xfId="37847"/>
    <cellStyle name="Normal 116 2 2 5" xfId="37848"/>
    <cellStyle name="Normal 116 2 2 6" xfId="37849"/>
    <cellStyle name="Normal 116 2 2 7" xfId="37850"/>
    <cellStyle name="Normal 116 2 2 8" xfId="37851"/>
    <cellStyle name="Normal 116 2 3" xfId="37852"/>
    <cellStyle name="Normal 116 2 3 2" xfId="37853"/>
    <cellStyle name="Normal 116 2 3 2 2" xfId="37854"/>
    <cellStyle name="Normal 116 2 3 2 3" xfId="37855"/>
    <cellStyle name="Normal 116 2 3 2 4" xfId="37856"/>
    <cellStyle name="Normal 116 2 3 2 5" xfId="37857"/>
    <cellStyle name="Normal 116 2 3 2 6" xfId="37858"/>
    <cellStyle name="Normal 116 2 3 3" xfId="37859"/>
    <cellStyle name="Normal 116 2 3 4" xfId="37860"/>
    <cellStyle name="Normal 116 2 3 5" xfId="37861"/>
    <cellStyle name="Normal 116 2 3 6" xfId="37862"/>
    <cellStyle name="Normal 116 2 3 7" xfId="37863"/>
    <cellStyle name="Normal 116 2 4" xfId="37864"/>
    <cellStyle name="Normal 116 2 4 2" xfId="37865"/>
    <cellStyle name="Normal 116 2 4 3" xfId="37866"/>
    <cellStyle name="Normal 116 2 4 4" xfId="37867"/>
    <cellStyle name="Normal 116 2 4 5" xfId="37868"/>
    <cellStyle name="Normal 116 2 4 6" xfId="37869"/>
    <cellStyle name="Normal 116 2 5" xfId="37870"/>
    <cellStyle name="Normal 116 2 6" xfId="37871"/>
    <cellStyle name="Normal 116 2 7" xfId="37872"/>
    <cellStyle name="Normal 116 2 8" xfId="37873"/>
    <cellStyle name="Normal 116 2 9" xfId="37874"/>
    <cellStyle name="Normal 116 3" xfId="37875"/>
    <cellStyle name="Normal 116 3 2" xfId="37876"/>
    <cellStyle name="Normal 116 3 2 2" xfId="37877"/>
    <cellStyle name="Normal 116 3 2 2 2" xfId="37878"/>
    <cellStyle name="Normal 116 3 2 2 3" xfId="37879"/>
    <cellStyle name="Normal 116 3 2 2 4" xfId="37880"/>
    <cellStyle name="Normal 116 3 2 2 5" xfId="37881"/>
    <cellStyle name="Normal 116 3 2 2 6" xfId="37882"/>
    <cellStyle name="Normal 116 3 2 3" xfId="37883"/>
    <cellStyle name="Normal 116 3 2 4" xfId="37884"/>
    <cellStyle name="Normal 116 3 2 5" xfId="37885"/>
    <cellStyle name="Normal 116 3 2 6" xfId="37886"/>
    <cellStyle name="Normal 116 3 2 7" xfId="37887"/>
    <cellStyle name="Normal 116 3 3" xfId="37888"/>
    <cellStyle name="Normal 116 3 3 2" xfId="37889"/>
    <cellStyle name="Normal 116 3 3 3" xfId="37890"/>
    <cellStyle name="Normal 116 3 3 4" xfId="37891"/>
    <cellStyle name="Normal 116 3 3 5" xfId="37892"/>
    <cellStyle name="Normal 116 3 3 6" xfId="37893"/>
    <cellStyle name="Normal 116 3 4" xfId="37894"/>
    <cellStyle name="Normal 116 3 5" xfId="37895"/>
    <cellStyle name="Normal 116 3 6" xfId="37896"/>
    <cellStyle name="Normal 116 3 7" xfId="37897"/>
    <cellStyle name="Normal 116 3 8" xfId="37898"/>
    <cellStyle name="Normal 116 4" xfId="37899"/>
    <cellStyle name="Normal 116 4 2" xfId="37900"/>
    <cellStyle name="Normal 116 4 2 2" xfId="37901"/>
    <cellStyle name="Normal 116 4 2 3" xfId="37902"/>
    <cellStyle name="Normal 116 4 2 4" xfId="37903"/>
    <cellStyle name="Normal 116 4 2 5" xfId="37904"/>
    <cellStyle name="Normal 116 4 2 6" xfId="37905"/>
    <cellStyle name="Normal 116 4 3" xfId="37906"/>
    <cellStyle name="Normal 116 4 4" xfId="37907"/>
    <cellStyle name="Normal 116 4 5" xfId="37908"/>
    <cellStyle name="Normal 116 4 6" xfId="37909"/>
    <cellStyle name="Normal 116 4 7" xfId="37910"/>
    <cellStyle name="Normal 116 5" xfId="37911"/>
    <cellStyle name="Normal 116 5 2" xfId="37912"/>
    <cellStyle name="Normal 116 5 3" xfId="37913"/>
    <cellStyle name="Normal 116 5 4" xfId="37914"/>
    <cellStyle name="Normal 116 5 5" xfId="37915"/>
    <cellStyle name="Normal 116 5 6" xfId="37916"/>
    <cellStyle name="Normal 116 6" xfId="37917"/>
    <cellStyle name="Normal 116 7" xfId="37918"/>
    <cellStyle name="Normal 116 8" xfId="37919"/>
    <cellStyle name="Normal 116 9" xfId="37920"/>
    <cellStyle name="Normal 117" xfId="37921"/>
    <cellStyle name="Normal 117 10" xfId="37922"/>
    <cellStyle name="Normal 117 2" xfId="37923"/>
    <cellStyle name="Normal 117 2 2" xfId="37924"/>
    <cellStyle name="Normal 117 2 2 2" xfId="37925"/>
    <cellStyle name="Normal 117 2 2 2 2" xfId="37926"/>
    <cellStyle name="Normal 117 2 2 2 2 2" xfId="37927"/>
    <cellStyle name="Normal 117 2 2 2 2 3" xfId="37928"/>
    <cellStyle name="Normal 117 2 2 2 2 4" xfId="37929"/>
    <cellStyle name="Normal 117 2 2 2 2 5" xfId="37930"/>
    <cellStyle name="Normal 117 2 2 2 2 6" xfId="37931"/>
    <cellStyle name="Normal 117 2 2 2 3" xfId="37932"/>
    <cellStyle name="Normal 117 2 2 2 4" xfId="37933"/>
    <cellStyle name="Normal 117 2 2 2 5" xfId="37934"/>
    <cellStyle name="Normal 117 2 2 2 6" xfId="37935"/>
    <cellStyle name="Normal 117 2 2 2 7" xfId="37936"/>
    <cellStyle name="Normal 117 2 2 3" xfId="37937"/>
    <cellStyle name="Normal 117 2 2 3 2" xfId="37938"/>
    <cellStyle name="Normal 117 2 2 3 3" xfId="37939"/>
    <cellStyle name="Normal 117 2 2 3 4" xfId="37940"/>
    <cellStyle name="Normal 117 2 2 3 5" xfId="37941"/>
    <cellStyle name="Normal 117 2 2 3 6" xfId="37942"/>
    <cellStyle name="Normal 117 2 2 4" xfId="37943"/>
    <cellStyle name="Normal 117 2 2 5" xfId="37944"/>
    <cellStyle name="Normal 117 2 2 6" xfId="37945"/>
    <cellStyle name="Normal 117 2 2 7" xfId="37946"/>
    <cellStyle name="Normal 117 2 2 8" xfId="37947"/>
    <cellStyle name="Normal 117 2 3" xfId="37948"/>
    <cellStyle name="Normal 117 2 3 2" xfId="37949"/>
    <cellStyle name="Normal 117 2 3 2 2" xfId="37950"/>
    <cellStyle name="Normal 117 2 3 2 3" xfId="37951"/>
    <cellStyle name="Normal 117 2 3 2 4" xfId="37952"/>
    <cellStyle name="Normal 117 2 3 2 5" xfId="37953"/>
    <cellStyle name="Normal 117 2 3 2 6" xfId="37954"/>
    <cellStyle name="Normal 117 2 3 3" xfId="37955"/>
    <cellStyle name="Normal 117 2 3 4" xfId="37956"/>
    <cellStyle name="Normal 117 2 3 5" xfId="37957"/>
    <cellStyle name="Normal 117 2 3 6" xfId="37958"/>
    <cellStyle name="Normal 117 2 3 7" xfId="37959"/>
    <cellStyle name="Normal 117 2 4" xfId="37960"/>
    <cellStyle name="Normal 117 2 4 2" xfId="37961"/>
    <cellStyle name="Normal 117 2 4 3" xfId="37962"/>
    <cellStyle name="Normal 117 2 4 4" xfId="37963"/>
    <cellStyle name="Normal 117 2 4 5" xfId="37964"/>
    <cellStyle name="Normal 117 2 4 6" xfId="37965"/>
    <cellStyle name="Normal 117 2 5" xfId="37966"/>
    <cellStyle name="Normal 117 2 6" xfId="37967"/>
    <cellStyle name="Normal 117 2 7" xfId="37968"/>
    <cellStyle name="Normal 117 2 8" xfId="37969"/>
    <cellStyle name="Normal 117 2 9" xfId="37970"/>
    <cellStyle name="Normal 117 3" xfId="37971"/>
    <cellStyle name="Normal 117 3 2" xfId="37972"/>
    <cellStyle name="Normal 117 3 2 2" xfId="37973"/>
    <cellStyle name="Normal 117 3 2 2 2" xfId="37974"/>
    <cellStyle name="Normal 117 3 2 2 3" xfId="37975"/>
    <cellStyle name="Normal 117 3 2 2 4" xfId="37976"/>
    <cellStyle name="Normal 117 3 2 2 5" xfId="37977"/>
    <cellStyle name="Normal 117 3 2 2 6" xfId="37978"/>
    <cellStyle name="Normal 117 3 2 3" xfId="37979"/>
    <cellStyle name="Normal 117 3 2 4" xfId="37980"/>
    <cellStyle name="Normal 117 3 2 5" xfId="37981"/>
    <cellStyle name="Normal 117 3 2 6" xfId="37982"/>
    <cellStyle name="Normal 117 3 2 7" xfId="37983"/>
    <cellStyle name="Normal 117 3 3" xfId="37984"/>
    <cellStyle name="Normal 117 3 3 2" xfId="37985"/>
    <cellStyle name="Normal 117 3 3 3" xfId="37986"/>
    <cellStyle name="Normal 117 3 3 4" xfId="37987"/>
    <cellStyle name="Normal 117 3 3 5" xfId="37988"/>
    <cellStyle name="Normal 117 3 3 6" xfId="37989"/>
    <cellStyle name="Normal 117 3 4" xfId="37990"/>
    <cellStyle name="Normal 117 3 5" xfId="37991"/>
    <cellStyle name="Normal 117 3 6" xfId="37992"/>
    <cellStyle name="Normal 117 3 7" xfId="37993"/>
    <cellStyle name="Normal 117 3 8" xfId="37994"/>
    <cellStyle name="Normal 117 4" xfId="37995"/>
    <cellStyle name="Normal 117 4 2" xfId="37996"/>
    <cellStyle name="Normal 117 4 2 2" xfId="37997"/>
    <cellStyle name="Normal 117 4 2 3" xfId="37998"/>
    <cellStyle name="Normal 117 4 2 4" xfId="37999"/>
    <cellStyle name="Normal 117 4 2 5" xfId="38000"/>
    <cellStyle name="Normal 117 4 2 6" xfId="38001"/>
    <cellStyle name="Normal 117 4 3" xfId="38002"/>
    <cellStyle name="Normal 117 4 4" xfId="38003"/>
    <cellStyle name="Normal 117 4 5" xfId="38004"/>
    <cellStyle name="Normal 117 4 6" xfId="38005"/>
    <cellStyle name="Normal 117 4 7" xfId="38006"/>
    <cellStyle name="Normal 117 5" xfId="38007"/>
    <cellStyle name="Normal 117 5 2" xfId="38008"/>
    <cellStyle name="Normal 117 5 3" xfId="38009"/>
    <cellStyle name="Normal 117 5 4" xfId="38010"/>
    <cellStyle name="Normal 117 5 5" xfId="38011"/>
    <cellStyle name="Normal 117 5 6" xfId="38012"/>
    <cellStyle name="Normal 117 6" xfId="38013"/>
    <cellStyle name="Normal 117 7" xfId="38014"/>
    <cellStyle name="Normal 117 8" xfId="38015"/>
    <cellStyle name="Normal 117 9" xfId="38016"/>
    <cellStyle name="Normal 118" xfId="38017"/>
    <cellStyle name="Normal 118 10" xfId="38018"/>
    <cellStyle name="Normal 118 2" xfId="38019"/>
    <cellStyle name="Normal 118 2 2" xfId="38020"/>
    <cellStyle name="Normal 118 2 2 2" xfId="38021"/>
    <cellStyle name="Normal 118 2 2 2 2" xfId="38022"/>
    <cellStyle name="Normal 118 2 2 2 2 2" xfId="38023"/>
    <cellStyle name="Normal 118 2 2 2 2 3" xfId="38024"/>
    <cellStyle name="Normal 118 2 2 2 2 4" xfId="38025"/>
    <cellStyle name="Normal 118 2 2 2 2 5" xfId="38026"/>
    <cellStyle name="Normal 118 2 2 2 2 6" xfId="38027"/>
    <cellStyle name="Normal 118 2 2 2 3" xfId="38028"/>
    <cellStyle name="Normal 118 2 2 2 4" xfId="38029"/>
    <cellStyle name="Normal 118 2 2 2 5" xfId="38030"/>
    <cellStyle name="Normal 118 2 2 2 6" xfId="38031"/>
    <cellStyle name="Normal 118 2 2 2 7" xfId="38032"/>
    <cellStyle name="Normal 118 2 2 3" xfId="38033"/>
    <cellStyle name="Normal 118 2 2 3 2" xfId="38034"/>
    <cellStyle name="Normal 118 2 2 3 3" xfId="38035"/>
    <cellStyle name="Normal 118 2 2 3 4" xfId="38036"/>
    <cellStyle name="Normal 118 2 2 3 5" xfId="38037"/>
    <cellStyle name="Normal 118 2 2 3 6" xfId="38038"/>
    <cellStyle name="Normal 118 2 2 4" xfId="38039"/>
    <cellStyle name="Normal 118 2 2 5" xfId="38040"/>
    <cellStyle name="Normal 118 2 2 6" xfId="38041"/>
    <cellStyle name="Normal 118 2 2 7" xfId="38042"/>
    <cellStyle name="Normal 118 2 2 8" xfId="38043"/>
    <cellStyle name="Normal 118 2 3" xfId="38044"/>
    <cellStyle name="Normal 118 2 3 2" xfId="38045"/>
    <cellStyle name="Normal 118 2 3 2 2" xfId="38046"/>
    <cellStyle name="Normal 118 2 3 2 3" xfId="38047"/>
    <cellStyle name="Normal 118 2 3 2 4" xfId="38048"/>
    <cellStyle name="Normal 118 2 3 2 5" xfId="38049"/>
    <cellStyle name="Normal 118 2 3 2 6" xfId="38050"/>
    <cellStyle name="Normal 118 2 3 3" xfId="38051"/>
    <cellStyle name="Normal 118 2 3 4" xfId="38052"/>
    <cellStyle name="Normal 118 2 3 5" xfId="38053"/>
    <cellStyle name="Normal 118 2 3 6" xfId="38054"/>
    <cellStyle name="Normal 118 2 3 7" xfId="38055"/>
    <cellStyle name="Normal 118 2 4" xfId="38056"/>
    <cellStyle name="Normal 118 2 4 2" xfId="38057"/>
    <cellStyle name="Normal 118 2 4 3" xfId="38058"/>
    <cellStyle name="Normal 118 2 4 4" xfId="38059"/>
    <cellStyle name="Normal 118 2 4 5" xfId="38060"/>
    <cellStyle name="Normal 118 2 4 6" xfId="38061"/>
    <cellStyle name="Normal 118 2 5" xfId="38062"/>
    <cellStyle name="Normal 118 2 6" xfId="38063"/>
    <cellStyle name="Normal 118 2 7" xfId="38064"/>
    <cellStyle name="Normal 118 2 8" xfId="38065"/>
    <cellStyle name="Normal 118 2 9" xfId="38066"/>
    <cellStyle name="Normal 118 3" xfId="38067"/>
    <cellStyle name="Normal 118 3 2" xfId="38068"/>
    <cellStyle name="Normal 118 3 2 2" xfId="38069"/>
    <cellStyle name="Normal 118 3 2 2 2" xfId="38070"/>
    <cellStyle name="Normal 118 3 2 2 3" xfId="38071"/>
    <cellStyle name="Normal 118 3 2 2 4" xfId="38072"/>
    <cellStyle name="Normal 118 3 2 2 5" xfId="38073"/>
    <cellStyle name="Normal 118 3 2 2 6" xfId="38074"/>
    <cellStyle name="Normal 118 3 2 3" xfId="38075"/>
    <cellStyle name="Normal 118 3 2 4" xfId="38076"/>
    <cellStyle name="Normal 118 3 2 5" xfId="38077"/>
    <cellStyle name="Normal 118 3 2 6" xfId="38078"/>
    <cellStyle name="Normal 118 3 2 7" xfId="38079"/>
    <cellStyle name="Normal 118 3 3" xfId="38080"/>
    <cellStyle name="Normal 118 3 3 2" xfId="38081"/>
    <cellStyle name="Normal 118 3 3 3" xfId="38082"/>
    <cellStyle name="Normal 118 3 3 4" xfId="38083"/>
    <cellStyle name="Normal 118 3 3 5" xfId="38084"/>
    <cellStyle name="Normal 118 3 3 6" xfId="38085"/>
    <cellStyle name="Normal 118 3 4" xfId="38086"/>
    <cellStyle name="Normal 118 3 5" xfId="38087"/>
    <cellStyle name="Normal 118 3 6" xfId="38088"/>
    <cellStyle name="Normal 118 3 7" xfId="38089"/>
    <cellStyle name="Normal 118 3 8" xfId="38090"/>
    <cellStyle name="Normal 118 4" xfId="38091"/>
    <cellStyle name="Normal 118 4 2" xfId="38092"/>
    <cellStyle name="Normal 118 4 2 2" xfId="38093"/>
    <cellStyle name="Normal 118 4 2 3" xfId="38094"/>
    <cellStyle name="Normal 118 4 2 4" xfId="38095"/>
    <cellStyle name="Normal 118 4 2 5" xfId="38096"/>
    <cellStyle name="Normal 118 4 2 6" xfId="38097"/>
    <cellStyle name="Normal 118 4 3" xfId="38098"/>
    <cellStyle name="Normal 118 4 4" xfId="38099"/>
    <cellStyle name="Normal 118 4 5" xfId="38100"/>
    <cellStyle name="Normal 118 4 6" xfId="38101"/>
    <cellStyle name="Normal 118 4 7" xfId="38102"/>
    <cellStyle name="Normal 118 5" xfId="38103"/>
    <cellStyle name="Normal 118 5 2" xfId="38104"/>
    <cellStyle name="Normal 118 5 3" xfId="38105"/>
    <cellStyle name="Normal 118 5 4" xfId="38106"/>
    <cellStyle name="Normal 118 5 5" xfId="38107"/>
    <cellStyle name="Normal 118 5 6" xfId="38108"/>
    <cellStyle name="Normal 118 6" xfId="38109"/>
    <cellStyle name="Normal 118 7" xfId="38110"/>
    <cellStyle name="Normal 118 8" xfId="38111"/>
    <cellStyle name="Normal 118 9" xfId="38112"/>
    <cellStyle name="Normal 119" xfId="38113"/>
    <cellStyle name="Normal 119 2" xfId="38114"/>
    <cellStyle name="Normal 119 2 2" xfId="38115"/>
    <cellStyle name="Normal 119 2 2 2" xfId="38116"/>
    <cellStyle name="Normal 119 2 2 2 2" xfId="38117"/>
    <cellStyle name="Normal 119 2 2 2 3" xfId="38118"/>
    <cellStyle name="Normal 119 2 2 2 4" xfId="38119"/>
    <cellStyle name="Normal 119 2 2 2 5" xfId="38120"/>
    <cellStyle name="Normal 119 2 2 2 6" xfId="38121"/>
    <cellStyle name="Normal 119 2 2 3" xfId="38122"/>
    <cellStyle name="Normal 119 2 2 4" xfId="38123"/>
    <cellStyle name="Normal 119 2 2 5" xfId="38124"/>
    <cellStyle name="Normal 119 2 2 6" xfId="38125"/>
    <cellStyle name="Normal 119 2 2 7" xfId="38126"/>
    <cellStyle name="Normal 119 2 3" xfId="38127"/>
    <cellStyle name="Normal 119 2 3 2" xfId="38128"/>
    <cellStyle name="Normal 119 2 3 3" xfId="38129"/>
    <cellStyle name="Normal 119 2 3 4" xfId="38130"/>
    <cellStyle name="Normal 119 2 3 5" xfId="38131"/>
    <cellStyle name="Normal 119 2 3 6" xfId="38132"/>
    <cellStyle name="Normal 119 2 4" xfId="38133"/>
    <cellStyle name="Normal 119 2 5" xfId="38134"/>
    <cellStyle name="Normal 119 2 6" xfId="38135"/>
    <cellStyle name="Normal 119 2 7" xfId="38136"/>
    <cellStyle name="Normal 119 2 8" xfId="38137"/>
    <cellStyle name="Normal 119 3" xfId="38138"/>
    <cellStyle name="Normal 119 3 2" xfId="38139"/>
    <cellStyle name="Normal 119 3 2 2" xfId="38140"/>
    <cellStyle name="Normal 119 3 2 3" xfId="38141"/>
    <cellStyle name="Normal 119 3 2 4" xfId="38142"/>
    <cellStyle name="Normal 119 3 2 5" xfId="38143"/>
    <cellStyle name="Normal 119 3 2 6" xfId="38144"/>
    <cellStyle name="Normal 119 3 3" xfId="38145"/>
    <cellStyle name="Normal 119 3 4" xfId="38146"/>
    <cellStyle name="Normal 119 3 5" xfId="38147"/>
    <cellStyle name="Normal 119 3 6" xfId="38148"/>
    <cellStyle name="Normal 119 3 7" xfId="38149"/>
    <cellStyle name="Normal 119 4" xfId="38150"/>
    <cellStyle name="Normal 119 4 2" xfId="38151"/>
    <cellStyle name="Normal 119 4 3" xfId="38152"/>
    <cellStyle name="Normal 119 4 4" xfId="38153"/>
    <cellStyle name="Normal 119 4 5" xfId="38154"/>
    <cellStyle name="Normal 119 4 6" xfId="38155"/>
    <cellStyle name="Normal 119 5" xfId="38156"/>
    <cellStyle name="Normal 119 6" xfId="38157"/>
    <cellStyle name="Normal 119 7" xfId="38158"/>
    <cellStyle name="Normal 119 8" xfId="38159"/>
    <cellStyle name="Normal 119 9" xfId="38160"/>
    <cellStyle name="Normal 12" xfId="38161"/>
    <cellStyle name="Normal 120" xfId="38162"/>
    <cellStyle name="Normal 120 2" xfId="38163"/>
    <cellStyle name="Normal 120 2 2" xfId="38164"/>
    <cellStyle name="Normal 120 2 2 2" xfId="38165"/>
    <cellStyle name="Normal 120 2 2 2 2" xfId="38166"/>
    <cellStyle name="Normal 120 2 2 2 3" xfId="38167"/>
    <cellStyle name="Normal 120 2 2 2 4" xfId="38168"/>
    <cellStyle name="Normal 120 2 2 2 5" xfId="38169"/>
    <cellStyle name="Normal 120 2 2 2 6" xfId="38170"/>
    <cellStyle name="Normal 120 2 2 3" xfId="38171"/>
    <cellStyle name="Normal 120 2 2 4" xfId="38172"/>
    <cellStyle name="Normal 120 2 2 5" xfId="38173"/>
    <cellStyle name="Normal 120 2 2 6" xfId="38174"/>
    <cellStyle name="Normal 120 2 2 7" xfId="38175"/>
    <cellStyle name="Normal 120 2 3" xfId="38176"/>
    <cellStyle name="Normal 120 2 3 2" xfId="38177"/>
    <cellStyle name="Normal 120 2 3 3" xfId="38178"/>
    <cellStyle name="Normal 120 2 3 4" xfId="38179"/>
    <cellStyle name="Normal 120 2 3 5" xfId="38180"/>
    <cellStyle name="Normal 120 2 3 6" xfId="38181"/>
    <cellStyle name="Normal 120 2 4" xfId="38182"/>
    <cellStyle name="Normal 120 2 5" xfId="38183"/>
    <cellStyle name="Normal 120 2 6" xfId="38184"/>
    <cellStyle name="Normal 120 2 7" xfId="38185"/>
    <cellStyle name="Normal 120 2 8" xfId="38186"/>
    <cellStyle name="Normal 120 3" xfId="38187"/>
    <cellStyle name="Normal 120 3 2" xfId="38188"/>
    <cellStyle name="Normal 120 3 2 2" xfId="38189"/>
    <cellStyle name="Normal 120 3 2 3" xfId="38190"/>
    <cellStyle name="Normal 120 3 2 4" xfId="38191"/>
    <cellStyle name="Normal 120 3 2 5" xfId="38192"/>
    <cellStyle name="Normal 120 3 2 6" xfId="38193"/>
    <cellStyle name="Normal 120 3 3" xfId="38194"/>
    <cellStyle name="Normal 120 3 4" xfId="38195"/>
    <cellStyle name="Normal 120 3 5" xfId="38196"/>
    <cellStyle name="Normal 120 3 6" xfId="38197"/>
    <cellStyle name="Normal 120 3 7" xfId="38198"/>
    <cellStyle name="Normal 120 4" xfId="38199"/>
    <cellStyle name="Normal 120 4 2" xfId="38200"/>
    <cellStyle name="Normal 120 4 3" xfId="38201"/>
    <cellStyle name="Normal 120 4 4" xfId="38202"/>
    <cellStyle name="Normal 120 4 5" xfId="38203"/>
    <cellStyle name="Normal 120 4 6" xfId="38204"/>
    <cellStyle name="Normal 120 5" xfId="38205"/>
    <cellStyle name="Normal 120 6" xfId="38206"/>
    <cellStyle name="Normal 120 7" xfId="38207"/>
    <cellStyle name="Normal 120 8" xfId="38208"/>
    <cellStyle name="Normal 120 9" xfId="38209"/>
    <cellStyle name="Normal 121" xfId="38210"/>
    <cellStyle name="Normal 121 2" xfId="38211"/>
    <cellStyle name="Normal 121 2 2" xfId="38212"/>
    <cellStyle name="Normal 121 2 2 2" xfId="38213"/>
    <cellStyle name="Normal 121 2 2 2 2" xfId="38214"/>
    <cellStyle name="Normal 121 2 2 2 3" xfId="38215"/>
    <cellStyle name="Normal 121 2 2 2 4" xfId="38216"/>
    <cellStyle name="Normal 121 2 2 2 5" xfId="38217"/>
    <cellStyle name="Normal 121 2 2 2 6" xfId="38218"/>
    <cellStyle name="Normal 121 2 2 3" xfId="38219"/>
    <cellStyle name="Normal 121 2 2 4" xfId="38220"/>
    <cellStyle name="Normal 121 2 2 5" xfId="38221"/>
    <cellStyle name="Normal 121 2 2 6" xfId="38222"/>
    <cellStyle name="Normal 121 2 2 7" xfId="38223"/>
    <cellStyle name="Normal 121 2 3" xfId="38224"/>
    <cellStyle name="Normal 121 2 3 2" xfId="38225"/>
    <cellStyle name="Normal 121 2 3 3" xfId="38226"/>
    <cellStyle name="Normal 121 2 3 4" xfId="38227"/>
    <cellStyle name="Normal 121 2 3 5" xfId="38228"/>
    <cellStyle name="Normal 121 2 3 6" xfId="38229"/>
    <cellStyle name="Normal 121 2 4" xfId="38230"/>
    <cellStyle name="Normal 121 2 5" xfId="38231"/>
    <cellStyle name="Normal 121 2 6" xfId="38232"/>
    <cellStyle name="Normal 121 2 7" xfId="38233"/>
    <cellStyle name="Normal 121 2 8" xfId="38234"/>
    <cellStyle name="Normal 121 3" xfId="38235"/>
    <cellStyle name="Normal 121 3 2" xfId="38236"/>
    <cellStyle name="Normal 121 3 2 2" xfId="38237"/>
    <cellStyle name="Normal 121 3 2 3" xfId="38238"/>
    <cellStyle name="Normal 121 3 2 4" xfId="38239"/>
    <cellStyle name="Normal 121 3 2 5" xfId="38240"/>
    <cellStyle name="Normal 121 3 2 6" xfId="38241"/>
    <cellStyle name="Normal 121 3 3" xfId="38242"/>
    <cellStyle name="Normal 121 3 4" xfId="38243"/>
    <cellStyle name="Normal 121 3 5" xfId="38244"/>
    <cellStyle name="Normal 121 3 6" xfId="38245"/>
    <cellStyle name="Normal 121 3 7" xfId="38246"/>
    <cellStyle name="Normal 121 4" xfId="38247"/>
    <cellStyle name="Normal 121 4 2" xfId="38248"/>
    <cellStyle name="Normal 121 4 3" xfId="38249"/>
    <cellStyle name="Normal 121 4 4" xfId="38250"/>
    <cellStyle name="Normal 121 4 5" xfId="38251"/>
    <cellStyle name="Normal 121 4 6" xfId="38252"/>
    <cellStyle name="Normal 121 5" xfId="38253"/>
    <cellStyle name="Normal 121 6" xfId="38254"/>
    <cellStyle name="Normal 121 7" xfId="38255"/>
    <cellStyle name="Normal 121 8" xfId="38256"/>
    <cellStyle name="Normal 121 9" xfId="38257"/>
    <cellStyle name="Normal 122" xfId="38258"/>
    <cellStyle name="Normal 122 2" xfId="38259"/>
    <cellStyle name="Normal 122 2 2" xfId="38260"/>
    <cellStyle name="Normal 122 2 2 2" xfId="38261"/>
    <cellStyle name="Normal 122 2 2 2 2" xfId="38262"/>
    <cellStyle name="Normal 122 2 2 2 3" xfId="38263"/>
    <cellStyle name="Normal 122 2 2 2 4" xfId="38264"/>
    <cellStyle name="Normal 122 2 2 2 5" xfId="38265"/>
    <cellStyle name="Normal 122 2 2 2 6" xfId="38266"/>
    <cellStyle name="Normal 122 2 2 3" xfId="38267"/>
    <cellStyle name="Normal 122 2 2 4" xfId="38268"/>
    <cellStyle name="Normal 122 2 2 5" xfId="38269"/>
    <cellStyle name="Normal 122 2 2 6" xfId="38270"/>
    <cellStyle name="Normal 122 2 2 7" xfId="38271"/>
    <cellStyle name="Normal 122 2 3" xfId="38272"/>
    <cellStyle name="Normal 122 2 3 2" xfId="38273"/>
    <cellStyle name="Normal 122 2 3 3" xfId="38274"/>
    <cellStyle name="Normal 122 2 3 4" xfId="38275"/>
    <cellStyle name="Normal 122 2 3 5" xfId="38276"/>
    <cellStyle name="Normal 122 2 3 6" xfId="38277"/>
    <cellStyle name="Normal 122 2 4" xfId="38278"/>
    <cellStyle name="Normal 122 2 5" xfId="38279"/>
    <cellStyle name="Normal 122 2 6" xfId="38280"/>
    <cellStyle name="Normal 122 2 7" xfId="38281"/>
    <cellStyle name="Normal 122 2 8" xfId="38282"/>
    <cellStyle name="Normal 122 3" xfId="38283"/>
    <cellStyle name="Normal 122 3 2" xfId="38284"/>
    <cellStyle name="Normal 122 3 2 2" xfId="38285"/>
    <cellStyle name="Normal 122 3 2 3" xfId="38286"/>
    <cellStyle name="Normal 122 3 2 4" xfId="38287"/>
    <cellStyle name="Normal 122 3 2 5" xfId="38288"/>
    <cellStyle name="Normal 122 3 2 6" xfId="38289"/>
    <cellStyle name="Normal 122 3 3" xfId="38290"/>
    <cellStyle name="Normal 122 3 4" xfId="38291"/>
    <cellStyle name="Normal 122 3 5" xfId="38292"/>
    <cellStyle name="Normal 122 3 6" xfId="38293"/>
    <cellStyle name="Normal 122 3 7" xfId="38294"/>
    <cellStyle name="Normal 122 4" xfId="38295"/>
    <cellStyle name="Normal 122 4 2" xfId="38296"/>
    <cellStyle name="Normal 122 4 3" xfId="38297"/>
    <cellStyle name="Normal 122 4 4" xfId="38298"/>
    <cellStyle name="Normal 122 4 5" xfId="38299"/>
    <cellStyle name="Normal 122 4 6" xfId="38300"/>
    <cellStyle name="Normal 122 5" xfId="38301"/>
    <cellStyle name="Normal 122 6" xfId="38302"/>
    <cellStyle name="Normal 122 7" xfId="38303"/>
    <cellStyle name="Normal 122 8" xfId="38304"/>
    <cellStyle name="Normal 122 9" xfId="38305"/>
    <cellStyle name="Normal 123" xfId="38306"/>
    <cellStyle name="Normal 123 2" xfId="38307"/>
    <cellStyle name="Normal 123 2 2" xfId="38308"/>
    <cellStyle name="Normal 123 2 2 2" xfId="38309"/>
    <cellStyle name="Normal 123 2 2 2 2" xfId="38310"/>
    <cellStyle name="Normal 123 2 2 2 3" xfId="38311"/>
    <cellStyle name="Normal 123 2 2 2 4" xfId="38312"/>
    <cellStyle name="Normal 123 2 2 2 5" xfId="38313"/>
    <cellStyle name="Normal 123 2 2 2 6" xfId="38314"/>
    <cellStyle name="Normal 123 2 2 3" xfId="38315"/>
    <cellStyle name="Normal 123 2 2 4" xfId="38316"/>
    <cellStyle name="Normal 123 2 2 5" xfId="38317"/>
    <cellStyle name="Normal 123 2 2 6" xfId="38318"/>
    <cellStyle name="Normal 123 2 2 7" xfId="38319"/>
    <cellStyle name="Normal 123 2 3" xfId="38320"/>
    <cellStyle name="Normal 123 2 3 2" xfId="38321"/>
    <cellStyle name="Normal 123 2 3 3" xfId="38322"/>
    <cellStyle name="Normal 123 2 3 4" xfId="38323"/>
    <cellStyle name="Normal 123 2 3 5" xfId="38324"/>
    <cellStyle name="Normal 123 2 3 6" xfId="38325"/>
    <cellStyle name="Normal 123 2 4" xfId="38326"/>
    <cellStyle name="Normal 123 2 5" xfId="38327"/>
    <cellStyle name="Normal 123 2 6" xfId="38328"/>
    <cellStyle name="Normal 123 2 7" xfId="38329"/>
    <cellStyle name="Normal 123 2 8" xfId="38330"/>
    <cellStyle name="Normal 123 3" xfId="38331"/>
    <cellStyle name="Normal 123 3 2" xfId="38332"/>
    <cellStyle name="Normal 123 3 2 2" xfId="38333"/>
    <cellStyle name="Normal 123 3 2 3" xfId="38334"/>
    <cellStyle name="Normal 123 3 2 4" xfId="38335"/>
    <cellStyle name="Normal 123 3 2 5" xfId="38336"/>
    <cellStyle name="Normal 123 3 2 6" xfId="38337"/>
    <cellStyle name="Normal 123 3 3" xfId="38338"/>
    <cellStyle name="Normal 123 3 4" xfId="38339"/>
    <cellStyle name="Normal 123 3 5" xfId="38340"/>
    <cellStyle name="Normal 123 3 6" xfId="38341"/>
    <cellStyle name="Normal 123 3 7" xfId="38342"/>
    <cellStyle name="Normal 123 4" xfId="38343"/>
    <cellStyle name="Normal 123 4 2" xfId="38344"/>
    <cellStyle name="Normal 123 4 3" xfId="38345"/>
    <cellStyle name="Normal 123 4 4" xfId="38346"/>
    <cellStyle name="Normal 123 4 5" xfId="38347"/>
    <cellStyle name="Normal 123 4 6" xfId="38348"/>
    <cellStyle name="Normal 123 5" xfId="38349"/>
    <cellStyle name="Normal 123 6" xfId="38350"/>
    <cellStyle name="Normal 123 7" xfId="38351"/>
    <cellStyle name="Normal 123 8" xfId="38352"/>
    <cellStyle name="Normal 123 9" xfId="38353"/>
    <cellStyle name="Normal 124" xfId="38354"/>
    <cellStyle name="Normal 124 2" xfId="38355"/>
    <cellStyle name="Normal 124 2 2" xfId="38356"/>
    <cellStyle name="Normal 124 2 2 2" xfId="38357"/>
    <cellStyle name="Normal 124 2 2 2 2" xfId="38358"/>
    <cellStyle name="Normal 124 2 2 2 3" xfId="38359"/>
    <cellStyle name="Normal 124 2 2 2 4" xfId="38360"/>
    <cellStyle name="Normal 124 2 2 2 5" xfId="38361"/>
    <cellStyle name="Normal 124 2 2 2 6" xfId="38362"/>
    <cellStyle name="Normal 124 2 2 3" xfId="38363"/>
    <cellStyle name="Normal 124 2 2 4" xfId="38364"/>
    <cellStyle name="Normal 124 2 2 5" xfId="38365"/>
    <cellStyle name="Normal 124 2 2 6" xfId="38366"/>
    <cellStyle name="Normal 124 2 2 7" xfId="38367"/>
    <cellStyle name="Normal 124 2 3" xfId="38368"/>
    <cellStyle name="Normal 124 2 3 2" xfId="38369"/>
    <cellStyle name="Normal 124 2 3 3" xfId="38370"/>
    <cellStyle name="Normal 124 2 3 4" xfId="38371"/>
    <cellStyle name="Normal 124 2 3 5" xfId="38372"/>
    <cellStyle name="Normal 124 2 3 6" xfId="38373"/>
    <cellStyle name="Normal 124 2 4" xfId="38374"/>
    <cellStyle name="Normal 124 2 5" xfId="38375"/>
    <cellStyle name="Normal 124 2 6" xfId="38376"/>
    <cellStyle name="Normal 124 2 7" xfId="38377"/>
    <cellStyle name="Normal 124 2 8" xfId="38378"/>
    <cellStyle name="Normal 124 3" xfId="38379"/>
    <cellStyle name="Normal 124 3 2" xfId="38380"/>
    <cellStyle name="Normal 124 3 2 2" xfId="38381"/>
    <cellStyle name="Normal 124 3 2 3" xfId="38382"/>
    <cellStyle name="Normal 124 3 2 4" xfId="38383"/>
    <cellStyle name="Normal 124 3 2 5" xfId="38384"/>
    <cellStyle name="Normal 124 3 2 6" xfId="38385"/>
    <cellStyle name="Normal 124 3 3" xfId="38386"/>
    <cellStyle name="Normal 124 3 4" xfId="38387"/>
    <cellStyle name="Normal 124 3 5" xfId="38388"/>
    <cellStyle name="Normal 124 3 6" xfId="38389"/>
    <cellStyle name="Normal 124 3 7" xfId="38390"/>
    <cellStyle name="Normal 124 4" xfId="38391"/>
    <cellStyle name="Normal 124 4 2" xfId="38392"/>
    <cellStyle name="Normal 124 4 3" xfId="38393"/>
    <cellStyle name="Normal 124 4 4" xfId="38394"/>
    <cellStyle name="Normal 124 4 5" xfId="38395"/>
    <cellStyle name="Normal 124 4 6" xfId="38396"/>
    <cellStyle name="Normal 124 5" xfId="38397"/>
    <cellStyle name="Normal 124 6" xfId="38398"/>
    <cellStyle name="Normal 124 7" xfId="38399"/>
    <cellStyle name="Normal 124 8" xfId="38400"/>
    <cellStyle name="Normal 124 9" xfId="38401"/>
    <cellStyle name="Normal 125" xfId="38402"/>
    <cellStyle name="Normal 125 2" xfId="38403"/>
    <cellStyle name="Normal 125 2 2" xfId="38404"/>
    <cellStyle name="Normal 125 2 2 2" xfId="38405"/>
    <cellStyle name="Normal 125 2 2 2 2" xfId="38406"/>
    <cellStyle name="Normal 125 2 2 2 3" xfId="38407"/>
    <cellStyle name="Normal 125 2 2 2 4" xfId="38408"/>
    <cellStyle name="Normal 125 2 2 2 5" xfId="38409"/>
    <cellStyle name="Normal 125 2 2 2 6" xfId="38410"/>
    <cellStyle name="Normal 125 2 2 3" xfId="38411"/>
    <cellStyle name="Normal 125 2 2 4" xfId="38412"/>
    <cellStyle name="Normal 125 2 2 5" xfId="38413"/>
    <cellStyle name="Normal 125 2 2 6" xfId="38414"/>
    <cellStyle name="Normal 125 2 2 7" xfId="38415"/>
    <cellStyle name="Normal 125 2 3" xfId="38416"/>
    <cellStyle name="Normal 125 2 3 2" xfId="38417"/>
    <cellStyle name="Normal 125 2 3 3" xfId="38418"/>
    <cellStyle name="Normal 125 2 3 4" xfId="38419"/>
    <cellStyle name="Normal 125 2 3 5" xfId="38420"/>
    <cellStyle name="Normal 125 2 3 6" xfId="38421"/>
    <cellStyle name="Normal 125 2 4" xfId="38422"/>
    <cellStyle name="Normal 125 2 5" xfId="38423"/>
    <cellStyle name="Normal 125 2 6" xfId="38424"/>
    <cellStyle name="Normal 125 2 7" xfId="38425"/>
    <cellStyle name="Normal 125 2 8" xfId="38426"/>
    <cellStyle name="Normal 125 3" xfId="38427"/>
    <cellStyle name="Normal 125 3 2" xfId="38428"/>
    <cellStyle name="Normal 125 3 2 2" xfId="38429"/>
    <cellStyle name="Normal 125 3 2 3" xfId="38430"/>
    <cellStyle name="Normal 125 3 2 4" xfId="38431"/>
    <cellStyle name="Normal 125 3 2 5" xfId="38432"/>
    <cellStyle name="Normal 125 3 2 6" xfId="38433"/>
    <cellStyle name="Normal 125 3 3" xfId="38434"/>
    <cellStyle name="Normal 125 3 4" xfId="38435"/>
    <cellStyle name="Normal 125 3 5" xfId="38436"/>
    <cellStyle name="Normal 125 3 6" xfId="38437"/>
    <cellStyle name="Normal 125 3 7" xfId="38438"/>
    <cellStyle name="Normal 125 4" xfId="38439"/>
    <cellStyle name="Normal 125 4 2" xfId="38440"/>
    <cellStyle name="Normal 125 4 3" xfId="38441"/>
    <cellStyle name="Normal 125 4 4" xfId="38442"/>
    <cellStyle name="Normal 125 4 5" xfId="38443"/>
    <cellStyle name="Normal 125 4 6" xfId="38444"/>
    <cellStyle name="Normal 125 5" xfId="38445"/>
    <cellStyle name="Normal 125 6" xfId="38446"/>
    <cellStyle name="Normal 125 7" xfId="38447"/>
    <cellStyle name="Normal 125 8" xfId="38448"/>
    <cellStyle name="Normal 125 9" xfId="38449"/>
    <cellStyle name="Normal 126" xfId="38450"/>
    <cellStyle name="Normal 126 2" xfId="38451"/>
    <cellStyle name="Normal 126 2 2" xfId="38452"/>
    <cellStyle name="Normal 126 2 2 2" xfId="38453"/>
    <cellStyle name="Normal 126 2 2 2 2" xfId="38454"/>
    <cellStyle name="Normal 126 2 2 2 3" xfId="38455"/>
    <cellStyle name="Normal 126 2 2 2 4" xfId="38456"/>
    <cellStyle name="Normal 126 2 2 2 5" xfId="38457"/>
    <cellStyle name="Normal 126 2 2 2 6" xfId="38458"/>
    <cellStyle name="Normal 126 2 2 3" xfId="38459"/>
    <cellStyle name="Normal 126 2 2 4" xfId="38460"/>
    <cellStyle name="Normal 126 2 2 5" xfId="38461"/>
    <cellStyle name="Normal 126 2 2 6" xfId="38462"/>
    <cellStyle name="Normal 126 2 2 7" xfId="38463"/>
    <cellStyle name="Normal 126 2 3" xfId="38464"/>
    <cellStyle name="Normal 126 2 3 2" xfId="38465"/>
    <cellStyle name="Normal 126 2 3 3" xfId="38466"/>
    <cellStyle name="Normal 126 2 3 4" xfId="38467"/>
    <cellStyle name="Normal 126 2 3 5" xfId="38468"/>
    <cellStyle name="Normal 126 2 3 6" xfId="38469"/>
    <cellStyle name="Normal 126 2 4" xfId="38470"/>
    <cellStyle name="Normal 126 2 5" xfId="38471"/>
    <cellStyle name="Normal 126 2 6" xfId="38472"/>
    <cellStyle name="Normal 126 2 7" xfId="38473"/>
    <cellStyle name="Normal 126 2 8" xfId="38474"/>
    <cellStyle name="Normal 126 3" xfId="38475"/>
    <cellStyle name="Normal 126 3 2" xfId="38476"/>
    <cellStyle name="Normal 126 3 2 2" xfId="38477"/>
    <cellStyle name="Normal 126 3 2 3" xfId="38478"/>
    <cellStyle name="Normal 126 3 2 4" xfId="38479"/>
    <cellStyle name="Normal 126 3 2 5" xfId="38480"/>
    <cellStyle name="Normal 126 3 2 6" xfId="38481"/>
    <cellStyle name="Normal 126 3 3" xfId="38482"/>
    <cellStyle name="Normal 126 3 4" xfId="38483"/>
    <cellStyle name="Normal 126 3 5" xfId="38484"/>
    <cellStyle name="Normal 126 3 6" xfId="38485"/>
    <cellStyle name="Normal 126 3 7" xfId="38486"/>
    <cellStyle name="Normal 126 4" xfId="38487"/>
    <cellStyle name="Normal 126 4 2" xfId="38488"/>
    <cellStyle name="Normal 126 4 3" xfId="38489"/>
    <cellStyle name="Normal 126 4 4" xfId="38490"/>
    <cellStyle name="Normal 126 4 5" xfId="38491"/>
    <cellStyle name="Normal 126 4 6" xfId="38492"/>
    <cellStyle name="Normal 126 5" xfId="38493"/>
    <cellStyle name="Normal 126 6" xfId="38494"/>
    <cellStyle name="Normal 126 7" xfId="38495"/>
    <cellStyle name="Normal 126 8" xfId="38496"/>
    <cellStyle name="Normal 126 9" xfId="38497"/>
    <cellStyle name="Normal 127" xfId="38498"/>
    <cellStyle name="Normal 127 2" xfId="38499"/>
    <cellStyle name="Normal 127 2 2" xfId="38500"/>
    <cellStyle name="Normal 127 2 2 2" xfId="38501"/>
    <cellStyle name="Normal 127 2 2 2 2" xfId="38502"/>
    <cellStyle name="Normal 127 2 2 2 3" xfId="38503"/>
    <cellStyle name="Normal 127 2 2 2 4" xfId="38504"/>
    <cellStyle name="Normal 127 2 2 2 5" xfId="38505"/>
    <cellStyle name="Normal 127 2 2 2 6" xfId="38506"/>
    <cellStyle name="Normal 127 2 2 3" xfId="38507"/>
    <cellStyle name="Normal 127 2 2 4" xfId="38508"/>
    <cellStyle name="Normal 127 2 2 5" xfId="38509"/>
    <cellStyle name="Normal 127 2 2 6" xfId="38510"/>
    <cellStyle name="Normal 127 2 2 7" xfId="38511"/>
    <cellStyle name="Normal 127 2 3" xfId="38512"/>
    <cellStyle name="Normal 127 2 3 2" xfId="38513"/>
    <cellStyle name="Normal 127 2 3 3" xfId="38514"/>
    <cellStyle name="Normal 127 2 3 4" xfId="38515"/>
    <cellStyle name="Normal 127 2 3 5" xfId="38516"/>
    <cellStyle name="Normal 127 2 3 6" xfId="38517"/>
    <cellStyle name="Normal 127 2 4" xfId="38518"/>
    <cellStyle name="Normal 127 2 5" xfId="38519"/>
    <cellStyle name="Normal 127 2 6" xfId="38520"/>
    <cellStyle name="Normal 127 2 7" xfId="38521"/>
    <cellStyle name="Normal 127 2 8" xfId="38522"/>
    <cellStyle name="Normal 127 3" xfId="38523"/>
    <cellStyle name="Normal 127 3 2" xfId="38524"/>
    <cellStyle name="Normal 127 3 2 2" xfId="38525"/>
    <cellStyle name="Normal 127 3 2 3" xfId="38526"/>
    <cellStyle name="Normal 127 3 2 4" xfId="38527"/>
    <cellStyle name="Normal 127 3 2 5" xfId="38528"/>
    <cellStyle name="Normal 127 3 2 6" xfId="38529"/>
    <cellStyle name="Normal 127 3 3" xfId="38530"/>
    <cellStyle name="Normal 127 3 4" xfId="38531"/>
    <cellStyle name="Normal 127 3 5" xfId="38532"/>
    <cellStyle name="Normal 127 3 6" xfId="38533"/>
    <cellStyle name="Normal 127 3 7" xfId="38534"/>
    <cellStyle name="Normal 127 4" xfId="38535"/>
    <cellStyle name="Normal 127 4 2" xfId="38536"/>
    <cellStyle name="Normal 127 4 3" xfId="38537"/>
    <cellStyle name="Normal 127 4 4" xfId="38538"/>
    <cellStyle name="Normal 127 4 5" xfId="38539"/>
    <cellStyle name="Normal 127 4 6" xfId="38540"/>
    <cellStyle name="Normal 127 5" xfId="38541"/>
    <cellStyle name="Normal 127 6" xfId="38542"/>
    <cellStyle name="Normal 127 7" xfId="38543"/>
    <cellStyle name="Normal 127 8" xfId="38544"/>
    <cellStyle name="Normal 127 9" xfId="38545"/>
    <cellStyle name="Normal 128" xfId="38546"/>
    <cellStyle name="Normal 128 2" xfId="38547"/>
    <cellStyle name="Normal 128 2 2" xfId="38548"/>
    <cellStyle name="Normal 128 2 2 2" xfId="38549"/>
    <cellStyle name="Normal 128 2 2 2 2" xfId="38550"/>
    <cellStyle name="Normal 128 2 2 2 3" xfId="38551"/>
    <cellStyle name="Normal 128 2 2 2 4" xfId="38552"/>
    <cellStyle name="Normal 128 2 2 2 5" xfId="38553"/>
    <cellStyle name="Normal 128 2 2 2 6" xfId="38554"/>
    <cellStyle name="Normal 128 2 2 3" xfId="38555"/>
    <cellStyle name="Normal 128 2 2 4" xfId="38556"/>
    <cellStyle name="Normal 128 2 2 5" xfId="38557"/>
    <cellStyle name="Normal 128 2 2 6" xfId="38558"/>
    <cellStyle name="Normal 128 2 2 7" xfId="38559"/>
    <cellStyle name="Normal 128 2 3" xfId="38560"/>
    <cellStyle name="Normal 128 2 3 2" xfId="38561"/>
    <cellStyle name="Normal 128 2 3 3" xfId="38562"/>
    <cellStyle name="Normal 128 2 3 4" xfId="38563"/>
    <cellStyle name="Normal 128 2 3 5" xfId="38564"/>
    <cellStyle name="Normal 128 2 3 6" xfId="38565"/>
    <cellStyle name="Normal 128 2 4" xfId="38566"/>
    <cellStyle name="Normal 128 2 5" xfId="38567"/>
    <cellStyle name="Normal 128 2 6" xfId="38568"/>
    <cellStyle name="Normal 128 2 7" xfId="38569"/>
    <cellStyle name="Normal 128 2 8" xfId="38570"/>
    <cellStyle name="Normal 128 3" xfId="38571"/>
    <cellStyle name="Normal 128 3 2" xfId="38572"/>
    <cellStyle name="Normal 128 3 2 2" xfId="38573"/>
    <cellStyle name="Normal 128 3 2 3" xfId="38574"/>
    <cellStyle name="Normal 128 3 2 4" xfId="38575"/>
    <cellStyle name="Normal 128 3 2 5" xfId="38576"/>
    <cellStyle name="Normal 128 3 2 6" xfId="38577"/>
    <cellStyle name="Normal 128 3 3" xfId="38578"/>
    <cellStyle name="Normal 128 3 4" xfId="38579"/>
    <cellStyle name="Normal 128 3 5" xfId="38580"/>
    <cellStyle name="Normal 128 3 6" xfId="38581"/>
    <cellStyle name="Normal 128 3 7" xfId="38582"/>
    <cellStyle name="Normal 128 4" xfId="38583"/>
    <cellStyle name="Normal 128 4 2" xfId="38584"/>
    <cellStyle name="Normal 128 4 3" xfId="38585"/>
    <cellStyle name="Normal 128 4 4" xfId="38586"/>
    <cellStyle name="Normal 128 4 5" xfId="38587"/>
    <cellStyle name="Normal 128 4 6" xfId="38588"/>
    <cellStyle name="Normal 128 5" xfId="38589"/>
    <cellStyle name="Normal 128 6" xfId="38590"/>
    <cellStyle name="Normal 128 7" xfId="38591"/>
    <cellStyle name="Normal 128 8" xfId="38592"/>
    <cellStyle name="Normal 128 9" xfId="38593"/>
    <cellStyle name="Normal 129" xfId="38594"/>
    <cellStyle name="Normal 129 2" xfId="38595"/>
    <cellStyle name="Normal 129 2 2" xfId="38596"/>
    <cellStyle name="Normal 129 2 2 2" xfId="38597"/>
    <cellStyle name="Normal 129 2 2 2 2" xfId="38598"/>
    <cellStyle name="Normal 129 2 2 2 3" xfId="38599"/>
    <cellStyle name="Normal 129 2 2 2 4" xfId="38600"/>
    <cellStyle name="Normal 129 2 2 2 5" xfId="38601"/>
    <cellStyle name="Normal 129 2 2 2 6" xfId="38602"/>
    <cellStyle name="Normal 129 2 2 3" xfId="38603"/>
    <cellStyle name="Normal 129 2 2 4" xfId="38604"/>
    <cellStyle name="Normal 129 2 2 5" xfId="38605"/>
    <cellStyle name="Normal 129 2 2 6" xfId="38606"/>
    <cellStyle name="Normal 129 2 2 7" xfId="38607"/>
    <cellStyle name="Normal 129 2 3" xfId="38608"/>
    <cellStyle name="Normal 129 2 3 2" xfId="38609"/>
    <cellStyle name="Normal 129 2 3 3" xfId="38610"/>
    <cellStyle name="Normal 129 2 3 4" xfId="38611"/>
    <cellStyle name="Normal 129 2 3 5" xfId="38612"/>
    <cellStyle name="Normal 129 2 3 6" xfId="38613"/>
    <cellStyle name="Normal 129 2 4" xfId="38614"/>
    <cellStyle name="Normal 129 2 5" xfId="38615"/>
    <cellStyle name="Normal 129 2 6" xfId="38616"/>
    <cellStyle name="Normal 129 2 7" xfId="38617"/>
    <cellStyle name="Normal 129 2 8" xfId="38618"/>
    <cellStyle name="Normal 129 3" xfId="38619"/>
    <cellStyle name="Normal 129 3 2" xfId="38620"/>
    <cellStyle name="Normal 129 3 2 2" xfId="38621"/>
    <cellStyle name="Normal 129 3 2 3" xfId="38622"/>
    <cellStyle name="Normal 129 3 2 4" xfId="38623"/>
    <cellStyle name="Normal 129 3 2 5" xfId="38624"/>
    <cellStyle name="Normal 129 3 2 6" xfId="38625"/>
    <cellStyle name="Normal 129 3 3" xfId="38626"/>
    <cellStyle name="Normal 129 3 4" xfId="38627"/>
    <cellStyle name="Normal 129 3 5" xfId="38628"/>
    <cellStyle name="Normal 129 3 6" xfId="38629"/>
    <cellStyle name="Normal 129 3 7" xfId="38630"/>
    <cellStyle name="Normal 129 4" xfId="38631"/>
    <cellStyle name="Normal 129 4 2" xfId="38632"/>
    <cellStyle name="Normal 129 4 3" xfId="38633"/>
    <cellStyle name="Normal 129 4 4" xfId="38634"/>
    <cellStyle name="Normal 129 4 5" xfId="38635"/>
    <cellStyle name="Normal 129 4 6" xfId="38636"/>
    <cellStyle name="Normal 129 5" xfId="38637"/>
    <cellStyle name="Normal 129 6" xfId="38638"/>
    <cellStyle name="Normal 129 7" xfId="38639"/>
    <cellStyle name="Normal 129 8" xfId="38640"/>
    <cellStyle name="Normal 129 9" xfId="38641"/>
    <cellStyle name="Normal 13" xfId="6"/>
    <cellStyle name="Normal 13 2" xfId="54"/>
    <cellStyle name="Normal 130" xfId="38642"/>
    <cellStyle name="Normal 130 2" xfId="38643"/>
    <cellStyle name="Normal 130 2 2" xfId="38644"/>
    <cellStyle name="Normal 130 2 2 2" xfId="38645"/>
    <cellStyle name="Normal 130 2 2 2 2" xfId="38646"/>
    <cellStyle name="Normal 130 2 2 2 3" xfId="38647"/>
    <cellStyle name="Normal 130 2 2 2 4" xfId="38648"/>
    <cellStyle name="Normal 130 2 2 2 5" xfId="38649"/>
    <cellStyle name="Normal 130 2 2 2 6" xfId="38650"/>
    <cellStyle name="Normal 130 2 2 3" xfId="38651"/>
    <cellStyle name="Normal 130 2 2 4" xfId="38652"/>
    <cellStyle name="Normal 130 2 2 5" xfId="38653"/>
    <cellStyle name="Normal 130 2 2 6" xfId="38654"/>
    <cellStyle name="Normal 130 2 2 7" xfId="38655"/>
    <cellStyle name="Normal 130 2 3" xfId="38656"/>
    <cellStyle name="Normal 130 2 3 2" xfId="38657"/>
    <cellStyle name="Normal 130 2 3 3" xfId="38658"/>
    <cellStyle name="Normal 130 2 3 4" xfId="38659"/>
    <cellStyle name="Normal 130 2 3 5" xfId="38660"/>
    <cellStyle name="Normal 130 2 3 6" xfId="38661"/>
    <cellStyle name="Normal 130 2 4" xfId="38662"/>
    <cellStyle name="Normal 130 2 5" xfId="38663"/>
    <cellStyle name="Normal 130 2 6" xfId="38664"/>
    <cellStyle name="Normal 130 2 7" xfId="38665"/>
    <cellStyle name="Normal 130 2 8" xfId="38666"/>
    <cellStyle name="Normal 130 3" xfId="38667"/>
    <cellStyle name="Normal 130 3 2" xfId="38668"/>
    <cellStyle name="Normal 130 3 2 2" xfId="38669"/>
    <cellStyle name="Normal 130 3 2 3" xfId="38670"/>
    <cellStyle name="Normal 130 3 2 4" xfId="38671"/>
    <cellStyle name="Normal 130 3 2 5" xfId="38672"/>
    <cellStyle name="Normal 130 3 2 6" xfId="38673"/>
    <cellStyle name="Normal 130 3 3" xfId="38674"/>
    <cellStyle name="Normal 130 3 4" xfId="38675"/>
    <cellStyle name="Normal 130 3 5" xfId="38676"/>
    <cellStyle name="Normal 130 3 6" xfId="38677"/>
    <cellStyle name="Normal 130 3 7" xfId="38678"/>
    <cellStyle name="Normal 130 4" xfId="38679"/>
    <cellStyle name="Normal 130 4 2" xfId="38680"/>
    <cellStyle name="Normal 130 4 3" xfId="38681"/>
    <cellStyle name="Normal 130 4 4" xfId="38682"/>
    <cellStyle name="Normal 130 4 5" xfId="38683"/>
    <cellStyle name="Normal 130 4 6" xfId="38684"/>
    <cellStyle name="Normal 130 5" xfId="38685"/>
    <cellStyle name="Normal 130 6" xfId="38686"/>
    <cellStyle name="Normal 130 7" xfId="38687"/>
    <cellStyle name="Normal 130 8" xfId="38688"/>
    <cellStyle name="Normal 130 9" xfId="38689"/>
    <cellStyle name="Normal 131" xfId="38690"/>
    <cellStyle name="Normal 131 2" xfId="38691"/>
    <cellStyle name="Normal 131 2 2" xfId="38692"/>
    <cellStyle name="Normal 131 2 2 2" xfId="38693"/>
    <cellStyle name="Normal 131 2 2 2 2" xfId="38694"/>
    <cellStyle name="Normal 131 2 2 2 3" xfId="38695"/>
    <cellStyle name="Normal 131 2 2 2 4" xfId="38696"/>
    <cellStyle name="Normal 131 2 2 2 5" xfId="38697"/>
    <cellStyle name="Normal 131 2 2 2 6" xfId="38698"/>
    <cellStyle name="Normal 131 2 2 3" xfId="38699"/>
    <cellStyle name="Normal 131 2 2 4" xfId="38700"/>
    <cellStyle name="Normal 131 2 2 5" xfId="38701"/>
    <cellStyle name="Normal 131 2 2 6" xfId="38702"/>
    <cellStyle name="Normal 131 2 2 7" xfId="38703"/>
    <cellStyle name="Normal 131 2 3" xfId="38704"/>
    <cellStyle name="Normal 131 2 3 2" xfId="38705"/>
    <cellStyle name="Normal 131 2 3 3" xfId="38706"/>
    <cellStyle name="Normal 131 2 3 4" xfId="38707"/>
    <cellStyle name="Normal 131 2 3 5" xfId="38708"/>
    <cellStyle name="Normal 131 2 3 6" xfId="38709"/>
    <cellStyle name="Normal 131 2 4" xfId="38710"/>
    <cellStyle name="Normal 131 2 5" xfId="38711"/>
    <cellStyle name="Normal 131 2 6" xfId="38712"/>
    <cellStyle name="Normal 131 2 7" xfId="38713"/>
    <cellStyle name="Normal 131 2 8" xfId="38714"/>
    <cellStyle name="Normal 131 3" xfId="38715"/>
    <cellStyle name="Normal 131 3 2" xfId="38716"/>
    <cellStyle name="Normal 131 3 2 2" xfId="38717"/>
    <cellStyle name="Normal 131 3 2 3" xfId="38718"/>
    <cellStyle name="Normal 131 3 2 4" xfId="38719"/>
    <cellStyle name="Normal 131 3 2 5" xfId="38720"/>
    <cellStyle name="Normal 131 3 2 6" xfId="38721"/>
    <cellStyle name="Normal 131 3 3" xfId="38722"/>
    <cellStyle name="Normal 131 3 4" xfId="38723"/>
    <cellStyle name="Normal 131 3 5" xfId="38724"/>
    <cellStyle name="Normal 131 3 6" xfId="38725"/>
    <cellStyle name="Normal 131 3 7" xfId="38726"/>
    <cellStyle name="Normal 131 4" xfId="38727"/>
    <cellStyle name="Normal 131 4 2" xfId="38728"/>
    <cellStyle name="Normal 131 4 3" xfId="38729"/>
    <cellStyle name="Normal 131 4 4" xfId="38730"/>
    <cellStyle name="Normal 131 4 5" xfId="38731"/>
    <cellStyle name="Normal 131 4 6" xfId="38732"/>
    <cellStyle name="Normal 131 5" xfId="38733"/>
    <cellStyle name="Normal 131 6" xfId="38734"/>
    <cellStyle name="Normal 131 7" xfId="38735"/>
    <cellStyle name="Normal 131 8" xfId="38736"/>
    <cellStyle name="Normal 131 9" xfId="38737"/>
    <cellStyle name="Normal 132" xfId="38738"/>
    <cellStyle name="Normal 132 2" xfId="38739"/>
    <cellStyle name="Normal 132 2 2" xfId="38740"/>
    <cellStyle name="Normal 132 2 2 2" xfId="38741"/>
    <cellStyle name="Normal 132 2 2 2 2" xfId="38742"/>
    <cellStyle name="Normal 132 2 2 2 3" xfId="38743"/>
    <cellStyle name="Normal 132 2 2 2 4" xfId="38744"/>
    <cellStyle name="Normal 132 2 2 2 5" xfId="38745"/>
    <cellStyle name="Normal 132 2 2 2 6" xfId="38746"/>
    <cellStyle name="Normal 132 2 2 3" xfId="38747"/>
    <cellStyle name="Normal 132 2 2 4" xfId="38748"/>
    <cellStyle name="Normal 132 2 2 5" xfId="38749"/>
    <cellStyle name="Normal 132 2 2 6" xfId="38750"/>
    <cellStyle name="Normal 132 2 2 7" xfId="38751"/>
    <cellStyle name="Normal 132 2 3" xfId="38752"/>
    <cellStyle name="Normal 132 2 3 2" xfId="38753"/>
    <cellStyle name="Normal 132 2 3 3" xfId="38754"/>
    <cellStyle name="Normal 132 2 3 4" xfId="38755"/>
    <cellStyle name="Normal 132 2 3 5" xfId="38756"/>
    <cellStyle name="Normal 132 2 3 6" xfId="38757"/>
    <cellStyle name="Normal 132 2 4" xfId="38758"/>
    <cellStyle name="Normal 132 2 5" xfId="38759"/>
    <cellStyle name="Normal 132 2 6" xfId="38760"/>
    <cellStyle name="Normal 132 2 7" xfId="38761"/>
    <cellStyle name="Normal 132 2 8" xfId="38762"/>
    <cellStyle name="Normal 132 3" xfId="38763"/>
    <cellStyle name="Normal 132 3 2" xfId="38764"/>
    <cellStyle name="Normal 132 3 2 2" xfId="38765"/>
    <cellStyle name="Normal 132 3 2 3" xfId="38766"/>
    <cellStyle name="Normal 132 3 2 4" xfId="38767"/>
    <cellStyle name="Normal 132 3 2 5" xfId="38768"/>
    <cellStyle name="Normal 132 3 2 6" xfId="38769"/>
    <cellStyle name="Normal 132 3 3" xfId="38770"/>
    <cellStyle name="Normal 132 3 4" xfId="38771"/>
    <cellStyle name="Normal 132 3 5" xfId="38772"/>
    <cellStyle name="Normal 132 3 6" xfId="38773"/>
    <cellStyle name="Normal 132 3 7" xfId="38774"/>
    <cellStyle name="Normal 132 4" xfId="38775"/>
    <cellStyle name="Normal 132 4 2" xfId="38776"/>
    <cellStyle name="Normal 132 4 3" xfId="38777"/>
    <cellStyle name="Normal 132 4 4" xfId="38778"/>
    <cellStyle name="Normal 132 4 5" xfId="38779"/>
    <cellStyle name="Normal 132 4 6" xfId="38780"/>
    <cellStyle name="Normal 132 5" xfId="38781"/>
    <cellStyle name="Normal 132 6" xfId="38782"/>
    <cellStyle name="Normal 132 7" xfId="38783"/>
    <cellStyle name="Normal 132 8" xfId="38784"/>
    <cellStyle name="Normal 132 9" xfId="38785"/>
    <cellStyle name="Normal 133" xfId="38786"/>
    <cellStyle name="Normal 133 2" xfId="38787"/>
    <cellStyle name="Normal 133 2 2" xfId="38788"/>
    <cellStyle name="Normal 133 2 2 2" xfId="38789"/>
    <cellStyle name="Normal 133 2 2 2 2" xfId="38790"/>
    <cellStyle name="Normal 133 2 2 2 3" xfId="38791"/>
    <cellStyle name="Normal 133 2 2 2 4" xfId="38792"/>
    <cellStyle name="Normal 133 2 2 2 5" xfId="38793"/>
    <cellStyle name="Normal 133 2 2 2 6" xfId="38794"/>
    <cellStyle name="Normal 133 2 2 3" xfId="38795"/>
    <cellStyle name="Normal 133 2 2 4" xfId="38796"/>
    <cellStyle name="Normal 133 2 2 5" xfId="38797"/>
    <cellStyle name="Normal 133 2 2 6" xfId="38798"/>
    <cellStyle name="Normal 133 2 2 7" xfId="38799"/>
    <cellStyle name="Normal 133 2 3" xfId="38800"/>
    <cellStyle name="Normal 133 2 3 2" xfId="38801"/>
    <cellStyle name="Normal 133 2 3 3" xfId="38802"/>
    <cellStyle name="Normal 133 2 3 4" xfId="38803"/>
    <cellStyle name="Normal 133 2 3 5" xfId="38804"/>
    <cellStyle name="Normal 133 2 3 6" xfId="38805"/>
    <cellStyle name="Normal 133 2 4" xfId="38806"/>
    <cellStyle name="Normal 133 2 5" xfId="38807"/>
    <cellStyle name="Normal 133 2 6" xfId="38808"/>
    <cellStyle name="Normal 133 2 7" xfId="38809"/>
    <cellStyle name="Normal 133 2 8" xfId="38810"/>
    <cellStyle name="Normal 133 3" xfId="38811"/>
    <cellStyle name="Normal 133 3 2" xfId="38812"/>
    <cellStyle name="Normal 133 3 2 2" xfId="38813"/>
    <cellStyle name="Normal 133 3 2 3" xfId="38814"/>
    <cellStyle name="Normal 133 3 2 4" xfId="38815"/>
    <cellStyle name="Normal 133 3 2 5" xfId="38816"/>
    <cellStyle name="Normal 133 3 2 6" xfId="38817"/>
    <cellStyle name="Normal 133 3 3" xfId="38818"/>
    <cellStyle name="Normal 133 3 4" xfId="38819"/>
    <cellStyle name="Normal 133 3 5" xfId="38820"/>
    <cellStyle name="Normal 133 3 6" xfId="38821"/>
    <cellStyle name="Normal 133 3 7" xfId="38822"/>
    <cellStyle name="Normal 133 4" xfId="38823"/>
    <cellStyle name="Normal 133 4 2" xfId="38824"/>
    <cellStyle name="Normal 133 4 3" xfId="38825"/>
    <cellStyle name="Normal 133 4 4" xfId="38826"/>
    <cellStyle name="Normal 133 4 5" xfId="38827"/>
    <cellStyle name="Normal 133 4 6" xfId="38828"/>
    <cellStyle name="Normal 133 5" xfId="38829"/>
    <cellStyle name="Normal 133 6" xfId="38830"/>
    <cellStyle name="Normal 133 7" xfId="38831"/>
    <cellStyle name="Normal 133 8" xfId="38832"/>
    <cellStyle name="Normal 133 9" xfId="38833"/>
    <cellStyle name="Normal 134" xfId="38834"/>
    <cellStyle name="Normal 134 2" xfId="38835"/>
    <cellStyle name="Normal 134 2 2" xfId="38836"/>
    <cellStyle name="Normal 134 2 2 2" xfId="38837"/>
    <cellStyle name="Normal 134 2 2 2 2" xfId="38838"/>
    <cellStyle name="Normal 134 2 2 2 3" xfId="38839"/>
    <cellStyle name="Normal 134 2 2 2 4" xfId="38840"/>
    <cellStyle name="Normal 134 2 2 2 5" xfId="38841"/>
    <cellStyle name="Normal 134 2 2 2 6" xfId="38842"/>
    <cellStyle name="Normal 134 2 2 3" xfId="38843"/>
    <cellStyle name="Normal 134 2 2 4" xfId="38844"/>
    <cellStyle name="Normal 134 2 2 5" xfId="38845"/>
    <cellStyle name="Normal 134 2 2 6" xfId="38846"/>
    <cellStyle name="Normal 134 2 2 7" xfId="38847"/>
    <cellStyle name="Normal 134 2 3" xfId="38848"/>
    <cellStyle name="Normal 134 2 3 2" xfId="38849"/>
    <cellStyle name="Normal 134 2 3 3" xfId="38850"/>
    <cellStyle name="Normal 134 2 3 4" xfId="38851"/>
    <cellStyle name="Normal 134 2 3 5" xfId="38852"/>
    <cellStyle name="Normal 134 2 3 6" xfId="38853"/>
    <cellStyle name="Normal 134 2 4" xfId="38854"/>
    <cellStyle name="Normal 134 2 5" xfId="38855"/>
    <cellStyle name="Normal 134 2 6" xfId="38856"/>
    <cellStyle name="Normal 134 2 7" xfId="38857"/>
    <cellStyle name="Normal 134 2 8" xfId="38858"/>
    <cellStyle name="Normal 134 3" xfId="38859"/>
    <cellStyle name="Normal 134 3 2" xfId="38860"/>
    <cellStyle name="Normal 134 3 2 2" xfId="38861"/>
    <cellStyle name="Normal 134 3 2 3" xfId="38862"/>
    <cellStyle name="Normal 134 3 2 4" xfId="38863"/>
    <cellStyle name="Normal 134 3 2 5" xfId="38864"/>
    <cellStyle name="Normal 134 3 2 6" xfId="38865"/>
    <cellStyle name="Normal 134 3 3" xfId="38866"/>
    <cellStyle name="Normal 134 3 4" xfId="38867"/>
    <cellStyle name="Normal 134 3 5" xfId="38868"/>
    <cellStyle name="Normal 134 3 6" xfId="38869"/>
    <cellStyle name="Normal 134 3 7" xfId="38870"/>
    <cellStyle name="Normal 134 4" xfId="38871"/>
    <cellStyle name="Normal 134 4 2" xfId="38872"/>
    <cellStyle name="Normal 134 4 3" xfId="38873"/>
    <cellStyle name="Normal 134 4 4" xfId="38874"/>
    <cellStyle name="Normal 134 4 5" xfId="38875"/>
    <cellStyle name="Normal 134 4 6" xfId="38876"/>
    <cellStyle name="Normal 134 5" xfId="38877"/>
    <cellStyle name="Normal 134 6" xfId="38878"/>
    <cellStyle name="Normal 134 7" xfId="38879"/>
    <cellStyle name="Normal 134 8" xfId="38880"/>
    <cellStyle name="Normal 134 9" xfId="38881"/>
    <cellStyle name="Normal 135" xfId="38882"/>
    <cellStyle name="Normal 135 2" xfId="38883"/>
    <cellStyle name="Normal 135 2 2" xfId="38884"/>
    <cellStyle name="Normal 135 2 2 2" xfId="38885"/>
    <cellStyle name="Normal 135 2 2 2 2" xfId="38886"/>
    <cellStyle name="Normal 135 2 2 2 3" xfId="38887"/>
    <cellStyle name="Normal 135 2 2 2 4" xfId="38888"/>
    <cellStyle name="Normal 135 2 2 2 5" xfId="38889"/>
    <cellStyle name="Normal 135 2 2 2 6" xfId="38890"/>
    <cellStyle name="Normal 135 2 2 3" xfId="38891"/>
    <cellStyle name="Normal 135 2 2 4" xfId="38892"/>
    <cellStyle name="Normal 135 2 2 5" xfId="38893"/>
    <cellStyle name="Normal 135 2 2 6" xfId="38894"/>
    <cellStyle name="Normal 135 2 2 7" xfId="38895"/>
    <cellStyle name="Normal 135 2 3" xfId="38896"/>
    <cellStyle name="Normal 135 2 3 2" xfId="38897"/>
    <cellStyle name="Normal 135 2 3 3" xfId="38898"/>
    <cellStyle name="Normal 135 2 3 4" xfId="38899"/>
    <cellStyle name="Normal 135 2 3 5" xfId="38900"/>
    <cellStyle name="Normal 135 2 3 6" xfId="38901"/>
    <cellStyle name="Normal 135 2 4" xfId="38902"/>
    <cellStyle name="Normal 135 2 5" xfId="38903"/>
    <cellStyle name="Normal 135 2 6" xfId="38904"/>
    <cellStyle name="Normal 135 2 7" xfId="38905"/>
    <cellStyle name="Normal 135 2 8" xfId="38906"/>
    <cellStyle name="Normal 135 3" xfId="38907"/>
    <cellStyle name="Normal 135 3 2" xfId="38908"/>
    <cellStyle name="Normal 135 3 2 2" xfId="38909"/>
    <cellStyle name="Normal 135 3 2 3" xfId="38910"/>
    <cellStyle name="Normal 135 3 2 4" xfId="38911"/>
    <cellStyle name="Normal 135 3 2 5" xfId="38912"/>
    <cellStyle name="Normal 135 3 2 6" xfId="38913"/>
    <cellStyle name="Normal 135 3 3" xfId="38914"/>
    <cellStyle name="Normal 135 3 4" xfId="38915"/>
    <cellStyle name="Normal 135 3 5" xfId="38916"/>
    <cellStyle name="Normal 135 3 6" xfId="38917"/>
    <cellStyle name="Normal 135 3 7" xfId="38918"/>
    <cellStyle name="Normal 135 4" xfId="38919"/>
    <cellStyle name="Normal 135 4 2" xfId="38920"/>
    <cellStyle name="Normal 135 4 3" xfId="38921"/>
    <cellStyle name="Normal 135 4 4" xfId="38922"/>
    <cellStyle name="Normal 135 4 5" xfId="38923"/>
    <cellStyle name="Normal 135 4 6" xfId="38924"/>
    <cellStyle name="Normal 135 5" xfId="38925"/>
    <cellStyle name="Normal 135 6" xfId="38926"/>
    <cellStyle name="Normal 135 7" xfId="38927"/>
    <cellStyle name="Normal 135 8" xfId="38928"/>
    <cellStyle name="Normal 135 9" xfId="38929"/>
    <cellStyle name="Normal 136" xfId="38930"/>
    <cellStyle name="Normal 136 2" xfId="38931"/>
    <cellStyle name="Normal 136 2 2" xfId="38932"/>
    <cellStyle name="Normal 136 2 2 2" xfId="38933"/>
    <cellStyle name="Normal 136 2 2 2 2" xfId="38934"/>
    <cellStyle name="Normal 136 2 2 2 3" xfId="38935"/>
    <cellStyle name="Normal 136 2 2 2 4" xfId="38936"/>
    <cellStyle name="Normal 136 2 2 2 5" xfId="38937"/>
    <cellStyle name="Normal 136 2 2 2 6" xfId="38938"/>
    <cellStyle name="Normal 136 2 2 3" xfId="38939"/>
    <cellStyle name="Normal 136 2 2 4" xfId="38940"/>
    <cellStyle name="Normal 136 2 2 5" xfId="38941"/>
    <cellStyle name="Normal 136 2 2 6" xfId="38942"/>
    <cellStyle name="Normal 136 2 2 7" xfId="38943"/>
    <cellStyle name="Normal 136 2 3" xfId="38944"/>
    <cellStyle name="Normal 136 2 3 2" xfId="38945"/>
    <cellStyle name="Normal 136 2 3 3" xfId="38946"/>
    <cellStyle name="Normal 136 2 3 4" xfId="38947"/>
    <cellStyle name="Normal 136 2 3 5" xfId="38948"/>
    <cellStyle name="Normal 136 2 3 6" xfId="38949"/>
    <cellStyle name="Normal 136 2 4" xfId="38950"/>
    <cellStyle name="Normal 136 2 5" xfId="38951"/>
    <cellStyle name="Normal 136 2 6" xfId="38952"/>
    <cellStyle name="Normal 136 2 7" xfId="38953"/>
    <cellStyle name="Normal 136 2 8" xfId="38954"/>
    <cellStyle name="Normal 136 3" xfId="38955"/>
    <cellStyle name="Normal 136 3 2" xfId="38956"/>
    <cellStyle name="Normal 136 3 2 2" xfId="38957"/>
    <cellStyle name="Normal 136 3 2 3" xfId="38958"/>
    <cellStyle name="Normal 136 3 2 4" xfId="38959"/>
    <cellStyle name="Normal 136 3 2 5" xfId="38960"/>
    <cellStyle name="Normal 136 3 2 6" xfId="38961"/>
    <cellStyle name="Normal 136 3 3" xfId="38962"/>
    <cellStyle name="Normal 136 3 4" xfId="38963"/>
    <cellStyle name="Normal 136 3 5" xfId="38964"/>
    <cellStyle name="Normal 136 3 6" xfId="38965"/>
    <cellStyle name="Normal 136 3 7" xfId="38966"/>
    <cellStyle name="Normal 136 4" xfId="38967"/>
    <cellStyle name="Normal 136 4 2" xfId="38968"/>
    <cellStyle name="Normal 136 4 3" xfId="38969"/>
    <cellStyle name="Normal 136 4 4" xfId="38970"/>
    <cellStyle name="Normal 136 4 5" xfId="38971"/>
    <cellStyle name="Normal 136 4 6" xfId="38972"/>
    <cellStyle name="Normal 136 5" xfId="38973"/>
    <cellStyle name="Normal 136 6" xfId="38974"/>
    <cellStyle name="Normal 136 7" xfId="38975"/>
    <cellStyle name="Normal 136 8" xfId="38976"/>
    <cellStyle name="Normal 136 9" xfId="38977"/>
    <cellStyle name="Normal 137" xfId="38978"/>
    <cellStyle name="Normal 137 2" xfId="38979"/>
    <cellStyle name="Normal 137 2 2" xfId="38980"/>
    <cellStyle name="Normal 137 2 2 2" xfId="38981"/>
    <cellStyle name="Normal 137 2 2 2 2" xfId="38982"/>
    <cellStyle name="Normal 137 2 2 2 3" xfId="38983"/>
    <cellStyle name="Normal 137 2 2 2 4" xfId="38984"/>
    <cellStyle name="Normal 137 2 2 2 5" xfId="38985"/>
    <cellStyle name="Normal 137 2 2 2 6" xfId="38986"/>
    <cellStyle name="Normal 137 2 2 3" xfId="38987"/>
    <cellStyle name="Normal 137 2 2 4" xfId="38988"/>
    <cellStyle name="Normal 137 2 2 5" xfId="38989"/>
    <cellStyle name="Normal 137 2 2 6" xfId="38990"/>
    <cellStyle name="Normal 137 2 2 7" xfId="38991"/>
    <cellStyle name="Normal 137 2 3" xfId="38992"/>
    <cellStyle name="Normal 137 2 3 2" xfId="38993"/>
    <cellStyle name="Normal 137 2 3 3" xfId="38994"/>
    <cellStyle name="Normal 137 2 3 4" xfId="38995"/>
    <cellStyle name="Normal 137 2 3 5" xfId="38996"/>
    <cellStyle name="Normal 137 2 3 6" xfId="38997"/>
    <cellStyle name="Normal 137 2 4" xfId="38998"/>
    <cellStyle name="Normal 137 2 5" xfId="38999"/>
    <cellStyle name="Normal 137 2 6" xfId="39000"/>
    <cellStyle name="Normal 137 2 7" xfId="39001"/>
    <cellStyle name="Normal 137 2 8" xfId="39002"/>
    <cellStyle name="Normal 137 3" xfId="39003"/>
    <cellStyle name="Normal 137 3 2" xfId="39004"/>
    <cellStyle name="Normal 137 3 2 2" xfId="39005"/>
    <cellStyle name="Normal 137 3 2 3" xfId="39006"/>
    <cellStyle name="Normal 137 3 2 4" xfId="39007"/>
    <cellStyle name="Normal 137 3 2 5" xfId="39008"/>
    <cellStyle name="Normal 137 3 2 6" xfId="39009"/>
    <cellStyle name="Normal 137 3 3" xfId="39010"/>
    <cellStyle name="Normal 137 3 4" xfId="39011"/>
    <cellStyle name="Normal 137 3 5" xfId="39012"/>
    <cellStyle name="Normal 137 3 6" xfId="39013"/>
    <cellStyle name="Normal 137 3 7" xfId="39014"/>
    <cellStyle name="Normal 137 4" xfId="39015"/>
    <cellStyle name="Normal 137 4 2" xfId="39016"/>
    <cellStyle name="Normal 137 4 3" xfId="39017"/>
    <cellStyle name="Normal 137 4 4" xfId="39018"/>
    <cellStyle name="Normal 137 4 5" xfId="39019"/>
    <cellStyle name="Normal 137 4 6" xfId="39020"/>
    <cellStyle name="Normal 137 5" xfId="39021"/>
    <cellStyle name="Normal 137 6" xfId="39022"/>
    <cellStyle name="Normal 137 7" xfId="39023"/>
    <cellStyle name="Normal 137 8" xfId="39024"/>
    <cellStyle name="Normal 137 9" xfId="39025"/>
    <cellStyle name="Normal 138" xfId="39026"/>
    <cellStyle name="Normal 138 2" xfId="39027"/>
    <cellStyle name="Normal 138 2 2" xfId="39028"/>
    <cellStyle name="Normal 138 2 2 2" xfId="39029"/>
    <cellStyle name="Normal 138 2 2 2 2" xfId="39030"/>
    <cellStyle name="Normal 138 2 2 2 3" xfId="39031"/>
    <cellStyle name="Normal 138 2 2 2 4" xfId="39032"/>
    <cellStyle name="Normal 138 2 2 2 5" xfId="39033"/>
    <cellStyle name="Normal 138 2 2 2 6" xfId="39034"/>
    <cellStyle name="Normal 138 2 2 3" xfId="39035"/>
    <cellStyle name="Normal 138 2 2 4" xfId="39036"/>
    <cellStyle name="Normal 138 2 2 5" xfId="39037"/>
    <cellStyle name="Normal 138 2 2 6" xfId="39038"/>
    <cellStyle name="Normal 138 2 2 7" xfId="39039"/>
    <cellStyle name="Normal 138 2 3" xfId="39040"/>
    <cellStyle name="Normal 138 2 3 2" xfId="39041"/>
    <cellStyle name="Normal 138 2 3 3" xfId="39042"/>
    <cellStyle name="Normal 138 2 3 4" xfId="39043"/>
    <cellStyle name="Normal 138 2 3 5" xfId="39044"/>
    <cellStyle name="Normal 138 2 3 6" xfId="39045"/>
    <cellStyle name="Normal 138 2 4" xfId="39046"/>
    <cellStyle name="Normal 138 2 5" xfId="39047"/>
    <cellStyle name="Normal 138 2 6" xfId="39048"/>
    <cellStyle name="Normal 138 2 7" xfId="39049"/>
    <cellStyle name="Normal 138 2 8" xfId="39050"/>
    <cellStyle name="Normal 138 3" xfId="39051"/>
    <cellStyle name="Normal 138 3 2" xfId="39052"/>
    <cellStyle name="Normal 138 3 2 2" xfId="39053"/>
    <cellStyle name="Normal 138 3 2 3" xfId="39054"/>
    <cellStyle name="Normal 138 3 2 4" xfId="39055"/>
    <cellStyle name="Normal 138 3 2 5" xfId="39056"/>
    <cellStyle name="Normal 138 3 2 6" xfId="39057"/>
    <cellStyle name="Normal 138 3 3" xfId="39058"/>
    <cellStyle name="Normal 138 3 4" xfId="39059"/>
    <cellStyle name="Normal 138 3 5" xfId="39060"/>
    <cellStyle name="Normal 138 3 6" xfId="39061"/>
    <cellStyle name="Normal 138 3 7" xfId="39062"/>
    <cellStyle name="Normal 138 4" xfId="39063"/>
    <cellStyle name="Normal 138 4 2" xfId="39064"/>
    <cellStyle name="Normal 138 4 3" xfId="39065"/>
    <cellStyle name="Normal 138 4 4" xfId="39066"/>
    <cellStyle name="Normal 138 4 5" xfId="39067"/>
    <cellStyle name="Normal 138 4 6" xfId="39068"/>
    <cellStyle name="Normal 138 5" xfId="39069"/>
    <cellStyle name="Normal 138 6" xfId="39070"/>
    <cellStyle name="Normal 138 7" xfId="39071"/>
    <cellStyle name="Normal 138 8" xfId="39072"/>
    <cellStyle name="Normal 138 9" xfId="39073"/>
    <cellStyle name="Normal 139" xfId="39074"/>
    <cellStyle name="Normal 139 2" xfId="39075"/>
    <cellStyle name="Normal 139 2 2" xfId="39076"/>
    <cellStyle name="Normal 139 2 2 2" xfId="39077"/>
    <cellStyle name="Normal 139 2 2 2 2" xfId="39078"/>
    <cellStyle name="Normal 139 2 2 2 3" xfId="39079"/>
    <cellStyle name="Normal 139 2 2 2 4" xfId="39080"/>
    <cellStyle name="Normal 139 2 2 2 5" xfId="39081"/>
    <cellStyle name="Normal 139 2 2 2 6" xfId="39082"/>
    <cellStyle name="Normal 139 2 2 3" xfId="39083"/>
    <cellStyle name="Normal 139 2 2 4" xfId="39084"/>
    <cellStyle name="Normal 139 2 2 5" xfId="39085"/>
    <cellStyle name="Normal 139 2 2 6" xfId="39086"/>
    <cellStyle name="Normal 139 2 2 7" xfId="39087"/>
    <cellStyle name="Normal 139 2 3" xfId="39088"/>
    <cellStyle name="Normal 139 2 3 2" xfId="39089"/>
    <cellStyle name="Normal 139 2 3 3" xfId="39090"/>
    <cellStyle name="Normal 139 2 3 4" xfId="39091"/>
    <cellStyle name="Normal 139 2 3 5" xfId="39092"/>
    <cellStyle name="Normal 139 2 3 6" xfId="39093"/>
    <cellStyle name="Normal 139 2 4" xfId="39094"/>
    <cellStyle name="Normal 139 2 5" xfId="39095"/>
    <cellStyle name="Normal 139 2 6" xfId="39096"/>
    <cellStyle name="Normal 139 2 7" xfId="39097"/>
    <cellStyle name="Normal 139 2 8" xfId="39098"/>
    <cellStyle name="Normal 139 3" xfId="39099"/>
    <cellStyle name="Normal 139 3 2" xfId="39100"/>
    <cellStyle name="Normal 139 3 2 2" xfId="39101"/>
    <cellStyle name="Normal 139 3 2 3" xfId="39102"/>
    <cellStyle name="Normal 139 3 2 4" xfId="39103"/>
    <cellStyle name="Normal 139 3 2 5" xfId="39104"/>
    <cellStyle name="Normal 139 3 2 6" xfId="39105"/>
    <cellStyle name="Normal 139 3 3" xfId="39106"/>
    <cellStyle name="Normal 139 3 4" xfId="39107"/>
    <cellStyle name="Normal 139 3 5" xfId="39108"/>
    <cellStyle name="Normal 139 3 6" xfId="39109"/>
    <cellStyle name="Normal 139 3 7" xfId="39110"/>
    <cellStyle name="Normal 139 4" xfId="39111"/>
    <cellStyle name="Normal 139 4 2" xfId="39112"/>
    <cellStyle name="Normal 139 4 3" xfId="39113"/>
    <cellStyle name="Normal 139 4 4" xfId="39114"/>
    <cellStyle name="Normal 139 4 5" xfId="39115"/>
    <cellStyle name="Normal 139 4 6" xfId="39116"/>
    <cellStyle name="Normal 139 5" xfId="39117"/>
    <cellStyle name="Normal 139 6" xfId="39118"/>
    <cellStyle name="Normal 139 7" xfId="39119"/>
    <cellStyle name="Normal 139 8" xfId="39120"/>
    <cellStyle name="Normal 139 9" xfId="39121"/>
    <cellStyle name="Normal 14" xfId="39122"/>
    <cellStyle name="Normal 140" xfId="39123"/>
    <cellStyle name="Normal 140 2" xfId="39124"/>
    <cellStyle name="Normal 141" xfId="39125"/>
    <cellStyle name="Normal 141 2" xfId="39126"/>
    <cellStyle name="Normal 142" xfId="39127"/>
    <cellStyle name="Normal 142 2" xfId="39128"/>
    <cellStyle name="Normal 142 2 2" xfId="39129"/>
    <cellStyle name="Normal 142 2 2 2" xfId="39130"/>
    <cellStyle name="Normal 142 2 2 2 2" xfId="39131"/>
    <cellStyle name="Normal 142 2 2 2 3" xfId="39132"/>
    <cellStyle name="Normal 142 2 2 2 4" xfId="39133"/>
    <cellStyle name="Normal 142 2 2 2 5" xfId="39134"/>
    <cellStyle name="Normal 142 2 2 2 6" xfId="39135"/>
    <cellStyle name="Normal 142 2 2 3" xfId="39136"/>
    <cellStyle name="Normal 142 2 2 4" xfId="39137"/>
    <cellStyle name="Normal 142 2 2 5" xfId="39138"/>
    <cellStyle name="Normal 142 2 2 6" xfId="39139"/>
    <cellStyle name="Normal 142 2 2 7" xfId="39140"/>
    <cellStyle name="Normal 142 2 3" xfId="39141"/>
    <cellStyle name="Normal 142 2 3 2" xfId="39142"/>
    <cellStyle name="Normal 142 2 3 3" xfId="39143"/>
    <cellStyle name="Normal 142 2 3 4" xfId="39144"/>
    <cellStyle name="Normal 142 2 3 5" xfId="39145"/>
    <cellStyle name="Normal 142 2 3 6" xfId="39146"/>
    <cellStyle name="Normal 142 2 4" xfId="39147"/>
    <cellStyle name="Normal 142 2 5" xfId="39148"/>
    <cellStyle name="Normal 142 2 6" xfId="39149"/>
    <cellStyle name="Normal 142 2 7" xfId="39150"/>
    <cellStyle name="Normal 142 2 8" xfId="39151"/>
    <cellStyle name="Normal 142 3" xfId="39152"/>
    <cellStyle name="Normal 142 3 2" xfId="39153"/>
    <cellStyle name="Normal 142 3 2 2" xfId="39154"/>
    <cellStyle name="Normal 142 3 2 3" xfId="39155"/>
    <cellStyle name="Normal 142 3 2 4" xfId="39156"/>
    <cellStyle name="Normal 142 3 2 5" xfId="39157"/>
    <cellStyle name="Normal 142 3 2 6" xfId="39158"/>
    <cellStyle name="Normal 142 3 3" xfId="39159"/>
    <cellStyle name="Normal 142 3 4" xfId="39160"/>
    <cellStyle name="Normal 142 3 5" xfId="39161"/>
    <cellStyle name="Normal 142 3 6" xfId="39162"/>
    <cellStyle name="Normal 142 3 7" xfId="39163"/>
    <cellStyle name="Normal 142 4" xfId="39164"/>
    <cellStyle name="Normal 142 4 2" xfId="39165"/>
    <cellStyle name="Normal 142 4 3" xfId="39166"/>
    <cellStyle name="Normal 142 4 4" xfId="39167"/>
    <cellStyle name="Normal 142 4 5" xfId="39168"/>
    <cellStyle name="Normal 142 4 6" xfId="39169"/>
    <cellStyle name="Normal 142 5" xfId="39170"/>
    <cellStyle name="Normal 142 6" xfId="39171"/>
    <cellStyle name="Normal 142 7" xfId="39172"/>
    <cellStyle name="Normal 142 8" xfId="39173"/>
    <cellStyle name="Normal 142 9" xfId="39174"/>
    <cellStyle name="Normal 143" xfId="39175"/>
    <cellStyle name="Normal 144" xfId="39176"/>
    <cellStyle name="Normal 144 2" xfId="39177"/>
    <cellStyle name="Normal 144 2 2" xfId="39178"/>
    <cellStyle name="Normal 144 2 2 2" xfId="39179"/>
    <cellStyle name="Normal 144 2 2 2 2" xfId="39180"/>
    <cellStyle name="Normal 144 2 2 2 3" xfId="39181"/>
    <cellStyle name="Normal 144 2 2 2 4" xfId="39182"/>
    <cellStyle name="Normal 144 2 2 2 5" xfId="39183"/>
    <cellStyle name="Normal 144 2 2 2 6" xfId="39184"/>
    <cellStyle name="Normal 144 2 2 3" xfId="39185"/>
    <cellStyle name="Normal 144 2 2 4" xfId="39186"/>
    <cellStyle name="Normal 144 2 2 5" xfId="39187"/>
    <cellStyle name="Normal 144 2 2 6" xfId="39188"/>
    <cellStyle name="Normal 144 2 2 7" xfId="39189"/>
    <cellStyle name="Normal 144 2 3" xfId="39190"/>
    <cellStyle name="Normal 144 2 3 2" xfId="39191"/>
    <cellStyle name="Normal 144 2 3 3" xfId="39192"/>
    <cellStyle name="Normal 144 2 3 4" xfId="39193"/>
    <cellStyle name="Normal 144 2 3 5" xfId="39194"/>
    <cellStyle name="Normal 144 2 3 6" xfId="39195"/>
    <cellStyle name="Normal 144 2 4" xfId="39196"/>
    <cellStyle name="Normal 144 2 5" xfId="39197"/>
    <cellStyle name="Normal 144 2 6" xfId="39198"/>
    <cellStyle name="Normal 144 2 7" xfId="39199"/>
    <cellStyle name="Normal 144 2 8" xfId="39200"/>
    <cellStyle name="Normal 144 3" xfId="39201"/>
    <cellStyle name="Normal 144 3 2" xfId="39202"/>
    <cellStyle name="Normal 144 3 2 2" xfId="39203"/>
    <cellStyle name="Normal 144 3 2 3" xfId="39204"/>
    <cellStyle name="Normal 144 3 2 4" xfId="39205"/>
    <cellStyle name="Normal 144 3 2 5" xfId="39206"/>
    <cellStyle name="Normal 144 3 2 6" xfId="39207"/>
    <cellStyle name="Normal 144 3 3" xfId="39208"/>
    <cellStyle name="Normal 144 3 4" xfId="39209"/>
    <cellStyle name="Normal 144 3 5" xfId="39210"/>
    <cellStyle name="Normal 144 3 6" xfId="39211"/>
    <cellStyle name="Normal 144 3 7" xfId="39212"/>
    <cellStyle name="Normal 144 4" xfId="39213"/>
    <cellStyle name="Normal 144 4 2" xfId="39214"/>
    <cellStyle name="Normal 144 4 3" xfId="39215"/>
    <cellStyle name="Normal 144 4 4" xfId="39216"/>
    <cellStyle name="Normal 144 4 5" xfId="39217"/>
    <cellStyle name="Normal 144 4 6" xfId="39218"/>
    <cellStyle name="Normal 144 5" xfId="39219"/>
    <cellStyle name="Normal 144 6" xfId="39220"/>
    <cellStyle name="Normal 144 7" xfId="39221"/>
    <cellStyle name="Normal 144 8" xfId="39222"/>
    <cellStyle name="Normal 144 9" xfId="39223"/>
    <cellStyle name="Normal 145" xfId="39224"/>
    <cellStyle name="Normal 145 2" xfId="39225"/>
    <cellStyle name="Normal 145 2 2" xfId="39226"/>
    <cellStyle name="Normal 145 2 2 2" xfId="39227"/>
    <cellStyle name="Normal 145 2 2 2 2" xfId="39228"/>
    <cellStyle name="Normal 145 2 2 2 3" xfId="39229"/>
    <cellStyle name="Normal 145 2 2 2 4" xfId="39230"/>
    <cellStyle name="Normal 145 2 2 2 5" xfId="39231"/>
    <cellStyle name="Normal 145 2 2 2 6" xfId="39232"/>
    <cellStyle name="Normal 145 2 2 3" xfId="39233"/>
    <cellStyle name="Normal 145 2 2 4" xfId="39234"/>
    <cellStyle name="Normal 145 2 2 5" xfId="39235"/>
    <cellStyle name="Normal 145 2 2 6" xfId="39236"/>
    <cellStyle name="Normal 145 2 2 7" xfId="39237"/>
    <cellStyle name="Normal 145 2 3" xfId="39238"/>
    <cellStyle name="Normal 145 2 3 2" xfId="39239"/>
    <cellStyle name="Normal 145 2 3 3" xfId="39240"/>
    <cellStyle name="Normal 145 2 3 4" xfId="39241"/>
    <cellStyle name="Normal 145 2 3 5" xfId="39242"/>
    <cellStyle name="Normal 145 2 3 6" xfId="39243"/>
    <cellStyle name="Normal 145 2 4" xfId="39244"/>
    <cellStyle name="Normal 145 2 5" xfId="39245"/>
    <cellStyle name="Normal 145 2 6" xfId="39246"/>
    <cellStyle name="Normal 145 2 7" xfId="39247"/>
    <cellStyle name="Normal 145 2 8" xfId="39248"/>
    <cellStyle name="Normal 145 3" xfId="39249"/>
    <cellStyle name="Normal 145 3 2" xfId="39250"/>
    <cellStyle name="Normal 145 3 2 2" xfId="39251"/>
    <cellStyle name="Normal 145 3 2 3" xfId="39252"/>
    <cellStyle name="Normal 145 3 2 4" xfId="39253"/>
    <cellStyle name="Normal 145 3 2 5" xfId="39254"/>
    <cellStyle name="Normal 145 3 2 6" xfId="39255"/>
    <cellStyle name="Normal 145 3 3" xfId="39256"/>
    <cellStyle name="Normal 145 3 4" xfId="39257"/>
    <cellStyle name="Normal 145 3 5" xfId="39258"/>
    <cellStyle name="Normal 145 3 6" xfId="39259"/>
    <cellStyle name="Normal 145 3 7" xfId="39260"/>
    <cellStyle name="Normal 145 4" xfId="39261"/>
    <cellStyle name="Normal 145 4 2" xfId="39262"/>
    <cellStyle name="Normal 145 4 3" xfId="39263"/>
    <cellStyle name="Normal 145 4 4" xfId="39264"/>
    <cellStyle name="Normal 145 4 5" xfId="39265"/>
    <cellStyle name="Normal 145 4 6" xfId="39266"/>
    <cellStyle name="Normal 145 5" xfId="39267"/>
    <cellStyle name="Normal 145 6" xfId="39268"/>
    <cellStyle name="Normal 145 7" xfId="39269"/>
    <cellStyle name="Normal 145 8" xfId="39270"/>
    <cellStyle name="Normal 145 9" xfId="39271"/>
    <cellStyle name="Normal 146" xfId="39272"/>
    <cellStyle name="Normal 146 2" xfId="39273"/>
    <cellStyle name="Normal 146 2 2" xfId="39274"/>
    <cellStyle name="Normal 146 2 2 2" xfId="39275"/>
    <cellStyle name="Normal 146 2 2 2 2" xfId="39276"/>
    <cellStyle name="Normal 146 2 2 2 3" xfId="39277"/>
    <cellStyle name="Normal 146 2 2 2 4" xfId="39278"/>
    <cellStyle name="Normal 146 2 2 2 5" xfId="39279"/>
    <cellStyle name="Normal 146 2 2 2 6" xfId="39280"/>
    <cellStyle name="Normal 146 2 2 3" xfId="39281"/>
    <cellStyle name="Normal 146 2 2 4" xfId="39282"/>
    <cellStyle name="Normal 146 2 2 5" xfId="39283"/>
    <cellStyle name="Normal 146 2 2 6" xfId="39284"/>
    <cellStyle name="Normal 146 2 2 7" xfId="39285"/>
    <cellStyle name="Normal 146 2 3" xfId="39286"/>
    <cellStyle name="Normal 146 2 3 2" xfId="39287"/>
    <cellStyle name="Normal 146 2 3 3" xfId="39288"/>
    <cellStyle name="Normal 146 2 3 4" xfId="39289"/>
    <cellStyle name="Normal 146 2 3 5" xfId="39290"/>
    <cellStyle name="Normal 146 2 3 6" xfId="39291"/>
    <cellStyle name="Normal 146 2 4" xfId="39292"/>
    <cellStyle name="Normal 146 2 5" xfId="39293"/>
    <cellStyle name="Normal 146 2 6" xfId="39294"/>
    <cellStyle name="Normal 146 2 7" xfId="39295"/>
    <cellStyle name="Normal 146 2 8" xfId="39296"/>
    <cellStyle name="Normal 146 3" xfId="39297"/>
    <cellStyle name="Normal 146 3 2" xfId="39298"/>
    <cellStyle name="Normal 146 3 2 2" xfId="39299"/>
    <cellStyle name="Normal 146 3 2 3" xfId="39300"/>
    <cellStyle name="Normal 146 3 2 4" xfId="39301"/>
    <cellStyle name="Normal 146 3 2 5" xfId="39302"/>
    <cellStyle name="Normal 146 3 2 6" xfId="39303"/>
    <cellStyle name="Normal 146 3 3" xfId="39304"/>
    <cellStyle name="Normal 146 3 4" xfId="39305"/>
    <cellStyle name="Normal 146 3 5" xfId="39306"/>
    <cellStyle name="Normal 146 3 6" xfId="39307"/>
    <cellStyle name="Normal 146 3 7" xfId="39308"/>
    <cellStyle name="Normal 146 4" xfId="39309"/>
    <cellStyle name="Normal 146 4 2" xfId="39310"/>
    <cellStyle name="Normal 146 4 3" xfId="39311"/>
    <cellStyle name="Normal 146 4 4" xfId="39312"/>
    <cellStyle name="Normal 146 4 5" xfId="39313"/>
    <cellStyle name="Normal 146 4 6" xfId="39314"/>
    <cellStyle name="Normal 146 5" xfId="39315"/>
    <cellStyle name="Normal 146 6" xfId="39316"/>
    <cellStyle name="Normal 146 7" xfId="39317"/>
    <cellStyle name="Normal 146 8" xfId="39318"/>
    <cellStyle name="Normal 146 9" xfId="39319"/>
    <cellStyle name="Normal 147" xfId="39320"/>
    <cellStyle name="Normal 147 2" xfId="39321"/>
    <cellStyle name="Normal 147 2 2" xfId="39322"/>
    <cellStyle name="Normal 147 2 2 2" xfId="39323"/>
    <cellStyle name="Normal 147 2 2 2 2" xfId="39324"/>
    <cellStyle name="Normal 147 2 2 2 3" xfId="39325"/>
    <cellStyle name="Normal 147 2 2 2 4" xfId="39326"/>
    <cellStyle name="Normal 147 2 2 2 5" xfId="39327"/>
    <cellStyle name="Normal 147 2 2 2 6" xfId="39328"/>
    <cellStyle name="Normal 147 2 2 3" xfId="39329"/>
    <cellStyle name="Normal 147 2 2 4" xfId="39330"/>
    <cellStyle name="Normal 147 2 2 5" xfId="39331"/>
    <cellStyle name="Normal 147 2 2 6" xfId="39332"/>
    <cellStyle name="Normal 147 2 2 7" xfId="39333"/>
    <cellStyle name="Normal 147 2 3" xfId="39334"/>
    <cellStyle name="Normal 147 2 3 2" xfId="39335"/>
    <cellStyle name="Normal 147 2 3 3" xfId="39336"/>
    <cellStyle name="Normal 147 2 3 4" xfId="39337"/>
    <cellStyle name="Normal 147 2 3 5" xfId="39338"/>
    <cellStyle name="Normal 147 2 3 6" xfId="39339"/>
    <cellStyle name="Normal 147 2 4" xfId="39340"/>
    <cellStyle name="Normal 147 2 5" xfId="39341"/>
    <cellStyle name="Normal 147 2 6" xfId="39342"/>
    <cellStyle name="Normal 147 2 7" xfId="39343"/>
    <cellStyle name="Normal 147 2 8" xfId="39344"/>
    <cellStyle name="Normal 147 3" xfId="39345"/>
    <cellStyle name="Normal 147 3 2" xfId="39346"/>
    <cellStyle name="Normal 147 3 2 2" xfId="39347"/>
    <cellStyle name="Normal 147 3 2 3" xfId="39348"/>
    <cellStyle name="Normal 147 3 2 4" xfId="39349"/>
    <cellStyle name="Normal 147 3 2 5" xfId="39350"/>
    <cellStyle name="Normal 147 3 2 6" xfId="39351"/>
    <cellStyle name="Normal 147 3 3" xfId="39352"/>
    <cellStyle name="Normal 147 3 4" xfId="39353"/>
    <cellStyle name="Normal 147 3 5" xfId="39354"/>
    <cellStyle name="Normal 147 3 6" xfId="39355"/>
    <cellStyle name="Normal 147 3 7" xfId="39356"/>
    <cellStyle name="Normal 147 4" xfId="39357"/>
    <cellStyle name="Normal 147 4 2" xfId="39358"/>
    <cellStyle name="Normal 147 4 3" xfId="39359"/>
    <cellStyle name="Normal 147 4 4" xfId="39360"/>
    <cellStyle name="Normal 147 4 5" xfId="39361"/>
    <cellStyle name="Normal 147 4 6" xfId="39362"/>
    <cellStyle name="Normal 147 5" xfId="39363"/>
    <cellStyle name="Normal 147 6" xfId="39364"/>
    <cellStyle name="Normal 147 7" xfId="39365"/>
    <cellStyle name="Normal 147 8" xfId="39366"/>
    <cellStyle name="Normal 147 9" xfId="39367"/>
    <cellStyle name="Normal 148" xfId="39368"/>
    <cellStyle name="Normal 149" xfId="39369"/>
    <cellStyle name="Normal 15" xfId="39370"/>
    <cellStyle name="Normal 15 2" xfId="39371"/>
    <cellStyle name="Normal 150" xfId="39372"/>
    <cellStyle name="Normal 151" xfId="39373"/>
    <cellStyle name="Normal 152" xfId="39374"/>
    <cellStyle name="Normal 153" xfId="39375"/>
    <cellStyle name="Normal 154" xfId="39376"/>
    <cellStyle name="Normal 155" xfId="39377"/>
    <cellStyle name="Normal 156" xfId="39378"/>
    <cellStyle name="Normal 157" xfId="39379"/>
    <cellStyle name="Normal 158" xfId="39380"/>
    <cellStyle name="Normal 159" xfId="39381"/>
    <cellStyle name="Normal 16" xfId="39382"/>
    <cellStyle name="Normal 16 2" xfId="39383"/>
    <cellStyle name="Normal 160" xfId="39384"/>
    <cellStyle name="Normal 160 2" xfId="39385"/>
    <cellStyle name="Normal 160 2 2" xfId="39386"/>
    <cellStyle name="Normal 160 2 2 2" xfId="39387"/>
    <cellStyle name="Normal 160 2 2 2 2" xfId="39388"/>
    <cellStyle name="Normal 160 2 2 2 3" xfId="39389"/>
    <cellStyle name="Normal 160 2 2 2 4" xfId="39390"/>
    <cellStyle name="Normal 160 2 2 2 5" xfId="39391"/>
    <cellStyle name="Normal 160 2 2 2 6" xfId="39392"/>
    <cellStyle name="Normal 160 2 2 3" xfId="39393"/>
    <cellStyle name="Normal 160 2 2 4" xfId="39394"/>
    <cellStyle name="Normal 160 2 2 5" xfId="39395"/>
    <cellStyle name="Normal 160 2 2 6" xfId="39396"/>
    <cellStyle name="Normal 160 2 2 7" xfId="39397"/>
    <cellStyle name="Normal 160 2 3" xfId="39398"/>
    <cellStyle name="Normal 160 2 3 2" xfId="39399"/>
    <cellStyle name="Normal 160 2 3 3" xfId="39400"/>
    <cellStyle name="Normal 160 2 3 4" xfId="39401"/>
    <cellStyle name="Normal 160 2 3 5" xfId="39402"/>
    <cellStyle name="Normal 160 2 3 6" xfId="39403"/>
    <cellStyle name="Normal 160 2 4" xfId="39404"/>
    <cellStyle name="Normal 160 2 5" xfId="39405"/>
    <cellStyle name="Normal 160 2 6" xfId="39406"/>
    <cellStyle name="Normal 160 2 7" xfId="39407"/>
    <cellStyle name="Normal 160 2 8" xfId="39408"/>
    <cellStyle name="Normal 160 3" xfId="39409"/>
    <cellStyle name="Normal 160 3 2" xfId="39410"/>
    <cellStyle name="Normal 160 3 2 2" xfId="39411"/>
    <cellStyle name="Normal 160 3 2 3" xfId="39412"/>
    <cellStyle name="Normal 160 3 2 4" xfId="39413"/>
    <cellStyle name="Normal 160 3 2 5" xfId="39414"/>
    <cellStyle name="Normal 160 3 2 6" xfId="39415"/>
    <cellStyle name="Normal 160 3 3" xfId="39416"/>
    <cellStyle name="Normal 160 3 4" xfId="39417"/>
    <cellStyle name="Normal 160 3 5" xfId="39418"/>
    <cellStyle name="Normal 160 3 6" xfId="39419"/>
    <cellStyle name="Normal 160 3 7" xfId="39420"/>
    <cellStyle name="Normal 160 4" xfId="39421"/>
    <cellStyle name="Normal 160 4 2" xfId="39422"/>
    <cellStyle name="Normal 160 4 3" xfId="39423"/>
    <cellStyle name="Normal 160 4 4" xfId="39424"/>
    <cellStyle name="Normal 160 4 5" xfId="39425"/>
    <cellStyle name="Normal 160 4 6" xfId="39426"/>
    <cellStyle name="Normal 160 5" xfId="39427"/>
    <cellStyle name="Normal 160 6" xfId="39428"/>
    <cellStyle name="Normal 160 7" xfId="39429"/>
    <cellStyle name="Normal 160 8" xfId="39430"/>
    <cellStyle name="Normal 160 9" xfId="39431"/>
    <cellStyle name="Normal 161" xfId="39432"/>
    <cellStyle name="Normal 161 2" xfId="39433"/>
    <cellStyle name="Normal 161 2 2" xfId="39434"/>
    <cellStyle name="Normal 161 2 2 2" xfId="39435"/>
    <cellStyle name="Normal 161 2 2 2 2" xfId="39436"/>
    <cellStyle name="Normal 161 2 2 2 3" xfId="39437"/>
    <cellStyle name="Normal 161 2 2 2 4" xfId="39438"/>
    <cellStyle name="Normal 161 2 2 2 5" xfId="39439"/>
    <cellStyle name="Normal 161 2 2 2 6" xfId="39440"/>
    <cellStyle name="Normal 161 2 2 3" xfId="39441"/>
    <cellStyle name="Normal 161 2 2 4" xfId="39442"/>
    <cellStyle name="Normal 161 2 2 5" xfId="39443"/>
    <cellStyle name="Normal 161 2 2 6" xfId="39444"/>
    <cellStyle name="Normal 161 2 2 7" xfId="39445"/>
    <cellStyle name="Normal 161 2 3" xfId="39446"/>
    <cellStyle name="Normal 161 2 3 2" xfId="39447"/>
    <cellStyle name="Normal 161 2 3 3" xfId="39448"/>
    <cellStyle name="Normal 161 2 3 4" xfId="39449"/>
    <cellStyle name="Normal 161 2 3 5" xfId="39450"/>
    <cellStyle name="Normal 161 2 3 6" xfId="39451"/>
    <cellStyle name="Normal 161 2 4" xfId="39452"/>
    <cellStyle name="Normal 161 2 5" xfId="39453"/>
    <cellStyle name="Normal 161 2 6" xfId="39454"/>
    <cellStyle name="Normal 161 2 7" xfId="39455"/>
    <cellStyle name="Normal 161 2 8" xfId="39456"/>
    <cellStyle name="Normal 161 3" xfId="39457"/>
    <cellStyle name="Normal 161 3 2" xfId="39458"/>
    <cellStyle name="Normal 161 3 2 2" xfId="39459"/>
    <cellStyle name="Normal 161 3 2 3" xfId="39460"/>
    <cellStyle name="Normal 161 3 2 4" xfId="39461"/>
    <cellStyle name="Normal 161 3 2 5" xfId="39462"/>
    <cellStyle name="Normal 161 3 2 6" xfId="39463"/>
    <cellStyle name="Normal 161 3 3" xfId="39464"/>
    <cellStyle name="Normal 161 3 4" xfId="39465"/>
    <cellStyle name="Normal 161 3 5" xfId="39466"/>
    <cellStyle name="Normal 161 3 6" xfId="39467"/>
    <cellStyle name="Normal 161 3 7" xfId="39468"/>
    <cellStyle name="Normal 161 4" xfId="39469"/>
    <cellStyle name="Normal 161 4 2" xfId="39470"/>
    <cellStyle name="Normal 161 4 3" xfId="39471"/>
    <cellStyle name="Normal 161 4 4" xfId="39472"/>
    <cellStyle name="Normal 161 4 5" xfId="39473"/>
    <cellStyle name="Normal 161 4 6" xfId="39474"/>
    <cellStyle name="Normal 161 5" xfId="39475"/>
    <cellStyle name="Normal 161 6" xfId="39476"/>
    <cellStyle name="Normal 161 7" xfId="39477"/>
    <cellStyle name="Normal 161 8" xfId="39478"/>
    <cellStyle name="Normal 161 9" xfId="39479"/>
    <cellStyle name="Normal 162" xfId="39480"/>
    <cellStyle name="Normal 162 2" xfId="39481"/>
    <cellStyle name="Normal 162 2 2" xfId="39482"/>
    <cellStyle name="Normal 162 2 2 2" xfId="39483"/>
    <cellStyle name="Normal 162 2 2 2 2" xfId="39484"/>
    <cellStyle name="Normal 162 2 2 2 3" xfId="39485"/>
    <cellStyle name="Normal 162 2 2 2 4" xfId="39486"/>
    <cellStyle name="Normal 162 2 2 2 5" xfId="39487"/>
    <cellStyle name="Normal 162 2 2 2 6" xfId="39488"/>
    <cellStyle name="Normal 162 2 2 3" xfId="39489"/>
    <cellStyle name="Normal 162 2 2 4" xfId="39490"/>
    <cellStyle name="Normal 162 2 2 5" xfId="39491"/>
    <cellStyle name="Normal 162 2 2 6" xfId="39492"/>
    <cellStyle name="Normal 162 2 2 7" xfId="39493"/>
    <cellStyle name="Normal 162 2 3" xfId="39494"/>
    <cellStyle name="Normal 162 2 3 2" xfId="39495"/>
    <cellStyle name="Normal 162 2 3 3" xfId="39496"/>
    <cellStyle name="Normal 162 2 3 4" xfId="39497"/>
    <cellStyle name="Normal 162 2 3 5" xfId="39498"/>
    <cellStyle name="Normal 162 2 3 6" xfId="39499"/>
    <cellStyle name="Normal 162 2 4" xfId="39500"/>
    <cellStyle name="Normal 162 2 5" xfId="39501"/>
    <cellStyle name="Normal 162 2 6" xfId="39502"/>
    <cellStyle name="Normal 162 2 7" xfId="39503"/>
    <cellStyle name="Normal 162 2 8" xfId="39504"/>
    <cellStyle name="Normal 162 3" xfId="39505"/>
    <cellStyle name="Normal 162 3 2" xfId="39506"/>
    <cellStyle name="Normal 162 3 2 2" xfId="39507"/>
    <cellStyle name="Normal 162 3 2 3" xfId="39508"/>
    <cellStyle name="Normal 162 3 2 4" xfId="39509"/>
    <cellStyle name="Normal 162 3 2 5" xfId="39510"/>
    <cellStyle name="Normal 162 3 2 6" xfId="39511"/>
    <cellStyle name="Normal 162 3 3" xfId="39512"/>
    <cellStyle name="Normal 162 3 4" xfId="39513"/>
    <cellStyle name="Normal 162 3 5" xfId="39514"/>
    <cellStyle name="Normal 162 3 6" xfId="39515"/>
    <cellStyle name="Normal 162 3 7" xfId="39516"/>
    <cellStyle name="Normal 162 4" xfId="39517"/>
    <cellStyle name="Normal 162 4 2" xfId="39518"/>
    <cellStyle name="Normal 162 4 3" xfId="39519"/>
    <cellStyle name="Normal 162 4 4" xfId="39520"/>
    <cellStyle name="Normal 162 4 5" xfId="39521"/>
    <cellStyle name="Normal 162 4 6" xfId="39522"/>
    <cellStyle name="Normal 162 5" xfId="39523"/>
    <cellStyle name="Normal 162 6" xfId="39524"/>
    <cellStyle name="Normal 162 7" xfId="39525"/>
    <cellStyle name="Normal 162 8" xfId="39526"/>
    <cellStyle name="Normal 162 9" xfId="39527"/>
    <cellStyle name="Normal 163" xfId="39528"/>
    <cellStyle name="Normal 164" xfId="39529"/>
    <cellStyle name="Normal 165" xfId="39530"/>
    <cellStyle name="Normal 166" xfId="39531"/>
    <cellStyle name="Normal 167" xfId="39532"/>
    <cellStyle name="Normal 168" xfId="39533"/>
    <cellStyle name="Normal 169" xfId="39534"/>
    <cellStyle name="Normal 17" xfId="39535"/>
    <cellStyle name="Normal 17 2" xfId="39536"/>
    <cellStyle name="Normal 170" xfId="39537"/>
    <cellStyle name="Normal 171" xfId="39538"/>
    <cellStyle name="Normal 172" xfId="39539"/>
    <cellStyle name="Normal 172 2" xfId="39540"/>
    <cellStyle name="Normal 172 2 2" xfId="39541"/>
    <cellStyle name="Normal 172 2 2 2" xfId="39542"/>
    <cellStyle name="Normal 172 2 2 3" xfId="39543"/>
    <cellStyle name="Normal 172 2 2 4" xfId="39544"/>
    <cellStyle name="Normal 172 2 2 5" xfId="39545"/>
    <cellStyle name="Normal 172 2 2 6" xfId="39546"/>
    <cellStyle name="Normal 172 2 3" xfId="39547"/>
    <cellStyle name="Normal 172 2 4" xfId="39548"/>
    <cellStyle name="Normal 172 2 5" xfId="39549"/>
    <cellStyle name="Normal 172 2 6" xfId="39550"/>
    <cellStyle name="Normal 172 2 7" xfId="39551"/>
    <cellStyle name="Normal 172 3" xfId="39552"/>
    <cellStyle name="Normal 172 3 2" xfId="39553"/>
    <cellStyle name="Normal 172 3 3" xfId="39554"/>
    <cellStyle name="Normal 172 3 4" xfId="39555"/>
    <cellStyle name="Normal 172 3 5" xfId="39556"/>
    <cellStyle name="Normal 172 3 6" xfId="39557"/>
    <cellStyle name="Normal 172 4" xfId="39558"/>
    <cellStyle name="Normal 172 5" xfId="39559"/>
    <cellStyle name="Normal 172 6" xfId="39560"/>
    <cellStyle name="Normal 172 7" xfId="39561"/>
    <cellStyle name="Normal 172 8" xfId="39562"/>
    <cellStyle name="Normal 173" xfId="39563"/>
    <cellStyle name="Normal 173 2" xfId="39564"/>
    <cellStyle name="Normal 173 2 2" xfId="39565"/>
    <cellStyle name="Normal 173 2 2 2" xfId="39566"/>
    <cellStyle name="Normal 173 2 2 3" xfId="39567"/>
    <cellStyle name="Normal 173 2 2 4" xfId="39568"/>
    <cellStyle name="Normal 173 2 2 5" xfId="39569"/>
    <cellStyle name="Normal 173 2 2 6" xfId="39570"/>
    <cellStyle name="Normal 173 2 3" xfId="39571"/>
    <cellStyle name="Normal 173 2 4" xfId="39572"/>
    <cellStyle name="Normal 173 2 5" xfId="39573"/>
    <cellStyle name="Normal 173 2 6" xfId="39574"/>
    <cellStyle name="Normal 173 2 7" xfId="39575"/>
    <cellStyle name="Normal 173 3" xfId="39576"/>
    <cellStyle name="Normal 173 3 2" xfId="39577"/>
    <cellStyle name="Normal 173 3 3" xfId="39578"/>
    <cellStyle name="Normal 173 3 4" xfId="39579"/>
    <cellStyle name="Normal 173 3 5" xfId="39580"/>
    <cellStyle name="Normal 173 3 6" xfId="39581"/>
    <cellStyle name="Normal 173 4" xfId="39582"/>
    <cellStyle name="Normal 173 5" xfId="39583"/>
    <cellStyle name="Normal 173 6" xfId="39584"/>
    <cellStyle name="Normal 173 7" xfId="39585"/>
    <cellStyle name="Normal 173 8" xfId="39586"/>
    <cellStyle name="Normal 174" xfId="39587"/>
    <cellStyle name="Normal 174 2" xfId="39588"/>
    <cellStyle name="Normal 174 2 2" xfId="39589"/>
    <cellStyle name="Normal 174 2 2 2" xfId="39590"/>
    <cellStyle name="Normal 174 2 2 3" xfId="39591"/>
    <cellStyle name="Normal 174 2 2 4" xfId="39592"/>
    <cellStyle name="Normal 174 2 2 5" xfId="39593"/>
    <cellStyle name="Normal 174 2 2 6" xfId="39594"/>
    <cellStyle name="Normal 174 2 3" xfId="39595"/>
    <cellStyle name="Normal 174 2 4" xfId="39596"/>
    <cellStyle name="Normal 174 2 5" xfId="39597"/>
    <cellStyle name="Normal 174 2 6" xfId="39598"/>
    <cellStyle name="Normal 174 2 7" xfId="39599"/>
    <cellStyle name="Normal 174 3" xfId="39600"/>
    <cellStyle name="Normal 174 3 2" xfId="39601"/>
    <cellStyle name="Normal 174 3 3" xfId="39602"/>
    <cellStyle name="Normal 174 3 4" xfId="39603"/>
    <cellStyle name="Normal 174 3 5" xfId="39604"/>
    <cellStyle name="Normal 174 3 6" xfId="39605"/>
    <cellStyle name="Normal 174 4" xfId="39606"/>
    <cellStyle name="Normal 174 5" xfId="39607"/>
    <cellStyle name="Normal 174 6" xfId="39608"/>
    <cellStyle name="Normal 174 7" xfId="39609"/>
    <cellStyle name="Normal 174 8" xfId="39610"/>
    <cellStyle name="Normal 175" xfId="39611"/>
    <cellStyle name="Normal 175 2" xfId="39612"/>
    <cellStyle name="Normal 175 2 2" xfId="39613"/>
    <cellStyle name="Normal 175 2 2 2" xfId="39614"/>
    <cellStyle name="Normal 175 2 2 3" xfId="39615"/>
    <cellStyle name="Normal 175 2 2 4" xfId="39616"/>
    <cellStyle name="Normal 175 2 2 5" xfId="39617"/>
    <cellStyle name="Normal 175 2 2 6" xfId="39618"/>
    <cellStyle name="Normal 175 2 3" xfId="39619"/>
    <cellStyle name="Normal 175 2 4" xfId="39620"/>
    <cellStyle name="Normal 175 2 5" xfId="39621"/>
    <cellStyle name="Normal 175 2 6" xfId="39622"/>
    <cellStyle name="Normal 175 2 7" xfId="39623"/>
    <cellStyle name="Normal 175 3" xfId="39624"/>
    <cellStyle name="Normal 175 3 2" xfId="39625"/>
    <cellStyle name="Normal 175 3 3" xfId="39626"/>
    <cellStyle name="Normal 175 3 4" xfId="39627"/>
    <cellStyle name="Normal 175 3 5" xfId="39628"/>
    <cellStyle name="Normal 175 3 6" xfId="39629"/>
    <cellStyle name="Normal 175 4" xfId="39630"/>
    <cellStyle name="Normal 175 5" xfId="39631"/>
    <cellStyle name="Normal 175 6" xfId="39632"/>
    <cellStyle name="Normal 175 7" xfId="39633"/>
    <cellStyle name="Normal 175 8" xfId="39634"/>
    <cellStyle name="Normal 176" xfId="39635"/>
    <cellStyle name="Normal 177" xfId="39636"/>
    <cellStyle name="Normal 178" xfId="39637"/>
    <cellStyle name="Normal 179" xfId="39638"/>
    <cellStyle name="Normal 18" xfId="39639"/>
    <cellStyle name="Normal 18 2" xfId="39640"/>
    <cellStyle name="Normal 180" xfId="39641"/>
    <cellStyle name="Normal 181" xfId="39642"/>
    <cellStyle name="Normal 182" xfId="39643"/>
    <cellStyle name="Normal 183" xfId="39644"/>
    <cellStyle name="Normal 184" xfId="39645"/>
    <cellStyle name="Normal 185" xfId="39646"/>
    <cellStyle name="Normal 186" xfId="39647"/>
    <cellStyle name="Normal 187" xfId="39648"/>
    <cellStyle name="Normal 188" xfId="39649"/>
    <cellStyle name="Normal 189" xfId="64"/>
    <cellStyle name="Normal 189 2" xfId="39650"/>
    <cellStyle name="Normal 189 2 2" xfId="39651"/>
    <cellStyle name="Normal 189 2 3" xfId="39652"/>
    <cellStyle name="Normal 189 2 4" xfId="39653"/>
    <cellStyle name="Normal 189 2 5" xfId="39654"/>
    <cellStyle name="Normal 189 2 6" xfId="39655"/>
    <cellStyle name="Normal 189 3" xfId="39656"/>
    <cellStyle name="Normal 189 4" xfId="39657"/>
    <cellStyle name="Normal 189 5" xfId="39658"/>
    <cellStyle name="Normal 189 6" xfId="39659"/>
    <cellStyle name="Normal 189 7" xfId="39660"/>
    <cellStyle name="Normal 19" xfId="13"/>
    <cellStyle name="Normal 19 2" xfId="39661"/>
    <cellStyle name="Normal 190" xfId="39662"/>
    <cellStyle name="Normal 191" xfId="61"/>
    <cellStyle name="Normal 192" xfId="39663"/>
    <cellStyle name="Normal 193" xfId="39664"/>
    <cellStyle name="Normal 194" xfId="39665"/>
    <cellStyle name="Normal 195" xfId="39666"/>
    <cellStyle name="Normal 196" xfId="39667"/>
    <cellStyle name="Normal 197" xfId="39668"/>
    <cellStyle name="Normal 198" xfId="39669"/>
    <cellStyle name="Normal 199" xfId="39670"/>
    <cellStyle name="Normal 2" xfId="2"/>
    <cellStyle name="Normal 2 2" xfId="14"/>
    <cellStyle name="Normal 2 2 2" xfId="39671"/>
    <cellStyle name="Normal 2 2 3" xfId="39672"/>
    <cellStyle name="Normal 2 3" xfId="15"/>
    <cellStyle name="Normal 2 3 2" xfId="39673"/>
    <cellStyle name="Normal 2 3 3" xfId="39674"/>
    <cellStyle name="Normal 2 3 3 10" xfId="39675"/>
    <cellStyle name="Normal 2 3 3 2" xfId="39676"/>
    <cellStyle name="Normal 2 3 3 2 2" xfId="39677"/>
    <cellStyle name="Normal 2 3 3 2 2 2" xfId="39678"/>
    <cellStyle name="Normal 2 3 3 2 2 2 2" xfId="39679"/>
    <cellStyle name="Normal 2 3 3 2 2 2 2 2" xfId="39680"/>
    <cellStyle name="Normal 2 3 3 2 2 2 2 3" xfId="39681"/>
    <cellStyle name="Normal 2 3 3 2 2 2 2 4" xfId="39682"/>
    <cellStyle name="Normal 2 3 3 2 2 2 2 5" xfId="39683"/>
    <cellStyle name="Normal 2 3 3 2 2 2 2 6" xfId="39684"/>
    <cellStyle name="Normal 2 3 3 2 2 2 3" xfId="39685"/>
    <cellStyle name="Normal 2 3 3 2 2 2 4" xfId="39686"/>
    <cellStyle name="Normal 2 3 3 2 2 2 5" xfId="39687"/>
    <cellStyle name="Normal 2 3 3 2 2 2 6" xfId="39688"/>
    <cellStyle name="Normal 2 3 3 2 2 2 7" xfId="39689"/>
    <cellStyle name="Normal 2 3 3 2 2 3" xfId="39690"/>
    <cellStyle name="Normal 2 3 3 2 2 3 2" xfId="39691"/>
    <cellStyle name="Normal 2 3 3 2 2 3 3" xfId="39692"/>
    <cellStyle name="Normal 2 3 3 2 2 3 4" xfId="39693"/>
    <cellStyle name="Normal 2 3 3 2 2 3 5" xfId="39694"/>
    <cellStyle name="Normal 2 3 3 2 2 3 6" xfId="39695"/>
    <cellStyle name="Normal 2 3 3 2 2 4" xfId="39696"/>
    <cellStyle name="Normal 2 3 3 2 2 5" xfId="39697"/>
    <cellStyle name="Normal 2 3 3 2 2 6" xfId="39698"/>
    <cellStyle name="Normal 2 3 3 2 2 7" xfId="39699"/>
    <cellStyle name="Normal 2 3 3 2 2 8" xfId="39700"/>
    <cellStyle name="Normal 2 3 3 2 3" xfId="39701"/>
    <cellStyle name="Normal 2 3 3 2 3 2" xfId="39702"/>
    <cellStyle name="Normal 2 3 3 2 3 2 2" xfId="39703"/>
    <cellStyle name="Normal 2 3 3 2 3 2 3" xfId="39704"/>
    <cellStyle name="Normal 2 3 3 2 3 2 4" xfId="39705"/>
    <cellStyle name="Normal 2 3 3 2 3 2 5" xfId="39706"/>
    <cellStyle name="Normal 2 3 3 2 3 2 6" xfId="39707"/>
    <cellStyle name="Normal 2 3 3 2 3 3" xfId="39708"/>
    <cellStyle name="Normal 2 3 3 2 3 4" xfId="39709"/>
    <cellStyle name="Normal 2 3 3 2 3 5" xfId="39710"/>
    <cellStyle name="Normal 2 3 3 2 3 6" xfId="39711"/>
    <cellStyle name="Normal 2 3 3 2 3 7" xfId="39712"/>
    <cellStyle name="Normal 2 3 3 2 4" xfId="39713"/>
    <cellStyle name="Normal 2 3 3 2 4 2" xfId="39714"/>
    <cellStyle name="Normal 2 3 3 2 4 3" xfId="39715"/>
    <cellStyle name="Normal 2 3 3 2 4 4" xfId="39716"/>
    <cellStyle name="Normal 2 3 3 2 4 5" xfId="39717"/>
    <cellStyle name="Normal 2 3 3 2 4 6" xfId="39718"/>
    <cellStyle name="Normal 2 3 3 2 5" xfId="39719"/>
    <cellStyle name="Normal 2 3 3 2 6" xfId="39720"/>
    <cellStyle name="Normal 2 3 3 2 7" xfId="39721"/>
    <cellStyle name="Normal 2 3 3 2 8" xfId="39722"/>
    <cellStyle name="Normal 2 3 3 2 9" xfId="39723"/>
    <cellStyle name="Normal 2 3 3 3" xfId="39724"/>
    <cellStyle name="Normal 2 3 3 3 2" xfId="39725"/>
    <cellStyle name="Normal 2 3 3 3 2 2" xfId="39726"/>
    <cellStyle name="Normal 2 3 3 3 2 2 2" xfId="39727"/>
    <cellStyle name="Normal 2 3 3 3 2 2 3" xfId="39728"/>
    <cellStyle name="Normal 2 3 3 3 2 2 4" xfId="39729"/>
    <cellStyle name="Normal 2 3 3 3 2 2 5" xfId="39730"/>
    <cellStyle name="Normal 2 3 3 3 2 2 6" xfId="39731"/>
    <cellStyle name="Normal 2 3 3 3 2 3" xfId="39732"/>
    <cellStyle name="Normal 2 3 3 3 2 4" xfId="39733"/>
    <cellStyle name="Normal 2 3 3 3 2 5" xfId="39734"/>
    <cellStyle name="Normal 2 3 3 3 2 6" xfId="39735"/>
    <cellStyle name="Normal 2 3 3 3 2 7" xfId="39736"/>
    <cellStyle name="Normal 2 3 3 3 3" xfId="39737"/>
    <cellStyle name="Normal 2 3 3 3 3 2" xfId="39738"/>
    <cellStyle name="Normal 2 3 3 3 3 3" xfId="39739"/>
    <cellStyle name="Normal 2 3 3 3 3 4" xfId="39740"/>
    <cellStyle name="Normal 2 3 3 3 3 5" xfId="39741"/>
    <cellStyle name="Normal 2 3 3 3 3 6" xfId="39742"/>
    <cellStyle name="Normal 2 3 3 3 4" xfId="39743"/>
    <cellStyle name="Normal 2 3 3 3 5" xfId="39744"/>
    <cellStyle name="Normal 2 3 3 3 6" xfId="39745"/>
    <cellStyle name="Normal 2 3 3 3 7" xfId="39746"/>
    <cellStyle name="Normal 2 3 3 3 8" xfId="39747"/>
    <cellStyle name="Normal 2 3 3 4" xfId="39748"/>
    <cellStyle name="Normal 2 3 3 4 2" xfId="39749"/>
    <cellStyle name="Normal 2 3 3 4 2 2" xfId="39750"/>
    <cellStyle name="Normal 2 3 3 4 2 3" xfId="39751"/>
    <cellStyle name="Normal 2 3 3 4 2 4" xfId="39752"/>
    <cellStyle name="Normal 2 3 3 4 2 5" xfId="39753"/>
    <cellStyle name="Normal 2 3 3 4 2 6" xfId="39754"/>
    <cellStyle name="Normal 2 3 3 4 3" xfId="39755"/>
    <cellStyle name="Normal 2 3 3 4 4" xfId="39756"/>
    <cellStyle name="Normal 2 3 3 4 5" xfId="39757"/>
    <cellStyle name="Normal 2 3 3 4 6" xfId="39758"/>
    <cellStyle name="Normal 2 3 3 4 7" xfId="39759"/>
    <cellStyle name="Normal 2 3 3 5" xfId="39760"/>
    <cellStyle name="Normal 2 3 3 5 2" xfId="39761"/>
    <cellStyle name="Normal 2 3 3 5 3" xfId="39762"/>
    <cellStyle name="Normal 2 3 3 5 4" xfId="39763"/>
    <cellStyle name="Normal 2 3 3 5 5" xfId="39764"/>
    <cellStyle name="Normal 2 3 3 5 6" xfId="39765"/>
    <cellStyle name="Normal 2 3 3 6" xfId="39766"/>
    <cellStyle name="Normal 2 3 3 7" xfId="39767"/>
    <cellStyle name="Normal 2 3 3 8" xfId="39768"/>
    <cellStyle name="Normal 2 3 3 9" xfId="39769"/>
    <cellStyle name="Normal 2 3 4" xfId="39770"/>
    <cellStyle name="Normal 2 3 4 10" xfId="39771"/>
    <cellStyle name="Normal 2 3 4 2" xfId="39772"/>
    <cellStyle name="Normal 2 3 4 2 2" xfId="39773"/>
    <cellStyle name="Normal 2 3 4 2 2 2" xfId="39774"/>
    <cellStyle name="Normal 2 3 4 2 2 2 2" xfId="39775"/>
    <cellStyle name="Normal 2 3 4 2 2 2 2 2" xfId="39776"/>
    <cellStyle name="Normal 2 3 4 2 2 2 2 3" xfId="39777"/>
    <cellStyle name="Normal 2 3 4 2 2 2 2 4" xfId="39778"/>
    <cellStyle name="Normal 2 3 4 2 2 2 2 5" xfId="39779"/>
    <cellStyle name="Normal 2 3 4 2 2 2 2 6" xfId="39780"/>
    <cellStyle name="Normal 2 3 4 2 2 2 3" xfId="39781"/>
    <cellStyle name="Normal 2 3 4 2 2 2 4" xfId="39782"/>
    <cellStyle name="Normal 2 3 4 2 2 2 5" xfId="39783"/>
    <cellStyle name="Normal 2 3 4 2 2 2 6" xfId="39784"/>
    <cellStyle name="Normal 2 3 4 2 2 2 7" xfId="39785"/>
    <cellStyle name="Normal 2 3 4 2 2 3" xfId="39786"/>
    <cellStyle name="Normal 2 3 4 2 2 3 2" xfId="39787"/>
    <cellStyle name="Normal 2 3 4 2 2 3 3" xfId="39788"/>
    <cellStyle name="Normal 2 3 4 2 2 3 4" xfId="39789"/>
    <cellStyle name="Normal 2 3 4 2 2 3 5" xfId="39790"/>
    <cellStyle name="Normal 2 3 4 2 2 3 6" xfId="39791"/>
    <cellStyle name="Normal 2 3 4 2 2 4" xfId="39792"/>
    <cellStyle name="Normal 2 3 4 2 2 5" xfId="39793"/>
    <cellStyle name="Normal 2 3 4 2 2 6" xfId="39794"/>
    <cellStyle name="Normal 2 3 4 2 2 7" xfId="39795"/>
    <cellStyle name="Normal 2 3 4 2 2 8" xfId="39796"/>
    <cellStyle name="Normal 2 3 4 2 3" xfId="39797"/>
    <cellStyle name="Normal 2 3 4 2 3 2" xfId="39798"/>
    <cellStyle name="Normal 2 3 4 2 3 2 2" xfId="39799"/>
    <cellStyle name="Normal 2 3 4 2 3 2 3" xfId="39800"/>
    <cellStyle name="Normal 2 3 4 2 3 2 4" xfId="39801"/>
    <cellStyle name="Normal 2 3 4 2 3 2 5" xfId="39802"/>
    <cellStyle name="Normal 2 3 4 2 3 2 6" xfId="39803"/>
    <cellStyle name="Normal 2 3 4 2 3 3" xfId="39804"/>
    <cellStyle name="Normal 2 3 4 2 3 4" xfId="39805"/>
    <cellStyle name="Normal 2 3 4 2 3 5" xfId="39806"/>
    <cellStyle name="Normal 2 3 4 2 3 6" xfId="39807"/>
    <cellStyle name="Normal 2 3 4 2 3 7" xfId="39808"/>
    <cellStyle name="Normal 2 3 4 2 4" xfId="39809"/>
    <cellStyle name="Normal 2 3 4 2 4 2" xfId="39810"/>
    <cellStyle name="Normal 2 3 4 2 4 3" xfId="39811"/>
    <cellStyle name="Normal 2 3 4 2 4 4" xfId="39812"/>
    <cellStyle name="Normal 2 3 4 2 4 5" xfId="39813"/>
    <cellStyle name="Normal 2 3 4 2 4 6" xfId="39814"/>
    <cellStyle name="Normal 2 3 4 2 5" xfId="39815"/>
    <cellStyle name="Normal 2 3 4 2 6" xfId="39816"/>
    <cellStyle name="Normal 2 3 4 2 7" xfId="39817"/>
    <cellStyle name="Normal 2 3 4 2 8" xfId="39818"/>
    <cellStyle name="Normal 2 3 4 2 9" xfId="39819"/>
    <cellStyle name="Normal 2 3 4 3" xfId="39820"/>
    <cellStyle name="Normal 2 3 4 3 2" xfId="39821"/>
    <cellStyle name="Normal 2 3 4 3 2 2" xfId="39822"/>
    <cellStyle name="Normal 2 3 4 3 2 2 2" xfId="39823"/>
    <cellStyle name="Normal 2 3 4 3 2 2 3" xfId="39824"/>
    <cellStyle name="Normal 2 3 4 3 2 2 4" xfId="39825"/>
    <cellStyle name="Normal 2 3 4 3 2 2 5" xfId="39826"/>
    <cellStyle name="Normal 2 3 4 3 2 2 6" xfId="39827"/>
    <cellStyle name="Normal 2 3 4 3 2 3" xfId="39828"/>
    <cellStyle name="Normal 2 3 4 3 2 4" xfId="39829"/>
    <cellStyle name="Normal 2 3 4 3 2 5" xfId="39830"/>
    <cellStyle name="Normal 2 3 4 3 2 6" xfId="39831"/>
    <cellStyle name="Normal 2 3 4 3 2 7" xfId="39832"/>
    <cellStyle name="Normal 2 3 4 3 3" xfId="39833"/>
    <cellStyle name="Normal 2 3 4 3 3 2" xfId="39834"/>
    <cellStyle name="Normal 2 3 4 3 3 3" xfId="39835"/>
    <cellStyle name="Normal 2 3 4 3 3 4" xfId="39836"/>
    <cellStyle name="Normal 2 3 4 3 3 5" xfId="39837"/>
    <cellStyle name="Normal 2 3 4 3 3 6" xfId="39838"/>
    <cellStyle name="Normal 2 3 4 3 4" xfId="39839"/>
    <cellStyle name="Normal 2 3 4 3 5" xfId="39840"/>
    <cellStyle name="Normal 2 3 4 3 6" xfId="39841"/>
    <cellStyle name="Normal 2 3 4 3 7" xfId="39842"/>
    <cellStyle name="Normal 2 3 4 3 8" xfId="39843"/>
    <cellStyle name="Normal 2 3 4 4" xfId="39844"/>
    <cellStyle name="Normal 2 3 4 4 2" xfId="39845"/>
    <cellStyle name="Normal 2 3 4 4 2 2" xfId="39846"/>
    <cellStyle name="Normal 2 3 4 4 2 3" xfId="39847"/>
    <cellStyle name="Normal 2 3 4 4 2 4" xfId="39848"/>
    <cellStyle name="Normal 2 3 4 4 2 5" xfId="39849"/>
    <cellStyle name="Normal 2 3 4 4 2 6" xfId="39850"/>
    <cellStyle name="Normal 2 3 4 4 3" xfId="39851"/>
    <cellStyle name="Normal 2 3 4 4 4" xfId="39852"/>
    <cellStyle name="Normal 2 3 4 4 5" xfId="39853"/>
    <cellStyle name="Normal 2 3 4 4 6" xfId="39854"/>
    <cellStyle name="Normal 2 3 4 4 7" xfId="39855"/>
    <cellStyle name="Normal 2 3 4 5" xfId="39856"/>
    <cellStyle name="Normal 2 3 4 5 2" xfId="39857"/>
    <cellStyle name="Normal 2 3 4 5 3" xfId="39858"/>
    <cellStyle name="Normal 2 3 4 5 4" xfId="39859"/>
    <cellStyle name="Normal 2 3 4 5 5" xfId="39860"/>
    <cellStyle name="Normal 2 3 4 5 6" xfId="39861"/>
    <cellStyle name="Normal 2 3 4 6" xfId="39862"/>
    <cellStyle name="Normal 2 3 4 7" xfId="39863"/>
    <cellStyle name="Normal 2 3 4 8" xfId="39864"/>
    <cellStyle name="Normal 2 3 4 9" xfId="39865"/>
    <cellStyle name="Normal 2 3 5" xfId="39866"/>
    <cellStyle name="Normal 2 3 5 2" xfId="39867"/>
    <cellStyle name="Normal 2 3 5 2 2" xfId="39868"/>
    <cellStyle name="Normal 2 3 5 2 2 2" xfId="39869"/>
    <cellStyle name="Normal 2 3 5 2 2 2 2" xfId="39870"/>
    <cellStyle name="Normal 2 3 5 2 2 2 3" xfId="39871"/>
    <cellStyle name="Normal 2 3 5 2 2 2 4" xfId="39872"/>
    <cellStyle name="Normal 2 3 5 2 2 2 5" xfId="39873"/>
    <cellStyle name="Normal 2 3 5 2 2 2 6" xfId="39874"/>
    <cellStyle name="Normal 2 3 5 2 2 3" xfId="39875"/>
    <cellStyle name="Normal 2 3 5 2 2 4" xfId="39876"/>
    <cellStyle name="Normal 2 3 5 2 2 5" xfId="39877"/>
    <cellStyle name="Normal 2 3 5 2 2 6" xfId="39878"/>
    <cellStyle name="Normal 2 3 5 2 2 7" xfId="39879"/>
    <cellStyle name="Normal 2 3 5 2 3" xfId="39880"/>
    <cellStyle name="Normal 2 3 5 2 3 2" xfId="39881"/>
    <cellStyle name="Normal 2 3 5 2 3 3" xfId="39882"/>
    <cellStyle name="Normal 2 3 5 2 3 4" xfId="39883"/>
    <cellStyle name="Normal 2 3 5 2 3 5" xfId="39884"/>
    <cellStyle name="Normal 2 3 5 2 3 6" xfId="39885"/>
    <cellStyle name="Normal 2 3 5 2 4" xfId="39886"/>
    <cellStyle name="Normal 2 3 5 2 5" xfId="39887"/>
    <cellStyle name="Normal 2 3 5 2 6" xfId="39888"/>
    <cellStyle name="Normal 2 3 5 2 7" xfId="39889"/>
    <cellStyle name="Normal 2 3 5 2 8" xfId="39890"/>
    <cellStyle name="Normal 2 3 5 3" xfId="39891"/>
    <cellStyle name="Normal 2 3 5 3 2" xfId="39892"/>
    <cellStyle name="Normal 2 3 5 3 2 2" xfId="39893"/>
    <cellStyle name="Normal 2 3 5 3 2 3" xfId="39894"/>
    <cellStyle name="Normal 2 3 5 3 2 4" xfId="39895"/>
    <cellStyle name="Normal 2 3 5 3 2 5" xfId="39896"/>
    <cellStyle name="Normal 2 3 5 3 2 6" xfId="39897"/>
    <cellStyle name="Normal 2 3 5 3 3" xfId="39898"/>
    <cellStyle name="Normal 2 3 5 3 4" xfId="39899"/>
    <cellStyle name="Normal 2 3 5 3 5" xfId="39900"/>
    <cellStyle name="Normal 2 3 5 3 6" xfId="39901"/>
    <cellStyle name="Normal 2 3 5 3 7" xfId="39902"/>
    <cellStyle name="Normal 2 3 5 4" xfId="39903"/>
    <cellStyle name="Normal 2 3 5 4 2" xfId="39904"/>
    <cellStyle name="Normal 2 3 5 4 3" xfId="39905"/>
    <cellStyle name="Normal 2 3 5 4 4" xfId="39906"/>
    <cellStyle name="Normal 2 3 5 4 5" xfId="39907"/>
    <cellStyle name="Normal 2 3 5 4 6" xfId="39908"/>
    <cellStyle name="Normal 2 3 5 5" xfId="39909"/>
    <cellStyle name="Normal 2 3 5 6" xfId="39910"/>
    <cellStyle name="Normal 2 3 5 7" xfId="39911"/>
    <cellStyle name="Normal 2 3 5 8" xfId="39912"/>
    <cellStyle name="Normal 2 3 5 9" xfId="39913"/>
    <cellStyle name="Normal 2 4" xfId="39914"/>
    <cellStyle name="Normal 2 5" xfId="39915"/>
    <cellStyle name="Normal 2 6" xfId="39916"/>
    <cellStyle name="Normal 2 6 2" xfId="39917"/>
    <cellStyle name="Normal 2 7" xfId="39918"/>
    <cellStyle name="Normal 2 8" xfId="58814"/>
    <cellStyle name="Normal 2_Opex recon" xfId="39919"/>
    <cellStyle name="Normal 20" xfId="39920"/>
    <cellStyle name="Normal 20 2" xfId="39921"/>
    <cellStyle name="Normal 200" xfId="39922"/>
    <cellStyle name="Normal 201" xfId="39923"/>
    <cellStyle name="Normal 202" xfId="39924"/>
    <cellStyle name="Normal 203" xfId="59"/>
    <cellStyle name="Normal 204" xfId="58812"/>
    <cellStyle name="Normal 205" xfId="58813"/>
    <cellStyle name="Normal 21" xfId="39925"/>
    <cellStyle name="Normal 21 2" xfId="39926"/>
    <cellStyle name="Normal 22" xfId="39927"/>
    <cellStyle name="Normal 22 2" xfId="39928"/>
    <cellStyle name="Normal 23" xfId="39929"/>
    <cellStyle name="Normal 23 2" xfId="39930"/>
    <cellStyle name="Normal 24" xfId="39931"/>
    <cellStyle name="Normal 24 2" xfId="39932"/>
    <cellStyle name="Normal 25" xfId="39933"/>
    <cellStyle name="Normal 25 2" xfId="39934"/>
    <cellStyle name="Normal 26" xfId="39935"/>
    <cellStyle name="Normal 26 2" xfId="39936"/>
    <cellStyle name="Normal 27" xfId="39937"/>
    <cellStyle name="Normal 27 2" xfId="39938"/>
    <cellStyle name="Normal 28" xfId="39939"/>
    <cellStyle name="Normal 28 2" xfId="39940"/>
    <cellStyle name="Normal 29" xfId="39941"/>
    <cellStyle name="Normal 29 2" xfId="39942"/>
    <cellStyle name="Normal 3" xfId="16"/>
    <cellStyle name="Normal 3 2" xfId="39943"/>
    <cellStyle name="Normal 3 2 2" xfId="39944"/>
    <cellStyle name="Normal 3 2 2 10" xfId="39945"/>
    <cellStyle name="Normal 3 2 2 2" xfId="39946"/>
    <cellStyle name="Normal 3 2 2 2 2" xfId="39947"/>
    <cellStyle name="Normal 3 2 2 2 2 2" xfId="39948"/>
    <cellStyle name="Normal 3 2 2 2 2 2 2" xfId="39949"/>
    <cellStyle name="Normal 3 2 2 2 2 2 2 2" xfId="39950"/>
    <cellStyle name="Normal 3 2 2 2 2 2 2 3" xfId="39951"/>
    <cellStyle name="Normal 3 2 2 2 2 2 2 4" xfId="39952"/>
    <cellStyle name="Normal 3 2 2 2 2 2 2 5" xfId="39953"/>
    <cellStyle name="Normal 3 2 2 2 2 2 2 6" xfId="39954"/>
    <cellStyle name="Normal 3 2 2 2 2 2 3" xfId="39955"/>
    <cellStyle name="Normal 3 2 2 2 2 2 4" xfId="39956"/>
    <cellStyle name="Normal 3 2 2 2 2 2 5" xfId="39957"/>
    <cellStyle name="Normal 3 2 2 2 2 2 6" xfId="39958"/>
    <cellStyle name="Normal 3 2 2 2 2 2 7" xfId="39959"/>
    <cellStyle name="Normal 3 2 2 2 2 3" xfId="39960"/>
    <cellStyle name="Normal 3 2 2 2 2 3 2" xfId="39961"/>
    <cellStyle name="Normal 3 2 2 2 2 3 3" xfId="39962"/>
    <cellStyle name="Normal 3 2 2 2 2 3 4" xfId="39963"/>
    <cellStyle name="Normal 3 2 2 2 2 3 5" xfId="39964"/>
    <cellStyle name="Normal 3 2 2 2 2 3 6" xfId="39965"/>
    <cellStyle name="Normal 3 2 2 2 2 4" xfId="39966"/>
    <cellStyle name="Normal 3 2 2 2 2 5" xfId="39967"/>
    <cellStyle name="Normal 3 2 2 2 2 6" xfId="39968"/>
    <cellStyle name="Normal 3 2 2 2 2 7" xfId="39969"/>
    <cellStyle name="Normal 3 2 2 2 2 8" xfId="39970"/>
    <cellStyle name="Normal 3 2 2 2 3" xfId="39971"/>
    <cellStyle name="Normal 3 2 2 2 3 2" xfId="39972"/>
    <cellStyle name="Normal 3 2 2 2 3 2 2" xfId="39973"/>
    <cellStyle name="Normal 3 2 2 2 3 2 3" xfId="39974"/>
    <cellStyle name="Normal 3 2 2 2 3 2 4" xfId="39975"/>
    <cellStyle name="Normal 3 2 2 2 3 2 5" xfId="39976"/>
    <cellStyle name="Normal 3 2 2 2 3 2 6" xfId="39977"/>
    <cellStyle name="Normal 3 2 2 2 3 3" xfId="39978"/>
    <cellStyle name="Normal 3 2 2 2 3 4" xfId="39979"/>
    <cellStyle name="Normal 3 2 2 2 3 5" xfId="39980"/>
    <cellStyle name="Normal 3 2 2 2 3 6" xfId="39981"/>
    <cellStyle name="Normal 3 2 2 2 3 7" xfId="39982"/>
    <cellStyle name="Normal 3 2 2 2 4" xfId="39983"/>
    <cellStyle name="Normal 3 2 2 2 4 2" xfId="39984"/>
    <cellStyle name="Normal 3 2 2 2 4 3" xfId="39985"/>
    <cellStyle name="Normal 3 2 2 2 4 4" xfId="39986"/>
    <cellStyle name="Normal 3 2 2 2 4 5" xfId="39987"/>
    <cellStyle name="Normal 3 2 2 2 4 6" xfId="39988"/>
    <cellStyle name="Normal 3 2 2 2 5" xfId="39989"/>
    <cellStyle name="Normal 3 2 2 2 6" xfId="39990"/>
    <cellStyle name="Normal 3 2 2 2 7" xfId="39991"/>
    <cellStyle name="Normal 3 2 2 2 8" xfId="39992"/>
    <cellStyle name="Normal 3 2 2 2 9" xfId="39993"/>
    <cellStyle name="Normal 3 2 2 3" xfId="39994"/>
    <cellStyle name="Normal 3 2 2 3 2" xfId="39995"/>
    <cellStyle name="Normal 3 2 2 3 2 2" xfId="39996"/>
    <cellStyle name="Normal 3 2 2 3 2 2 2" xfId="39997"/>
    <cellStyle name="Normal 3 2 2 3 2 2 3" xfId="39998"/>
    <cellStyle name="Normal 3 2 2 3 2 2 4" xfId="39999"/>
    <cellStyle name="Normal 3 2 2 3 2 2 5" xfId="40000"/>
    <cellStyle name="Normal 3 2 2 3 2 2 6" xfId="40001"/>
    <cellStyle name="Normal 3 2 2 3 2 3" xfId="40002"/>
    <cellStyle name="Normal 3 2 2 3 2 4" xfId="40003"/>
    <cellStyle name="Normal 3 2 2 3 2 5" xfId="40004"/>
    <cellStyle name="Normal 3 2 2 3 2 6" xfId="40005"/>
    <cellStyle name="Normal 3 2 2 3 2 7" xfId="40006"/>
    <cellStyle name="Normal 3 2 2 3 3" xfId="40007"/>
    <cellStyle name="Normal 3 2 2 3 3 2" xfId="40008"/>
    <cellStyle name="Normal 3 2 2 3 3 3" xfId="40009"/>
    <cellStyle name="Normal 3 2 2 3 3 4" xfId="40010"/>
    <cellStyle name="Normal 3 2 2 3 3 5" xfId="40011"/>
    <cellStyle name="Normal 3 2 2 3 3 6" xfId="40012"/>
    <cellStyle name="Normal 3 2 2 3 4" xfId="40013"/>
    <cellStyle name="Normal 3 2 2 3 5" xfId="40014"/>
    <cellStyle name="Normal 3 2 2 3 6" xfId="40015"/>
    <cellStyle name="Normal 3 2 2 3 7" xfId="40016"/>
    <cellStyle name="Normal 3 2 2 3 8" xfId="40017"/>
    <cellStyle name="Normal 3 2 2 4" xfId="40018"/>
    <cellStyle name="Normal 3 2 2 4 2" xfId="40019"/>
    <cellStyle name="Normal 3 2 2 4 2 2" xfId="40020"/>
    <cellStyle name="Normal 3 2 2 4 2 3" xfId="40021"/>
    <cellStyle name="Normal 3 2 2 4 2 4" xfId="40022"/>
    <cellStyle name="Normal 3 2 2 4 2 5" xfId="40023"/>
    <cellStyle name="Normal 3 2 2 4 2 6" xfId="40024"/>
    <cellStyle name="Normal 3 2 2 4 3" xfId="40025"/>
    <cellStyle name="Normal 3 2 2 4 4" xfId="40026"/>
    <cellStyle name="Normal 3 2 2 4 5" xfId="40027"/>
    <cellStyle name="Normal 3 2 2 4 6" xfId="40028"/>
    <cellStyle name="Normal 3 2 2 4 7" xfId="40029"/>
    <cellStyle name="Normal 3 2 2 5" xfId="40030"/>
    <cellStyle name="Normal 3 2 2 5 2" xfId="40031"/>
    <cellStyle name="Normal 3 2 2 5 3" xfId="40032"/>
    <cellStyle name="Normal 3 2 2 5 4" xfId="40033"/>
    <cellStyle name="Normal 3 2 2 5 5" xfId="40034"/>
    <cellStyle name="Normal 3 2 2 5 6" xfId="40035"/>
    <cellStyle name="Normal 3 2 2 6" xfId="40036"/>
    <cellStyle name="Normal 3 2 2 7" xfId="40037"/>
    <cellStyle name="Normal 3 2 2 8" xfId="40038"/>
    <cellStyle name="Normal 3 2 2 9" xfId="40039"/>
    <cellStyle name="Normal 3 2 3" xfId="40040"/>
    <cellStyle name="Normal 3 2 3 2" xfId="40041"/>
    <cellStyle name="Normal 3 2 3 2 2" xfId="40042"/>
    <cellStyle name="Normal 3 2 3 2 2 2" xfId="40043"/>
    <cellStyle name="Normal 3 2 3 2 2 2 2" xfId="40044"/>
    <cellStyle name="Normal 3 2 3 2 2 2 3" xfId="40045"/>
    <cellStyle name="Normal 3 2 3 2 2 2 4" xfId="40046"/>
    <cellStyle name="Normal 3 2 3 2 2 2 5" xfId="40047"/>
    <cellStyle name="Normal 3 2 3 2 2 2 6" xfId="40048"/>
    <cellStyle name="Normal 3 2 3 2 2 3" xfId="40049"/>
    <cellStyle name="Normal 3 2 3 2 2 4" xfId="40050"/>
    <cellStyle name="Normal 3 2 3 2 2 5" xfId="40051"/>
    <cellStyle name="Normal 3 2 3 2 2 6" xfId="40052"/>
    <cellStyle name="Normal 3 2 3 2 2 7" xfId="40053"/>
    <cellStyle name="Normal 3 2 3 2 3" xfId="40054"/>
    <cellStyle name="Normal 3 2 3 2 3 2" xfId="40055"/>
    <cellStyle name="Normal 3 2 3 2 3 3" xfId="40056"/>
    <cellStyle name="Normal 3 2 3 2 3 4" xfId="40057"/>
    <cellStyle name="Normal 3 2 3 2 3 5" xfId="40058"/>
    <cellStyle name="Normal 3 2 3 2 3 6" xfId="40059"/>
    <cellStyle name="Normal 3 2 3 2 4" xfId="40060"/>
    <cellStyle name="Normal 3 2 3 2 5" xfId="40061"/>
    <cellStyle name="Normal 3 2 3 2 6" xfId="40062"/>
    <cellStyle name="Normal 3 2 3 2 7" xfId="40063"/>
    <cellStyle name="Normal 3 2 3 2 8" xfId="40064"/>
    <cellStyle name="Normal 3 2 3 3" xfId="40065"/>
    <cellStyle name="Normal 3 2 3 3 2" xfId="40066"/>
    <cellStyle name="Normal 3 2 3 3 2 2" xfId="40067"/>
    <cellStyle name="Normal 3 2 3 3 2 3" xfId="40068"/>
    <cellStyle name="Normal 3 2 3 3 2 4" xfId="40069"/>
    <cellStyle name="Normal 3 2 3 3 2 5" xfId="40070"/>
    <cellStyle name="Normal 3 2 3 3 2 6" xfId="40071"/>
    <cellStyle name="Normal 3 2 3 3 3" xfId="40072"/>
    <cellStyle name="Normal 3 2 3 3 4" xfId="40073"/>
    <cellStyle name="Normal 3 2 3 3 5" xfId="40074"/>
    <cellStyle name="Normal 3 2 3 3 6" xfId="40075"/>
    <cellStyle name="Normal 3 2 3 3 7" xfId="40076"/>
    <cellStyle name="Normal 3 2 3 4" xfId="40077"/>
    <cellStyle name="Normal 3 2 3 4 2" xfId="40078"/>
    <cellStyle name="Normal 3 2 3 4 3" xfId="40079"/>
    <cellStyle name="Normal 3 2 3 4 4" xfId="40080"/>
    <cellStyle name="Normal 3 2 3 4 5" xfId="40081"/>
    <cellStyle name="Normal 3 2 3 4 6" xfId="40082"/>
    <cellStyle name="Normal 3 2 3 5" xfId="40083"/>
    <cellStyle name="Normal 3 2 3 6" xfId="40084"/>
    <cellStyle name="Normal 3 2 3 7" xfId="40085"/>
    <cellStyle name="Normal 3 2 3 8" xfId="40086"/>
    <cellStyle name="Normal 3 2 3 9" xfId="40087"/>
    <cellStyle name="Normal 3 2 4" xfId="40088"/>
    <cellStyle name="Normal 3 2 4 2" xfId="40089"/>
    <cellStyle name="Normal 3 2 4 2 2" xfId="40090"/>
    <cellStyle name="Normal 3 2 4 2 2 2" xfId="40091"/>
    <cellStyle name="Normal 3 2 4 2 2 3" xfId="40092"/>
    <cellStyle name="Normal 3 2 4 2 2 4" xfId="40093"/>
    <cellStyle name="Normal 3 2 4 2 2 5" xfId="40094"/>
    <cellStyle name="Normal 3 2 4 2 2 6" xfId="40095"/>
    <cellStyle name="Normal 3 2 4 2 3" xfId="40096"/>
    <cellStyle name="Normal 3 2 4 2 4" xfId="40097"/>
    <cellStyle name="Normal 3 2 4 2 5" xfId="40098"/>
    <cellStyle name="Normal 3 2 4 2 6" xfId="40099"/>
    <cellStyle name="Normal 3 2 4 2 7" xfId="40100"/>
    <cellStyle name="Normal 3 2 4 3" xfId="40101"/>
    <cellStyle name="Normal 3 2 4 3 2" xfId="40102"/>
    <cellStyle name="Normal 3 2 4 3 3" xfId="40103"/>
    <cellStyle name="Normal 3 2 4 3 4" xfId="40104"/>
    <cellStyle name="Normal 3 2 4 3 5" xfId="40105"/>
    <cellStyle name="Normal 3 2 4 3 6" xfId="40106"/>
    <cellStyle name="Normal 3 2 4 4" xfId="40107"/>
    <cellStyle name="Normal 3 2 4 5" xfId="40108"/>
    <cellStyle name="Normal 3 2 4 6" xfId="40109"/>
    <cellStyle name="Normal 3 2 4 7" xfId="40110"/>
    <cellStyle name="Normal 3 2 4 8" xfId="40111"/>
    <cellStyle name="Normal 3 3" xfId="40112"/>
    <cellStyle name="Normal 3 4" xfId="40113"/>
    <cellStyle name="Normal 3 4 10" xfId="40114"/>
    <cellStyle name="Normal 3 4 2" xfId="40115"/>
    <cellStyle name="Normal 3 4 2 2" xfId="40116"/>
    <cellStyle name="Normal 3 4 2 2 2" xfId="40117"/>
    <cellStyle name="Normal 3 4 2 2 2 2" xfId="40118"/>
    <cellStyle name="Normal 3 4 2 2 2 2 2" xfId="40119"/>
    <cellStyle name="Normal 3 4 2 2 2 2 3" xfId="40120"/>
    <cellStyle name="Normal 3 4 2 2 2 2 4" xfId="40121"/>
    <cellStyle name="Normal 3 4 2 2 2 2 5" xfId="40122"/>
    <cellStyle name="Normal 3 4 2 2 2 2 6" xfId="40123"/>
    <cellStyle name="Normal 3 4 2 2 2 3" xfId="40124"/>
    <cellStyle name="Normal 3 4 2 2 2 4" xfId="40125"/>
    <cellStyle name="Normal 3 4 2 2 2 5" xfId="40126"/>
    <cellStyle name="Normal 3 4 2 2 2 6" xfId="40127"/>
    <cellStyle name="Normal 3 4 2 2 2 7" xfId="40128"/>
    <cellStyle name="Normal 3 4 2 2 3" xfId="40129"/>
    <cellStyle name="Normal 3 4 2 2 3 2" xfId="40130"/>
    <cellStyle name="Normal 3 4 2 2 3 3" xfId="40131"/>
    <cellStyle name="Normal 3 4 2 2 3 4" xfId="40132"/>
    <cellStyle name="Normal 3 4 2 2 3 5" xfId="40133"/>
    <cellStyle name="Normal 3 4 2 2 3 6" xfId="40134"/>
    <cellStyle name="Normal 3 4 2 2 4" xfId="40135"/>
    <cellStyle name="Normal 3 4 2 2 5" xfId="40136"/>
    <cellStyle name="Normal 3 4 2 2 6" xfId="40137"/>
    <cellStyle name="Normal 3 4 2 2 7" xfId="40138"/>
    <cellStyle name="Normal 3 4 2 2 8" xfId="40139"/>
    <cellStyle name="Normal 3 4 2 3" xfId="40140"/>
    <cellStyle name="Normal 3 4 2 3 2" xfId="40141"/>
    <cellStyle name="Normal 3 4 2 3 2 2" xfId="40142"/>
    <cellStyle name="Normal 3 4 2 3 2 3" xfId="40143"/>
    <cellStyle name="Normal 3 4 2 3 2 4" xfId="40144"/>
    <cellStyle name="Normal 3 4 2 3 2 5" xfId="40145"/>
    <cellStyle name="Normal 3 4 2 3 2 6" xfId="40146"/>
    <cellStyle name="Normal 3 4 2 3 3" xfId="40147"/>
    <cellStyle name="Normal 3 4 2 3 4" xfId="40148"/>
    <cellStyle name="Normal 3 4 2 3 5" xfId="40149"/>
    <cellStyle name="Normal 3 4 2 3 6" xfId="40150"/>
    <cellStyle name="Normal 3 4 2 3 7" xfId="40151"/>
    <cellStyle name="Normal 3 4 2 4" xfId="40152"/>
    <cellStyle name="Normal 3 4 2 4 2" xfId="40153"/>
    <cellStyle name="Normal 3 4 2 4 3" xfId="40154"/>
    <cellStyle name="Normal 3 4 2 4 4" xfId="40155"/>
    <cellStyle name="Normal 3 4 2 4 5" xfId="40156"/>
    <cellStyle name="Normal 3 4 2 4 6" xfId="40157"/>
    <cellStyle name="Normal 3 4 2 5" xfId="40158"/>
    <cellStyle name="Normal 3 4 2 6" xfId="40159"/>
    <cellStyle name="Normal 3 4 2 7" xfId="40160"/>
    <cellStyle name="Normal 3 4 2 8" xfId="40161"/>
    <cellStyle name="Normal 3 4 2 9" xfId="40162"/>
    <cellStyle name="Normal 3 4 3" xfId="40163"/>
    <cellStyle name="Normal 3 4 3 2" xfId="40164"/>
    <cellStyle name="Normal 3 4 3 2 2" xfId="40165"/>
    <cellStyle name="Normal 3 4 3 2 2 2" xfId="40166"/>
    <cellStyle name="Normal 3 4 3 2 2 3" xfId="40167"/>
    <cellStyle name="Normal 3 4 3 2 2 4" xfId="40168"/>
    <cellStyle name="Normal 3 4 3 2 2 5" xfId="40169"/>
    <cellStyle name="Normal 3 4 3 2 2 6" xfId="40170"/>
    <cellStyle name="Normal 3 4 3 2 3" xfId="40171"/>
    <cellStyle name="Normal 3 4 3 2 4" xfId="40172"/>
    <cellStyle name="Normal 3 4 3 2 5" xfId="40173"/>
    <cellStyle name="Normal 3 4 3 2 6" xfId="40174"/>
    <cellStyle name="Normal 3 4 3 2 7" xfId="40175"/>
    <cellStyle name="Normal 3 4 3 3" xfId="40176"/>
    <cellStyle name="Normal 3 4 3 3 2" xfId="40177"/>
    <cellStyle name="Normal 3 4 3 3 3" xfId="40178"/>
    <cellStyle name="Normal 3 4 3 3 4" xfId="40179"/>
    <cellStyle name="Normal 3 4 3 3 5" xfId="40180"/>
    <cellStyle name="Normal 3 4 3 3 6" xfId="40181"/>
    <cellStyle name="Normal 3 4 3 4" xfId="40182"/>
    <cellStyle name="Normal 3 4 3 5" xfId="40183"/>
    <cellStyle name="Normal 3 4 3 6" xfId="40184"/>
    <cellStyle name="Normal 3 4 3 7" xfId="40185"/>
    <cellStyle name="Normal 3 4 3 8" xfId="40186"/>
    <cellStyle name="Normal 3 4 4" xfId="40187"/>
    <cellStyle name="Normal 3 4 4 2" xfId="40188"/>
    <cellStyle name="Normal 3 4 4 2 2" xfId="40189"/>
    <cellStyle name="Normal 3 4 4 2 3" xfId="40190"/>
    <cellStyle name="Normal 3 4 4 2 4" xfId="40191"/>
    <cellStyle name="Normal 3 4 4 2 5" xfId="40192"/>
    <cellStyle name="Normal 3 4 4 2 6" xfId="40193"/>
    <cellStyle name="Normal 3 4 4 3" xfId="40194"/>
    <cellStyle name="Normal 3 4 4 4" xfId="40195"/>
    <cellStyle name="Normal 3 4 4 5" xfId="40196"/>
    <cellStyle name="Normal 3 4 4 6" xfId="40197"/>
    <cellStyle name="Normal 3 4 4 7" xfId="40198"/>
    <cellStyle name="Normal 3 4 5" xfId="40199"/>
    <cellStyle name="Normal 3 4 5 2" xfId="40200"/>
    <cellStyle name="Normal 3 4 5 3" xfId="40201"/>
    <cellStyle name="Normal 3 4 5 4" xfId="40202"/>
    <cellStyle name="Normal 3 4 5 5" xfId="40203"/>
    <cellStyle name="Normal 3 4 5 6" xfId="40204"/>
    <cellStyle name="Normal 3 4 6" xfId="40205"/>
    <cellStyle name="Normal 3 4 7" xfId="40206"/>
    <cellStyle name="Normal 3 4 8" xfId="40207"/>
    <cellStyle name="Normal 3 4 9" xfId="40208"/>
    <cellStyle name="Normal 3 5" xfId="40209"/>
    <cellStyle name="Normal 3 5 2" xfId="40210"/>
    <cellStyle name="Normal 3 5 2 2" xfId="40211"/>
    <cellStyle name="Normal 3 5 2 2 2" xfId="40212"/>
    <cellStyle name="Normal 3 5 2 2 2 2" xfId="40213"/>
    <cellStyle name="Normal 3 5 2 2 2 3" xfId="40214"/>
    <cellStyle name="Normal 3 5 2 2 2 4" xfId="40215"/>
    <cellStyle name="Normal 3 5 2 2 2 5" xfId="40216"/>
    <cellStyle name="Normal 3 5 2 2 2 6" xfId="40217"/>
    <cellStyle name="Normal 3 5 2 2 3" xfId="40218"/>
    <cellStyle name="Normal 3 5 2 2 4" xfId="40219"/>
    <cellStyle name="Normal 3 5 2 2 5" xfId="40220"/>
    <cellStyle name="Normal 3 5 2 2 6" xfId="40221"/>
    <cellStyle name="Normal 3 5 2 2 7" xfId="40222"/>
    <cellStyle name="Normal 3 5 2 3" xfId="40223"/>
    <cellStyle name="Normal 3 5 2 3 2" xfId="40224"/>
    <cellStyle name="Normal 3 5 2 3 3" xfId="40225"/>
    <cellStyle name="Normal 3 5 2 3 4" xfId="40226"/>
    <cellStyle name="Normal 3 5 2 3 5" xfId="40227"/>
    <cellStyle name="Normal 3 5 2 3 6" xfId="40228"/>
    <cellStyle name="Normal 3 5 2 4" xfId="40229"/>
    <cellStyle name="Normal 3 5 2 5" xfId="40230"/>
    <cellStyle name="Normal 3 5 2 6" xfId="40231"/>
    <cellStyle name="Normal 3 5 2 7" xfId="40232"/>
    <cellStyle name="Normal 3 5 2 8" xfId="40233"/>
    <cellStyle name="Normal 3 5 3" xfId="40234"/>
    <cellStyle name="Normal 3 5 3 2" xfId="40235"/>
    <cellStyle name="Normal 3 5 3 2 2" xfId="40236"/>
    <cellStyle name="Normal 3 5 3 2 3" xfId="40237"/>
    <cellStyle name="Normal 3 5 3 2 4" xfId="40238"/>
    <cellStyle name="Normal 3 5 3 2 5" xfId="40239"/>
    <cellStyle name="Normal 3 5 3 2 6" xfId="40240"/>
    <cellStyle name="Normal 3 5 3 3" xfId="40241"/>
    <cellStyle name="Normal 3 5 3 4" xfId="40242"/>
    <cellStyle name="Normal 3 5 3 5" xfId="40243"/>
    <cellStyle name="Normal 3 5 3 6" xfId="40244"/>
    <cellStyle name="Normal 3 5 3 7" xfId="40245"/>
    <cellStyle name="Normal 3 5 4" xfId="40246"/>
    <cellStyle name="Normal 3 5 4 2" xfId="40247"/>
    <cellStyle name="Normal 3 5 4 3" xfId="40248"/>
    <cellStyle name="Normal 3 5 4 4" xfId="40249"/>
    <cellStyle name="Normal 3 5 4 5" xfId="40250"/>
    <cellStyle name="Normal 3 5 4 6" xfId="40251"/>
    <cellStyle name="Normal 3 5 5" xfId="40252"/>
    <cellStyle name="Normal 3 5 6" xfId="40253"/>
    <cellStyle name="Normal 3 5 7" xfId="40254"/>
    <cellStyle name="Normal 3 5 8" xfId="40255"/>
    <cellStyle name="Normal 3 5 9" xfId="40256"/>
    <cellStyle name="Normal 3 6" xfId="40257"/>
    <cellStyle name="Normal 3 7" xfId="40258"/>
    <cellStyle name="Normal 3 7 2" xfId="40259"/>
    <cellStyle name="Normal 3 7 2 2" xfId="40260"/>
    <cellStyle name="Normal 3 7 2 2 2" xfId="40261"/>
    <cellStyle name="Normal 3 7 2 2 3" xfId="40262"/>
    <cellStyle name="Normal 3 7 2 2 4" xfId="40263"/>
    <cellStyle name="Normal 3 7 2 2 5" xfId="40264"/>
    <cellStyle name="Normal 3 7 2 2 6" xfId="40265"/>
    <cellStyle name="Normal 3 7 2 3" xfId="40266"/>
    <cellStyle name="Normal 3 7 2 4" xfId="40267"/>
    <cellStyle name="Normal 3 7 2 5" xfId="40268"/>
    <cellStyle name="Normal 3 7 2 6" xfId="40269"/>
    <cellStyle name="Normal 3 7 2 7" xfId="40270"/>
    <cellStyle name="Normal 3 7 3" xfId="40271"/>
    <cellStyle name="Normal 3 7 3 2" xfId="40272"/>
    <cellStyle name="Normal 3 7 3 3" xfId="40273"/>
    <cellStyle name="Normal 3 7 3 4" xfId="40274"/>
    <cellStyle name="Normal 3 7 3 5" xfId="40275"/>
    <cellStyle name="Normal 3 7 3 6" xfId="40276"/>
    <cellStyle name="Normal 3 7 4" xfId="40277"/>
    <cellStyle name="Normal 3 7 5" xfId="40278"/>
    <cellStyle name="Normal 3 7 6" xfId="40279"/>
    <cellStyle name="Normal 3 7 7" xfId="40280"/>
    <cellStyle name="Normal 3 7 8" xfId="40281"/>
    <cellStyle name="Normal 30" xfId="40282"/>
    <cellStyle name="Normal 30 2" xfId="40283"/>
    <cellStyle name="Normal 31" xfId="40284"/>
    <cellStyle name="Normal 31 2" xfId="40285"/>
    <cellStyle name="Normal 32" xfId="40286"/>
    <cellStyle name="Normal 32 2" xfId="40287"/>
    <cellStyle name="Normal 33" xfId="40288"/>
    <cellStyle name="Normal 33 2" xfId="40289"/>
    <cellStyle name="Normal 34" xfId="40290"/>
    <cellStyle name="Normal 34 2" xfId="40291"/>
    <cellStyle name="Normal 35" xfId="40292"/>
    <cellStyle name="Normal 35 2" xfId="40293"/>
    <cellStyle name="Normal 36" xfId="40294"/>
    <cellStyle name="Normal 36 2" xfId="40295"/>
    <cellStyle name="Normal 37" xfId="40296"/>
    <cellStyle name="Normal 37 2" xfId="40297"/>
    <cellStyle name="Normal 38" xfId="40298"/>
    <cellStyle name="Normal 38 2" xfId="40299"/>
    <cellStyle name="Normal 39" xfId="40300"/>
    <cellStyle name="Normal 39 10" xfId="40301"/>
    <cellStyle name="Normal 39 10 2" xfId="40302"/>
    <cellStyle name="Normal 39 10 2 2" xfId="40303"/>
    <cellStyle name="Normal 39 10 2 2 2" xfId="40304"/>
    <cellStyle name="Normal 39 10 2 2 2 2" xfId="40305"/>
    <cellStyle name="Normal 39 10 2 2 2 3" xfId="40306"/>
    <cellStyle name="Normal 39 10 2 2 2 4" xfId="40307"/>
    <cellStyle name="Normal 39 10 2 2 2 5" xfId="40308"/>
    <cellStyle name="Normal 39 10 2 2 2 6" xfId="40309"/>
    <cellStyle name="Normal 39 10 2 2 3" xfId="40310"/>
    <cellStyle name="Normal 39 10 2 2 4" xfId="40311"/>
    <cellStyle name="Normal 39 10 2 2 5" xfId="40312"/>
    <cellStyle name="Normal 39 10 2 2 6" xfId="40313"/>
    <cellStyle name="Normal 39 10 2 2 7" xfId="40314"/>
    <cellStyle name="Normal 39 10 2 3" xfId="40315"/>
    <cellStyle name="Normal 39 10 2 3 2" xfId="40316"/>
    <cellStyle name="Normal 39 10 2 3 3" xfId="40317"/>
    <cellStyle name="Normal 39 10 2 3 4" xfId="40318"/>
    <cellStyle name="Normal 39 10 2 3 5" xfId="40319"/>
    <cellStyle name="Normal 39 10 2 3 6" xfId="40320"/>
    <cellStyle name="Normal 39 10 2 4" xfId="40321"/>
    <cellStyle name="Normal 39 10 2 5" xfId="40322"/>
    <cellStyle name="Normal 39 10 2 6" xfId="40323"/>
    <cellStyle name="Normal 39 10 2 7" xfId="40324"/>
    <cellStyle name="Normal 39 10 2 8" xfId="40325"/>
    <cellStyle name="Normal 39 10 3" xfId="40326"/>
    <cellStyle name="Normal 39 10 3 2" xfId="40327"/>
    <cellStyle name="Normal 39 10 3 2 2" xfId="40328"/>
    <cellStyle name="Normal 39 10 3 2 3" xfId="40329"/>
    <cellStyle name="Normal 39 10 3 2 4" xfId="40330"/>
    <cellStyle name="Normal 39 10 3 2 5" xfId="40331"/>
    <cellStyle name="Normal 39 10 3 2 6" xfId="40332"/>
    <cellStyle name="Normal 39 10 3 3" xfId="40333"/>
    <cellStyle name="Normal 39 10 3 4" xfId="40334"/>
    <cellStyle name="Normal 39 10 3 5" xfId="40335"/>
    <cellStyle name="Normal 39 10 3 6" xfId="40336"/>
    <cellStyle name="Normal 39 10 3 7" xfId="40337"/>
    <cellStyle name="Normal 39 10 4" xfId="40338"/>
    <cellStyle name="Normal 39 10 4 2" xfId="40339"/>
    <cellStyle name="Normal 39 10 4 3" xfId="40340"/>
    <cellStyle name="Normal 39 10 4 4" xfId="40341"/>
    <cellStyle name="Normal 39 10 4 5" xfId="40342"/>
    <cellStyle name="Normal 39 10 4 6" xfId="40343"/>
    <cellStyle name="Normal 39 10 5" xfId="40344"/>
    <cellStyle name="Normal 39 10 6" xfId="40345"/>
    <cellStyle name="Normal 39 10 7" xfId="40346"/>
    <cellStyle name="Normal 39 10 8" xfId="40347"/>
    <cellStyle name="Normal 39 10 9" xfId="40348"/>
    <cellStyle name="Normal 39 11" xfId="40349"/>
    <cellStyle name="Normal 39 11 2" xfId="40350"/>
    <cellStyle name="Normal 39 11 2 2" xfId="40351"/>
    <cellStyle name="Normal 39 11 2 2 2" xfId="40352"/>
    <cellStyle name="Normal 39 11 2 2 2 2" xfId="40353"/>
    <cellStyle name="Normal 39 11 2 2 2 3" xfId="40354"/>
    <cellStyle name="Normal 39 11 2 2 2 4" xfId="40355"/>
    <cellStyle name="Normal 39 11 2 2 2 5" xfId="40356"/>
    <cellStyle name="Normal 39 11 2 2 2 6" xfId="40357"/>
    <cellStyle name="Normal 39 11 2 2 3" xfId="40358"/>
    <cellStyle name="Normal 39 11 2 2 4" xfId="40359"/>
    <cellStyle name="Normal 39 11 2 2 5" xfId="40360"/>
    <cellStyle name="Normal 39 11 2 2 6" xfId="40361"/>
    <cellStyle name="Normal 39 11 2 2 7" xfId="40362"/>
    <cellStyle name="Normal 39 11 2 3" xfId="40363"/>
    <cellStyle name="Normal 39 11 2 3 2" xfId="40364"/>
    <cellStyle name="Normal 39 11 2 3 3" xfId="40365"/>
    <cellStyle name="Normal 39 11 2 3 4" xfId="40366"/>
    <cellStyle name="Normal 39 11 2 3 5" xfId="40367"/>
    <cellStyle name="Normal 39 11 2 3 6" xfId="40368"/>
    <cellStyle name="Normal 39 11 2 4" xfId="40369"/>
    <cellStyle name="Normal 39 11 2 5" xfId="40370"/>
    <cellStyle name="Normal 39 11 2 6" xfId="40371"/>
    <cellStyle name="Normal 39 11 2 7" xfId="40372"/>
    <cellStyle name="Normal 39 11 2 8" xfId="40373"/>
    <cellStyle name="Normal 39 11 3" xfId="40374"/>
    <cellStyle name="Normal 39 11 3 2" xfId="40375"/>
    <cellStyle name="Normal 39 11 3 2 2" xfId="40376"/>
    <cellStyle name="Normal 39 11 3 2 3" xfId="40377"/>
    <cellStyle name="Normal 39 11 3 2 4" xfId="40378"/>
    <cellStyle name="Normal 39 11 3 2 5" xfId="40379"/>
    <cellStyle name="Normal 39 11 3 2 6" xfId="40380"/>
    <cellStyle name="Normal 39 11 3 3" xfId="40381"/>
    <cellStyle name="Normal 39 11 3 4" xfId="40382"/>
    <cellStyle name="Normal 39 11 3 5" xfId="40383"/>
    <cellStyle name="Normal 39 11 3 6" xfId="40384"/>
    <cellStyle name="Normal 39 11 3 7" xfId="40385"/>
    <cellStyle name="Normal 39 11 4" xfId="40386"/>
    <cellStyle name="Normal 39 11 4 2" xfId="40387"/>
    <cellStyle name="Normal 39 11 4 3" xfId="40388"/>
    <cellStyle name="Normal 39 11 4 4" xfId="40389"/>
    <cellStyle name="Normal 39 11 4 5" xfId="40390"/>
    <cellStyle name="Normal 39 11 4 6" xfId="40391"/>
    <cellStyle name="Normal 39 11 5" xfId="40392"/>
    <cellStyle name="Normal 39 11 6" xfId="40393"/>
    <cellStyle name="Normal 39 11 7" xfId="40394"/>
    <cellStyle name="Normal 39 11 8" xfId="40395"/>
    <cellStyle name="Normal 39 11 9" xfId="40396"/>
    <cellStyle name="Normal 39 12" xfId="40397"/>
    <cellStyle name="Normal 39 12 2" xfId="40398"/>
    <cellStyle name="Normal 39 12 2 2" xfId="40399"/>
    <cellStyle name="Normal 39 12 2 2 2" xfId="40400"/>
    <cellStyle name="Normal 39 12 2 2 3" xfId="40401"/>
    <cellStyle name="Normal 39 12 2 2 4" xfId="40402"/>
    <cellStyle name="Normal 39 12 2 2 5" xfId="40403"/>
    <cellStyle name="Normal 39 12 2 2 6" xfId="40404"/>
    <cellStyle name="Normal 39 12 2 3" xfId="40405"/>
    <cellStyle name="Normal 39 12 2 4" xfId="40406"/>
    <cellStyle name="Normal 39 12 2 5" xfId="40407"/>
    <cellStyle name="Normal 39 12 2 6" xfId="40408"/>
    <cellStyle name="Normal 39 12 2 7" xfId="40409"/>
    <cellStyle name="Normal 39 12 3" xfId="40410"/>
    <cellStyle name="Normal 39 12 3 2" xfId="40411"/>
    <cellStyle name="Normal 39 12 3 3" xfId="40412"/>
    <cellStyle name="Normal 39 12 3 4" xfId="40413"/>
    <cellStyle name="Normal 39 12 3 5" xfId="40414"/>
    <cellStyle name="Normal 39 12 3 6" xfId="40415"/>
    <cellStyle name="Normal 39 12 4" xfId="40416"/>
    <cellStyle name="Normal 39 12 5" xfId="40417"/>
    <cellStyle name="Normal 39 12 6" xfId="40418"/>
    <cellStyle name="Normal 39 12 7" xfId="40419"/>
    <cellStyle name="Normal 39 12 8" xfId="40420"/>
    <cellStyle name="Normal 39 13" xfId="40421"/>
    <cellStyle name="Normal 39 13 2" xfId="40422"/>
    <cellStyle name="Normal 39 13 2 2" xfId="40423"/>
    <cellStyle name="Normal 39 13 2 3" xfId="40424"/>
    <cellStyle name="Normal 39 13 2 4" xfId="40425"/>
    <cellStyle name="Normal 39 13 2 5" xfId="40426"/>
    <cellStyle name="Normal 39 13 2 6" xfId="40427"/>
    <cellStyle name="Normal 39 13 3" xfId="40428"/>
    <cellStyle name="Normal 39 13 4" xfId="40429"/>
    <cellStyle name="Normal 39 13 5" xfId="40430"/>
    <cellStyle name="Normal 39 13 6" xfId="40431"/>
    <cellStyle name="Normal 39 13 7" xfId="40432"/>
    <cellStyle name="Normal 39 14" xfId="40433"/>
    <cellStyle name="Normal 39 14 2" xfId="40434"/>
    <cellStyle name="Normal 39 14 3" xfId="40435"/>
    <cellStyle name="Normal 39 14 4" xfId="40436"/>
    <cellStyle name="Normal 39 14 5" xfId="40437"/>
    <cellStyle name="Normal 39 14 6" xfId="40438"/>
    <cellStyle name="Normal 39 15" xfId="40439"/>
    <cellStyle name="Normal 39 16" xfId="40440"/>
    <cellStyle name="Normal 39 17" xfId="40441"/>
    <cellStyle name="Normal 39 18" xfId="40442"/>
    <cellStyle name="Normal 39 19" xfId="40443"/>
    <cellStyle name="Normal 39 2" xfId="40444"/>
    <cellStyle name="Normal 39 2 10" xfId="40445"/>
    <cellStyle name="Normal 39 2 10 2" xfId="40446"/>
    <cellStyle name="Normal 39 2 10 2 2" xfId="40447"/>
    <cellStyle name="Normal 39 2 10 2 2 2" xfId="40448"/>
    <cellStyle name="Normal 39 2 10 2 2 2 2" xfId="40449"/>
    <cellStyle name="Normal 39 2 10 2 2 2 3" xfId="40450"/>
    <cellStyle name="Normal 39 2 10 2 2 2 4" xfId="40451"/>
    <cellStyle name="Normal 39 2 10 2 2 2 5" xfId="40452"/>
    <cellStyle name="Normal 39 2 10 2 2 2 6" xfId="40453"/>
    <cellStyle name="Normal 39 2 10 2 2 3" xfId="40454"/>
    <cellStyle name="Normal 39 2 10 2 2 4" xfId="40455"/>
    <cellStyle name="Normal 39 2 10 2 2 5" xfId="40456"/>
    <cellStyle name="Normal 39 2 10 2 2 6" xfId="40457"/>
    <cellStyle name="Normal 39 2 10 2 2 7" xfId="40458"/>
    <cellStyle name="Normal 39 2 10 2 3" xfId="40459"/>
    <cellStyle name="Normal 39 2 10 2 3 2" xfId="40460"/>
    <cellStyle name="Normal 39 2 10 2 3 3" xfId="40461"/>
    <cellStyle name="Normal 39 2 10 2 3 4" xfId="40462"/>
    <cellStyle name="Normal 39 2 10 2 3 5" xfId="40463"/>
    <cellStyle name="Normal 39 2 10 2 3 6" xfId="40464"/>
    <cellStyle name="Normal 39 2 10 2 4" xfId="40465"/>
    <cellStyle name="Normal 39 2 10 2 5" xfId="40466"/>
    <cellStyle name="Normal 39 2 10 2 6" xfId="40467"/>
    <cellStyle name="Normal 39 2 10 2 7" xfId="40468"/>
    <cellStyle name="Normal 39 2 10 2 8" xfId="40469"/>
    <cellStyle name="Normal 39 2 10 3" xfId="40470"/>
    <cellStyle name="Normal 39 2 10 3 2" xfId="40471"/>
    <cellStyle name="Normal 39 2 10 3 2 2" xfId="40472"/>
    <cellStyle name="Normal 39 2 10 3 2 3" xfId="40473"/>
    <cellStyle name="Normal 39 2 10 3 2 4" xfId="40474"/>
    <cellStyle name="Normal 39 2 10 3 2 5" xfId="40475"/>
    <cellStyle name="Normal 39 2 10 3 2 6" xfId="40476"/>
    <cellStyle name="Normal 39 2 10 3 3" xfId="40477"/>
    <cellStyle name="Normal 39 2 10 3 4" xfId="40478"/>
    <cellStyle name="Normal 39 2 10 3 5" xfId="40479"/>
    <cellStyle name="Normal 39 2 10 3 6" xfId="40480"/>
    <cellStyle name="Normal 39 2 10 3 7" xfId="40481"/>
    <cellStyle name="Normal 39 2 10 4" xfId="40482"/>
    <cellStyle name="Normal 39 2 10 4 2" xfId="40483"/>
    <cellStyle name="Normal 39 2 10 4 3" xfId="40484"/>
    <cellStyle name="Normal 39 2 10 4 4" xfId="40485"/>
    <cellStyle name="Normal 39 2 10 4 5" xfId="40486"/>
    <cellStyle name="Normal 39 2 10 4 6" xfId="40487"/>
    <cellStyle name="Normal 39 2 10 5" xfId="40488"/>
    <cellStyle name="Normal 39 2 10 6" xfId="40489"/>
    <cellStyle name="Normal 39 2 10 7" xfId="40490"/>
    <cellStyle name="Normal 39 2 10 8" xfId="40491"/>
    <cellStyle name="Normal 39 2 10 9" xfId="40492"/>
    <cellStyle name="Normal 39 2 11" xfId="40493"/>
    <cellStyle name="Normal 39 2 11 2" xfId="40494"/>
    <cellStyle name="Normal 39 2 11 2 2" xfId="40495"/>
    <cellStyle name="Normal 39 2 11 2 2 2" xfId="40496"/>
    <cellStyle name="Normal 39 2 11 2 2 3" xfId="40497"/>
    <cellStyle name="Normal 39 2 11 2 2 4" xfId="40498"/>
    <cellStyle name="Normal 39 2 11 2 2 5" xfId="40499"/>
    <cellStyle name="Normal 39 2 11 2 2 6" xfId="40500"/>
    <cellStyle name="Normal 39 2 11 2 3" xfId="40501"/>
    <cellStyle name="Normal 39 2 11 2 4" xfId="40502"/>
    <cellStyle name="Normal 39 2 11 2 5" xfId="40503"/>
    <cellStyle name="Normal 39 2 11 2 6" xfId="40504"/>
    <cellStyle name="Normal 39 2 11 2 7" xfId="40505"/>
    <cellStyle name="Normal 39 2 11 3" xfId="40506"/>
    <cellStyle name="Normal 39 2 11 3 2" xfId="40507"/>
    <cellStyle name="Normal 39 2 11 3 3" xfId="40508"/>
    <cellStyle name="Normal 39 2 11 3 4" xfId="40509"/>
    <cellStyle name="Normal 39 2 11 3 5" xfId="40510"/>
    <cellStyle name="Normal 39 2 11 3 6" xfId="40511"/>
    <cellStyle name="Normal 39 2 11 4" xfId="40512"/>
    <cellStyle name="Normal 39 2 11 5" xfId="40513"/>
    <cellStyle name="Normal 39 2 11 6" xfId="40514"/>
    <cellStyle name="Normal 39 2 11 7" xfId="40515"/>
    <cellStyle name="Normal 39 2 11 8" xfId="40516"/>
    <cellStyle name="Normal 39 2 12" xfId="40517"/>
    <cellStyle name="Normal 39 2 12 2" xfId="40518"/>
    <cellStyle name="Normal 39 2 12 2 2" xfId="40519"/>
    <cellStyle name="Normal 39 2 12 2 3" xfId="40520"/>
    <cellStyle name="Normal 39 2 12 2 4" xfId="40521"/>
    <cellStyle name="Normal 39 2 12 2 5" xfId="40522"/>
    <cellStyle name="Normal 39 2 12 2 6" xfId="40523"/>
    <cellStyle name="Normal 39 2 12 3" xfId="40524"/>
    <cellStyle name="Normal 39 2 12 4" xfId="40525"/>
    <cellStyle name="Normal 39 2 12 5" xfId="40526"/>
    <cellStyle name="Normal 39 2 12 6" xfId="40527"/>
    <cellStyle name="Normal 39 2 12 7" xfId="40528"/>
    <cellStyle name="Normal 39 2 13" xfId="40529"/>
    <cellStyle name="Normal 39 2 13 2" xfId="40530"/>
    <cellStyle name="Normal 39 2 13 3" xfId="40531"/>
    <cellStyle name="Normal 39 2 13 4" xfId="40532"/>
    <cellStyle name="Normal 39 2 13 5" xfId="40533"/>
    <cellStyle name="Normal 39 2 13 6" xfId="40534"/>
    <cellStyle name="Normal 39 2 14" xfId="40535"/>
    <cellStyle name="Normal 39 2 15" xfId="40536"/>
    <cellStyle name="Normal 39 2 16" xfId="40537"/>
    <cellStyle name="Normal 39 2 17" xfId="40538"/>
    <cellStyle name="Normal 39 2 18" xfId="40539"/>
    <cellStyle name="Normal 39 2 2" xfId="40540"/>
    <cellStyle name="Normal 39 2 2 10" xfId="40541"/>
    <cellStyle name="Normal 39 2 2 10 2" xfId="40542"/>
    <cellStyle name="Normal 39 2 2 10 3" xfId="40543"/>
    <cellStyle name="Normal 39 2 2 10 4" xfId="40544"/>
    <cellStyle name="Normal 39 2 2 10 5" xfId="40545"/>
    <cellStyle name="Normal 39 2 2 10 6" xfId="40546"/>
    <cellStyle name="Normal 39 2 2 11" xfId="40547"/>
    <cellStyle name="Normal 39 2 2 12" xfId="40548"/>
    <cellStyle name="Normal 39 2 2 13" xfId="40549"/>
    <cellStyle name="Normal 39 2 2 14" xfId="40550"/>
    <cellStyle name="Normal 39 2 2 15" xfId="40551"/>
    <cellStyle name="Normal 39 2 2 2" xfId="40552"/>
    <cellStyle name="Normal 39 2 2 2 10" xfId="40553"/>
    <cellStyle name="Normal 39 2 2 2 11" xfId="40554"/>
    <cellStyle name="Normal 39 2 2 2 12" xfId="40555"/>
    <cellStyle name="Normal 39 2 2 2 13" xfId="40556"/>
    <cellStyle name="Normal 39 2 2 2 14" xfId="40557"/>
    <cellStyle name="Normal 39 2 2 2 2" xfId="40558"/>
    <cellStyle name="Normal 39 2 2 2 2 2" xfId="40559"/>
    <cellStyle name="Normal 39 2 2 2 2 2 2" xfId="40560"/>
    <cellStyle name="Normal 39 2 2 2 2 2 2 2" xfId="40561"/>
    <cellStyle name="Normal 39 2 2 2 2 2 2 2 2" xfId="40562"/>
    <cellStyle name="Normal 39 2 2 2 2 2 2 2 3" xfId="40563"/>
    <cellStyle name="Normal 39 2 2 2 2 2 2 2 4" xfId="40564"/>
    <cellStyle name="Normal 39 2 2 2 2 2 2 2 5" xfId="40565"/>
    <cellStyle name="Normal 39 2 2 2 2 2 2 2 6" xfId="40566"/>
    <cellStyle name="Normal 39 2 2 2 2 2 2 3" xfId="40567"/>
    <cellStyle name="Normal 39 2 2 2 2 2 2 4" xfId="40568"/>
    <cellStyle name="Normal 39 2 2 2 2 2 2 5" xfId="40569"/>
    <cellStyle name="Normal 39 2 2 2 2 2 2 6" xfId="40570"/>
    <cellStyle name="Normal 39 2 2 2 2 2 2 7" xfId="40571"/>
    <cellStyle name="Normal 39 2 2 2 2 2 3" xfId="40572"/>
    <cellStyle name="Normal 39 2 2 2 2 2 3 2" xfId="40573"/>
    <cellStyle name="Normal 39 2 2 2 2 2 3 3" xfId="40574"/>
    <cellStyle name="Normal 39 2 2 2 2 2 3 4" xfId="40575"/>
    <cellStyle name="Normal 39 2 2 2 2 2 3 5" xfId="40576"/>
    <cellStyle name="Normal 39 2 2 2 2 2 3 6" xfId="40577"/>
    <cellStyle name="Normal 39 2 2 2 2 2 4" xfId="40578"/>
    <cellStyle name="Normal 39 2 2 2 2 2 5" xfId="40579"/>
    <cellStyle name="Normal 39 2 2 2 2 2 6" xfId="40580"/>
    <cellStyle name="Normal 39 2 2 2 2 2 7" xfId="40581"/>
    <cellStyle name="Normal 39 2 2 2 2 2 8" xfId="40582"/>
    <cellStyle name="Normal 39 2 2 2 2 3" xfId="40583"/>
    <cellStyle name="Normal 39 2 2 2 2 3 2" xfId="40584"/>
    <cellStyle name="Normal 39 2 2 2 2 3 2 2" xfId="40585"/>
    <cellStyle name="Normal 39 2 2 2 2 3 2 3" xfId="40586"/>
    <cellStyle name="Normal 39 2 2 2 2 3 2 4" xfId="40587"/>
    <cellStyle name="Normal 39 2 2 2 2 3 2 5" xfId="40588"/>
    <cellStyle name="Normal 39 2 2 2 2 3 2 6" xfId="40589"/>
    <cellStyle name="Normal 39 2 2 2 2 3 3" xfId="40590"/>
    <cellStyle name="Normal 39 2 2 2 2 3 4" xfId="40591"/>
    <cellStyle name="Normal 39 2 2 2 2 3 5" xfId="40592"/>
    <cellStyle name="Normal 39 2 2 2 2 3 6" xfId="40593"/>
    <cellStyle name="Normal 39 2 2 2 2 3 7" xfId="40594"/>
    <cellStyle name="Normal 39 2 2 2 2 4" xfId="40595"/>
    <cellStyle name="Normal 39 2 2 2 2 4 2" xfId="40596"/>
    <cellStyle name="Normal 39 2 2 2 2 4 3" xfId="40597"/>
    <cellStyle name="Normal 39 2 2 2 2 4 4" xfId="40598"/>
    <cellStyle name="Normal 39 2 2 2 2 4 5" xfId="40599"/>
    <cellStyle name="Normal 39 2 2 2 2 4 6" xfId="40600"/>
    <cellStyle name="Normal 39 2 2 2 2 5" xfId="40601"/>
    <cellStyle name="Normal 39 2 2 2 2 6" xfId="40602"/>
    <cellStyle name="Normal 39 2 2 2 2 7" xfId="40603"/>
    <cellStyle name="Normal 39 2 2 2 2 8" xfId="40604"/>
    <cellStyle name="Normal 39 2 2 2 2 9" xfId="40605"/>
    <cellStyle name="Normal 39 2 2 2 3" xfId="40606"/>
    <cellStyle name="Normal 39 2 2 2 3 2" xfId="40607"/>
    <cellStyle name="Normal 39 2 2 2 3 2 2" xfId="40608"/>
    <cellStyle name="Normal 39 2 2 2 3 2 2 2" xfId="40609"/>
    <cellStyle name="Normal 39 2 2 2 3 2 2 2 2" xfId="40610"/>
    <cellStyle name="Normal 39 2 2 2 3 2 2 2 3" xfId="40611"/>
    <cellStyle name="Normal 39 2 2 2 3 2 2 2 4" xfId="40612"/>
    <cellStyle name="Normal 39 2 2 2 3 2 2 2 5" xfId="40613"/>
    <cellStyle name="Normal 39 2 2 2 3 2 2 2 6" xfId="40614"/>
    <cellStyle name="Normal 39 2 2 2 3 2 2 3" xfId="40615"/>
    <cellStyle name="Normal 39 2 2 2 3 2 2 4" xfId="40616"/>
    <cellStyle name="Normal 39 2 2 2 3 2 2 5" xfId="40617"/>
    <cellStyle name="Normal 39 2 2 2 3 2 2 6" xfId="40618"/>
    <cellStyle name="Normal 39 2 2 2 3 2 2 7" xfId="40619"/>
    <cellStyle name="Normal 39 2 2 2 3 2 3" xfId="40620"/>
    <cellStyle name="Normal 39 2 2 2 3 2 3 2" xfId="40621"/>
    <cellStyle name="Normal 39 2 2 2 3 2 3 3" xfId="40622"/>
    <cellStyle name="Normal 39 2 2 2 3 2 3 4" xfId="40623"/>
    <cellStyle name="Normal 39 2 2 2 3 2 3 5" xfId="40624"/>
    <cellStyle name="Normal 39 2 2 2 3 2 3 6" xfId="40625"/>
    <cellStyle name="Normal 39 2 2 2 3 2 4" xfId="40626"/>
    <cellStyle name="Normal 39 2 2 2 3 2 5" xfId="40627"/>
    <cellStyle name="Normal 39 2 2 2 3 2 6" xfId="40628"/>
    <cellStyle name="Normal 39 2 2 2 3 2 7" xfId="40629"/>
    <cellStyle name="Normal 39 2 2 2 3 2 8" xfId="40630"/>
    <cellStyle name="Normal 39 2 2 2 3 3" xfId="40631"/>
    <cellStyle name="Normal 39 2 2 2 3 3 2" xfId="40632"/>
    <cellStyle name="Normal 39 2 2 2 3 3 2 2" xfId="40633"/>
    <cellStyle name="Normal 39 2 2 2 3 3 2 3" xfId="40634"/>
    <cellStyle name="Normal 39 2 2 2 3 3 2 4" xfId="40635"/>
    <cellStyle name="Normal 39 2 2 2 3 3 2 5" xfId="40636"/>
    <cellStyle name="Normal 39 2 2 2 3 3 2 6" xfId="40637"/>
    <cellStyle name="Normal 39 2 2 2 3 3 3" xfId="40638"/>
    <cellStyle name="Normal 39 2 2 2 3 3 4" xfId="40639"/>
    <cellStyle name="Normal 39 2 2 2 3 3 5" xfId="40640"/>
    <cellStyle name="Normal 39 2 2 2 3 3 6" xfId="40641"/>
    <cellStyle name="Normal 39 2 2 2 3 3 7" xfId="40642"/>
    <cellStyle name="Normal 39 2 2 2 3 4" xfId="40643"/>
    <cellStyle name="Normal 39 2 2 2 3 4 2" xfId="40644"/>
    <cellStyle name="Normal 39 2 2 2 3 4 3" xfId="40645"/>
    <cellStyle name="Normal 39 2 2 2 3 4 4" xfId="40646"/>
    <cellStyle name="Normal 39 2 2 2 3 4 5" xfId="40647"/>
    <cellStyle name="Normal 39 2 2 2 3 4 6" xfId="40648"/>
    <cellStyle name="Normal 39 2 2 2 3 5" xfId="40649"/>
    <cellStyle name="Normal 39 2 2 2 3 6" xfId="40650"/>
    <cellStyle name="Normal 39 2 2 2 3 7" xfId="40651"/>
    <cellStyle name="Normal 39 2 2 2 3 8" xfId="40652"/>
    <cellStyle name="Normal 39 2 2 2 3 9" xfId="40653"/>
    <cellStyle name="Normal 39 2 2 2 4" xfId="40654"/>
    <cellStyle name="Normal 39 2 2 2 4 2" xfId="40655"/>
    <cellStyle name="Normal 39 2 2 2 4 2 2" xfId="40656"/>
    <cellStyle name="Normal 39 2 2 2 4 2 2 2" xfId="40657"/>
    <cellStyle name="Normal 39 2 2 2 4 2 2 2 2" xfId="40658"/>
    <cellStyle name="Normal 39 2 2 2 4 2 2 2 3" xfId="40659"/>
    <cellStyle name="Normal 39 2 2 2 4 2 2 2 4" xfId="40660"/>
    <cellStyle name="Normal 39 2 2 2 4 2 2 2 5" xfId="40661"/>
    <cellStyle name="Normal 39 2 2 2 4 2 2 2 6" xfId="40662"/>
    <cellStyle name="Normal 39 2 2 2 4 2 2 3" xfId="40663"/>
    <cellStyle name="Normal 39 2 2 2 4 2 2 4" xfId="40664"/>
    <cellStyle name="Normal 39 2 2 2 4 2 2 5" xfId="40665"/>
    <cellStyle name="Normal 39 2 2 2 4 2 2 6" xfId="40666"/>
    <cellStyle name="Normal 39 2 2 2 4 2 2 7" xfId="40667"/>
    <cellStyle name="Normal 39 2 2 2 4 2 3" xfId="40668"/>
    <cellStyle name="Normal 39 2 2 2 4 2 3 2" xfId="40669"/>
    <cellStyle name="Normal 39 2 2 2 4 2 3 3" xfId="40670"/>
    <cellStyle name="Normal 39 2 2 2 4 2 3 4" xfId="40671"/>
    <cellStyle name="Normal 39 2 2 2 4 2 3 5" xfId="40672"/>
    <cellStyle name="Normal 39 2 2 2 4 2 3 6" xfId="40673"/>
    <cellStyle name="Normal 39 2 2 2 4 2 4" xfId="40674"/>
    <cellStyle name="Normal 39 2 2 2 4 2 5" xfId="40675"/>
    <cellStyle name="Normal 39 2 2 2 4 2 6" xfId="40676"/>
    <cellStyle name="Normal 39 2 2 2 4 2 7" xfId="40677"/>
    <cellStyle name="Normal 39 2 2 2 4 2 8" xfId="40678"/>
    <cellStyle name="Normal 39 2 2 2 4 3" xfId="40679"/>
    <cellStyle name="Normal 39 2 2 2 4 3 2" xfId="40680"/>
    <cellStyle name="Normal 39 2 2 2 4 3 2 2" xfId="40681"/>
    <cellStyle name="Normal 39 2 2 2 4 3 2 3" xfId="40682"/>
    <cellStyle name="Normal 39 2 2 2 4 3 2 4" xfId="40683"/>
    <cellStyle name="Normal 39 2 2 2 4 3 2 5" xfId="40684"/>
    <cellStyle name="Normal 39 2 2 2 4 3 2 6" xfId="40685"/>
    <cellStyle name="Normal 39 2 2 2 4 3 3" xfId="40686"/>
    <cellStyle name="Normal 39 2 2 2 4 3 4" xfId="40687"/>
    <cellStyle name="Normal 39 2 2 2 4 3 5" xfId="40688"/>
    <cellStyle name="Normal 39 2 2 2 4 3 6" xfId="40689"/>
    <cellStyle name="Normal 39 2 2 2 4 3 7" xfId="40690"/>
    <cellStyle name="Normal 39 2 2 2 4 4" xfId="40691"/>
    <cellStyle name="Normal 39 2 2 2 4 4 2" xfId="40692"/>
    <cellStyle name="Normal 39 2 2 2 4 4 3" xfId="40693"/>
    <cellStyle name="Normal 39 2 2 2 4 4 4" xfId="40694"/>
    <cellStyle name="Normal 39 2 2 2 4 4 5" xfId="40695"/>
    <cellStyle name="Normal 39 2 2 2 4 4 6" xfId="40696"/>
    <cellStyle name="Normal 39 2 2 2 4 5" xfId="40697"/>
    <cellStyle name="Normal 39 2 2 2 4 6" xfId="40698"/>
    <cellStyle name="Normal 39 2 2 2 4 7" xfId="40699"/>
    <cellStyle name="Normal 39 2 2 2 4 8" xfId="40700"/>
    <cellStyle name="Normal 39 2 2 2 4 9" xfId="40701"/>
    <cellStyle name="Normal 39 2 2 2 5" xfId="40702"/>
    <cellStyle name="Normal 39 2 2 2 5 2" xfId="40703"/>
    <cellStyle name="Normal 39 2 2 2 5 2 2" xfId="40704"/>
    <cellStyle name="Normal 39 2 2 2 5 2 2 2" xfId="40705"/>
    <cellStyle name="Normal 39 2 2 2 5 2 2 2 2" xfId="40706"/>
    <cellStyle name="Normal 39 2 2 2 5 2 2 2 3" xfId="40707"/>
    <cellStyle name="Normal 39 2 2 2 5 2 2 2 4" xfId="40708"/>
    <cellStyle name="Normal 39 2 2 2 5 2 2 2 5" xfId="40709"/>
    <cellStyle name="Normal 39 2 2 2 5 2 2 2 6" xfId="40710"/>
    <cellStyle name="Normal 39 2 2 2 5 2 2 3" xfId="40711"/>
    <cellStyle name="Normal 39 2 2 2 5 2 2 4" xfId="40712"/>
    <cellStyle name="Normal 39 2 2 2 5 2 2 5" xfId="40713"/>
    <cellStyle name="Normal 39 2 2 2 5 2 2 6" xfId="40714"/>
    <cellStyle name="Normal 39 2 2 2 5 2 2 7" xfId="40715"/>
    <cellStyle name="Normal 39 2 2 2 5 2 3" xfId="40716"/>
    <cellStyle name="Normal 39 2 2 2 5 2 3 2" xfId="40717"/>
    <cellStyle name="Normal 39 2 2 2 5 2 3 3" xfId="40718"/>
    <cellStyle name="Normal 39 2 2 2 5 2 3 4" xfId="40719"/>
    <cellStyle name="Normal 39 2 2 2 5 2 3 5" xfId="40720"/>
    <cellStyle name="Normal 39 2 2 2 5 2 3 6" xfId="40721"/>
    <cellStyle name="Normal 39 2 2 2 5 2 4" xfId="40722"/>
    <cellStyle name="Normal 39 2 2 2 5 2 5" xfId="40723"/>
    <cellStyle name="Normal 39 2 2 2 5 2 6" xfId="40724"/>
    <cellStyle name="Normal 39 2 2 2 5 2 7" xfId="40725"/>
    <cellStyle name="Normal 39 2 2 2 5 2 8" xfId="40726"/>
    <cellStyle name="Normal 39 2 2 2 5 3" xfId="40727"/>
    <cellStyle name="Normal 39 2 2 2 5 3 2" xfId="40728"/>
    <cellStyle name="Normal 39 2 2 2 5 3 2 2" xfId="40729"/>
    <cellStyle name="Normal 39 2 2 2 5 3 2 3" xfId="40730"/>
    <cellStyle name="Normal 39 2 2 2 5 3 2 4" xfId="40731"/>
    <cellStyle name="Normal 39 2 2 2 5 3 2 5" xfId="40732"/>
    <cellStyle name="Normal 39 2 2 2 5 3 2 6" xfId="40733"/>
    <cellStyle name="Normal 39 2 2 2 5 3 3" xfId="40734"/>
    <cellStyle name="Normal 39 2 2 2 5 3 4" xfId="40735"/>
    <cellStyle name="Normal 39 2 2 2 5 3 5" xfId="40736"/>
    <cellStyle name="Normal 39 2 2 2 5 3 6" xfId="40737"/>
    <cellStyle name="Normal 39 2 2 2 5 3 7" xfId="40738"/>
    <cellStyle name="Normal 39 2 2 2 5 4" xfId="40739"/>
    <cellStyle name="Normal 39 2 2 2 5 4 2" xfId="40740"/>
    <cellStyle name="Normal 39 2 2 2 5 4 3" xfId="40741"/>
    <cellStyle name="Normal 39 2 2 2 5 4 4" xfId="40742"/>
    <cellStyle name="Normal 39 2 2 2 5 4 5" xfId="40743"/>
    <cellStyle name="Normal 39 2 2 2 5 4 6" xfId="40744"/>
    <cellStyle name="Normal 39 2 2 2 5 5" xfId="40745"/>
    <cellStyle name="Normal 39 2 2 2 5 6" xfId="40746"/>
    <cellStyle name="Normal 39 2 2 2 5 7" xfId="40747"/>
    <cellStyle name="Normal 39 2 2 2 5 8" xfId="40748"/>
    <cellStyle name="Normal 39 2 2 2 5 9" xfId="40749"/>
    <cellStyle name="Normal 39 2 2 2 6" xfId="40750"/>
    <cellStyle name="Normal 39 2 2 2 6 2" xfId="40751"/>
    <cellStyle name="Normal 39 2 2 2 6 2 2" xfId="40752"/>
    <cellStyle name="Normal 39 2 2 2 6 2 2 2" xfId="40753"/>
    <cellStyle name="Normal 39 2 2 2 6 2 2 2 2" xfId="40754"/>
    <cellStyle name="Normal 39 2 2 2 6 2 2 2 3" xfId="40755"/>
    <cellStyle name="Normal 39 2 2 2 6 2 2 2 4" xfId="40756"/>
    <cellStyle name="Normal 39 2 2 2 6 2 2 2 5" xfId="40757"/>
    <cellStyle name="Normal 39 2 2 2 6 2 2 2 6" xfId="40758"/>
    <cellStyle name="Normal 39 2 2 2 6 2 2 3" xfId="40759"/>
    <cellStyle name="Normal 39 2 2 2 6 2 2 4" xfId="40760"/>
    <cellStyle name="Normal 39 2 2 2 6 2 2 5" xfId="40761"/>
    <cellStyle name="Normal 39 2 2 2 6 2 2 6" xfId="40762"/>
    <cellStyle name="Normal 39 2 2 2 6 2 2 7" xfId="40763"/>
    <cellStyle name="Normal 39 2 2 2 6 2 3" xfId="40764"/>
    <cellStyle name="Normal 39 2 2 2 6 2 3 2" xfId="40765"/>
    <cellStyle name="Normal 39 2 2 2 6 2 3 3" xfId="40766"/>
    <cellStyle name="Normal 39 2 2 2 6 2 3 4" xfId="40767"/>
    <cellStyle name="Normal 39 2 2 2 6 2 3 5" xfId="40768"/>
    <cellStyle name="Normal 39 2 2 2 6 2 3 6" xfId="40769"/>
    <cellStyle name="Normal 39 2 2 2 6 2 4" xfId="40770"/>
    <cellStyle name="Normal 39 2 2 2 6 2 5" xfId="40771"/>
    <cellStyle name="Normal 39 2 2 2 6 2 6" xfId="40772"/>
    <cellStyle name="Normal 39 2 2 2 6 2 7" xfId="40773"/>
    <cellStyle name="Normal 39 2 2 2 6 2 8" xfId="40774"/>
    <cellStyle name="Normal 39 2 2 2 6 3" xfId="40775"/>
    <cellStyle name="Normal 39 2 2 2 6 3 2" xfId="40776"/>
    <cellStyle name="Normal 39 2 2 2 6 3 2 2" xfId="40777"/>
    <cellStyle name="Normal 39 2 2 2 6 3 2 3" xfId="40778"/>
    <cellStyle name="Normal 39 2 2 2 6 3 2 4" xfId="40779"/>
    <cellStyle name="Normal 39 2 2 2 6 3 2 5" xfId="40780"/>
    <cellStyle name="Normal 39 2 2 2 6 3 2 6" xfId="40781"/>
    <cellStyle name="Normal 39 2 2 2 6 3 3" xfId="40782"/>
    <cellStyle name="Normal 39 2 2 2 6 3 4" xfId="40783"/>
    <cellStyle name="Normal 39 2 2 2 6 3 5" xfId="40784"/>
    <cellStyle name="Normal 39 2 2 2 6 3 6" xfId="40785"/>
    <cellStyle name="Normal 39 2 2 2 6 3 7" xfId="40786"/>
    <cellStyle name="Normal 39 2 2 2 6 4" xfId="40787"/>
    <cellStyle name="Normal 39 2 2 2 6 4 2" xfId="40788"/>
    <cellStyle name="Normal 39 2 2 2 6 4 3" xfId="40789"/>
    <cellStyle name="Normal 39 2 2 2 6 4 4" xfId="40790"/>
    <cellStyle name="Normal 39 2 2 2 6 4 5" xfId="40791"/>
    <cellStyle name="Normal 39 2 2 2 6 4 6" xfId="40792"/>
    <cellStyle name="Normal 39 2 2 2 6 5" xfId="40793"/>
    <cellStyle name="Normal 39 2 2 2 6 6" xfId="40794"/>
    <cellStyle name="Normal 39 2 2 2 6 7" xfId="40795"/>
    <cellStyle name="Normal 39 2 2 2 6 8" xfId="40796"/>
    <cellStyle name="Normal 39 2 2 2 6 9" xfId="40797"/>
    <cellStyle name="Normal 39 2 2 2 7" xfId="40798"/>
    <cellStyle name="Normal 39 2 2 2 7 2" xfId="40799"/>
    <cellStyle name="Normal 39 2 2 2 7 2 2" xfId="40800"/>
    <cellStyle name="Normal 39 2 2 2 7 2 2 2" xfId="40801"/>
    <cellStyle name="Normal 39 2 2 2 7 2 2 3" xfId="40802"/>
    <cellStyle name="Normal 39 2 2 2 7 2 2 4" xfId="40803"/>
    <cellStyle name="Normal 39 2 2 2 7 2 2 5" xfId="40804"/>
    <cellStyle name="Normal 39 2 2 2 7 2 2 6" xfId="40805"/>
    <cellStyle name="Normal 39 2 2 2 7 2 3" xfId="40806"/>
    <cellStyle name="Normal 39 2 2 2 7 2 4" xfId="40807"/>
    <cellStyle name="Normal 39 2 2 2 7 2 5" xfId="40808"/>
    <cellStyle name="Normal 39 2 2 2 7 2 6" xfId="40809"/>
    <cellStyle name="Normal 39 2 2 2 7 2 7" xfId="40810"/>
    <cellStyle name="Normal 39 2 2 2 7 3" xfId="40811"/>
    <cellStyle name="Normal 39 2 2 2 7 3 2" xfId="40812"/>
    <cellStyle name="Normal 39 2 2 2 7 3 3" xfId="40813"/>
    <cellStyle name="Normal 39 2 2 2 7 3 4" xfId="40814"/>
    <cellStyle name="Normal 39 2 2 2 7 3 5" xfId="40815"/>
    <cellStyle name="Normal 39 2 2 2 7 3 6" xfId="40816"/>
    <cellStyle name="Normal 39 2 2 2 7 4" xfId="40817"/>
    <cellStyle name="Normal 39 2 2 2 7 5" xfId="40818"/>
    <cellStyle name="Normal 39 2 2 2 7 6" xfId="40819"/>
    <cellStyle name="Normal 39 2 2 2 7 7" xfId="40820"/>
    <cellStyle name="Normal 39 2 2 2 7 8" xfId="40821"/>
    <cellStyle name="Normal 39 2 2 2 8" xfId="40822"/>
    <cellStyle name="Normal 39 2 2 2 8 2" xfId="40823"/>
    <cellStyle name="Normal 39 2 2 2 8 2 2" xfId="40824"/>
    <cellStyle name="Normal 39 2 2 2 8 2 3" xfId="40825"/>
    <cellStyle name="Normal 39 2 2 2 8 2 4" xfId="40826"/>
    <cellStyle name="Normal 39 2 2 2 8 2 5" xfId="40827"/>
    <cellStyle name="Normal 39 2 2 2 8 2 6" xfId="40828"/>
    <cellStyle name="Normal 39 2 2 2 8 3" xfId="40829"/>
    <cellStyle name="Normal 39 2 2 2 8 4" xfId="40830"/>
    <cellStyle name="Normal 39 2 2 2 8 5" xfId="40831"/>
    <cellStyle name="Normal 39 2 2 2 8 6" xfId="40832"/>
    <cellStyle name="Normal 39 2 2 2 8 7" xfId="40833"/>
    <cellStyle name="Normal 39 2 2 2 9" xfId="40834"/>
    <cellStyle name="Normal 39 2 2 2 9 2" xfId="40835"/>
    <cellStyle name="Normal 39 2 2 2 9 3" xfId="40836"/>
    <cellStyle name="Normal 39 2 2 2 9 4" xfId="40837"/>
    <cellStyle name="Normal 39 2 2 2 9 5" xfId="40838"/>
    <cellStyle name="Normal 39 2 2 2 9 6" xfId="40839"/>
    <cellStyle name="Normal 39 2 2 3" xfId="40840"/>
    <cellStyle name="Normal 39 2 2 3 2" xfId="40841"/>
    <cellStyle name="Normal 39 2 2 3 2 2" xfId="40842"/>
    <cellStyle name="Normal 39 2 2 3 2 2 2" xfId="40843"/>
    <cellStyle name="Normal 39 2 2 3 2 2 2 2" xfId="40844"/>
    <cellStyle name="Normal 39 2 2 3 2 2 2 3" xfId="40845"/>
    <cellStyle name="Normal 39 2 2 3 2 2 2 4" xfId="40846"/>
    <cellStyle name="Normal 39 2 2 3 2 2 2 5" xfId="40847"/>
    <cellStyle name="Normal 39 2 2 3 2 2 2 6" xfId="40848"/>
    <cellStyle name="Normal 39 2 2 3 2 2 3" xfId="40849"/>
    <cellStyle name="Normal 39 2 2 3 2 2 4" xfId="40850"/>
    <cellStyle name="Normal 39 2 2 3 2 2 5" xfId="40851"/>
    <cellStyle name="Normal 39 2 2 3 2 2 6" xfId="40852"/>
    <cellStyle name="Normal 39 2 2 3 2 2 7" xfId="40853"/>
    <cellStyle name="Normal 39 2 2 3 2 3" xfId="40854"/>
    <cellStyle name="Normal 39 2 2 3 2 3 2" xfId="40855"/>
    <cellStyle name="Normal 39 2 2 3 2 3 3" xfId="40856"/>
    <cellStyle name="Normal 39 2 2 3 2 3 4" xfId="40857"/>
    <cellStyle name="Normal 39 2 2 3 2 3 5" xfId="40858"/>
    <cellStyle name="Normal 39 2 2 3 2 3 6" xfId="40859"/>
    <cellStyle name="Normal 39 2 2 3 2 4" xfId="40860"/>
    <cellStyle name="Normal 39 2 2 3 2 5" xfId="40861"/>
    <cellStyle name="Normal 39 2 2 3 2 6" xfId="40862"/>
    <cellStyle name="Normal 39 2 2 3 2 7" xfId="40863"/>
    <cellStyle name="Normal 39 2 2 3 2 8" xfId="40864"/>
    <cellStyle name="Normal 39 2 2 3 3" xfId="40865"/>
    <cellStyle name="Normal 39 2 2 3 3 2" xfId="40866"/>
    <cellStyle name="Normal 39 2 2 3 3 2 2" xfId="40867"/>
    <cellStyle name="Normal 39 2 2 3 3 2 3" xfId="40868"/>
    <cellStyle name="Normal 39 2 2 3 3 2 4" xfId="40869"/>
    <cellStyle name="Normal 39 2 2 3 3 2 5" xfId="40870"/>
    <cellStyle name="Normal 39 2 2 3 3 2 6" xfId="40871"/>
    <cellStyle name="Normal 39 2 2 3 3 3" xfId="40872"/>
    <cellStyle name="Normal 39 2 2 3 3 4" xfId="40873"/>
    <cellStyle name="Normal 39 2 2 3 3 5" xfId="40874"/>
    <cellStyle name="Normal 39 2 2 3 3 6" xfId="40875"/>
    <cellStyle name="Normal 39 2 2 3 3 7" xfId="40876"/>
    <cellStyle name="Normal 39 2 2 3 4" xfId="40877"/>
    <cellStyle name="Normal 39 2 2 3 4 2" xfId="40878"/>
    <cellStyle name="Normal 39 2 2 3 4 3" xfId="40879"/>
    <cellStyle name="Normal 39 2 2 3 4 4" xfId="40880"/>
    <cellStyle name="Normal 39 2 2 3 4 5" xfId="40881"/>
    <cellStyle name="Normal 39 2 2 3 4 6" xfId="40882"/>
    <cellStyle name="Normal 39 2 2 3 5" xfId="40883"/>
    <cellStyle name="Normal 39 2 2 3 6" xfId="40884"/>
    <cellStyle name="Normal 39 2 2 3 7" xfId="40885"/>
    <cellStyle name="Normal 39 2 2 3 8" xfId="40886"/>
    <cellStyle name="Normal 39 2 2 3 9" xfId="40887"/>
    <cellStyle name="Normal 39 2 2 4" xfId="40888"/>
    <cellStyle name="Normal 39 2 2 4 2" xfId="40889"/>
    <cellStyle name="Normal 39 2 2 4 2 2" xfId="40890"/>
    <cellStyle name="Normal 39 2 2 4 2 2 2" xfId="40891"/>
    <cellStyle name="Normal 39 2 2 4 2 2 2 2" xfId="40892"/>
    <cellStyle name="Normal 39 2 2 4 2 2 2 3" xfId="40893"/>
    <cellStyle name="Normal 39 2 2 4 2 2 2 4" xfId="40894"/>
    <cellStyle name="Normal 39 2 2 4 2 2 2 5" xfId="40895"/>
    <cellStyle name="Normal 39 2 2 4 2 2 2 6" xfId="40896"/>
    <cellStyle name="Normal 39 2 2 4 2 2 3" xfId="40897"/>
    <cellStyle name="Normal 39 2 2 4 2 2 4" xfId="40898"/>
    <cellStyle name="Normal 39 2 2 4 2 2 5" xfId="40899"/>
    <cellStyle name="Normal 39 2 2 4 2 2 6" xfId="40900"/>
    <cellStyle name="Normal 39 2 2 4 2 2 7" xfId="40901"/>
    <cellStyle name="Normal 39 2 2 4 2 3" xfId="40902"/>
    <cellStyle name="Normal 39 2 2 4 2 3 2" xfId="40903"/>
    <cellStyle name="Normal 39 2 2 4 2 3 3" xfId="40904"/>
    <cellStyle name="Normal 39 2 2 4 2 3 4" xfId="40905"/>
    <cellStyle name="Normal 39 2 2 4 2 3 5" xfId="40906"/>
    <cellStyle name="Normal 39 2 2 4 2 3 6" xfId="40907"/>
    <cellStyle name="Normal 39 2 2 4 2 4" xfId="40908"/>
    <cellStyle name="Normal 39 2 2 4 2 5" xfId="40909"/>
    <cellStyle name="Normal 39 2 2 4 2 6" xfId="40910"/>
    <cellStyle name="Normal 39 2 2 4 2 7" xfId="40911"/>
    <cellStyle name="Normal 39 2 2 4 2 8" xfId="40912"/>
    <cellStyle name="Normal 39 2 2 4 3" xfId="40913"/>
    <cellStyle name="Normal 39 2 2 4 3 2" xfId="40914"/>
    <cellStyle name="Normal 39 2 2 4 3 2 2" xfId="40915"/>
    <cellStyle name="Normal 39 2 2 4 3 2 3" xfId="40916"/>
    <cellStyle name="Normal 39 2 2 4 3 2 4" xfId="40917"/>
    <cellStyle name="Normal 39 2 2 4 3 2 5" xfId="40918"/>
    <cellStyle name="Normal 39 2 2 4 3 2 6" xfId="40919"/>
    <cellStyle name="Normal 39 2 2 4 3 3" xfId="40920"/>
    <cellStyle name="Normal 39 2 2 4 3 4" xfId="40921"/>
    <cellStyle name="Normal 39 2 2 4 3 5" xfId="40922"/>
    <cellStyle name="Normal 39 2 2 4 3 6" xfId="40923"/>
    <cellStyle name="Normal 39 2 2 4 3 7" xfId="40924"/>
    <cellStyle name="Normal 39 2 2 4 4" xfId="40925"/>
    <cellStyle name="Normal 39 2 2 4 4 2" xfId="40926"/>
    <cellStyle name="Normal 39 2 2 4 4 3" xfId="40927"/>
    <cellStyle name="Normal 39 2 2 4 4 4" xfId="40928"/>
    <cellStyle name="Normal 39 2 2 4 4 5" xfId="40929"/>
    <cellStyle name="Normal 39 2 2 4 4 6" xfId="40930"/>
    <cellStyle name="Normal 39 2 2 4 5" xfId="40931"/>
    <cellStyle name="Normal 39 2 2 4 6" xfId="40932"/>
    <cellStyle name="Normal 39 2 2 4 7" xfId="40933"/>
    <cellStyle name="Normal 39 2 2 4 8" xfId="40934"/>
    <cellStyle name="Normal 39 2 2 4 9" xfId="40935"/>
    <cellStyle name="Normal 39 2 2 5" xfId="40936"/>
    <cellStyle name="Normal 39 2 2 5 2" xfId="40937"/>
    <cellStyle name="Normal 39 2 2 5 2 2" xfId="40938"/>
    <cellStyle name="Normal 39 2 2 5 2 2 2" xfId="40939"/>
    <cellStyle name="Normal 39 2 2 5 2 2 2 2" xfId="40940"/>
    <cellStyle name="Normal 39 2 2 5 2 2 2 3" xfId="40941"/>
    <cellStyle name="Normal 39 2 2 5 2 2 2 4" xfId="40942"/>
    <cellStyle name="Normal 39 2 2 5 2 2 2 5" xfId="40943"/>
    <cellStyle name="Normal 39 2 2 5 2 2 2 6" xfId="40944"/>
    <cellStyle name="Normal 39 2 2 5 2 2 3" xfId="40945"/>
    <cellStyle name="Normal 39 2 2 5 2 2 4" xfId="40946"/>
    <cellStyle name="Normal 39 2 2 5 2 2 5" xfId="40947"/>
    <cellStyle name="Normal 39 2 2 5 2 2 6" xfId="40948"/>
    <cellStyle name="Normal 39 2 2 5 2 2 7" xfId="40949"/>
    <cellStyle name="Normal 39 2 2 5 2 3" xfId="40950"/>
    <cellStyle name="Normal 39 2 2 5 2 3 2" xfId="40951"/>
    <cellStyle name="Normal 39 2 2 5 2 3 3" xfId="40952"/>
    <cellStyle name="Normal 39 2 2 5 2 3 4" xfId="40953"/>
    <cellStyle name="Normal 39 2 2 5 2 3 5" xfId="40954"/>
    <cellStyle name="Normal 39 2 2 5 2 3 6" xfId="40955"/>
    <cellStyle name="Normal 39 2 2 5 2 4" xfId="40956"/>
    <cellStyle name="Normal 39 2 2 5 2 5" xfId="40957"/>
    <cellStyle name="Normal 39 2 2 5 2 6" xfId="40958"/>
    <cellStyle name="Normal 39 2 2 5 2 7" xfId="40959"/>
    <cellStyle name="Normal 39 2 2 5 2 8" xfId="40960"/>
    <cellStyle name="Normal 39 2 2 5 3" xfId="40961"/>
    <cellStyle name="Normal 39 2 2 5 3 2" xfId="40962"/>
    <cellStyle name="Normal 39 2 2 5 3 2 2" xfId="40963"/>
    <cellStyle name="Normal 39 2 2 5 3 2 3" xfId="40964"/>
    <cellStyle name="Normal 39 2 2 5 3 2 4" xfId="40965"/>
    <cellStyle name="Normal 39 2 2 5 3 2 5" xfId="40966"/>
    <cellStyle name="Normal 39 2 2 5 3 2 6" xfId="40967"/>
    <cellStyle name="Normal 39 2 2 5 3 3" xfId="40968"/>
    <cellStyle name="Normal 39 2 2 5 3 4" xfId="40969"/>
    <cellStyle name="Normal 39 2 2 5 3 5" xfId="40970"/>
    <cellStyle name="Normal 39 2 2 5 3 6" xfId="40971"/>
    <cellStyle name="Normal 39 2 2 5 3 7" xfId="40972"/>
    <cellStyle name="Normal 39 2 2 5 4" xfId="40973"/>
    <cellStyle name="Normal 39 2 2 5 4 2" xfId="40974"/>
    <cellStyle name="Normal 39 2 2 5 4 3" xfId="40975"/>
    <cellStyle name="Normal 39 2 2 5 4 4" xfId="40976"/>
    <cellStyle name="Normal 39 2 2 5 4 5" xfId="40977"/>
    <cellStyle name="Normal 39 2 2 5 4 6" xfId="40978"/>
    <cellStyle name="Normal 39 2 2 5 5" xfId="40979"/>
    <cellStyle name="Normal 39 2 2 5 6" xfId="40980"/>
    <cellStyle name="Normal 39 2 2 5 7" xfId="40981"/>
    <cellStyle name="Normal 39 2 2 5 8" xfId="40982"/>
    <cellStyle name="Normal 39 2 2 5 9" xfId="40983"/>
    <cellStyle name="Normal 39 2 2 6" xfId="40984"/>
    <cellStyle name="Normal 39 2 2 6 2" xfId="40985"/>
    <cellStyle name="Normal 39 2 2 6 2 2" xfId="40986"/>
    <cellStyle name="Normal 39 2 2 6 2 2 2" xfId="40987"/>
    <cellStyle name="Normal 39 2 2 6 2 2 2 2" xfId="40988"/>
    <cellStyle name="Normal 39 2 2 6 2 2 2 3" xfId="40989"/>
    <cellStyle name="Normal 39 2 2 6 2 2 2 4" xfId="40990"/>
    <cellStyle name="Normal 39 2 2 6 2 2 2 5" xfId="40991"/>
    <cellStyle name="Normal 39 2 2 6 2 2 2 6" xfId="40992"/>
    <cellStyle name="Normal 39 2 2 6 2 2 3" xfId="40993"/>
    <cellStyle name="Normal 39 2 2 6 2 2 4" xfId="40994"/>
    <cellStyle name="Normal 39 2 2 6 2 2 5" xfId="40995"/>
    <cellStyle name="Normal 39 2 2 6 2 2 6" xfId="40996"/>
    <cellStyle name="Normal 39 2 2 6 2 2 7" xfId="40997"/>
    <cellStyle name="Normal 39 2 2 6 2 3" xfId="40998"/>
    <cellStyle name="Normal 39 2 2 6 2 3 2" xfId="40999"/>
    <cellStyle name="Normal 39 2 2 6 2 3 3" xfId="41000"/>
    <cellStyle name="Normal 39 2 2 6 2 3 4" xfId="41001"/>
    <cellStyle name="Normal 39 2 2 6 2 3 5" xfId="41002"/>
    <cellStyle name="Normal 39 2 2 6 2 3 6" xfId="41003"/>
    <cellStyle name="Normal 39 2 2 6 2 4" xfId="41004"/>
    <cellStyle name="Normal 39 2 2 6 2 5" xfId="41005"/>
    <cellStyle name="Normal 39 2 2 6 2 6" xfId="41006"/>
    <cellStyle name="Normal 39 2 2 6 2 7" xfId="41007"/>
    <cellStyle name="Normal 39 2 2 6 2 8" xfId="41008"/>
    <cellStyle name="Normal 39 2 2 6 3" xfId="41009"/>
    <cellStyle name="Normal 39 2 2 6 3 2" xfId="41010"/>
    <cellStyle name="Normal 39 2 2 6 3 2 2" xfId="41011"/>
    <cellStyle name="Normal 39 2 2 6 3 2 3" xfId="41012"/>
    <cellStyle name="Normal 39 2 2 6 3 2 4" xfId="41013"/>
    <cellStyle name="Normal 39 2 2 6 3 2 5" xfId="41014"/>
    <cellStyle name="Normal 39 2 2 6 3 2 6" xfId="41015"/>
    <cellStyle name="Normal 39 2 2 6 3 3" xfId="41016"/>
    <cellStyle name="Normal 39 2 2 6 3 4" xfId="41017"/>
    <cellStyle name="Normal 39 2 2 6 3 5" xfId="41018"/>
    <cellStyle name="Normal 39 2 2 6 3 6" xfId="41019"/>
    <cellStyle name="Normal 39 2 2 6 3 7" xfId="41020"/>
    <cellStyle name="Normal 39 2 2 6 4" xfId="41021"/>
    <cellStyle name="Normal 39 2 2 6 4 2" xfId="41022"/>
    <cellStyle name="Normal 39 2 2 6 4 3" xfId="41023"/>
    <cellStyle name="Normal 39 2 2 6 4 4" xfId="41024"/>
    <cellStyle name="Normal 39 2 2 6 4 5" xfId="41025"/>
    <cellStyle name="Normal 39 2 2 6 4 6" xfId="41026"/>
    <cellStyle name="Normal 39 2 2 6 5" xfId="41027"/>
    <cellStyle name="Normal 39 2 2 6 6" xfId="41028"/>
    <cellStyle name="Normal 39 2 2 6 7" xfId="41029"/>
    <cellStyle name="Normal 39 2 2 6 8" xfId="41030"/>
    <cellStyle name="Normal 39 2 2 6 9" xfId="41031"/>
    <cellStyle name="Normal 39 2 2 7" xfId="41032"/>
    <cellStyle name="Normal 39 2 2 7 2" xfId="41033"/>
    <cellStyle name="Normal 39 2 2 7 2 2" xfId="41034"/>
    <cellStyle name="Normal 39 2 2 7 2 2 2" xfId="41035"/>
    <cellStyle name="Normal 39 2 2 7 2 2 2 2" xfId="41036"/>
    <cellStyle name="Normal 39 2 2 7 2 2 2 3" xfId="41037"/>
    <cellStyle name="Normal 39 2 2 7 2 2 2 4" xfId="41038"/>
    <cellStyle name="Normal 39 2 2 7 2 2 2 5" xfId="41039"/>
    <cellStyle name="Normal 39 2 2 7 2 2 2 6" xfId="41040"/>
    <cellStyle name="Normal 39 2 2 7 2 2 3" xfId="41041"/>
    <cellStyle name="Normal 39 2 2 7 2 2 4" xfId="41042"/>
    <cellStyle name="Normal 39 2 2 7 2 2 5" xfId="41043"/>
    <cellStyle name="Normal 39 2 2 7 2 2 6" xfId="41044"/>
    <cellStyle name="Normal 39 2 2 7 2 2 7" xfId="41045"/>
    <cellStyle name="Normal 39 2 2 7 2 3" xfId="41046"/>
    <cellStyle name="Normal 39 2 2 7 2 3 2" xfId="41047"/>
    <cellStyle name="Normal 39 2 2 7 2 3 3" xfId="41048"/>
    <cellStyle name="Normal 39 2 2 7 2 3 4" xfId="41049"/>
    <cellStyle name="Normal 39 2 2 7 2 3 5" xfId="41050"/>
    <cellStyle name="Normal 39 2 2 7 2 3 6" xfId="41051"/>
    <cellStyle name="Normal 39 2 2 7 2 4" xfId="41052"/>
    <cellStyle name="Normal 39 2 2 7 2 5" xfId="41053"/>
    <cellStyle name="Normal 39 2 2 7 2 6" xfId="41054"/>
    <cellStyle name="Normal 39 2 2 7 2 7" xfId="41055"/>
    <cellStyle name="Normal 39 2 2 7 2 8" xfId="41056"/>
    <cellStyle name="Normal 39 2 2 7 3" xfId="41057"/>
    <cellStyle name="Normal 39 2 2 7 3 2" xfId="41058"/>
    <cellStyle name="Normal 39 2 2 7 3 2 2" xfId="41059"/>
    <cellStyle name="Normal 39 2 2 7 3 2 3" xfId="41060"/>
    <cellStyle name="Normal 39 2 2 7 3 2 4" xfId="41061"/>
    <cellStyle name="Normal 39 2 2 7 3 2 5" xfId="41062"/>
    <cellStyle name="Normal 39 2 2 7 3 2 6" xfId="41063"/>
    <cellStyle name="Normal 39 2 2 7 3 3" xfId="41064"/>
    <cellStyle name="Normal 39 2 2 7 3 4" xfId="41065"/>
    <cellStyle name="Normal 39 2 2 7 3 5" xfId="41066"/>
    <cellStyle name="Normal 39 2 2 7 3 6" xfId="41067"/>
    <cellStyle name="Normal 39 2 2 7 3 7" xfId="41068"/>
    <cellStyle name="Normal 39 2 2 7 4" xfId="41069"/>
    <cellStyle name="Normal 39 2 2 7 4 2" xfId="41070"/>
    <cellStyle name="Normal 39 2 2 7 4 3" xfId="41071"/>
    <cellStyle name="Normal 39 2 2 7 4 4" xfId="41072"/>
    <cellStyle name="Normal 39 2 2 7 4 5" xfId="41073"/>
    <cellStyle name="Normal 39 2 2 7 4 6" xfId="41074"/>
    <cellStyle name="Normal 39 2 2 7 5" xfId="41075"/>
    <cellStyle name="Normal 39 2 2 7 6" xfId="41076"/>
    <cellStyle name="Normal 39 2 2 7 7" xfId="41077"/>
    <cellStyle name="Normal 39 2 2 7 8" xfId="41078"/>
    <cellStyle name="Normal 39 2 2 7 9" xfId="41079"/>
    <cellStyle name="Normal 39 2 2 8" xfId="41080"/>
    <cellStyle name="Normal 39 2 2 8 2" xfId="41081"/>
    <cellStyle name="Normal 39 2 2 8 2 2" xfId="41082"/>
    <cellStyle name="Normal 39 2 2 8 2 2 2" xfId="41083"/>
    <cellStyle name="Normal 39 2 2 8 2 2 3" xfId="41084"/>
    <cellStyle name="Normal 39 2 2 8 2 2 4" xfId="41085"/>
    <cellStyle name="Normal 39 2 2 8 2 2 5" xfId="41086"/>
    <cellStyle name="Normal 39 2 2 8 2 2 6" xfId="41087"/>
    <cellStyle name="Normal 39 2 2 8 2 3" xfId="41088"/>
    <cellStyle name="Normal 39 2 2 8 2 4" xfId="41089"/>
    <cellStyle name="Normal 39 2 2 8 2 5" xfId="41090"/>
    <cellStyle name="Normal 39 2 2 8 2 6" xfId="41091"/>
    <cellStyle name="Normal 39 2 2 8 2 7" xfId="41092"/>
    <cellStyle name="Normal 39 2 2 8 3" xfId="41093"/>
    <cellStyle name="Normal 39 2 2 8 3 2" xfId="41094"/>
    <cellStyle name="Normal 39 2 2 8 3 3" xfId="41095"/>
    <cellStyle name="Normal 39 2 2 8 3 4" xfId="41096"/>
    <cellStyle name="Normal 39 2 2 8 3 5" xfId="41097"/>
    <cellStyle name="Normal 39 2 2 8 3 6" xfId="41098"/>
    <cellStyle name="Normal 39 2 2 8 4" xfId="41099"/>
    <cellStyle name="Normal 39 2 2 8 5" xfId="41100"/>
    <cellStyle name="Normal 39 2 2 8 6" xfId="41101"/>
    <cellStyle name="Normal 39 2 2 8 7" xfId="41102"/>
    <cellStyle name="Normal 39 2 2 8 8" xfId="41103"/>
    <cellStyle name="Normal 39 2 2 9" xfId="41104"/>
    <cellStyle name="Normal 39 2 2 9 2" xfId="41105"/>
    <cellStyle name="Normal 39 2 2 9 2 2" xfId="41106"/>
    <cellStyle name="Normal 39 2 2 9 2 3" xfId="41107"/>
    <cellStyle name="Normal 39 2 2 9 2 4" xfId="41108"/>
    <cellStyle name="Normal 39 2 2 9 2 5" xfId="41109"/>
    <cellStyle name="Normal 39 2 2 9 2 6" xfId="41110"/>
    <cellStyle name="Normal 39 2 2 9 3" xfId="41111"/>
    <cellStyle name="Normal 39 2 2 9 4" xfId="41112"/>
    <cellStyle name="Normal 39 2 2 9 5" xfId="41113"/>
    <cellStyle name="Normal 39 2 2 9 6" xfId="41114"/>
    <cellStyle name="Normal 39 2 2 9 7" xfId="41115"/>
    <cellStyle name="Normal 39 2 3" xfId="41116"/>
    <cellStyle name="Normal 39 2 3 10" xfId="41117"/>
    <cellStyle name="Normal 39 2 3 10 2" xfId="41118"/>
    <cellStyle name="Normal 39 2 3 10 3" xfId="41119"/>
    <cellStyle name="Normal 39 2 3 10 4" xfId="41120"/>
    <cellStyle name="Normal 39 2 3 10 5" xfId="41121"/>
    <cellStyle name="Normal 39 2 3 10 6" xfId="41122"/>
    <cellStyle name="Normal 39 2 3 11" xfId="41123"/>
    <cellStyle name="Normal 39 2 3 12" xfId="41124"/>
    <cellStyle name="Normal 39 2 3 13" xfId="41125"/>
    <cellStyle name="Normal 39 2 3 14" xfId="41126"/>
    <cellStyle name="Normal 39 2 3 15" xfId="41127"/>
    <cellStyle name="Normal 39 2 3 2" xfId="41128"/>
    <cellStyle name="Normal 39 2 3 2 10" xfId="41129"/>
    <cellStyle name="Normal 39 2 3 2 11" xfId="41130"/>
    <cellStyle name="Normal 39 2 3 2 12" xfId="41131"/>
    <cellStyle name="Normal 39 2 3 2 13" xfId="41132"/>
    <cellStyle name="Normal 39 2 3 2 14" xfId="41133"/>
    <cellStyle name="Normal 39 2 3 2 2" xfId="41134"/>
    <cellStyle name="Normal 39 2 3 2 2 2" xfId="41135"/>
    <cellStyle name="Normal 39 2 3 2 2 2 2" xfId="41136"/>
    <cellStyle name="Normal 39 2 3 2 2 2 2 2" xfId="41137"/>
    <cellStyle name="Normal 39 2 3 2 2 2 2 2 2" xfId="41138"/>
    <cellStyle name="Normal 39 2 3 2 2 2 2 2 3" xfId="41139"/>
    <cellStyle name="Normal 39 2 3 2 2 2 2 2 4" xfId="41140"/>
    <cellStyle name="Normal 39 2 3 2 2 2 2 2 5" xfId="41141"/>
    <cellStyle name="Normal 39 2 3 2 2 2 2 2 6" xfId="41142"/>
    <cellStyle name="Normal 39 2 3 2 2 2 2 3" xfId="41143"/>
    <cellStyle name="Normal 39 2 3 2 2 2 2 4" xfId="41144"/>
    <cellStyle name="Normal 39 2 3 2 2 2 2 5" xfId="41145"/>
    <cellStyle name="Normal 39 2 3 2 2 2 2 6" xfId="41146"/>
    <cellStyle name="Normal 39 2 3 2 2 2 2 7" xfId="41147"/>
    <cellStyle name="Normal 39 2 3 2 2 2 3" xfId="41148"/>
    <cellStyle name="Normal 39 2 3 2 2 2 3 2" xfId="41149"/>
    <cellStyle name="Normal 39 2 3 2 2 2 3 3" xfId="41150"/>
    <cellStyle name="Normal 39 2 3 2 2 2 3 4" xfId="41151"/>
    <cellStyle name="Normal 39 2 3 2 2 2 3 5" xfId="41152"/>
    <cellStyle name="Normal 39 2 3 2 2 2 3 6" xfId="41153"/>
    <cellStyle name="Normal 39 2 3 2 2 2 4" xfId="41154"/>
    <cellStyle name="Normal 39 2 3 2 2 2 5" xfId="41155"/>
    <cellStyle name="Normal 39 2 3 2 2 2 6" xfId="41156"/>
    <cellStyle name="Normal 39 2 3 2 2 2 7" xfId="41157"/>
    <cellStyle name="Normal 39 2 3 2 2 2 8" xfId="41158"/>
    <cellStyle name="Normal 39 2 3 2 2 3" xfId="41159"/>
    <cellStyle name="Normal 39 2 3 2 2 3 2" xfId="41160"/>
    <cellStyle name="Normal 39 2 3 2 2 3 2 2" xfId="41161"/>
    <cellStyle name="Normal 39 2 3 2 2 3 2 3" xfId="41162"/>
    <cellStyle name="Normal 39 2 3 2 2 3 2 4" xfId="41163"/>
    <cellStyle name="Normal 39 2 3 2 2 3 2 5" xfId="41164"/>
    <cellStyle name="Normal 39 2 3 2 2 3 2 6" xfId="41165"/>
    <cellStyle name="Normal 39 2 3 2 2 3 3" xfId="41166"/>
    <cellStyle name="Normal 39 2 3 2 2 3 4" xfId="41167"/>
    <cellStyle name="Normal 39 2 3 2 2 3 5" xfId="41168"/>
    <cellStyle name="Normal 39 2 3 2 2 3 6" xfId="41169"/>
    <cellStyle name="Normal 39 2 3 2 2 3 7" xfId="41170"/>
    <cellStyle name="Normal 39 2 3 2 2 4" xfId="41171"/>
    <cellStyle name="Normal 39 2 3 2 2 4 2" xfId="41172"/>
    <cellStyle name="Normal 39 2 3 2 2 4 3" xfId="41173"/>
    <cellStyle name="Normal 39 2 3 2 2 4 4" xfId="41174"/>
    <cellStyle name="Normal 39 2 3 2 2 4 5" xfId="41175"/>
    <cellStyle name="Normal 39 2 3 2 2 4 6" xfId="41176"/>
    <cellStyle name="Normal 39 2 3 2 2 5" xfId="41177"/>
    <cellStyle name="Normal 39 2 3 2 2 6" xfId="41178"/>
    <cellStyle name="Normal 39 2 3 2 2 7" xfId="41179"/>
    <cellStyle name="Normal 39 2 3 2 2 8" xfId="41180"/>
    <cellStyle name="Normal 39 2 3 2 2 9" xfId="41181"/>
    <cellStyle name="Normal 39 2 3 2 3" xfId="41182"/>
    <cellStyle name="Normal 39 2 3 2 3 2" xfId="41183"/>
    <cellStyle name="Normal 39 2 3 2 3 2 2" xfId="41184"/>
    <cellStyle name="Normal 39 2 3 2 3 2 2 2" xfId="41185"/>
    <cellStyle name="Normal 39 2 3 2 3 2 2 2 2" xfId="41186"/>
    <cellStyle name="Normal 39 2 3 2 3 2 2 2 3" xfId="41187"/>
    <cellStyle name="Normal 39 2 3 2 3 2 2 2 4" xfId="41188"/>
    <cellStyle name="Normal 39 2 3 2 3 2 2 2 5" xfId="41189"/>
    <cellStyle name="Normal 39 2 3 2 3 2 2 2 6" xfId="41190"/>
    <cellStyle name="Normal 39 2 3 2 3 2 2 3" xfId="41191"/>
    <cellStyle name="Normal 39 2 3 2 3 2 2 4" xfId="41192"/>
    <cellStyle name="Normal 39 2 3 2 3 2 2 5" xfId="41193"/>
    <cellStyle name="Normal 39 2 3 2 3 2 2 6" xfId="41194"/>
    <cellStyle name="Normal 39 2 3 2 3 2 2 7" xfId="41195"/>
    <cellStyle name="Normal 39 2 3 2 3 2 3" xfId="41196"/>
    <cellStyle name="Normal 39 2 3 2 3 2 3 2" xfId="41197"/>
    <cellStyle name="Normal 39 2 3 2 3 2 3 3" xfId="41198"/>
    <cellStyle name="Normal 39 2 3 2 3 2 3 4" xfId="41199"/>
    <cellStyle name="Normal 39 2 3 2 3 2 3 5" xfId="41200"/>
    <cellStyle name="Normal 39 2 3 2 3 2 3 6" xfId="41201"/>
    <cellStyle name="Normal 39 2 3 2 3 2 4" xfId="41202"/>
    <cellStyle name="Normal 39 2 3 2 3 2 5" xfId="41203"/>
    <cellStyle name="Normal 39 2 3 2 3 2 6" xfId="41204"/>
    <cellStyle name="Normal 39 2 3 2 3 2 7" xfId="41205"/>
    <cellStyle name="Normal 39 2 3 2 3 2 8" xfId="41206"/>
    <cellStyle name="Normal 39 2 3 2 3 3" xfId="41207"/>
    <cellStyle name="Normal 39 2 3 2 3 3 2" xfId="41208"/>
    <cellStyle name="Normal 39 2 3 2 3 3 2 2" xfId="41209"/>
    <cellStyle name="Normal 39 2 3 2 3 3 2 3" xfId="41210"/>
    <cellStyle name="Normal 39 2 3 2 3 3 2 4" xfId="41211"/>
    <cellStyle name="Normal 39 2 3 2 3 3 2 5" xfId="41212"/>
    <cellStyle name="Normal 39 2 3 2 3 3 2 6" xfId="41213"/>
    <cellStyle name="Normal 39 2 3 2 3 3 3" xfId="41214"/>
    <cellStyle name="Normal 39 2 3 2 3 3 4" xfId="41215"/>
    <cellStyle name="Normal 39 2 3 2 3 3 5" xfId="41216"/>
    <cellStyle name="Normal 39 2 3 2 3 3 6" xfId="41217"/>
    <cellStyle name="Normal 39 2 3 2 3 3 7" xfId="41218"/>
    <cellStyle name="Normal 39 2 3 2 3 4" xfId="41219"/>
    <cellStyle name="Normal 39 2 3 2 3 4 2" xfId="41220"/>
    <cellStyle name="Normal 39 2 3 2 3 4 3" xfId="41221"/>
    <cellStyle name="Normal 39 2 3 2 3 4 4" xfId="41222"/>
    <cellStyle name="Normal 39 2 3 2 3 4 5" xfId="41223"/>
    <cellStyle name="Normal 39 2 3 2 3 4 6" xfId="41224"/>
    <cellStyle name="Normal 39 2 3 2 3 5" xfId="41225"/>
    <cellStyle name="Normal 39 2 3 2 3 6" xfId="41226"/>
    <cellStyle name="Normal 39 2 3 2 3 7" xfId="41227"/>
    <cellStyle name="Normal 39 2 3 2 3 8" xfId="41228"/>
    <cellStyle name="Normal 39 2 3 2 3 9" xfId="41229"/>
    <cellStyle name="Normal 39 2 3 2 4" xfId="41230"/>
    <cellStyle name="Normal 39 2 3 2 4 2" xfId="41231"/>
    <cellStyle name="Normal 39 2 3 2 4 2 2" xfId="41232"/>
    <cellStyle name="Normal 39 2 3 2 4 2 2 2" xfId="41233"/>
    <cellStyle name="Normal 39 2 3 2 4 2 2 2 2" xfId="41234"/>
    <cellStyle name="Normal 39 2 3 2 4 2 2 2 3" xfId="41235"/>
    <cellStyle name="Normal 39 2 3 2 4 2 2 2 4" xfId="41236"/>
    <cellStyle name="Normal 39 2 3 2 4 2 2 2 5" xfId="41237"/>
    <cellStyle name="Normal 39 2 3 2 4 2 2 2 6" xfId="41238"/>
    <cellStyle name="Normal 39 2 3 2 4 2 2 3" xfId="41239"/>
    <cellStyle name="Normal 39 2 3 2 4 2 2 4" xfId="41240"/>
    <cellStyle name="Normal 39 2 3 2 4 2 2 5" xfId="41241"/>
    <cellStyle name="Normal 39 2 3 2 4 2 2 6" xfId="41242"/>
    <cellStyle name="Normal 39 2 3 2 4 2 2 7" xfId="41243"/>
    <cellStyle name="Normal 39 2 3 2 4 2 3" xfId="41244"/>
    <cellStyle name="Normal 39 2 3 2 4 2 3 2" xfId="41245"/>
    <cellStyle name="Normal 39 2 3 2 4 2 3 3" xfId="41246"/>
    <cellStyle name="Normal 39 2 3 2 4 2 3 4" xfId="41247"/>
    <cellStyle name="Normal 39 2 3 2 4 2 3 5" xfId="41248"/>
    <cellStyle name="Normal 39 2 3 2 4 2 3 6" xfId="41249"/>
    <cellStyle name="Normal 39 2 3 2 4 2 4" xfId="41250"/>
    <cellStyle name="Normal 39 2 3 2 4 2 5" xfId="41251"/>
    <cellStyle name="Normal 39 2 3 2 4 2 6" xfId="41252"/>
    <cellStyle name="Normal 39 2 3 2 4 2 7" xfId="41253"/>
    <cellStyle name="Normal 39 2 3 2 4 2 8" xfId="41254"/>
    <cellStyle name="Normal 39 2 3 2 4 3" xfId="41255"/>
    <cellStyle name="Normal 39 2 3 2 4 3 2" xfId="41256"/>
    <cellStyle name="Normal 39 2 3 2 4 3 2 2" xfId="41257"/>
    <cellStyle name="Normal 39 2 3 2 4 3 2 3" xfId="41258"/>
    <cellStyle name="Normal 39 2 3 2 4 3 2 4" xfId="41259"/>
    <cellStyle name="Normal 39 2 3 2 4 3 2 5" xfId="41260"/>
    <cellStyle name="Normal 39 2 3 2 4 3 2 6" xfId="41261"/>
    <cellStyle name="Normal 39 2 3 2 4 3 3" xfId="41262"/>
    <cellStyle name="Normal 39 2 3 2 4 3 4" xfId="41263"/>
    <cellStyle name="Normal 39 2 3 2 4 3 5" xfId="41264"/>
    <cellStyle name="Normal 39 2 3 2 4 3 6" xfId="41265"/>
    <cellStyle name="Normal 39 2 3 2 4 3 7" xfId="41266"/>
    <cellStyle name="Normal 39 2 3 2 4 4" xfId="41267"/>
    <cellStyle name="Normal 39 2 3 2 4 4 2" xfId="41268"/>
    <cellStyle name="Normal 39 2 3 2 4 4 3" xfId="41269"/>
    <cellStyle name="Normal 39 2 3 2 4 4 4" xfId="41270"/>
    <cellStyle name="Normal 39 2 3 2 4 4 5" xfId="41271"/>
    <cellStyle name="Normal 39 2 3 2 4 4 6" xfId="41272"/>
    <cellStyle name="Normal 39 2 3 2 4 5" xfId="41273"/>
    <cellStyle name="Normal 39 2 3 2 4 6" xfId="41274"/>
    <cellStyle name="Normal 39 2 3 2 4 7" xfId="41275"/>
    <cellStyle name="Normal 39 2 3 2 4 8" xfId="41276"/>
    <cellStyle name="Normal 39 2 3 2 4 9" xfId="41277"/>
    <cellStyle name="Normal 39 2 3 2 5" xfId="41278"/>
    <cellStyle name="Normal 39 2 3 2 5 2" xfId="41279"/>
    <cellStyle name="Normal 39 2 3 2 5 2 2" xfId="41280"/>
    <cellStyle name="Normal 39 2 3 2 5 2 2 2" xfId="41281"/>
    <cellStyle name="Normal 39 2 3 2 5 2 2 2 2" xfId="41282"/>
    <cellStyle name="Normal 39 2 3 2 5 2 2 2 3" xfId="41283"/>
    <cellStyle name="Normal 39 2 3 2 5 2 2 2 4" xfId="41284"/>
    <cellStyle name="Normal 39 2 3 2 5 2 2 2 5" xfId="41285"/>
    <cellStyle name="Normal 39 2 3 2 5 2 2 2 6" xfId="41286"/>
    <cellStyle name="Normal 39 2 3 2 5 2 2 3" xfId="41287"/>
    <cellStyle name="Normal 39 2 3 2 5 2 2 4" xfId="41288"/>
    <cellStyle name="Normal 39 2 3 2 5 2 2 5" xfId="41289"/>
    <cellStyle name="Normal 39 2 3 2 5 2 2 6" xfId="41290"/>
    <cellStyle name="Normal 39 2 3 2 5 2 2 7" xfId="41291"/>
    <cellStyle name="Normal 39 2 3 2 5 2 3" xfId="41292"/>
    <cellStyle name="Normal 39 2 3 2 5 2 3 2" xfId="41293"/>
    <cellStyle name="Normal 39 2 3 2 5 2 3 3" xfId="41294"/>
    <cellStyle name="Normal 39 2 3 2 5 2 3 4" xfId="41295"/>
    <cellStyle name="Normal 39 2 3 2 5 2 3 5" xfId="41296"/>
    <cellStyle name="Normal 39 2 3 2 5 2 3 6" xfId="41297"/>
    <cellStyle name="Normal 39 2 3 2 5 2 4" xfId="41298"/>
    <cellStyle name="Normal 39 2 3 2 5 2 5" xfId="41299"/>
    <cellStyle name="Normal 39 2 3 2 5 2 6" xfId="41300"/>
    <cellStyle name="Normal 39 2 3 2 5 2 7" xfId="41301"/>
    <cellStyle name="Normal 39 2 3 2 5 2 8" xfId="41302"/>
    <cellStyle name="Normal 39 2 3 2 5 3" xfId="41303"/>
    <cellStyle name="Normal 39 2 3 2 5 3 2" xfId="41304"/>
    <cellStyle name="Normal 39 2 3 2 5 3 2 2" xfId="41305"/>
    <cellStyle name="Normal 39 2 3 2 5 3 2 3" xfId="41306"/>
    <cellStyle name="Normal 39 2 3 2 5 3 2 4" xfId="41307"/>
    <cellStyle name="Normal 39 2 3 2 5 3 2 5" xfId="41308"/>
    <cellStyle name="Normal 39 2 3 2 5 3 2 6" xfId="41309"/>
    <cellStyle name="Normal 39 2 3 2 5 3 3" xfId="41310"/>
    <cellStyle name="Normal 39 2 3 2 5 3 4" xfId="41311"/>
    <cellStyle name="Normal 39 2 3 2 5 3 5" xfId="41312"/>
    <cellStyle name="Normal 39 2 3 2 5 3 6" xfId="41313"/>
    <cellStyle name="Normal 39 2 3 2 5 3 7" xfId="41314"/>
    <cellStyle name="Normal 39 2 3 2 5 4" xfId="41315"/>
    <cellStyle name="Normal 39 2 3 2 5 4 2" xfId="41316"/>
    <cellStyle name="Normal 39 2 3 2 5 4 3" xfId="41317"/>
    <cellStyle name="Normal 39 2 3 2 5 4 4" xfId="41318"/>
    <cellStyle name="Normal 39 2 3 2 5 4 5" xfId="41319"/>
    <cellStyle name="Normal 39 2 3 2 5 4 6" xfId="41320"/>
    <cellStyle name="Normal 39 2 3 2 5 5" xfId="41321"/>
    <cellStyle name="Normal 39 2 3 2 5 6" xfId="41322"/>
    <cellStyle name="Normal 39 2 3 2 5 7" xfId="41323"/>
    <cellStyle name="Normal 39 2 3 2 5 8" xfId="41324"/>
    <cellStyle name="Normal 39 2 3 2 5 9" xfId="41325"/>
    <cellStyle name="Normal 39 2 3 2 6" xfId="41326"/>
    <cellStyle name="Normal 39 2 3 2 6 2" xfId="41327"/>
    <cellStyle name="Normal 39 2 3 2 6 2 2" xfId="41328"/>
    <cellStyle name="Normal 39 2 3 2 6 2 2 2" xfId="41329"/>
    <cellStyle name="Normal 39 2 3 2 6 2 2 2 2" xfId="41330"/>
    <cellStyle name="Normal 39 2 3 2 6 2 2 2 3" xfId="41331"/>
    <cellStyle name="Normal 39 2 3 2 6 2 2 2 4" xfId="41332"/>
    <cellStyle name="Normal 39 2 3 2 6 2 2 2 5" xfId="41333"/>
    <cellStyle name="Normal 39 2 3 2 6 2 2 2 6" xfId="41334"/>
    <cellStyle name="Normal 39 2 3 2 6 2 2 3" xfId="41335"/>
    <cellStyle name="Normal 39 2 3 2 6 2 2 4" xfId="41336"/>
    <cellStyle name="Normal 39 2 3 2 6 2 2 5" xfId="41337"/>
    <cellStyle name="Normal 39 2 3 2 6 2 2 6" xfId="41338"/>
    <cellStyle name="Normal 39 2 3 2 6 2 2 7" xfId="41339"/>
    <cellStyle name="Normal 39 2 3 2 6 2 3" xfId="41340"/>
    <cellStyle name="Normal 39 2 3 2 6 2 3 2" xfId="41341"/>
    <cellStyle name="Normal 39 2 3 2 6 2 3 3" xfId="41342"/>
    <cellStyle name="Normal 39 2 3 2 6 2 3 4" xfId="41343"/>
    <cellStyle name="Normal 39 2 3 2 6 2 3 5" xfId="41344"/>
    <cellStyle name="Normal 39 2 3 2 6 2 3 6" xfId="41345"/>
    <cellStyle name="Normal 39 2 3 2 6 2 4" xfId="41346"/>
    <cellStyle name="Normal 39 2 3 2 6 2 5" xfId="41347"/>
    <cellStyle name="Normal 39 2 3 2 6 2 6" xfId="41348"/>
    <cellStyle name="Normal 39 2 3 2 6 2 7" xfId="41349"/>
    <cellStyle name="Normal 39 2 3 2 6 2 8" xfId="41350"/>
    <cellStyle name="Normal 39 2 3 2 6 3" xfId="41351"/>
    <cellStyle name="Normal 39 2 3 2 6 3 2" xfId="41352"/>
    <cellStyle name="Normal 39 2 3 2 6 3 2 2" xfId="41353"/>
    <cellStyle name="Normal 39 2 3 2 6 3 2 3" xfId="41354"/>
    <cellStyle name="Normal 39 2 3 2 6 3 2 4" xfId="41355"/>
    <cellStyle name="Normal 39 2 3 2 6 3 2 5" xfId="41356"/>
    <cellStyle name="Normal 39 2 3 2 6 3 2 6" xfId="41357"/>
    <cellStyle name="Normal 39 2 3 2 6 3 3" xfId="41358"/>
    <cellStyle name="Normal 39 2 3 2 6 3 4" xfId="41359"/>
    <cellStyle name="Normal 39 2 3 2 6 3 5" xfId="41360"/>
    <cellStyle name="Normal 39 2 3 2 6 3 6" xfId="41361"/>
    <cellStyle name="Normal 39 2 3 2 6 3 7" xfId="41362"/>
    <cellStyle name="Normal 39 2 3 2 6 4" xfId="41363"/>
    <cellStyle name="Normal 39 2 3 2 6 4 2" xfId="41364"/>
    <cellStyle name="Normal 39 2 3 2 6 4 3" xfId="41365"/>
    <cellStyle name="Normal 39 2 3 2 6 4 4" xfId="41366"/>
    <cellStyle name="Normal 39 2 3 2 6 4 5" xfId="41367"/>
    <cellStyle name="Normal 39 2 3 2 6 4 6" xfId="41368"/>
    <cellStyle name="Normal 39 2 3 2 6 5" xfId="41369"/>
    <cellStyle name="Normal 39 2 3 2 6 6" xfId="41370"/>
    <cellStyle name="Normal 39 2 3 2 6 7" xfId="41371"/>
    <cellStyle name="Normal 39 2 3 2 6 8" xfId="41372"/>
    <cellStyle name="Normal 39 2 3 2 6 9" xfId="41373"/>
    <cellStyle name="Normal 39 2 3 2 7" xfId="41374"/>
    <cellStyle name="Normal 39 2 3 2 7 2" xfId="41375"/>
    <cellStyle name="Normal 39 2 3 2 7 2 2" xfId="41376"/>
    <cellStyle name="Normal 39 2 3 2 7 2 2 2" xfId="41377"/>
    <cellStyle name="Normal 39 2 3 2 7 2 2 3" xfId="41378"/>
    <cellStyle name="Normal 39 2 3 2 7 2 2 4" xfId="41379"/>
    <cellStyle name="Normal 39 2 3 2 7 2 2 5" xfId="41380"/>
    <cellStyle name="Normal 39 2 3 2 7 2 2 6" xfId="41381"/>
    <cellStyle name="Normal 39 2 3 2 7 2 3" xfId="41382"/>
    <cellStyle name="Normal 39 2 3 2 7 2 4" xfId="41383"/>
    <cellStyle name="Normal 39 2 3 2 7 2 5" xfId="41384"/>
    <cellStyle name="Normal 39 2 3 2 7 2 6" xfId="41385"/>
    <cellStyle name="Normal 39 2 3 2 7 2 7" xfId="41386"/>
    <cellStyle name="Normal 39 2 3 2 7 3" xfId="41387"/>
    <cellStyle name="Normal 39 2 3 2 7 3 2" xfId="41388"/>
    <cellStyle name="Normal 39 2 3 2 7 3 3" xfId="41389"/>
    <cellStyle name="Normal 39 2 3 2 7 3 4" xfId="41390"/>
    <cellStyle name="Normal 39 2 3 2 7 3 5" xfId="41391"/>
    <cellStyle name="Normal 39 2 3 2 7 3 6" xfId="41392"/>
    <cellStyle name="Normal 39 2 3 2 7 4" xfId="41393"/>
    <cellStyle name="Normal 39 2 3 2 7 5" xfId="41394"/>
    <cellStyle name="Normal 39 2 3 2 7 6" xfId="41395"/>
    <cellStyle name="Normal 39 2 3 2 7 7" xfId="41396"/>
    <cellStyle name="Normal 39 2 3 2 7 8" xfId="41397"/>
    <cellStyle name="Normal 39 2 3 2 8" xfId="41398"/>
    <cellStyle name="Normal 39 2 3 2 8 2" xfId="41399"/>
    <cellStyle name="Normal 39 2 3 2 8 2 2" xfId="41400"/>
    <cellStyle name="Normal 39 2 3 2 8 2 3" xfId="41401"/>
    <cellStyle name="Normal 39 2 3 2 8 2 4" xfId="41402"/>
    <cellStyle name="Normal 39 2 3 2 8 2 5" xfId="41403"/>
    <cellStyle name="Normal 39 2 3 2 8 2 6" xfId="41404"/>
    <cellStyle name="Normal 39 2 3 2 8 3" xfId="41405"/>
    <cellStyle name="Normal 39 2 3 2 8 4" xfId="41406"/>
    <cellStyle name="Normal 39 2 3 2 8 5" xfId="41407"/>
    <cellStyle name="Normal 39 2 3 2 8 6" xfId="41408"/>
    <cellStyle name="Normal 39 2 3 2 8 7" xfId="41409"/>
    <cellStyle name="Normal 39 2 3 2 9" xfId="41410"/>
    <cellStyle name="Normal 39 2 3 2 9 2" xfId="41411"/>
    <cellStyle name="Normal 39 2 3 2 9 3" xfId="41412"/>
    <cellStyle name="Normal 39 2 3 2 9 4" xfId="41413"/>
    <cellStyle name="Normal 39 2 3 2 9 5" xfId="41414"/>
    <cellStyle name="Normal 39 2 3 2 9 6" xfId="41415"/>
    <cellStyle name="Normal 39 2 3 3" xfId="41416"/>
    <cellStyle name="Normal 39 2 3 3 2" xfId="41417"/>
    <cellStyle name="Normal 39 2 3 3 2 2" xfId="41418"/>
    <cellStyle name="Normal 39 2 3 3 2 2 2" xfId="41419"/>
    <cellStyle name="Normal 39 2 3 3 2 2 2 2" xfId="41420"/>
    <cellStyle name="Normal 39 2 3 3 2 2 2 3" xfId="41421"/>
    <cellStyle name="Normal 39 2 3 3 2 2 2 4" xfId="41422"/>
    <cellStyle name="Normal 39 2 3 3 2 2 2 5" xfId="41423"/>
    <cellStyle name="Normal 39 2 3 3 2 2 2 6" xfId="41424"/>
    <cellStyle name="Normal 39 2 3 3 2 2 3" xfId="41425"/>
    <cellStyle name="Normal 39 2 3 3 2 2 4" xfId="41426"/>
    <cellStyle name="Normal 39 2 3 3 2 2 5" xfId="41427"/>
    <cellStyle name="Normal 39 2 3 3 2 2 6" xfId="41428"/>
    <cellStyle name="Normal 39 2 3 3 2 2 7" xfId="41429"/>
    <cellStyle name="Normal 39 2 3 3 2 3" xfId="41430"/>
    <cellStyle name="Normal 39 2 3 3 2 3 2" xfId="41431"/>
    <cellStyle name="Normal 39 2 3 3 2 3 3" xfId="41432"/>
    <cellStyle name="Normal 39 2 3 3 2 3 4" xfId="41433"/>
    <cellStyle name="Normal 39 2 3 3 2 3 5" xfId="41434"/>
    <cellStyle name="Normal 39 2 3 3 2 3 6" xfId="41435"/>
    <cellStyle name="Normal 39 2 3 3 2 4" xfId="41436"/>
    <cellStyle name="Normal 39 2 3 3 2 5" xfId="41437"/>
    <cellStyle name="Normal 39 2 3 3 2 6" xfId="41438"/>
    <cellStyle name="Normal 39 2 3 3 2 7" xfId="41439"/>
    <cellStyle name="Normal 39 2 3 3 2 8" xfId="41440"/>
    <cellStyle name="Normal 39 2 3 3 3" xfId="41441"/>
    <cellStyle name="Normal 39 2 3 3 3 2" xfId="41442"/>
    <cellStyle name="Normal 39 2 3 3 3 2 2" xfId="41443"/>
    <cellStyle name="Normal 39 2 3 3 3 2 3" xfId="41444"/>
    <cellStyle name="Normal 39 2 3 3 3 2 4" xfId="41445"/>
    <cellStyle name="Normal 39 2 3 3 3 2 5" xfId="41446"/>
    <cellStyle name="Normal 39 2 3 3 3 2 6" xfId="41447"/>
    <cellStyle name="Normal 39 2 3 3 3 3" xfId="41448"/>
    <cellStyle name="Normal 39 2 3 3 3 4" xfId="41449"/>
    <cellStyle name="Normal 39 2 3 3 3 5" xfId="41450"/>
    <cellStyle name="Normal 39 2 3 3 3 6" xfId="41451"/>
    <cellStyle name="Normal 39 2 3 3 3 7" xfId="41452"/>
    <cellStyle name="Normal 39 2 3 3 4" xfId="41453"/>
    <cellStyle name="Normal 39 2 3 3 4 2" xfId="41454"/>
    <cellStyle name="Normal 39 2 3 3 4 3" xfId="41455"/>
    <cellStyle name="Normal 39 2 3 3 4 4" xfId="41456"/>
    <cellStyle name="Normal 39 2 3 3 4 5" xfId="41457"/>
    <cellStyle name="Normal 39 2 3 3 4 6" xfId="41458"/>
    <cellStyle name="Normal 39 2 3 3 5" xfId="41459"/>
    <cellStyle name="Normal 39 2 3 3 6" xfId="41460"/>
    <cellStyle name="Normal 39 2 3 3 7" xfId="41461"/>
    <cellStyle name="Normal 39 2 3 3 8" xfId="41462"/>
    <cellStyle name="Normal 39 2 3 3 9" xfId="41463"/>
    <cellStyle name="Normal 39 2 3 4" xfId="41464"/>
    <cellStyle name="Normal 39 2 3 4 2" xfId="41465"/>
    <cellStyle name="Normal 39 2 3 4 2 2" xfId="41466"/>
    <cellStyle name="Normal 39 2 3 4 2 2 2" xfId="41467"/>
    <cellStyle name="Normal 39 2 3 4 2 2 2 2" xfId="41468"/>
    <cellStyle name="Normal 39 2 3 4 2 2 2 3" xfId="41469"/>
    <cellStyle name="Normal 39 2 3 4 2 2 2 4" xfId="41470"/>
    <cellStyle name="Normal 39 2 3 4 2 2 2 5" xfId="41471"/>
    <cellStyle name="Normal 39 2 3 4 2 2 2 6" xfId="41472"/>
    <cellStyle name="Normal 39 2 3 4 2 2 3" xfId="41473"/>
    <cellStyle name="Normal 39 2 3 4 2 2 4" xfId="41474"/>
    <cellStyle name="Normal 39 2 3 4 2 2 5" xfId="41475"/>
    <cellStyle name="Normal 39 2 3 4 2 2 6" xfId="41476"/>
    <cellStyle name="Normal 39 2 3 4 2 2 7" xfId="41477"/>
    <cellStyle name="Normal 39 2 3 4 2 3" xfId="41478"/>
    <cellStyle name="Normal 39 2 3 4 2 3 2" xfId="41479"/>
    <cellStyle name="Normal 39 2 3 4 2 3 3" xfId="41480"/>
    <cellStyle name="Normal 39 2 3 4 2 3 4" xfId="41481"/>
    <cellStyle name="Normal 39 2 3 4 2 3 5" xfId="41482"/>
    <cellStyle name="Normal 39 2 3 4 2 3 6" xfId="41483"/>
    <cellStyle name="Normal 39 2 3 4 2 4" xfId="41484"/>
    <cellStyle name="Normal 39 2 3 4 2 5" xfId="41485"/>
    <cellStyle name="Normal 39 2 3 4 2 6" xfId="41486"/>
    <cellStyle name="Normal 39 2 3 4 2 7" xfId="41487"/>
    <cellStyle name="Normal 39 2 3 4 2 8" xfId="41488"/>
    <cellStyle name="Normal 39 2 3 4 3" xfId="41489"/>
    <cellStyle name="Normal 39 2 3 4 3 2" xfId="41490"/>
    <cellStyle name="Normal 39 2 3 4 3 2 2" xfId="41491"/>
    <cellStyle name="Normal 39 2 3 4 3 2 3" xfId="41492"/>
    <cellStyle name="Normal 39 2 3 4 3 2 4" xfId="41493"/>
    <cellStyle name="Normal 39 2 3 4 3 2 5" xfId="41494"/>
    <cellStyle name="Normal 39 2 3 4 3 2 6" xfId="41495"/>
    <cellStyle name="Normal 39 2 3 4 3 3" xfId="41496"/>
    <cellStyle name="Normal 39 2 3 4 3 4" xfId="41497"/>
    <cellStyle name="Normal 39 2 3 4 3 5" xfId="41498"/>
    <cellStyle name="Normal 39 2 3 4 3 6" xfId="41499"/>
    <cellStyle name="Normal 39 2 3 4 3 7" xfId="41500"/>
    <cellStyle name="Normal 39 2 3 4 4" xfId="41501"/>
    <cellStyle name="Normal 39 2 3 4 4 2" xfId="41502"/>
    <cellStyle name="Normal 39 2 3 4 4 3" xfId="41503"/>
    <cellStyle name="Normal 39 2 3 4 4 4" xfId="41504"/>
    <cellStyle name="Normal 39 2 3 4 4 5" xfId="41505"/>
    <cellStyle name="Normal 39 2 3 4 4 6" xfId="41506"/>
    <cellStyle name="Normal 39 2 3 4 5" xfId="41507"/>
    <cellStyle name="Normal 39 2 3 4 6" xfId="41508"/>
    <cellStyle name="Normal 39 2 3 4 7" xfId="41509"/>
    <cellStyle name="Normal 39 2 3 4 8" xfId="41510"/>
    <cellStyle name="Normal 39 2 3 4 9" xfId="41511"/>
    <cellStyle name="Normal 39 2 3 5" xfId="41512"/>
    <cellStyle name="Normal 39 2 3 5 2" xfId="41513"/>
    <cellStyle name="Normal 39 2 3 5 2 2" xfId="41514"/>
    <cellStyle name="Normal 39 2 3 5 2 2 2" xfId="41515"/>
    <cellStyle name="Normal 39 2 3 5 2 2 2 2" xfId="41516"/>
    <cellStyle name="Normal 39 2 3 5 2 2 2 3" xfId="41517"/>
    <cellStyle name="Normal 39 2 3 5 2 2 2 4" xfId="41518"/>
    <cellStyle name="Normal 39 2 3 5 2 2 2 5" xfId="41519"/>
    <cellStyle name="Normal 39 2 3 5 2 2 2 6" xfId="41520"/>
    <cellStyle name="Normal 39 2 3 5 2 2 3" xfId="41521"/>
    <cellStyle name="Normal 39 2 3 5 2 2 4" xfId="41522"/>
    <cellStyle name="Normal 39 2 3 5 2 2 5" xfId="41523"/>
    <cellStyle name="Normal 39 2 3 5 2 2 6" xfId="41524"/>
    <cellStyle name="Normal 39 2 3 5 2 2 7" xfId="41525"/>
    <cellStyle name="Normal 39 2 3 5 2 3" xfId="41526"/>
    <cellStyle name="Normal 39 2 3 5 2 3 2" xfId="41527"/>
    <cellStyle name="Normal 39 2 3 5 2 3 3" xfId="41528"/>
    <cellStyle name="Normal 39 2 3 5 2 3 4" xfId="41529"/>
    <cellStyle name="Normal 39 2 3 5 2 3 5" xfId="41530"/>
    <cellStyle name="Normal 39 2 3 5 2 3 6" xfId="41531"/>
    <cellStyle name="Normal 39 2 3 5 2 4" xfId="41532"/>
    <cellStyle name="Normal 39 2 3 5 2 5" xfId="41533"/>
    <cellStyle name="Normal 39 2 3 5 2 6" xfId="41534"/>
    <cellStyle name="Normal 39 2 3 5 2 7" xfId="41535"/>
    <cellStyle name="Normal 39 2 3 5 2 8" xfId="41536"/>
    <cellStyle name="Normal 39 2 3 5 3" xfId="41537"/>
    <cellStyle name="Normal 39 2 3 5 3 2" xfId="41538"/>
    <cellStyle name="Normal 39 2 3 5 3 2 2" xfId="41539"/>
    <cellStyle name="Normal 39 2 3 5 3 2 3" xfId="41540"/>
    <cellStyle name="Normal 39 2 3 5 3 2 4" xfId="41541"/>
    <cellStyle name="Normal 39 2 3 5 3 2 5" xfId="41542"/>
    <cellStyle name="Normal 39 2 3 5 3 2 6" xfId="41543"/>
    <cellStyle name="Normal 39 2 3 5 3 3" xfId="41544"/>
    <cellStyle name="Normal 39 2 3 5 3 4" xfId="41545"/>
    <cellStyle name="Normal 39 2 3 5 3 5" xfId="41546"/>
    <cellStyle name="Normal 39 2 3 5 3 6" xfId="41547"/>
    <cellStyle name="Normal 39 2 3 5 3 7" xfId="41548"/>
    <cellStyle name="Normal 39 2 3 5 4" xfId="41549"/>
    <cellStyle name="Normal 39 2 3 5 4 2" xfId="41550"/>
    <cellStyle name="Normal 39 2 3 5 4 3" xfId="41551"/>
    <cellStyle name="Normal 39 2 3 5 4 4" xfId="41552"/>
    <cellStyle name="Normal 39 2 3 5 4 5" xfId="41553"/>
    <cellStyle name="Normal 39 2 3 5 4 6" xfId="41554"/>
    <cellStyle name="Normal 39 2 3 5 5" xfId="41555"/>
    <cellStyle name="Normal 39 2 3 5 6" xfId="41556"/>
    <cellStyle name="Normal 39 2 3 5 7" xfId="41557"/>
    <cellStyle name="Normal 39 2 3 5 8" xfId="41558"/>
    <cellStyle name="Normal 39 2 3 5 9" xfId="41559"/>
    <cellStyle name="Normal 39 2 3 6" xfId="41560"/>
    <cellStyle name="Normal 39 2 3 6 2" xfId="41561"/>
    <cellStyle name="Normal 39 2 3 6 2 2" xfId="41562"/>
    <cellStyle name="Normal 39 2 3 6 2 2 2" xfId="41563"/>
    <cellStyle name="Normal 39 2 3 6 2 2 2 2" xfId="41564"/>
    <cellStyle name="Normal 39 2 3 6 2 2 2 3" xfId="41565"/>
    <cellStyle name="Normal 39 2 3 6 2 2 2 4" xfId="41566"/>
    <cellStyle name="Normal 39 2 3 6 2 2 2 5" xfId="41567"/>
    <cellStyle name="Normal 39 2 3 6 2 2 2 6" xfId="41568"/>
    <cellStyle name="Normal 39 2 3 6 2 2 3" xfId="41569"/>
    <cellStyle name="Normal 39 2 3 6 2 2 4" xfId="41570"/>
    <cellStyle name="Normal 39 2 3 6 2 2 5" xfId="41571"/>
    <cellStyle name="Normal 39 2 3 6 2 2 6" xfId="41572"/>
    <cellStyle name="Normal 39 2 3 6 2 2 7" xfId="41573"/>
    <cellStyle name="Normal 39 2 3 6 2 3" xfId="41574"/>
    <cellStyle name="Normal 39 2 3 6 2 3 2" xfId="41575"/>
    <cellStyle name="Normal 39 2 3 6 2 3 3" xfId="41576"/>
    <cellStyle name="Normal 39 2 3 6 2 3 4" xfId="41577"/>
    <cellStyle name="Normal 39 2 3 6 2 3 5" xfId="41578"/>
    <cellStyle name="Normal 39 2 3 6 2 3 6" xfId="41579"/>
    <cellStyle name="Normal 39 2 3 6 2 4" xfId="41580"/>
    <cellStyle name="Normal 39 2 3 6 2 5" xfId="41581"/>
    <cellStyle name="Normal 39 2 3 6 2 6" xfId="41582"/>
    <cellStyle name="Normal 39 2 3 6 2 7" xfId="41583"/>
    <cellStyle name="Normal 39 2 3 6 2 8" xfId="41584"/>
    <cellStyle name="Normal 39 2 3 6 3" xfId="41585"/>
    <cellStyle name="Normal 39 2 3 6 3 2" xfId="41586"/>
    <cellStyle name="Normal 39 2 3 6 3 2 2" xfId="41587"/>
    <cellStyle name="Normal 39 2 3 6 3 2 3" xfId="41588"/>
    <cellStyle name="Normal 39 2 3 6 3 2 4" xfId="41589"/>
    <cellStyle name="Normal 39 2 3 6 3 2 5" xfId="41590"/>
    <cellStyle name="Normal 39 2 3 6 3 2 6" xfId="41591"/>
    <cellStyle name="Normal 39 2 3 6 3 3" xfId="41592"/>
    <cellStyle name="Normal 39 2 3 6 3 4" xfId="41593"/>
    <cellStyle name="Normal 39 2 3 6 3 5" xfId="41594"/>
    <cellStyle name="Normal 39 2 3 6 3 6" xfId="41595"/>
    <cellStyle name="Normal 39 2 3 6 3 7" xfId="41596"/>
    <cellStyle name="Normal 39 2 3 6 4" xfId="41597"/>
    <cellStyle name="Normal 39 2 3 6 4 2" xfId="41598"/>
    <cellStyle name="Normal 39 2 3 6 4 3" xfId="41599"/>
    <cellStyle name="Normal 39 2 3 6 4 4" xfId="41600"/>
    <cellStyle name="Normal 39 2 3 6 4 5" xfId="41601"/>
    <cellStyle name="Normal 39 2 3 6 4 6" xfId="41602"/>
    <cellStyle name="Normal 39 2 3 6 5" xfId="41603"/>
    <cellStyle name="Normal 39 2 3 6 6" xfId="41604"/>
    <cellStyle name="Normal 39 2 3 6 7" xfId="41605"/>
    <cellStyle name="Normal 39 2 3 6 8" xfId="41606"/>
    <cellStyle name="Normal 39 2 3 6 9" xfId="41607"/>
    <cellStyle name="Normal 39 2 3 7" xfId="41608"/>
    <cellStyle name="Normal 39 2 3 7 2" xfId="41609"/>
    <cellStyle name="Normal 39 2 3 7 2 2" xfId="41610"/>
    <cellStyle name="Normal 39 2 3 7 2 2 2" xfId="41611"/>
    <cellStyle name="Normal 39 2 3 7 2 2 2 2" xfId="41612"/>
    <cellStyle name="Normal 39 2 3 7 2 2 2 3" xfId="41613"/>
    <cellStyle name="Normal 39 2 3 7 2 2 2 4" xfId="41614"/>
    <cellStyle name="Normal 39 2 3 7 2 2 2 5" xfId="41615"/>
    <cellStyle name="Normal 39 2 3 7 2 2 2 6" xfId="41616"/>
    <cellStyle name="Normal 39 2 3 7 2 2 3" xfId="41617"/>
    <cellStyle name="Normal 39 2 3 7 2 2 4" xfId="41618"/>
    <cellStyle name="Normal 39 2 3 7 2 2 5" xfId="41619"/>
    <cellStyle name="Normal 39 2 3 7 2 2 6" xfId="41620"/>
    <cellStyle name="Normal 39 2 3 7 2 2 7" xfId="41621"/>
    <cellStyle name="Normal 39 2 3 7 2 3" xfId="41622"/>
    <cellStyle name="Normal 39 2 3 7 2 3 2" xfId="41623"/>
    <cellStyle name="Normal 39 2 3 7 2 3 3" xfId="41624"/>
    <cellStyle name="Normal 39 2 3 7 2 3 4" xfId="41625"/>
    <cellStyle name="Normal 39 2 3 7 2 3 5" xfId="41626"/>
    <cellStyle name="Normal 39 2 3 7 2 3 6" xfId="41627"/>
    <cellStyle name="Normal 39 2 3 7 2 4" xfId="41628"/>
    <cellStyle name="Normal 39 2 3 7 2 5" xfId="41629"/>
    <cellStyle name="Normal 39 2 3 7 2 6" xfId="41630"/>
    <cellStyle name="Normal 39 2 3 7 2 7" xfId="41631"/>
    <cellStyle name="Normal 39 2 3 7 2 8" xfId="41632"/>
    <cellStyle name="Normal 39 2 3 7 3" xfId="41633"/>
    <cellStyle name="Normal 39 2 3 7 3 2" xfId="41634"/>
    <cellStyle name="Normal 39 2 3 7 3 2 2" xfId="41635"/>
    <cellStyle name="Normal 39 2 3 7 3 2 3" xfId="41636"/>
    <cellStyle name="Normal 39 2 3 7 3 2 4" xfId="41637"/>
    <cellStyle name="Normal 39 2 3 7 3 2 5" xfId="41638"/>
    <cellStyle name="Normal 39 2 3 7 3 2 6" xfId="41639"/>
    <cellStyle name="Normal 39 2 3 7 3 3" xfId="41640"/>
    <cellStyle name="Normal 39 2 3 7 3 4" xfId="41641"/>
    <cellStyle name="Normal 39 2 3 7 3 5" xfId="41642"/>
    <cellStyle name="Normal 39 2 3 7 3 6" xfId="41643"/>
    <cellStyle name="Normal 39 2 3 7 3 7" xfId="41644"/>
    <cellStyle name="Normal 39 2 3 7 4" xfId="41645"/>
    <cellStyle name="Normal 39 2 3 7 4 2" xfId="41646"/>
    <cellStyle name="Normal 39 2 3 7 4 3" xfId="41647"/>
    <cellStyle name="Normal 39 2 3 7 4 4" xfId="41648"/>
    <cellStyle name="Normal 39 2 3 7 4 5" xfId="41649"/>
    <cellStyle name="Normal 39 2 3 7 4 6" xfId="41650"/>
    <cellStyle name="Normal 39 2 3 7 5" xfId="41651"/>
    <cellStyle name="Normal 39 2 3 7 6" xfId="41652"/>
    <cellStyle name="Normal 39 2 3 7 7" xfId="41653"/>
    <cellStyle name="Normal 39 2 3 7 8" xfId="41654"/>
    <cellStyle name="Normal 39 2 3 7 9" xfId="41655"/>
    <cellStyle name="Normal 39 2 3 8" xfId="41656"/>
    <cellStyle name="Normal 39 2 3 8 2" xfId="41657"/>
    <cellStyle name="Normal 39 2 3 8 2 2" xfId="41658"/>
    <cellStyle name="Normal 39 2 3 8 2 2 2" xfId="41659"/>
    <cellStyle name="Normal 39 2 3 8 2 2 3" xfId="41660"/>
    <cellStyle name="Normal 39 2 3 8 2 2 4" xfId="41661"/>
    <cellStyle name="Normal 39 2 3 8 2 2 5" xfId="41662"/>
    <cellStyle name="Normal 39 2 3 8 2 2 6" xfId="41663"/>
    <cellStyle name="Normal 39 2 3 8 2 3" xfId="41664"/>
    <cellStyle name="Normal 39 2 3 8 2 4" xfId="41665"/>
    <cellStyle name="Normal 39 2 3 8 2 5" xfId="41666"/>
    <cellStyle name="Normal 39 2 3 8 2 6" xfId="41667"/>
    <cellStyle name="Normal 39 2 3 8 2 7" xfId="41668"/>
    <cellStyle name="Normal 39 2 3 8 3" xfId="41669"/>
    <cellStyle name="Normal 39 2 3 8 3 2" xfId="41670"/>
    <cellStyle name="Normal 39 2 3 8 3 3" xfId="41671"/>
    <cellStyle name="Normal 39 2 3 8 3 4" xfId="41672"/>
    <cellStyle name="Normal 39 2 3 8 3 5" xfId="41673"/>
    <cellStyle name="Normal 39 2 3 8 3 6" xfId="41674"/>
    <cellStyle name="Normal 39 2 3 8 4" xfId="41675"/>
    <cellStyle name="Normal 39 2 3 8 5" xfId="41676"/>
    <cellStyle name="Normal 39 2 3 8 6" xfId="41677"/>
    <cellStyle name="Normal 39 2 3 8 7" xfId="41678"/>
    <cellStyle name="Normal 39 2 3 8 8" xfId="41679"/>
    <cellStyle name="Normal 39 2 3 9" xfId="41680"/>
    <cellStyle name="Normal 39 2 3 9 2" xfId="41681"/>
    <cellStyle name="Normal 39 2 3 9 2 2" xfId="41682"/>
    <cellStyle name="Normal 39 2 3 9 2 3" xfId="41683"/>
    <cellStyle name="Normal 39 2 3 9 2 4" xfId="41684"/>
    <cellStyle name="Normal 39 2 3 9 2 5" xfId="41685"/>
    <cellStyle name="Normal 39 2 3 9 2 6" xfId="41686"/>
    <cellStyle name="Normal 39 2 3 9 3" xfId="41687"/>
    <cellStyle name="Normal 39 2 3 9 4" xfId="41688"/>
    <cellStyle name="Normal 39 2 3 9 5" xfId="41689"/>
    <cellStyle name="Normal 39 2 3 9 6" xfId="41690"/>
    <cellStyle name="Normal 39 2 3 9 7" xfId="41691"/>
    <cellStyle name="Normal 39 2 4" xfId="41692"/>
    <cellStyle name="Normal 39 2 4 10" xfId="41693"/>
    <cellStyle name="Normal 39 2 4 11" xfId="41694"/>
    <cellStyle name="Normal 39 2 4 12" xfId="41695"/>
    <cellStyle name="Normal 39 2 4 13" xfId="41696"/>
    <cellStyle name="Normal 39 2 4 14" xfId="41697"/>
    <cellStyle name="Normal 39 2 4 2" xfId="41698"/>
    <cellStyle name="Normal 39 2 4 2 2" xfId="41699"/>
    <cellStyle name="Normal 39 2 4 2 2 2" xfId="41700"/>
    <cellStyle name="Normal 39 2 4 2 2 2 2" xfId="41701"/>
    <cellStyle name="Normal 39 2 4 2 2 2 2 2" xfId="41702"/>
    <cellStyle name="Normal 39 2 4 2 2 2 2 3" xfId="41703"/>
    <cellStyle name="Normal 39 2 4 2 2 2 2 4" xfId="41704"/>
    <cellStyle name="Normal 39 2 4 2 2 2 2 5" xfId="41705"/>
    <cellStyle name="Normal 39 2 4 2 2 2 2 6" xfId="41706"/>
    <cellStyle name="Normal 39 2 4 2 2 2 3" xfId="41707"/>
    <cellStyle name="Normal 39 2 4 2 2 2 4" xfId="41708"/>
    <cellStyle name="Normal 39 2 4 2 2 2 5" xfId="41709"/>
    <cellStyle name="Normal 39 2 4 2 2 2 6" xfId="41710"/>
    <cellStyle name="Normal 39 2 4 2 2 2 7" xfId="41711"/>
    <cellStyle name="Normal 39 2 4 2 2 3" xfId="41712"/>
    <cellStyle name="Normal 39 2 4 2 2 3 2" xfId="41713"/>
    <cellStyle name="Normal 39 2 4 2 2 3 3" xfId="41714"/>
    <cellStyle name="Normal 39 2 4 2 2 3 4" xfId="41715"/>
    <cellStyle name="Normal 39 2 4 2 2 3 5" xfId="41716"/>
    <cellStyle name="Normal 39 2 4 2 2 3 6" xfId="41717"/>
    <cellStyle name="Normal 39 2 4 2 2 4" xfId="41718"/>
    <cellStyle name="Normal 39 2 4 2 2 5" xfId="41719"/>
    <cellStyle name="Normal 39 2 4 2 2 6" xfId="41720"/>
    <cellStyle name="Normal 39 2 4 2 2 7" xfId="41721"/>
    <cellStyle name="Normal 39 2 4 2 2 8" xfId="41722"/>
    <cellStyle name="Normal 39 2 4 2 3" xfId="41723"/>
    <cellStyle name="Normal 39 2 4 2 3 2" xfId="41724"/>
    <cellStyle name="Normal 39 2 4 2 3 2 2" xfId="41725"/>
    <cellStyle name="Normal 39 2 4 2 3 2 3" xfId="41726"/>
    <cellStyle name="Normal 39 2 4 2 3 2 4" xfId="41727"/>
    <cellStyle name="Normal 39 2 4 2 3 2 5" xfId="41728"/>
    <cellStyle name="Normal 39 2 4 2 3 2 6" xfId="41729"/>
    <cellStyle name="Normal 39 2 4 2 3 3" xfId="41730"/>
    <cellStyle name="Normal 39 2 4 2 3 4" xfId="41731"/>
    <cellStyle name="Normal 39 2 4 2 3 5" xfId="41732"/>
    <cellStyle name="Normal 39 2 4 2 3 6" xfId="41733"/>
    <cellStyle name="Normal 39 2 4 2 3 7" xfId="41734"/>
    <cellStyle name="Normal 39 2 4 2 4" xfId="41735"/>
    <cellStyle name="Normal 39 2 4 2 4 2" xfId="41736"/>
    <cellStyle name="Normal 39 2 4 2 4 3" xfId="41737"/>
    <cellStyle name="Normal 39 2 4 2 4 4" xfId="41738"/>
    <cellStyle name="Normal 39 2 4 2 4 5" xfId="41739"/>
    <cellStyle name="Normal 39 2 4 2 4 6" xfId="41740"/>
    <cellStyle name="Normal 39 2 4 2 5" xfId="41741"/>
    <cellStyle name="Normal 39 2 4 2 6" xfId="41742"/>
    <cellStyle name="Normal 39 2 4 2 7" xfId="41743"/>
    <cellStyle name="Normal 39 2 4 2 8" xfId="41744"/>
    <cellStyle name="Normal 39 2 4 2 9" xfId="41745"/>
    <cellStyle name="Normal 39 2 4 3" xfId="41746"/>
    <cellStyle name="Normal 39 2 4 3 2" xfId="41747"/>
    <cellStyle name="Normal 39 2 4 3 2 2" xfId="41748"/>
    <cellStyle name="Normal 39 2 4 3 2 2 2" xfId="41749"/>
    <cellStyle name="Normal 39 2 4 3 2 2 2 2" xfId="41750"/>
    <cellStyle name="Normal 39 2 4 3 2 2 2 3" xfId="41751"/>
    <cellStyle name="Normal 39 2 4 3 2 2 2 4" xfId="41752"/>
    <cellStyle name="Normal 39 2 4 3 2 2 2 5" xfId="41753"/>
    <cellStyle name="Normal 39 2 4 3 2 2 2 6" xfId="41754"/>
    <cellStyle name="Normal 39 2 4 3 2 2 3" xfId="41755"/>
    <cellStyle name="Normal 39 2 4 3 2 2 4" xfId="41756"/>
    <cellStyle name="Normal 39 2 4 3 2 2 5" xfId="41757"/>
    <cellStyle name="Normal 39 2 4 3 2 2 6" xfId="41758"/>
    <cellStyle name="Normal 39 2 4 3 2 2 7" xfId="41759"/>
    <cellStyle name="Normal 39 2 4 3 2 3" xfId="41760"/>
    <cellStyle name="Normal 39 2 4 3 2 3 2" xfId="41761"/>
    <cellStyle name="Normal 39 2 4 3 2 3 3" xfId="41762"/>
    <cellStyle name="Normal 39 2 4 3 2 3 4" xfId="41763"/>
    <cellStyle name="Normal 39 2 4 3 2 3 5" xfId="41764"/>
    <cellStyle name="Normal 39 2 4 3 2 3 6" xfId="41765"/>
    <cellStyle name="Normal 39 2 4 3 2 4" xfId="41766"/>
    <cellStyle name="Normal 39 2 4 3 2 5" xfId="41767"/>
    <cellStyle name="Normal 39 2 4 3 2 6" xfId="41768"/>
    <cellStyle name="Normal 39 2 4 3 2 7" xfId="41769"/>
    <cellStyle name="Normal 39 2 4 3 2 8" xfId="41770"/>
    <cellStyle name="Normal 39 2 4 3 3" xfId="41771"/>
    <cellStyle name="Normal 39 2 4 3 3 2" xfId="41772"/>
    <cellStyle name="Normal 39 2 4 3 3 2 2" xfId="41773"/>
    <cellStyle name="Normal 39 2 4 3 3 2 3" xfId="41774"/>
    <cellStyle name="Normal 39 2 4 3 3 2 4" xfId="41775"/>
    <cellStyle name="Normal 39 2 4 3 3 2 5" xfId="41776"/>
    <cellStyle name="Normal 39 2 4 3 3 2 6" xfId="41777"/>
    <cellStyle name="Normal 39 2 4 3 3 3" xfId="41778"/>
    <cellStyle name="Normal 39 2 4 3 3 4" xfId="41779"/>
    <cellStyle name="Normal 39 2 4 3 3 5" xfId="41780"/>
    <cellStyle name="Normal 39 2 4 3 3 6" xfId="41781"/>
    <cellStyle name="Normal 39 2 4 3 3 7" xfId="41782"/>
    <cellStyle name="Normal 39 2 4 3 4" xfId="41783"/>
    <cellStyle name="Normal 39 2 4 3 4 2" xfId="41784"/>
    <cellStyle name="Normal 39 2 4 3 4 3" xfId="41785"/>
    <cellStyle name="Normal 39 2 4 3 4 4" xfId="41786"/>
    <cellStyle name="Normal 39 2 4 3 4 5" xfId="41787"/>
    <cellStyle name="Normal 39 2 4 3 4 6" xfId="41788"/>
    <cellStyle name="Normal 39 2 4 3 5" xfId="41789"/>
    <cellStyle name="Normal 39 2 4 3 6" xfId="41790"/>
    <cellStyle name="Normal 39 2 4 3 7" xfId="41791"/>
    <cellStyle name="Normal 39 2 4 3 8" xfId="41792"/>
    <cellStyle name="Normal 39 2 4 3 9" xfId="41793"/>
    <cellStyle name="Normal 39 2 4 4" xfId="41794"/>
    <cellStyle name="Normal 39 2 4 4 2" xfId="41795"/>
    <cellStyle name="Normal 39 2 4 4 2 2" xfId="41796"/>
    <cellStyle name="Normal 39 2 4 4 2 2 2" xfId="41797"/>
    <cellStyle name="Normal 39 2 4 4 2 2 2 2" xfId="41798"/>
    <cellStyle name="Normal 39 2 4 4 2 2 2 3" xfId="41799"/>
    <cellStyle name="Normal 39 2 4 4 2 2 2 4" xfId="41800"/>
    <cellStyle name="Normal 39 2 4 4 2 2 2 5" xfId="41801"/>
    <cellStyle name="Normal 39 2 4 4 2 2 2 6" xfId="41802"/>
    <cellStyle name="Normal 39 2 4 4 2 2 3" xfId="41803"/>
    <cellStyle name="Normal 39 2 4 4 2 2 4" xfId="41804"/>
    <cellStyle name="Normal 39 2 4 4 2 2 5" xfId="41805"/>
    <cellStyle name="Normal 39 2 4 4 2 2 6" xfId="41806"/>
    <cellStyle name="Normal 39 2 4 4 2 2 7" xfId="41807"/>
    <cellStyle name="Normal 39 2 4 4 2 3" xfId="41808"/>
    <cellStyle name="Normal 39 2 4 4 2 3 2" xfId="41809"/>
    <cellStyle name="Normal 39 2 4 4 2 3 3" xfId="41810"/>
    <cellStyle name="Normal 39 2 4 4 2 3 4" xfId="41811"/>
    <cellStyle name="Normal 39 2 4 4 2 3 5" xfId="41812"/>
    <cellStyle name="Normal 39 2 4 4 2 3 6" xfId="41813"/>
    <cellStyle name="Normal 39 2 4 4 2 4" xfId="41814"/>
    <cellStyle name="Normal 39 2 4 4 2 5" xfId="41815"/>
    <cellStyle name="Normal 39 2 4 4 2 6" xfId="41816"/>
    <cellStyle name="Normal 39 2 4 4 2 7" xfId="41817"/>
    <cellStyle name="Normal 39 2 4 4 2 8" xfId="41818"/>
    <cellStyle name="Normal 39 2 4 4 3" xfId="41819"/>
    <cellStyle name="Normal 39 2 4 4 3 2" xfId="41820"/>
    <cellStyle name="Normal 39 2 4 4 3 2 2" xfId="41821"/>
    <cellStyle name="Normal 39 2 4 4 3 2 3" xfId="41822"/>
    <cellStyle name="Normal 39 2 4 4 3 2 4" xfId="41823"/>
    <cellStyle name="Normal 39 2 4 4 3 2 5" xfId="41824"/>
    <cellStyle name="Normal 39 2 4 4 3 2 6" xfId="41825"/>
    <cellStyle name="Normal 39 2 4 4 3 3" xfId="41826"/>
    <cellStyle name="Normal 39 2 4 4 3 4" xfId="41827"/>
    <cellStyle name="Normal 39 2 4 4 3 5" xfId="41828"/>
    <cellStyle name="Normal 39 2 4 4 3 6" xfId="41829"/>
    <cellStyle name="Normal 39 2 4 4 3 7" xfId="41830"/>
    <cellStyle name="Normal 39 2 4 4 4" xfId="41831"/>
    <cellStyle name="Normal 39 2 4 4 4 2" xfId="41832"/>
    <cellStyle name="Normal 39 2 4 4 4 3" xfId="41833"/>
    <cellStyle name="Normal 39 2 4 4 4 4" xfId="41834"/>
    <cellStyle name="Normal 39 2 4 4 4 5" xfId="41835"/>
    <cellStyle name="Normal 39 2 4 4 4 6" xfId="41836"/>
    <cellStyle name="Normal 39 2 4 4 5" xfId="41837"/>
    <cellStyle name="Normal 39 2 4 4 6" xfId="41838"/>
    <cellStyle name="Normal 39 2 4 4 7" xfId="41839"/>
    <cellStyle name="Normal 39 2 4 4 8" xfId="41840"/>
    <cellStyle name="Normal 39 2 4 4 9" xfId="41841"/>
    <cellStyle name="Normal 39 2 4 5" xfId="41842"/>
    <cellStyle name="Normal 39 2 4 5 2" xfId="41843"/>
    <cellStyle name="Normal 39 2 4 5 2 2" xfId="41844"/>
    <cellStyle name="Normal 39 2 4 5 2 2 2" xfId="41845"/>
    <cellStyle name="Normal 39 2 4 5 2 2 2 2" xfId="41846"/>
    <cellStyle name="Normal 39 2 4 5 2 2 2 3" xfId="41847"/>
    <cellStyle name="Normal 39 2 4 5 2 2 2 4" xfId="41848"/>
    <cellStyle name="Normal 39 2 4 5 2 2 2 5" xfId="41849"/>
    <cellStyle name="Normal 39 2 4 5 2 2 2 6" xfId="41850"/>
    <cellStyle name="Normal 39 2 4 5 2 2 3" xfId="41851"/>
    <cellStyle name="Normal 39 2 4 5 2 2 4" xfId="41852"/>
    <cellStyle name="Normal 39 2 4 5 2 2 5" xfId="41853"/>
    <cellStyle name="Normal 39 2 4 5 2 2 6" xfId="41854"/>
    <cellStyle name="Normal 39 2 4 5 2 2 7" xfId="41855"/>
    <cellStyle name="Normal 39 2 4 5 2 3" xfId="41856"/>
    <cellStyle name="Normal 39 2 4 5 2 3 2" xfId="41857"/>
    <cellStyle name="Normal 39 2 4 5 2 3 3" xfId="41858"/>
    <cellStyle name="Normal 39 2 4 5 2 3 4" xfId="41859"/>
    <cellStyle name="Normal 39 2 4 5 2 3 5" xfId="41860"/>
    <cellStyle name="Normal 39 2 4 5 2 3 6" xfId="41861"/>
    <cellStyle name="Normal 39 2 4 5 2 4" xfId="41862"/>
    <cellStyle name="Normal 39 2 4 5 2 5" xfId="41863"/>
    <cellStyle name="Normal 39 2 4 5 2 6" xfId="41864"/>
    <cellStyle name="Normal 39 2 4 5 2 7" xfId="41865"/>
    <cellStyle name="Normal 39 2 4 5 2 8" xfId="41866"/>
    <cellStyle name="Normal 39 2 4 5 3" xfId="41867"/>
    <cellStyle name="Normal 39 2 4 5 3 2" xfId="41868"/>
    <cellStyle name="Normal 39 2 4 5 3 2 2" xfId="41869"/>
    <cellStyle name="Normal 39 2 4 5 3 2 3" xfId="41870"/>
    <cellStyle name="Normal 39 2 4 5 3 2 4" xfId="41871"/>
    <cellStyle name="Normal 39 2 4 5 3 2 5" xfId="41872"/>
    <cellStyle name="Normal 39 2 4 5 3 2 6" xfId="41873"/>
    <cellStyle name="Normal 39 2 4 5 3 3" xfId="41874"/>
    <cellStyle name="Normal 39 2 4 5 3 4" xfId="41875"/>
    <cellStyle name="Normal 39 2 4 5 3 5" xfId="41876"/>
    <cellStyle name="Normal 39 2 4 5 3 6" xfId="41877"/>
    <cellStyle name="Normal 39 2 4 5 3 7" xfId="41878"/>
    <cellStyle name="Normal 39 2 4 5 4" xfId="41879"/>
    <cellStyle name="Normal 39 2 4 5 4 2" xfId="41880"/>
    <cellStyle name="Normal 39 2 4 5 4 3" xfId="41881"/>
    <cellStyle name="Normal 39 2 4 5 4 4" xfId="41882"/>
    <cellStyle name="Normal 39 2 4 5 4 5" xfId="41883"/>
    <cellStyle name="Normal 39 2 4 5 4 6" xfId="41884"/>
    <cellStyle name="Normal 39 2 4 5 5" xfId="41885"/>
    <cellStyle name="Normal 39 2 4 5 6" xfId="41886"/>
    <cellStyle name="Normal 39 2 4 5 7" xfId="41887"/>
    <cellStyle name="Normal 39 2 4 5 8" xfId="41888"/>
    <cellStyle name="Normal 39 2 4 5 9" xfId="41889"/>
    <cellStyle name="Normal 39 2 4 6" xfId="41890"/>
    <cellStyle name="Normal 39 2 4 6 2" xfId="41891"/>
    <cellStyle name="Normal 39 2 4 6 2 2" xfId="41892"/>
    <cellStyle name="Normal 39 2 4 6 2 2 2" xfId="41893"/>
    <cellStyle name="Normal 39 2 4 6 2 2 2 2" xfId="41894"/>
    <cellStyle name="Normal 39 2 4 6 2 2 2 3" xfId="41895"/>
    <cellStyle name="Normal 39 2 4 6 2 2 2 4" xfId="41896"/>
    <cellStyle name="Normal 39 2 4 6 2 2 2 5" xfId="41897"/>
    <cellStyle name="Normal 39 2 4 6 2 2 2 6" xfId="41898"/>
    <cellStyle name="Normal 39 2 4 6 2 2 3" xfId="41899"/>
    <cellStyle name="Normal 39 2 4 6 2 2 4" xfId="41900"/>
    <cellStyle name="Normal 39 2 4 6 2 2 5" xfId="41901"/>
    <cellStyle name="Normal 39 2 4 6 2 2 6" xfId="41902"/>
    <cellStyle name="Normal 39 2 4 6 2 2 7" xfId="41903"/>
    <cellStyle name="Normal 39 2 4 6 2 3" xfId="41904"/>
    <cellStyle name="Normal 39 2 4 6 2 3 2" xfId="41905"/>
    <cellStyle name="Normal 39 2 4 6 2 3 3" xfId="41906"/>
    <cellStyle name="Normal 39 2 4 6 2 3 4" xfId="41907"/>
    <cellStyle name="Normal 39 2 4 6 2 3 5" xfId="41908"/>
    <cellStyle name="Normal 39 2 4 6 2 3 6" xfId="41909"/>
    <cellStyle name="Normal 39 2 4 6 2 4" xfId="41910"/>
    <cellStyle name="Normal 39 2 4 6 2 5" xfId="41911"/>
    <cellStyle name="Normal 39 2 4 6 2 6" xfId="41912"/>
    <cellStyle name="Normal 39 2 4 6 2 7" xfId="41913"/>
    <cellStyle name="Normal 39 2 4 6 2 8" xfId="41914"/>
    <cellStyle name="Normal 39 2 4 6 3" xfId="41915"/>
    <cellStyle name="Normal 39 2 4 6 3 2" xfId="41916"/>
    <cellStyle name="Normal 39 2 4 6 3 2 2" xfId="41917"/>
    <cellStyle name="Normal 39 2 4 6 3 2 3" xfId="41918"/>
    <cellStyle name="Normal 39 2 4 6 3 2 4" xfId="41919"/>
    <cellStyle name="Normal 39 2 4 6 3 2 5" xfId="41920"/>
    <cellStyle name="Normal 39 2 4 6 3 2 6" xfId="41921"/>
    <cellStyle name="Normal 39 2 4 6 3 3" xfId="41922"/>
    <cellStyle name="Normal 39 2 4 6 3 4" xfId="41923"/>
    <cellStyle name="Normal 39 2 4 6 3 5" xfId="41924"/>
    <cellStyle name="Normal 39 2 4 6 3 6" xfId="41925"/>
    <cellStyle name="Normal 39 2 4 6 3 7" xfId="41926"/>
    <cellStyle name="Normal 39 2 4 6 4" xfId="41927"/>
    <cellStyle name="Normal 39 2 4 6 4 2" xfId="41928"/>
    <cellStyle name="Normal 39 2 4 6 4 3" xfId="41929"/>
    <cellStyle name="Normal 39 2 4 6 4 4" xfId="41930"/>
    <cellStyle name="Normal 39 2 4 6 4 5" xfId="41931"/>
    <cellStyle name="Normal 39 2 4 6 4 6" xfId="41932"/>
    <cellStyle name="Normal 39 2 4 6 5" xfId="41933"/>
    <cellStyle name="Normal 39 2 4 6 6" xfId="41934"/>
    <cellStyle name="Normal 39 2 4 6 7" xfId="41935"/>
    <cellStyle name="Normal 39 2 4 6 8" xfId="41936"/>
    <cellStyle name="Normal 39 2 4 6 9" xfId="41937"/>
    <cellStyle name="Normal 39 2 4 7" xfId="41938"/>
    <cellStyle name="Normal 39 2 4 7 2" xfId="41939"/>
    <cellStyle name="Normal 39 2 4 7 2 2" xfId="41940"/>
    <cellStyle name="Normal 39 2 4 7 2 2 2" xfId="41941"/>
    <cellStyle name="Normal 39 2 4 7 2 2 3" xfId="41942"/>
    <cellStyle name="Normal 39 2 4 7 2 2 4" xfId="41943"/>
    <cellStyle name="Normal 39 2 4 7 2 2 5" xfId="41944"/>
    <cellStyle name="Normal 39 2 4 7 2 2 6" xfId="41945"/>
    <cellStyle name="Normal 39 2 4 7 2 3" xfId="41946"/>
    <cellStyle name="Normal 39 2 4 7 2 4" xfId="41947"/>
    <cellStyle name="Normal 39 2 4 7 2 5" xfId="41948"/>
    <cellStyle name="Normal 39 2 4 7 2 6" xfId="41949"/>
    <cellStyle name="Normal 39 2 4 7 2 7" xfId="41950"/>
    <cellStyle name="Normal 39 2 4 7 3" xfId="41951"/>
    <cellStyle name="Normal 39 2 4 7 3 2" xfId="41952"/>
    <cellStyle name="Normal 39 2 4 7 3 3" xfId="41953"/>
    <cellStyle name="Normal 39 2 4 7 3 4" xfId="41954"/>
    <cellStyle name="Normal 39 2 4 7 3 5" xfId="41955"/>
    <cellStyle name="Normal 39 2 4 7 3 6" xfId="41956"/>
    <cellStyle name="Normal 39 2 4 7 4" xfId="41957"/>
    <cellStyle name="Normal 39 2 4 7 5" xfId="41958"/>
    <cellStyle name="Normal 39 2 4 7 6" xfId="41959"/>
    <cellStyle name="Normal 39 2 4 7 7" xfId="41960"/>
    <cellStyle name="Normal 39 2 4 7 8" xfId="41961"/>
    <cellStyle name="Normal 39 2 4 8" xfId="41962"/>
    <cellStyle name="Normal 39 2 4 8 2" xfId="41963"/>
    <cellStyle name="Normal 39 2 4 8 2 2" xfId="41964"/>
    <cellStyle name="Normal 39 2 4 8 2 3" xfId="41965"/>
    <cellStyle name="Normal 39 2 4 8 2 4" xfId="41966"/>
    <cellStyle name="Normal 39 2 4 8 2 5" xfId="41967"/>
    <cellStyle name="Normal 39 2 4 8 2 6" xfId="41968"/>
    <cellStyle name="Normal 39 2 4 8 3" xfId="41969"/>
    <cellStyle name="Normal 39 2 4 8 4" xfId="41970"/>
    <cellStyle name="Normal 39 2 4 8 5" xfId="41971"/>
    <cellStyle name="Normal 39 2 4 8 6" xfId="41972"/>
    <cellStyle name="Normal 39 2 4 8 7" xfId="41973"/>
    <cellStyle name="Normal 39 2 4 9" xfId="41974"/>
    <cellStyle name="Normal 39 2 4 9 2" xfId="41975"/>
    <cellStyle name="Normal 39 2 4 9 3" xfId="41976"/>
    <cellStyle name="Normal 39 2 4 9 4" xfId="41977"/>
    <cellStyle name="Normal 39 2 4 9 5" xfId="41978"/>
    <cellStyle name="Normal 39 2 4 9 6" xfId="41979"/>
    <cellStyle name="Normal 39 2 5" xfId="41980"/>
    <cellStyle name="Normal 39 2 5 10" xfId="41981"/>
    <cellStyle name="Normal 39 2 5 11" xfId="41982"/>
    <cellStyle name="Normal 39 2 5 12" xfId="41983"/>
    <cellStyle name="Normal 39 2 5 13" xfId="41984"/>
    <cellStyle name="Normal 39 2 5 14" xfId="41985"/>
    <cellStyle name="Normal 39 2 5 2" xfId="41986"/>
    <cellStyle name="Normal 39 2 5 2 2" xfId="41987"/>
    <cellStyle name="Normal 39 2 5 2 2 2" xfId="41988"/>
    <cellStyle name="Normal 39 2 5 2 2 2 2" xfId="41989"/>
    <cellStyle name="Normal 39 2 5 2 2 2 2 2" xfId="41990"/>
    <cellStyle name="Normal 39 2 5 2 2 2 2 3" xfId="41991"/>
    <cellStyle name="Normal 39 2 5 2 2 2 2 4" xfId="41992"/>
    <cellStyle name="Normal 39 2 5 2 2 2 2 5" xfId="41993"/>
    <cellStyle name="Normal 39 2 5 2 2 2 2 6" xfId="41994"/>
    <cellStyle name="Normal 39 2 5 2 2 2 3" xfId="41995"/>
    <cellStyle name="Normal 39 2 5 2 2 2 4" xfId="41996"/>
    <cellStyle name="Normal 39 2 5 2 2 2 5" xfId="41997"/>
    <cellStyle name="Normal 39 2 5 2 2 2 6" xfId="41998"/>
    <cellStyle name="Normal 39 2 5 2 2 2 7" xfId="41999"/>
    <cellStyle name="Normal 39 2 5 2 2 3" xfId="42000"/>
    <cellStyle name="Normal 39 2 5 2 2 3 2" xfId="42001"/>
    <cellStyle name="Normal 39 2 5 2 2 3 3" xfId="42002"/>
    <cellStyle name="Normal 39 2 5 2 2 3 4" xfId="42003"/>
    <cellStyle name="Normal 39 2 5 2 2 3 5" xfId="42004"/>
    <cellStyle name="Normal 39 2 5 2 2 3 6" xfId="42005"/>
    <cellStyle name="Normal 39 2 5 2 2 4" xfId="42006"/>
    <cellStyle name="Normal 39 2 5 2 2 5" xfId="42007"/>
    <cellStyle name="Normal 39 2 5 2 2 6" xfId="42008"/>
    <cellStyle name="Normal 39 2 5 2 2 7" xfId="42009"/>
    <cellStyle name="Normal 39 2 5 2 2 8" xfId="42010"/>
    <cellStyle name="Normal 39 2 5 2 3" xfId="42011"/>
    <cellStyle name="Normal 39 2 5 2 3 2" xfId="42012"/>
    <cellStyle name="Normal 39 2 5 2 3 2 2" xfId="42013"/>
    <cellStyle name="Normal 39 2 5 2 3 2 3" xfId="42014"/>
    <cellStyle name="Normal 39 2 5 2 3 2 4" xfId="42015"/>
    <cellStyle name="Normal 39 2 5 2 3 2 5" xfId="42016"/>
    <cellStyle name="Normal 39 2 5 2 3 2 6" xfId="42017"/>
    <cellStyle name="Normal 39 2 5 2 3 3" xfId="42018"/>
    <cellStyle name="Normal 39 2 5 2 3 4" xfId="42019"/>
    <cellStyle name="Normal 39 2 5 2 3 5" xfId="42020"/>
    <cellStyle name="Normal 39 2 5 2 3 6" xfId="42021"/>
    <cellStyle name="Normal 39 2 5 2 3 7" xfId="42022"/>
    <cellStyle name="Normal 39 2 5 2 4" xfId="42023"/>
    <cellStyle name="Normal 39 2 5 2 4 2" xfId="42024"/>
    <cellStyle name="Normal 39 2 5 2 4 3" xfId="42025"/>
    <cellStyle name="Normal 39 2 5 2 4 4" xfId="42026"/>
    <cellStyle name="Normal 39 2 5 2 4 5" xfId="42027"/>
    <cellStyle name="Normal 39 2 5 2 4 6" xfId="42028"/>
    <cellStyle name="Normal 39 2 5 2 5" xfId="42029"/>
    <cellStyle name="Normal 39 2 5 2 6" xfId="42030"/>
    <cellStyle name="Normal 39 2 5 2 7" xfId="42031"/>
    <cellStyle name="Normal 39 2 5 2 8" xfId="42032"/>
    <cellStyle name="Normal 39 2 5 2 9" xfId="42033"/>
    <cellStyle name="Normal 39 2 5 3" xfId="42034"/>
    <cellStyle name="Normal 39 2 5 3 2" xfId="42035"/>
    <cellStyle name="Normal 39 2 5 3 2 2" xfId="42036"/>
    <cellStyle name="Normal 39 2 5 3 2 2 2" xfId="42037"/>
    <cellStyle name="Normal 39 2 5 3 2 2 2 2" xfId="42038"/>
    <cellStyle name="Normal 39 2 5 3 2 2 2 3" xfId="42039"/>
    <cellStyle name="Normal 39 2 5 3 2 2 2 4" xfId="42040"/>
    <cellStyle name="Normal 39 2 5 3 2 2 2 5" xfId="42041"/>
    <cellStyle name="Normal 39 2 5 3 2 2 2 6" xfId="42042"/>
    <cellStyle name="Normal 39 2 5 3 2 2 3" xfId="42043"/>
    <cellStyle name="Normal 39 2 5 3 2 2 4" xfId="42044"/>
    <cellStyle name="Normal 39 2 5 3 2 2 5" xfId="42045"/>
    <cellStyle name="Normal 39 2 5 3 2 2 6" xfId="42046"/>
    <cellStyle name="Normal 39 2 5 3 2 2 7" xfId="42047"/>
    <cellStyle name="Normal 39 2 5 3 2 3" xfId="42048"/>
    <cellStyle name="Normal 39 2 5 3 2 3 2" xfId="42049"/>
    <cellStyle name="Normal 39 2 5 3 2 3 3" xfId="42050"/>
    <cellStyle name="Normal 39 2 5 3 2 3 4" xfId="42051"/>
    <cellStyle name="Normal 39 2 5 3 2 3 5" xfId="42052"/>
    <cellStyle name="Normal 39 2 5 3 2 3 6" xfId="42053"/>
    <cellStyle name="Normal 39 2 5 3 2 4" xfId="42054"/>
    <cellStyle name="Normal 39 2 5 3 2 5" xfId="42055"/>
    <cellStyle name="Normal 39 2 5 3 2 6" xfId="42056"/>
    <cellStyle name="Normal 39 2 5 3 2 7" xfId="42057"/>
    <cellStyle name="Normal 39 2 5 3 2 8" xfId="42058"/>
    <cellStyle name="Normal 39 2 5 3 3" xfId="42059"/>
    <cellStyle name="Normal 39 2 5 3 3 2" xfId="42060"/>
    <cellStyle name="Normal 39 2 5 3 3 2 2" xfId="42061"/>
    <cellStyle name="Normal 39 2 5 3 3 2 3" xfId="42062"/>
    <cellStyle name="Normal 39 2 5 3 3 2 4" xfId="42063"/>
    <cellStyle name="Normal 39 2 5 3 3 2 5" xfId="42064"/>
    <cellStyle name="Normal 39 2 5 3 3 2 6" xfId="42065"/>
    <cellStyle name="Normal 39 2 5 3 3 3" xfId="42066"/>
    <cellStyle name="Normal 39 2 5 3 3 4" xfId="42067"/>
    <cellStyle name="Normal 39 2 5 3 3 5" xfId="42068"/>
    <cellStyle name="Normal 39 2 5 3 3 6" xfId="42069"/>
    <cellStyle name="Normal 39 2 5 3 3 7" xfId="42070"/>
    <cellStyle name="Normal 39 2 5 3 4" xfId="42071"/>
    <cellStyle name="Normal 39 2 5 3 4 2" xfId="42072"/>
    <cellStyle name="Normal 39 2 5 3 4 3" xfId="42073"/>
    <cellStyle name="Normal 39 2 5 3 4 4" xfId="42074"/>
    <cellStyle name="Normal 39 2 5 3 4 5" xfId="42075"/>
    <cellStyle name="Normal 39 2 5 3 4 6" xfId="42076"/>
    <cellStyle name="Normal 39 2 5 3 5" xfId="42077"/>
    <cellStyle name="Normal 39 2 5 3 6" xfId="42078"/>
    <cellStyle name="Normal 39 2 5 3 7" xfId="42079"/>
    <cellStyle name="Normal 39 2 5 3 8" xfId="42080"/>
    <cellStyle name="Normal 39 2 5 3 9" xfId="42081"/>
    <cellStyle name="Normal 39 2 5 4" xfId="42082"/>
    <cellStyle name="Normal 39 2 5 4 2" xfId="42083"/>
    <cellStyle name="Normal 39 2 5 4 2 2" xfId="42084"/>
    <cellStyle name="Normal 39 2 5 4 2 2 2" xfId="42085"/>
    <cellStyle name="Normal 39 2 5 4 2 2 2 2" xfId="42086"/>
    <cellStyle name="Normal 39 2 5 4 2 2 2 3" xfId="42087"/>
    <cellStyle name="Normal 39 2 5 4 2 2 2 4" xfId="42088"/>
    <cellStyle name="Normal 39 2 5 4 2 2 2 5" xfId="42089"/>
    <cellStyle name="Normal 39 2 5 4 2 2 2 6" xfId="42090"/>
    <cellStyle name="Normal 39 2 5 4 2 2 3" xfId="42091"/>
    <cellStyle name="Normal 39 2 5 4 2 2 4" xfId="42092"/>
    <cellStyle name="Normal 39 2 5 4 2 2 5" xfId="42093"/>
    <cellStyle name="Normal 39 2 5 4 2 2 6" xfId="42094"/>
    <cellStyle name="Normal 39 2 5 4 2 2 7" xfId="42095"/>
    <cellStyle name="Normal 39 2 5 4 2 3" xfId="42096"/>
    <cellStyle name="Normal 39 2 5 4 2 3 2" xfId="42097"/>
    <cellStyle name="Normal 39 2 5 4 2 3 3" xfId="42098"/>
    <cellStyle name="Normal 39 2 5 4 2 3 4" xfId="42099"/>
    <cellStyle name="Normal 39 2 5 4 2 3 5" xfId="42100"/>
    <cellStyle name="Normal 39 2 5 4 2 3 6" xfId="42101"/>
    <cellStyle name="Normal 39 2 5 4 2 4" xfId="42102"/>
    <cellStyle name="Normal 39 2 5 4 2 5" xfId="42103"/>
    <cellStyle name="Normal 39 2 5 4 2 6" xfId="42104"/>
    <cellStyle name="Normal 39 2 5 4 2 7" xfId="42105"/>
    <cellStyle name="Normal 39 2 5 4 2 8" xfId="42106"/>
    <cellStyle name="Normal 39 2 5 4 3" xfId="42107"/>
    <cellStyle name="Normal 39 2 5 4 3 2" xfId="42108"/>
    <cellStyle name="Normal 39 2 5 4 3 2 2" xfId="42109"/>
    <cellStyle name="Normal 39 2 5 4 3 2 3" xfId="42110"/>
    <cellStyle name="Normal 39 2 5 4 3 2 4" xfId="42111"/>
    <cellStyle name="Normal 39 2 5 4 3 2 5" xfId="42112"/>
    <cellStyle name="Normal 39 2 5 4 3 2 6" xfId="42113"/>
    <cellStyle name="Normal 39 2 5 4 3 3" xfId="42114"/>
    <cellStyle name="Normal 39 2 5 4 3 4" xfId="42115"/>
    <cellStyle name="Normal 39 2 5 4 3 5" xfId="42116"/>
    <cellStyle name="Normal 39 2 5 4 3 6" xfId="42117"/>
    <cellStyle name="Normal 39 2 5 4 3 7" xfId="42118"/>
    <cellStyle name="Normal 39 2 5 4 4" xfId="42119"/>
    <cellStyle name="Normal 39 2 5 4 4 2" xfId="42120"/>
    <cellStyle name="Normal 39 2 5 4 4 3" xfId="42121"/>
    <cellStyle name="Normal 39 2 5 4 4 4" xfId="42122"/>
    <cellStyle name="Normal 39 2 5 4 4 5" xfId="42123"/>
    <cellStyle name="Normal 39 2 5 4 4 6" xfId="42124"/>
    <cellStyle name="Normal 39 2 5 4 5" xfId="42125"/>
    <cellStyle name="Normal 39 2 5 4 6" xfId="42126"/>
    <cellStyle name="Normal 39 2 5 4 7" xfId="42127"/>
    <cellStyle name="Normal 39 2 5 4 8" xfId="42128"/>
    <cellStyle name="Normal 39 2 5 4 9" xfId="42129"/>
    <cellStyle name="Normal 39 2 5 5" xfId="42130"/>
    <cellStyle name="Normal 39 2 5 5 2" xfId="42131"/>
    <cellStyle name="Normal 39 2 5 5 2 2" xfId="42132"/>
    <cellStyle name="Normal 39 2 5 5 2 2 2" xfId="42133"/>
    <cellStyle name="Normal 39 2 5 5 2 2 2 2" xfId="42134"/>
    <cellStyle name="Normal 39 2 5 5 2 2 2 3" xfId="42135"/>
    <cellStyle name="Normal 39 2 5 5 2 2 2 4" xfId="42136"/>
    <cellStyle name="Normal 39 2 5 5 2 2 2 5" xfId="42137"/>
    <cellStyle name="Normal 39 2 5 5 2 2 2 6" xfId="42138"/>
    <cellStyle name="Normal 39 2 5 5 2 2 3" xfId="42139"/>
    <cellStyle name="Normal 39 2 5 5 2 2 4" xfId="42140"/>
    <cellStyle name="Normal 39 2 5 5 2 2 5" xfId="42141"/>
    <cellStyle name="Normal 39 2 5 5 2 2 6" xfId="42142"/>
    <cellStyle name="Normal 39 2 5 5 2 2 7" xfId="42143"/>
    <cellStyle name="Normal 39 2 5 5 2 3" xfId="42144"/>
    <cellStyle name="Normal 39 2 5 5 2 3 2" xfId="42145"/>
    <cellStyle name="Normal 39 2 5 5 2 3 3" xfId="42146"/>
    <cellStyle name="Normal 39 2 5 5 2 3 4" xfId="42147"/>
    <cellStyle name="Normal 39 2 5 5 2 3 5" xfId="42148"/>
    <cellStyle name="Normal 39 2 5 5 2 3 6" xfId="42149"/>
    <cellStyle name="Normal 39 2 5 5 2 4" xfId="42150"/>
    <cellStyle name="Normal 39 2 5 5 2 5" xfId="42151"/>
    <cellStyle name="Normal 39 2 5 5 2 6" xfId="42152"/>
    <cellStyle name="Normal 39 2 5 5 2 7" xfId="42153"/>
    <cellStyle name="Normal 39 2 5 5 2 8" xfId="42154"/>
    <cellStyle name="Normal 39 2 5 5 3" xfId="42155"/>
    <cellStyle name="Normal 39 2 5 5 3 2" xfId="42156"/>
    <cellStyle name="Normal 39 2 5 5 3 2 2" xfId="42157"/>
    <cellStyle name="Normal 39 2 5 5 3 2 3" xfId="42158"/>
    <cellStyle name="Normal 39 2 5 5 3 2 4" xfId="42159"/>
    <cellStyle name="Normal 39 2 5 5 3 2 5" xfId="42160"/>
    <cellStyle name="Normal 39 2 5 5 3 2 6" xfId="42161"/>
    <cellStyle name="Normal 39 2 5 5 3 3" xfId="42162"/>
    <cellStyle name="Normal 39 2 5 5 3 4" xfId="42163"/>
    <cellStyle name="Normal 39 2 5 5 3 5" xfId="42164"/>
    <cellStyle name="Normal 39 2 5 5 3 6" xfId="42165"/>
    <cellStyle name="Normal 39 2 5 5 3 7" xfId="42166"/>
    <cellStyle name="Normal 39 2 5 5 4" xfId="42167"/>
    <cellStyle name="Normal 39 2 5 5 4 2" xfId="42168"/>
    <cellStyle name="Normal 39 2 5 5 4 3" xfId="42169"/>
    <cellStyle name="Normal 39 2 5 5 4 4" xfId="42170"/>
    <cellStyle name="Normal 39 2 5 5 4 5" xfId="42171"/>
    <cellStyle name="Normal 39 2 5 5 4 6" xfId="42172"/>
    <cellStyle name="Normal 39 2 5 5 5" xfId="42173"/>
    <cellStyle name="Normal 39 2 5 5 6" xfId="42174"/>
    <cellStyle name="Normal 39 2 5 5 7" xfId="42175"/>
    <cellStyle name="Normal 39 2 5 5 8" xfId="42176"/>
    <cellStyle name="Normal 39 2 5 5 9" xfId="42177"/>
    <cellStyle name="Normal 39 2 5 6" xfId="42178"/>
    <cellStyle name="Normal 39 2 5 6 2" xfId="42179"/>
    <cellStyle name="Normal 39 2 5 6 2 2" xfId="42180"/>
    <cellStyle name="Normal 39 2 5 6 2 2 2" xfId="42181"/>
    <cellStyle name="Normal 39 2 5 6 2 2 2 2" xfId="42182"/>
    <cellStyle name="Normal 39 2 5 6 2 2 2 3" xfId="42183"/>
    <cellStyle name="Normal 39 2 5 6 2 2 2 4" xfId="42184"/>
    <cellStyle name="Normal 39 2 5 6 2 2 2 5" xfId="42185"/>
    <cellStyle name="Normal 39 2 5 6 2 2 2 6" xfId="42186"/>
    <cellStyle name="Normal 39 2 5 6 2 2 3" xfId="42187"/>
    <cellStyle name="Normal 39 2 5 6 2 2 4" xfId="42188"/>
    <cellStyle name="Normal 39 2 5 6 2 2 5" xfId="42189"/>
    <cellStyle name="Normal 39 2 5 6 2 2 6" xfId="42190"/>
    <cellStyle name="Normal 39 2 5 6 2 2 7" xfId="42191"/>
    <cellStyle name="Normal 39 2 5 6 2 3" xfId="42192"/>
    <cellStyle name="Normal 39 2 5 6 2 3 2" xfId="42193"/>
    <cellStyle name="Normal 39 2 5 6 2 3 3" xfId="42194"/>
    <cellStyle name="Normal 39 2 5 6 2 3 4" xfId="42195"/>
    <cellStyle name="Normal 39 2 5 6 2 3 5" xfId="42196"/>
    <cellStyle name="Normal 39 2 5 6 2 3 6" xfId="42197"/>
    <cellStyle name="Normal 39 2 5 6 2 4" xfId="42198"/>
    <cellStyle name="Normal 39 2 5 6 2 5" xfId="42199"/>
    <cellStyle name="Normal 39 2 5 6 2 6" xfId="42200"/>
    <cellStyle name="Normal 39 2 5 6 2 7" xfId="42201"/>
    <cellStyle name="Normal 39 2 5 6 2 8" xfId="42202"/>
    <cellStyle name="Normal 39 2 5 6 3" xfId="42203"/>
    <cellStyle name="Normal 39 2 5 6 3 2" xfId="42204"/>
    <cellStyle name="Normal 39 2 5 6 3 2 2" xfId="42205"/>
    <cellStyle name="Normal 39 2 5 6 3 2 3" xfId="42206"/>
    <cellStyle name="Normal 39 2 5 6 3 2 4" xfId="42207"/>
    <cellStyle name="Normal 39 2 5 6 3 2 5" xfId="42208"/>
    <cellStyle name="Normal 39 2 5 6 3 2 6" xfId="42209"/>
    <cellStyle name="Normal 39 2 5 6 3 3" xfId="42210"/>
    <cellStyle name="Normal 39 2 5 6 3 4" xfId="42211"/>
    <cellStyle name="Normal 39 2 5 6 3 5" xfId="42212"/>
    <cellStyle name="Normal 39 2 5 6 3 6" xfId="42213"/>
    <cellStyle name="Normal 39 2 5 6 3 7" xfId="42214"/>
    <cellStyle name="Normal 39 2 5 6 4" xfId="42215"/>
    <cellStyle name="Normal 39 2 5 6 4 2" xfId="42216"/>
    <cellStyle name="Normal 39 2 5 6 4 3" xfId="42217"/>
    <cellStyle name="Normal 39 2 5 6 4 4" xfId="42218"/>
    <cellStyle name="Normal 39 2 5 6 4 5" xfId="42219"/>
    <cellStyle name="Normal 39 2 5 6 4 6" xfId="42220"/>
    <cellStyle name="Normal 39 2 5 6 5" xfId="42221"/>
    <cellStyle name="Normal 39 2 5 6 6" xfId="42222"/>
    <cellStyle name="Normal 39 2 5 6 7" xfId="42223"/>
    <cellStyle name="Normal 39 2 5 6 8" xfId="42224"/>
    <cellStyle name="Normal 39 2 5 6 9" xfId="42225"/>
    <cellStyle name="Normal 39 2 5 7" xfId="42226"/>
    <cellStyle name="Normal 39 2 5 7 2" xfId="42227"/>
    <cellStyle name="Normal 39 2 5 7 2 2" xfId="42228"/>
    <cellStyle name="Normal 39 2 5 7 2 2 2" xfId="42229"/>
    <cellStyle name="Normal 39 2 5 7 2 2 3" xfId="42230"/>
    <cellStyle name="Normal 39 2 5 7 2 2 4" xfId="42231"/>
    <cellStyle name="Normal 39 2 5 7 2 2 5" xfId="42232"/>
    <cellStyle name="Normal 39 2 5 7 2 2 6" xfId="42233"/>
    <cellStyle name="Normal 39 2 5 7 2 3" xfId="42234"/>
    <cellStyle name="Normal 39 2 5 7 2 4" xfId="42235"/>
    <cellStyle name="Normal 39 2 5 7 2 5" xfId="42236"/>
    <cellStyle name="Normal 39 2 5 7 2 6" xfId="42237"/>
    <cellStyle name="Normal 39 2 5 7 2 7" xfId="42238"/>
    <cellStyle name="Normal 39 2 5 7 3" xfId="42239"/>
    <cellStyle name="Normal 39 2 5 7 3 2" xfId="42240"/>
    <cellStyle name="Normal 39 2 5 7 3 3" xfId="42241"/>
    <cellStyle name="Normal 39 2 5 7 3 4" xfId="42242"/>
    <cellStyle name="Normal 39 2 5 7 3 5" xfId="42243"/>
    <cellStyle name="Normal 39 2 5 7 3 6" xfId="42244"/>
    <cellStyle name="Normal 39 2 5 7 4" xfId="42245"/>
    <cellStyle name="Normal 39 2 5 7 5" xfId="42246"/>
    <cellStyle name="Normal 39 2 5 7 6" xfId="42247"/>
    <cellStyle name="Normal 39 2 5 7 7" xfId="42248"/>
    <cellStyle name="Normal 39 2 5 7 8" xfId="42249"/>
    <cellStyle name="Normal 39 2 5 8" xfId="42250"/>
    <cellStyle name="Normal 39 2 5 8 2" xfId="42251"/>
    <cellStyle name="Normal 39 2 5 8 2 2" xfId="42252"/>
    <cellStyle name="Normal 39 2 5 8 2 3" xfId="42253"/>
    <cellStyle name="Normal 39 2 5 8 2 4" xfId="42254"/>
    <cellStyle name="Normal 39 2 5 8 2 5" xfId="42255"/>
    <cellStyle name="Normal 39 2 5 8 2 6" xfId="42256"/>
    <cellStyle name="Normal 39 2 5 8 3" xfId="42257"/>
    <cellStyle name="Normal 39 2 5 8 4" xfId="42258"/>
    <cellStyle name="Normal 39 2 5 8 5" xfId="42259"/>
    <cellStyle name="Normal 39 2 5 8 6" xfId="42260"/>
    <cellStyle name="Normal 39 2 5 8 7" xfId="42261"/>
    <cellStyle name="Normal 39 2 5 9" xfId="42262"/>
    <cellStyle name="Normal 39 2 5 9 2" xfId="42263"/>
    <cellStyle name="Normal 39 2 5 9 3" xfId="42264"/>
    <cellStyle name="Normal 39 2 5 9 4" xfId="42265"/>
    <cellStyle name="Normal 39 2 5 9 5" xfId="42266"/>
    <cellStyle name="Normal 39 2 5 9 6" xfId="42267"/>
    <cellStyle name="Normal 39 2 6" xfId="42268"/>
    <cellStyle name="Normal 39 2 6 2" xfId="42269"/>
    <cellStyle name="Normal 39 2 6 2 2" xfId="42270"/>
    <cellStyle name="Normal 39 2 6 2 2 2" xfId="42271"/>
    <cellStyle name="Normal 39 2 6 2 2 2 2" xfId="42272"/>
    <cellStyle name="Normal 39 2 6 2 2 2 3" xfId="42273"/>
    <cellStyle name="Normal 39 2 6 2 2 2 4" xfId="42274"/>
    <cellStyle name="Normal 39 2 6 2 2 2 5" xfId="42275"/>
    <cellStyle name="Normal 39 2 6 2 2 2 6" xfId="42276"/>
    <cellStyle name="Normal 39 2 6 2 2 3" xfId="42277"/>
    <cellStyle name="Normal 39 2 6 2 2 4" xfId="42278"/>
    <cellStyle name="Normal 39 2 6 2 2 5" xfId="42279"/>
    <cellStyle name="Normal 39 2 6 2 2 6" xfId="42280"/>
    <cellStyle name="Normal 39 2 6 2 2 7" xfId="42281"/>
    <cellStyle name="Normal 39 2 6 2 3" xfId="42282"/>
    <cellStyle name="Normal 39 2 6 2 3 2" xfId="42283"/>
    <cellStyle name="Normal 39 2 6 2 3 3" xfId="42284"/>
    <cellStyle name="Normal 39 2 6 2 3 4" xfId="42285"/>
    <cellStyle name="Normal 39 2 6 2 3 5" xfId="42286"/>
    <cellStyle name="Normal 39 2 6 2 3 6" xfId="42287"/>
    <cellStyle name="Normal 39 2 6 2 4" xfId="42288"/>
    <cellStyle name="Normal 39 2 6 2 5" xfId="42289"/>
    <cellStyle name="Normal 39 2 6 2 6" xfId="42290"/>
    <cellStyle name="Normal 39 2 6 2 7" xfId="42291"/>
    <cellStyle name="Normal 39 2 6 2 8" xfId="42292"/>
    <cellStyle name="Normal 39 2 6 3" xfId="42293"/>
    <cellStyle name="Normal 39 2 6 3 2" xfId="42294"/>
    <cellStyle name="Normal 39 2 6 3 2 2" xfId="42295"/>
    <cellStyle name="Normal 39 2 6 3 2 3" xfId="42296"/>
    <cellStyle name="Normal 39 2 6 3 2 4" xfId="42297"/>
    <cellStyle name="Normal 39 2 6 3 2 5" xfId="42298"/>
    <cellStyle name="Normal 39 2 6 3 2 6" xfId="42299"/>
    <cellStyle name="Normal 39 2 6 3 3" xfId="42300"/>
    <cellStyle name="Normal 39 2 6 3 4" xfId="42301"/>
    <cellStyle name="Normal 39 2 6 3 5" xfId="42302"/>
    <cellStyle name="Normal 39 2 6 3 6" xfId="42303"/>
    <cellStyle name="Normal 39 2 6 3 7" xfId="42304"/>
    <cellStyle name="Normal 39 2 6 4" xfId="42305"/>
    <cellStyle name="Normal 39 2 6 4 2" xfId="42306"/>
    <cellStyle name="Normal 39 2 6 4 3" xfId="42307"/>
    <cellStyle name="Normal 39 2 6 4 4" xfId="42308"/>
    <cellStyle name="Normal 39 2 6 4 5" xfId="42309"/>
    <cellStyle name="Normal 39 2 6 4 6" xfId="42310"/>
    <cellStyle name="Normal 39 2 6 5" xfId="42311"/>
    <cellStyle name="Normal 39 2 6 6" xfId="42312"/>
    <cellStyle name="Normal 39 2 6 7" xfId="42313"/>
    <cellStyle name="Normal 39 2 6 8" xfId="42314"/>
    <cellStyle name="Normal 39 2 6 9" xfId="42315"/>
    <cellStyle name="Normal 39 2 7" xfId="42316"/>
    <cellStyle name="Normal 39 2 7 2" xfId="42317"/>
    <cellStyle name="Normal 39 2 7 2 2" xfId="42318"/>
    <cellStyle name="Normal 39 2 7 2 2 2" xfId="42319"/>
    <cellStyle name="Normal 39 2 7 2 2 2 2" xfId="42320"/>
    <cellStyle name="Normal 39 2 7 2 2 2 3" xfId="42321"/>
    <cellStyle name="Normal 39 2 7 2 2 2 4" xfId="42322"/>
    <cellStyle name="Normal 39 2 7 2 2 2 5" xfId="42323"/>
    <cellStyle name="Normal 39 2 7 2 2 2 6" xfId="42324"/>
    <cellStyle name="Normal 39 2 7 2 2 3" xfId="42325"/>
    <cellStyle name="Normal 39 2 7 2 2 4" xfId="42326"/>
    <cellStyle name="Normal 39 2 7 2 2 5" xfId="42327"/>
    <cellStyle name="Normal 39 2 7 2 2 6" xfId="42328"/>
    <cellStyle name="Normal 39 2 7 2 2 7" xfId="42329"/>
    <cellStyle name="Normal 39 2 7 2 3" xfId="42330"/>
    <cellStyle name="Normal 39 2 7 2 3 2" xfId="42331"/>
    <cellStyle name="Normal 39 2 7 2 3 3" xfId="42332"/>
    <cellStyle name="Normal 39 2 7 2 3 4" xfId="42333"/>
    <cellStyle name="Normal 39 2 7 2 3 5" xfId="42334"/>
    <cellStyle name="Normal 39 2 7 2 3 6" xfId="42335"/>
    <cellStyle name="Normal 39 2 7 2 4" xfId="42336"/>
    <cellStyle name="Normal 39 2 7 2 5" xfId="42337"/>
    <cellStyle name="Normal 39 2 7 2 6" xfId="42338"/>
    <cellStyle name="Normal 39 2 7 2 7" xfId="42339"/>
    <cellStyle name="Normal 39 2 7 2 8" xfId="42340"/>
    <cellStyle name="Normal 39 2 7 3" xfId="42341"/>
    <cellStyle name="Normal 39 2 7 3 2" xfId="42342"/>
    <cellStyle name="Normal 39 2 7 3 2 2" xfId="42343"/>
    <cellStyle name="Normal 39 2 7 3 2 3" xfId="42344"/>
    <cellStyle name="Normal 39 2 7 3 2 4" xfId="42345"/>
    <cellStyle name="Normal 39 2 7 3 2 5" xfId="42346"/>
    <cellStyle name="Normal 39 2 7 3 2 6" xfId="42347"/>
    <cellStyle name="Normal 39 2 7 3 3" xfId="42348"/>
    <cellStyle name="Normal 39 2 7 3 4" xfId="42349"/>
    <cellStyle name="Normal 39 2 7 3 5" xfId="42350"/>
    <cellStyle name="Normal 39 2 7 3 6" xfId="42351"/>
    <cellStyle name="Normal 39 2 7 3 7" xfId="42352"/>
    <cellStyle name="Normal 39 2 7 4" xfId="42353"/>
    <cellStyle name="Normal 39 2 7 4 2" xfId="42354"/>
    <cellStyle name="Normal 39 2 7 4 3" xfId="42355"/>
    <cellStyle name="Normal 39 2 7 4 4" xfId="42356"/>
    <cellStyle name="Normal 39 2 7 4 5" xfId="42357"/>
    <cellStyle name="Normal 39 2 7 4 6" xfId="42358"/>
    <cellStyle name="Normal 39 2 7 5" xfId="42359"/>
    <cellStyle name="Normal 39 2 7 6" xfId="42360"/>
    <cellStyle name="Normal 39 2 7 7" xfId="42361"/>
    <cellStyle name="Normal 39 2 7 8" xfId="42362"/>
    <cellStyle name="Normal 39 2 7 9" xfId="42363"/>
    <cellStyle name="Normal 39 2 8" xfId="42364"/>
    <cellStyle name="Normal 39 2 8 2" xfId="42365"/>
    <cellStyle name="Normal 39 2 8 2 2" xfId="42366"/>
    <cellStyle name="Normal 39 2 8 2 2 2" xfId="42367"/>
    <cellStyle name="Normal 39 2 8 2 2 2 2" xfId="42368"/>
    <cellStyle name="Normal 39 2 8 2 2 2 3" xfId="42369"/>
    <cellStyle name="Normal 39 2 8 2 2 2 4" xfId="42370"/>
    <cellStyle name="Normal 39 2 8 2 2 2 5" xfId="42371"/>
    <cellStyle name="Normal 39 2 8 2 2 2 6" xfId="42372"/>
    <cellStyle name="Normal 39 2 8 2 2 3" xfId="42373"/>
    <cellStyle name="Normal 39 2 8 2 2 4" xfId="42374"/>
    <cellStyle name="Normal 39 2 8 2 2 5" xfId="42375"/>
    <cellStyle name="Normal 39 2 8 2 2 6" xfId="42376"/>
    <cellStyle name="Normal 39 2 8 2 2 7" xfId="42377"/>
    <cellStyle name="Normal 39 2 8 2 3" xfId="42378"/>
    <cellStyle name="Normal 39 2 8 2 3 2" xfId="42379"/>
    <cellStyle name="Normal 39 2 8 2 3 3" xfId="42380"/>
    <cellStyle name="Normal 39 2 8 2 3 4" xfId="42381"/>
    <cellStyle name="Normal 39 2 8 2 3 5" xfId="42382"/>
    <cellStyle name="Normal 39 2 8 2 3 6" xfId="42383"/>
    <cellStyle name="Normal 39 2 8 2 4" xfId="42384"/>
    <cellStyle name="Normal 39 2 8 2 5" xfId="42385"/>
    <cellStyle name="Normal 39 2 8 2 6" xfId="42386"/>
    <cellStyle name="Normal 39 2 8 2 7" xfId="42387"/>
    <cellStyle name="Normal 39 2 8 2 8" xfId="42388"/>
    <cellStyle name="Normal 39 2 8 3" xfId="42389"/>
    <cellStyle name="Normal 39 2 8 3 2" xfId="42390"/>
    <cellStyle name="Normal 39 2 8 3 2 2" xfId="42391"/>
    <cellStyle name="Normal 39 2 8 3 2 3" xfId="42392"/>
    <cellStyle name="Normal 39 2 8 3 2 4" xfId="42393"/>
    <cellStyle name="Normal 39 2 8 3 2 5" xfId="42394"/>
    <cellStyle name="Normal 39 2 8 3 2 6" xfId="42395"/>
    <cellStyle name="Normal 39 2 8 3 3" xfId="42396"/>
    <cellStyle name="Normal 39 2 8 3 4" xfId="42397"/>
    <cellStyle name="Normal 39 2 8 3 5" xfId="42398"/>
    <cellStyle name="Normal 39 2 8 3 6" xfId="42399"/>
    <cellStyle name="Normal 39 2 8 3 7" xfId="42400"/>
    <cellStyle name="Normal 39 2 8 4" xfId="42401"/>
    <cellStyle name="Normal 39 2 8 4 2" xfId="42402"/>
    <cellStyle name="Normal 39 2 8 4 3" xfId="42403"/>
    <cellStyle name="Normal 39 2 8 4 4" xfId="42404"/>
    <cellStyle name="Normal 39 2 8 4 5" xfId="42405"/>
    <cellStyle name="Normal 39 2 8 4 6" xfId="42406"/>
    <cellStyle name="Normal 39 2 8 5" xfId="42407"/>
    <cellStyle name="Normal 39 2 8 6" xfId="42408"/>
    <cellStyle name="Normal 39 2 8 7" xfId="42409"/>
    <cellStyle name="Normal 39 2 8 8" xfId="42410"/>
    <cellStyle name="Normal 39 2 8 9" xfId="42411"/>
    <cellStyle name="Normal 39 2 9" xfId="42412"/>
    <cellStyle name="Normal 39 2 9 2" xfId="42413"/>
    <cellStyle name="Normal 39 2 9 2 2" xfId="42414"/>
    <cellStyle name="Normal 39 2 9 2 2 2" xfId="42415"/>
    <cellStyle name="Normal 39 2 9 2 2 2 2" xfId="42416"/>
    <cellStyle name="Normal 39 2 9 2 2 2 3" xfId="42417"/>
    <cellStyle name="Normal 39 2 9 2 2 2 4" xfId="42418"/>
    <cellStyle name="Normal 39 2 9 2 2 2 5" xfId="42419"/>
    <cellStyle name="Normal 39 2 9 2 2 2 6" xfId="42420"/>
    <cellStyle name="Normal 39 2 9 2 2 3" xfId="42421"/>
    <cellStyle name="Normal 39 2 9 2 2 4" xfId="42422"/>
    <cellStyle name="Normal 39 2 9 2 2 5" xfId="42423"/>
    <cellStyle name="Normal 39 2 9 2 2 6" xfId="42424"/>
    <cellStyle name="Normal 39 2 9 2 2 7" xfId="42425"/>
    <cellStyle name="Normal 39 2 9 2 3" xfId="42426"/>
    <cellStyle name="Normal 39 2 9 2 3 2" xfId="42427"/>
    <cellStyle name="Normal 39 2 9 2 3 3" xfId="42428"/>
    <cellStyle name="Normal 39 2 9 2 3 4" xfId="42429"/>
    <cellStyle name="Normal 39 2 9 2 3 5" xfId="42430"/>
    <cellStyle name="Normal 39 2 9 2 3 6" xfId="42431"/>
    <cellStyle name="Normal 39 2 9 2 4" xfId="42432"/>
    <cellStyle name="Normal 39 2 9 2 5" xfId="42433"/>
    <cellStyle name="Normal 39 2 9 2 6" xfId="42434"/>
    <cellStyle name="Normal 39 2 9 2 7" xfId="42435"/>
    <cellStyle name="Normal 39 2 9 2 8" xfId="42436"/>
    <cellStyle name="Normal 39 2 9 3" xfId="42437"/>
    <cellStyle name="Normal 39 2 9 3 2" xfId="42438"/>
    <cellStyle name="Normal 39 2 9 3 2 2" xfId="42439"/>
    <cellStyle name="Normal 39 2 9 3 2 3" xfId="42440"/>
    <cellStyle name="Normal 39 2 9 3 2 4" xfId="42441"/>
    <cellStyle name="Normal 39 2 9 3 2 5" xfId="42442"/>
    <cellStyle name="Normal 39 2 9 3 2 6" xfId="42443"/>
    <cellStyle name="Normal 39 2 9 3 3" xfId="42444"/>
    <cellStyle name="Normal 39 2 9 3 4" xfId="42445"/>
    <cellStyle name="Normal 39 2 9 3 5" xfId="42446"/>
    <cellStyle name="Normal 39 2 9 3 6" xfId="42447"/>
    <cellStyle name="Normal 39 2 9 3 7" xfId="42448"/>
    <cellStyle name="Normal 39 2 9 4" xfId="42449"/>
    <cellStyle name="Normal 39 2 9 4 2" xfId="42450"/>
    <cellStyle name="Normal 39 2 9 4 3" xfId="42451"/>
    <cellStyle name="Normal 39 2 9 4 4" xfId="42452"/>
    <cellStyle name="Normal 39 2 9 4 5" xfId="42453"/>
    <cellStyle name="Normal 39 2 9 4 6" xfId="42454"/>
    <cellStyle name="Normal 39 2 9 5" xfId="42455"/>
    <cellStyle name="Normal 39 2 9 6" xfId="42456"/>
    <cellStyle name="Normal 39 2 9 7" xfId="42457"/>
    <cellStyle name="Normal 39 2 9 8" xfId="42458"/>
    <cellStyle name="Normal 39 2 9 9" xfId="42459"/>
    <cellStyle name="Normal 39 3" xfId="42460"/>
    <cellStyle name="Normal 39 3 10" xfId="42461"/>
    <cellStyle name="Normal 39 3 10 2" xfId="42462"/>
    <cellStyle name="Normal 39 3 10 3" xfId="42463"/>
    <cellStyle name="Normal 39 3 10 4" xfId="42464"/>
    <cellStyle name="Normal 39 3 10 5" xfId="42465"/>
    <cellStyle name="Normal 39 3 10 6" xfId="42466"/>
    <cellStyle name="Normal 39 3 11" xfId="42467"/>
    <cellStyle name="Normal 39 3 12" xfId="42468"/>
    <cellStyle name="Normal 39 3 13" xfId="42469"/>
    <cellStyle name="Normal 39 3 14" xfId="42470"/>
    <cellStyle name="Normal 39 3 15" xfId="42471"/>
    <cellStyle name="Normal 39 3 2" xfId="42472"/>
    <cellStyle name="Normal 39 3 2 10" xfId="42473"/>
    <cellStyle name="Normal 39 3 2 11" xfId="42474"/>
    <cellStyle name="Normal 39 3 2 12" xfId="42475"/>
    <cellStyle name="Normal 39 3 2 13" xfId="42476"/>
    <cellStyle name="Normal 39 3 2 14" xfId="42477"/>
    <cellStyle name="Normal 39 3 2 2" xfId="42478"/>
    <cellStyle name="Normal 39 3 2 2 2" xfId="42479"/>
    <cellStyle name="Normal 39 3 2 2 2 2" xfId="42480"/>
    <cellStyle name="Normal 39 3 2 2 2 2 2" xfId="42481"/>
    <cellStyle name="Normal 39 3 2 2 2 2 2 2" xfId="42482"/>
    <cellStyle name="Normal 39 3 2 2 2 2 2 3" xfId="42483"/>
    <cellStyle name="Normal 39 3 2 2 2 2 2 4" xfId="42484"/>
    <cellStyle name="Normal 39 3 2 2 2 2 2 5" xfId="42485"/>
    <cellStyle name="Normal 39 3 2 2 2 2 2 6" xfId="42486"/>
    <cellStyle name="Normal 39 3 2 2 2 2 3" xfId="42487"/>
    <cellStyle name="Normal 39 3 2 2 2 2 4" xfId="42488"/>
    <cellStyle name="Normal 39 3 2 2 2 2 5" xfId="42489"/>
    <cellStyle name="Normal 39 3 2 2 2 2 6" xfId="42490"/>
    <cellStyle name="Normal 39 3 2 2 2 2 7" xfId="42491"/>
    <cellStyle name="Normal 39 3 2 2 2 3" xfId="42492"/>
    <cellStyle name="Normal 39 3 2 2 2 3 2" xfId="42493"/>
    <cellStyle name="Normal 39 3 2 2 2 3 3" xfId="42494"/>
    <cellStyle name="Normal 39 3 2 2 2 3 4" xfId="42495"/>
    <cellStyle name="Normal 39 3 2 2 2 3 5" xfId="42496"/>
    <cellStyle name="Normal 39 3 2 2 2 3 6" xfId="42497"/>
    <cellStyle name="Normal 39 3 2 2 2 4" xfId="42498"/>
    <cellStyle name="Normal 39 3 2 2 2 5" xfId="42499"/>
    <cellStyle name="Normal 39 3 2 2 2 6" xfId="42500"/>
    <cellStyle name="Normal 39 3 2 2 2 7" xfId="42501"/>
    <cellStyle name="Normal 39 3 2 2 2 8" xfId="42502"/>
    <cellStyle name="Normal 39 3 2 2 3" xfId="42503"/>
    <cellStyle name="Normal 39 3 2 2 3 2" xfId="42504"/>
    <cellStyle name="Normal 39 3 2 2 3 2 2" xfId="42505"/>
    <cellStyle name="Normal 39 3 2 2 3 2 3" xfId="42506"/>
    <cellStyle name="Normal 39 3 2 2 3 2 4" xfId="42507"/>
    <cellStyle name="Normal 39 3 2 2 3 2 5" xfId="42508"/>
    <cellStyle name="Normal 39 3 2 2 3 2 6" xfId="42509"/>
    <cellStyle name="Normal 39 3 2 2 3 3" xfId="42510"/>
    <cellStyle name="Normal 39 3 2 2 3 4" xfId="42511"/>
    <cellStyle name="Normal 39 3 2 2 3 5" xfId="42512"/>
    <cellStyle name="Normal 39 3 2 2 3 6" xfId="42513"/>
    <cellStyle name="Normal 39 3 2 2 3 7" xfId="42514"/>
    <cellStyle name="Normal 39 3 2 2 4" xfId="42515"/>
    <cellStyle name="Normal 39 3 2 2 4 2" xfId="42516"/>
    <cellStyle name="Normal 39 3 2 2 4 3" xfId="42517"/>
    <cellStyle name="Normal 39 3 2 2 4 4" xfId="42518"/>
    <cellStyle name="Normal 39 3 2 2 4 5" xfId="42519"/>
    <cellStyle name="Normal 39 3 2 2 4 6" xfId="42520"/>
    <cellStyle name="Normal 39 3 2 2 5" xfId="42521"/>
    <cellStyle name="Normal 39 3 2 2 6" xfId="42522"/>
    <cellStyle name="Normal 39 3 2 2 7" xfId="42523"/>
    <cellStyle name="Normal 39 3 2 2 8" xfId="42524"/>
    <cellStyle name="Normal 39 3 2 2 9" xfId="42525"/>
    <cellStyle name="Normal 39 3 2 3" xfId="42526"/>
    <cellStyle name="Normal 39 3 2 3 2" xfId="42527"/>
    <cellStyle name="Normal 39 3 2 3 2 2" xfId="42528"/>
    <cellStyle name="Normal 39 3 2 3 2 2 2" xfId="42529"/>
    <cellStyle name="Normal 39 3 2 3 2 2 2 2" xfId="42530"/>
    <cellStyle name="Normal 39 3 2 3 2 2 2 3" xfId="42531"/>
    <cellStyle name="Normal 39 3 2 3 2 2 2 4" xfId="42532"/>
    <cellStyle name="Normal 39 3 2 3 2 2 2 5" xfId="42533"/>
    <cellStyle name="Normal 39 3 2 3 2 2 2 6" xfId="42534"/>
    <cellStyle name="Normal 39 3 2 3 2 2 3" xfId="42535"/>
    <cellStyle name="Normal 39 3 2 3 2 2 4" xfId="42536"/>
    <cellStyle name="Normal 39 3 2 3 2 2 5" xfId="42537"/>
    <cellStyle name="Normal 39 3 2 3 2 2 6" xfId="42538"/>
    <cellStyle name="Normal 39 3 2 3 2 2 7" xfId="42539"/>
    <cellStyle name="Normal 39 3 2 3 2 3" xfId="42540"/>
    <cellStyle name="Normal 39 3 2 3 2 3 2" xfId="42541"/>
    <cellStyle name="Normal 39 3 2 3 2 3 3" xfId="42542"/>
    <cellStyle name="Normal 39 3 2 3 2 3 4" xfId="42543"/>
    <cellStyle name="Normal 39 3 2 3 2 3 5" xfId="42544"/>
    <cellStyle name="Normal 39 3 2 3 2 3 6" xfId="42545"/>
    <cellStyle name="Normal 39 3 2 3 2 4" xfId="42546"/>
    <cellStyle name="Normal 39 3 2 3 2 5" xfId="42547"/>
    <cellStyle name="Normal 39 3 2 3 2 6" xfId="42548"/>
    <cellStyle name="Normal 39 3 2 3 2 7" xfId="42549"/>
    <cellStyle name="Normal 39 3 2 3 2 8" xfId="42550"/>
    <cellStyle name="Normal 39 3 2 3 3" xfId="42551"/>
    <cellStyle name="Normal 39 3 2 3 3 2" xfId="42552"/>
    <cellStyle name="Normal 39 3 2 3 3 2 2" xfId="42553"/>
    <cellStyle name="Normal 39 3 2 3 3 2 3" xfId="42554"/>
    <cellStyle name="Normal 39 3 2 3 3 2 4" xfId="42555"/>
    <cellStyle name="Normal 39 3 2 3 3 2 5" xfId="42556"/>
    <cellStyle name="Normal 39 3 2 3 3 2 6" xfId="42557"/>
    <cellStyle name="Normal 39 3 2 3 3 3" xfId="42558"/>
    <cellStyle name="Normal 39 3 2 3 3 4" xfId="42559"/>
    <cellStyle name="Normal 39 3 2 3 3 5" xfId="42560"/>
    <cellStyle name="Normal 39 3 2 3 3 6" xfId="42561"/>
    <cellStyle name="Normal 39 3 2 3 3 7" xfId="42562"/>
    <cellStyle name="Normal 39 3 2 3 4" xfId="42563"/>
    <cellStyle name="Normal 39 3 2 3 4 2" xfId="42564"/>
    <cellStyle name="Normal 39 3 2 3 4 3" xfId="42565"/>
    <cellStyle name="Normal 39 3 2 3 4 4" xfId="42566"/>
    <cellStyle name="Normal 39 3 2 3 4 5" xfId="42567"/>
    <cellStyle name="Normal 39 3 2 3 4 6" xfId="42568"/>
    <cellStyle name="Normal 39 3 2 3 5" xfId="42569"/>
    <cellStyle name="Normal 39 3 2 3 6" xfId="42570"/>
    <cellStyle name="Normal 39 3 2 3 7" xfId="42571"/>
    <cellStyle name="Normal 39 3 2 3 8" xfId="42572"/>
    <cellStyle name="Normal 39 3 2 3 9" xfId="42573"/>
    <cellStyle name="Normal 39 3 2 4" xfId="42574"/>
    <cellStyle name="Normal 39 3 2 4 2" xfId="42575"/>
    <cellStyle name="Normal 39 3 2 4 2 2" xfId="42576"/>
    <cellStyle name="Normal 39 3 2 4 2 2 2" xfId="42577"/>
    <cellStyle name="Normal 39 3 2 4 2 2 2 2" xfId="42578"/>
    <cellStyle name="Normal 39 3 2 4 2 2 2 3" xfId="42579"/>
    <cellStyle name="Normal 39 3 2 4 2 2 2 4" xfId="42580"/>
    <cellStyle name="Normal 39 3 2 4 2 2 2 5" xfId="42581"/>
    <cellStyle name="Normal 39 3 2 4 2 2 2 6" xfId="42582"/>
    <cellStyle name="Normal 39 3 2 4 2 2 3" xfId="42583"/>
    <cellStyle name="Normal 39 3 2 4 2 2 4" xfId="42584"/>
    <cellStyle name="Normal 39 3 2 4 2 2 5" xfId="42585"/>
    <cellStyle name="Normal 39 3 2 4 2 2 6" xfId="42586"/>
    <cellStyle name="Normal 39 3 2 4 2 2 7" xfId="42587"/>
    <cellStyle name="Normal 39 3 2 4 2 3" xfId="42588"/>
    <cellStyle name="Normal 39 3 2 4 2 3 2" xfId="42589"/>
    <cellStyle name="Normal 39 3 2 4 2 3 3" xfId="42590"/>
    <cellStyle name="Normal 39 3 2 4 2 3 4" xfId="42591"/>
    <cellStyle name="Normal 39 3 2 4 2 3 5" xfId="42592"/>
    <cellStyle name="Normal 39 3 2 4 2 3 6" xfId="42593"/>
    <cellStyle name="Normal 39 3 2 4 2 4" xfId="42594"/>
    <cellStyle name="Normal 39 3 2 4 2 5" xfId="42595"/>
    <cellStyle name="Normal 39 3 2 4 2 6" xfId="42596"/>
    <cellStyle name="Normal 39 3 2 4 2 7" xfId="42597"/>
    <cellStyle name="Normal 39 3 2 4 2 8" xfId="42598"/>
    <cellStyle name="Normal 39 3 2 4 3" xfId="42599"/>
    <cellStyle name="Normal 39 3 2 4 3 2" xfId="42600"/>
    <cellStyle name="Normal 39 3 2 4 3 2 2" xfId="42601"/>
    <cellStyle name="Normal 39 3 2 4 3 2 3" xfId="42602"/>
    <cellStyle name="Normal 39 3 2 4 3 2 4" xfId="42603"/>
    <cellStyle name="Normal 39 3 2 4 3 2 5" xfId="42604"/>
    <cellStyle name="Normal 39 3 2 4 3 2 6" xfId="42605"/>
    <cellStyle name="Normal 39 3 2 4 3 3" xfId="42606"/>
    <cellStyle name="Normal 39 3 2 4 3 4" xfId="42607"/>
    <cellStyle name="Normal 39 3 2 4 3 5" xfId="42608"/>
    <cellStyle name="Normal 39 3 2 4 3 6" xfId="42609"/>
    <cellStyle name="Normal 39 3 2 4 3 7" xfId="42610"/>
    <cellStyle name="Normal 39 3 2 4 4" xfId="42611"/>
    <cellStyle name="Normal 39 3 2 4 4 2" xfId="42612"/>
    <cellStyle name="Normal 39 3 2 4 4 3" xfId="42613"/>
    <cellStyle name="Normal 39 3 2 4 4 4" xfId="42614"/>
    <cellStyle name="Normal 39 3 2 4 4 5" xfId="42615"/>
    <cellStyle name="Normal 39 3 2 4 4 6" xfId="42616"/>
    <cellStyle name="Normal 39 3 2 4 5" xfId="42617"/>
    <cellStyle name="Normal 39 3 2 4 6" xfId="42618"/>
    <cellStyle name="Normal 39 3 2 4 7" xfId="42619"/>
    <cellStyle name="Normal 39 3 2 4 8" xfId="42620"/>
    <cellStyle name="Normal 39 3 2 4 9" xfId="42621"/>
    <cellStyle name="Normal 39 3 2 5" xfId="42622"/>
    <cellStyle name="Normal 39 3 2 5 2" xfId="42623"/>
    <cellStyle name="Normal 39 3 2 5 2 2" xfId="42624"/>
    <cellStyle name="Normal 39 3 2 5 2 2 2" xfId="42625"/>
    <cellStyle name="Normal 39 3 2 5 2 2 2 2" xfId="42626"/>
    <cellStyle name="Normal 39 3 2 5 2 2 2 3" xfId="42627"/>
    <cellStyle name="Normal 39 3 2 5 2 2 2 4" xfId="42628"/>
    <cellStyle name="Normal 39 3 2 5 2 2 2 5" xfId="42629"/>
    <cellStyle name="Normal 39 3 2 5 2 2 2 6" xfId="42630"/>
    <cellStyle name="Normal 39 3 2 5 2 2 3" xfId="42631"/>
    <cellStyle name="Normal 39 3 2 5 2 2 4" xfId="42632"/>
    <cellStyle name="Normal 39 3 2 5 2 2 5" xfId="42633"/>
    <cellStyle name="Normal 39 3 2 5 2 2 6" xfId="42634"/>
    <cellStyle name="Normal 39 3 2 5 2 2 7" xfId="42635"/>
    <cellStyle name="Normal 39 3 2 5 2 3" xfId="42636"/>
    <cellStyle name="Normal 39 3 2 5 2 3 2" xfId="42637"/>
    <cellStyle name="Normal 39 3 2 5 2 3 3" xfId="42638"/>
    <cellStyle name="Normal 39 3 2 5 2 3 4" xfId="42639"/>
    <cellStyle name="Normal 39 3 2 5 2 3 5" xfId="42640"/>
    <cellStyle name="Normal 39 3 2 5 2 3 6" xfId="42641"/>
    <cellStyle name="Normal 39 3 2 5 2 4" xfId="42642"/>
    <cellStyle name="Normal 39 3 2 5 2 5" xfId="42643"/>
    <cellStyle name="Normal 39 3 2 5 2 6" xfId="42644"/>
    <cellStyle name="Normal 39 3 2 5 2 7" xfId="42645"/>
    <cellStyle name="Normal 39 3 2 5 2 8" xfId="42646"/>
    <cellStyle name="Normal 39 3 2 5 3" xfId="42647"/>
    <cellStyle name="Normal 39 3 2 5 3 2" xfId="42648"/>
    <cellStyle name="Normal 39 3 2 5 3 2 2" xfId="42649"/>
    <cellStyle name="Normal 39 3 2 5 3 2 3" xfId="42650"/>
    <cellStyle name="Normal 39 3 2 5 3 2 4" xfId="42651"/>
    <cellStyle name="Normal 39 3 2 5 3 2 5" xfId="42652"/>
    <cellStyle name="Normal 39 3 2 5 3 2 6" xfId="42653"/>
    <cellStyle name="Normal 39 3 2 5 3 3" xfId="42654"/>
    <cellStyle name="Normal 39 3 2 5 3 4" xfId="42655"/>
    <cellStyle name="Normal 39 3 2 5 3 5" xfId="42656"/>
    <cellStyle name="Normal 39 3 2 5 3 6" xfId="42657"/>
    <cellStyle name="Normal 39 3 2 5 3 7" xfId="42658"/>
    <cellStyle name="Normal 39 3 2 5 4" xfId="42659"/>
    <cellStyle name="Normal 39 3 2 5 4 2" xfId="42660"/>
    <cellStyle name="Normal 39 3 2 5 4 3" xfId="42661"/>
    <cellStyle name="Normal 39 3 2 5 4 4" xfId="42662"/>
    <cellStyle name="Normal 39 3 2 5 4 5" xfId="42663"/>
    <cellStyle name="Normal 39 3 2 5 4 6" xfId="42664"/>
    <cellStyle name="Normal 39 3 2 5 5" xfId="42665"/>
    <cellStyle name="Normal 39 3 2 5 6" xfId="42666"/>
    <cellStyle name="Normal 39 3 2 5 7" xfId="42667"/>
    <cellStyle name="Normal 39 3 2 5 8" xfId="42668"/>
    <cellStyle name="Normal 39 3 2 5 9" xfId="42669"/>
    <cellStyle name="Normal 39 3 2 6" xfId="42670"/>
    <cellStyle name="Normal 39 3 2 6 2" xfId="42671"/>
    <cellStyle name="Normal 39 3 2 6 2 2" xfId="42672"/>
    <cellStyle name="Normal 39 3 2 6 2 2 2" xfId="42673"/>
    <cellStyle name="Normal 39 3 2 6 2 2 2 2" xfId="42674"/>
    <cellStyle name="Normal 39 3 2 6 2 2 2 3" xfId="42675"/>
    <cellStyle name="Normal 39 3 2 6 2 2 2 4" xfId="42676"/>
    <cellStyle name="Normal 39 3 2 6 2 2 2 5" xfId="42677"/>
    <cellStyle name="Normal 39 3 2 6 2 2 2 6" xfId="42678"/>
    <cellStyle name="Normal 39 3 2 6 2 2 3" xfId="42679"/>
    <cellStyle name="Normal 39 3 2 6 2 2 4" xfId="42680"/>
    <cellStyle name="Normal 39 3 2 6 2 2 5" xfId="42681"/>
    <cellStyle name="Normal 39 3 2 6 2 2 6" xfId="42682"/>
    <cellStyle name="Normal 39 3 2 6 2 2 7" xfId="42683"/>
    <cellStyle name="Normal 39 3 2 6 2 3" xfId="42684"/>
    <cellStyle name="Normal 39 3 2 6 2 3 2" xfId="42685"/>
    <cellStyle name="Normal 39 3 2 6 2 3 3" xfId="42686"/>
    <cellStyle name="Normal 39 3 2 6 2 3 4" xfId="42687"/>
    <cellStyle name="Normal 39 3 2 6 2 3 5" xfId="42688"/>
    <cellStyle name="Normal 39 3 2 6 2 3 6" xfId="42689"/>
    <cellStyle name="Normal 39 3 2 6 2 4" xfId="42690"/>
    <cellStyle name="Normal 39 3 2 6 2 5" xfId="42691"/>
    <cellStyle name="Normal 39 3 2 6 2 6" xfId="42692"/>
    <cellStyle name="Normal 39 3 2 6 2 7" xfId="42693"/>
    <cellStyle name="Normal 39 3 2 6 2 8" xfId="42694"/>
    <cellStyle name="Normal 39 3 2 6 3" xfId="42695"/>
    <cellStyle name="Normal 39 3 2 6 3 2" xfId="42696"/>
    <cellStyle name="Normal 39 3 2 6 3 2 2" xfId="42697"/>
    <cellStyle name="Normal 39 3 2 6 3 2 3" xfId="42698"/>
    <cellStyle name="Normal 39 3 2 6 3 2 4" xfId="42699"/>
    <cellStyle name="Normal 39 3 2 6 3 2 5" xfId="42700"/>
    <cellStyle name="Normal 39 3 2 6 3 2 6" xfId="42701"/>
    <cellStyle name="Normal 39 3 2 6 3 3" xfId="42702"/>
    <cellStyle name="Normal 39 3 2 6 3 4" xfId="42703"/>
    <cellStyle name="Normal 39 3 2 6 3 5" xfId="42704"/>
    <cellStyle name="Normal 39 3 2 6 3 6" xfId="42705"/>
    <cellStyle name="Normal 39 3 2 6 3 7" xfId="42706"/>
    <cellStyle name="Normal 39 3 2 6 4" xfId="42707"/>
    <cellStyle name="Normal 39 3 2 6 4 2" xfId="42708"/>
    <cellStyle name="Normal 39 3 2 6 4 3" xfId="42709"/>
    <cellStyle name="Normal 39 3 2 6 4 4" xfId="42710"/>
    <cellStyle name="Normal 39 3 2 6 4 5" xfId="42711"/>
    <cellStyle name="Normal 39 3 2 6 4 6" xfId="42712"/>
    <cellStyle name="Normal 39 3 2 6 5" xfId="42713"/>
    <cellStyle name="Normal 39 3 2 6 6" xfId="42714"/>
    <cellStyle name="Normal 39 3 2 6 7" xfId="42715"/>
    <cellStyle name="Normal 39 3 2 6 8" xfId="42716"/>
    <cellStyle name="Normal 39 3 2 6 9" xfId="42717"/>
    <cellStyle name="Normal 39 3 2 7" xfId="42718"/>
    <cellStyle name="Normal 39 3 2 7 2" xfId="42719"/>
    <cellStyle name="Normal 39 3 2 7 2 2" xfId="42720"/>
    <cellStyle name="Normal 39 3 2 7 2 2 2" xfId="42721"/>
    <cellStyle name="Normal 39 3 2 7 2 2 3" xfId="42722"/>
    <cellStyle name="Normal 39 3 2 7 2 2 4" xfId="42723"/>
    <cellStyle name="Normal 39 3 2 7 2 2 5" xfId="42724"/>
    <cellStyle name="Normal 39 3 2 7 2 2 6" xfId="42725"/>
    <cellStyle name="Normal 39 3 2 7 2 3" xfId="42726"/>
    <cellStyle name="Normal 39 3 2 7 2 4" xfId="42727"/>
    <cellStyle name="Normal 39 3 2 7 2 5" xfId="42728"/>
    <cellStyle name="Normal 39 3 2 7 2 6" xfId="42729"/>
    <cellStyle name="Normal 39 3 2 7 2 7" xfId="42730"/>
    <cellStyle name="Normal 39 3 2 7 3" xfId="42731"/>
    <cellStyle name="Normal 39 3 2 7 3 2" xfId="42732"/>
    <cellStyle name="Normal 39 3 2 7 3 3" xfId="42733"/>
    <cellStyle name="Normal 39 3 2 7 3 4" xfId="42734"/>
    <cellStyle name="Normal 39 3 2 7 3 5" xfId="42735"/>
    <cellStyle name="Normal 39 3 2 7 3 6" xfId="42736"/>
    <cellStyle name="Normal 39 3 2 7 4" xfId="42737"/>
    <cellStyle name="Normal 39 3 2 7 5" xfId="42738"/>
    <cellStyle name="Normal 39 3 2 7 6" xfId="42739"/>
    <cellStyle name="Normal 39 3 2 7 7" xfId="42740"/>
    <cellStyle name="Normal 39 3 2 7 8" xfId="42741"/>
    <cellStyle name="Normal 39 3 2 8" xfId="42742"/>
    <cellStyle name="Normal 39 3 2 8 2" xfId="42743"/>
    <cellStyle name="Normal 39 3 2 8 2 2" xfId="42744"/>
    <cellStyle name="Normal 39 3 2 8 2 3" xfId="42745"/>
    <cellStyle name="Normal 39 3 2 8 2 4" xfId="42746"/>
    <cellStyle name="Normal 39 3 2 8 2 5" xfId="42747"/>
    <cellStyle name="Normal 39 3 2 8 2 6" xfId="42748"/>
    <cellStyle name="Normal 39 3 2 8 3" xfId="42749"/>
    <cellStyle name="Normal 39 3 2 8 4" xfId="42750"/>
    <cellStyle name="Normal 39 3 2 8 5" xfId="42751"/>
    <cellStyle name="Normal 39 3 2 8 6" xfId="42752"/>
    <cellStyle name="Normal 39 3 2 8 7" xfId="42753"/>
    <cellStyle name="Normal 39 3 2 9" xfId="42754"/>
    <cellStyle name="Normal 39 3 2 9 2" xfId="42755"/>
    <cellStyle name="Normal 39 3 2 9 3" xfId="42756"/>
    <cellStyle name="Normal 39 3 2 9 4" xfId="42757"/>
    <cellStyle name="Normal 39 3 2 9 5" xfId="42758"/>
    <cellStyle name="Normal 39 3 2 9 6" xfId="42759"/>
    <cellStyle name="Normal 39 3 3" xfId="42760"/>
    <cellStyle name="Normal 39 3 3 2" xfId="42761"/>
    <cellStyle name="Normal 39 3 3 2 2" xfId="42762"/>
    <cellStyle name="Normal 39 3 3 2 2 2" xfId="42763"/>
    <cellStyle name="Normal 39 3 3 2 2 2 2" xfId="42764"/>
    <cellStyle name="Normal 39 3 3 2 2 2 3" xfId="42765"/>
    <cellStyle name="Normal 39 3 3 2 2 2 4" xfId="42766"/>
    <cellStyle name="Normal 39 3 3 2 2 2 5" xfId="42767"/>
    <cellStyle name="Normal 39 3 3 2 2 2 6" xfId="42768"/>
    <cellStyle name="Normal 39 3 3 2 2 3" xfId="42769"/>
    <cellStyle name="Normal 39 3 3 2 2 4" xfId="42770"/>
    <cellStyle name="Normal 39 3 3 2 2 5" xfId="42771"/>
    <cellStyle name="Normal 39 3 3 2 2 6" xfId="42772"/>
    <cellStyle name="Normal 39 3 3 2 2 7" xfId="42773"/>
    <cellStyle name="Normal 39 3 3 2 3" xfId="42774"/>
    <cellStyle name="Normal 39 3 3 2 3 2" xfId="42775"/>
    <cellStyle name="Normal 39 3 3 2 3 3" xfId="42776"/>
    <cellStyle name="Normal 39 3 3 2 3 4" xfId="42777"/>
    <cellStyle name="Normal 39 3 3 2 3 5" xfId="42778"/>
    <cellStyle name="Normal 39 3 3 2 3 6" xfId="42779"/>
    <cellStyle name="Normal 39 3 3 2 4" xfId="42780"/>
    <cellStyle name="Normal 39 3 3 2 5" xfId="42781"/>
    <cellStyle name="Normal 39 3 3 2 6" xfId="42782"/>
    <cellStyle name="Normal 39 3 3 2 7" xfId="42783"/>
    <cellStyle name="Normal 39 3 3 2 8" xfId="42784"/>
    <cellStyle name="Normal 39 3 3 3" xfId="42785"/>
    <cellStyle name="Normal 39 3 3 3 2" xfId="42786"/>
    <cellStyle name="Normal 39 3 3 3 2 2" xfId="42787"/>
    <cellStyle name="Normal 39 3 3 3 2 3" xfId="42788"/>
    <cellStyle name="Normal 39 3 3 3 2 4" xfId="42789"/>
    <cellStyle name="Normal 39 3 3 3 2 5" xfId="42790"/>
    <cellStyle name="Normal 39 3 3 3 2 6" xfId="42791"/>
    <cellStyle name="Normal 39 3 3 3 3" xfId="42792"/>
    <cellStyle name="Normal 39 3 3 3 4" xfId="42793"/>
    <cellStyle name="Normal 39 3 3 3 5" xfId="42794"/>
    <cellStyle name="Normal 39 3 3 3 6" xfId="42795"/>
    <cellStyle name="Normal 39 3 3 3 7" xfId="42796"/>
    <cellStyle name="Normal 39 3 3 4" xfId="42797"/>
    <cellStyle name="Normal 39 3 3 4 2" xfId="42798"/>
    <cellStyle name="Normal 39 3 3 4 3" xfId="42799"/>
    <cellStyle name="Normal 39 3 3 4 4" xfId="42800"/>
    <cellStyle name="Normal 39 3 3 4 5" xfId="42801"/>
    <cellStyle name="Normal 39 3 3 4 6" xfId="42802"/>
    <cellStyle name="Normal 39 3 3 5" xfId="42803"/>
    <cellStyle name="Normal 39 3 3 6" xfId="42804"/>
    <cellStyle name="Normal 39 3 3 7" xfId="42805"/>
    <cellStyle name="Normal 39 3 3 8" xfId="42806"/>
    <cellStyle name="Normal 39 3 3 9" xfId="42807"/>
    <cellStyle name="Normal 39 3 4" xfId="42808"/>
    <cellStyle name="Normal 39 3 4 2" xfId="42809"/>
    <cellStyle name="Normal 39 3 4 2 2" xfId="42810"/>
    <cellStyle name="Normal 39 3 4 2 2 2" xfId="42811"/>
    <cellStyle name="Normal 39 3 4 2 2 2 2" xfId="42812"/>
    <cellStyle name="Normal 39 3 4 2 2 2 3" xfId="42813"/>
    <cellStyle name="Normal 39 3 4 2 2 2 4" xfId="42814"/>
    <cellStyle name="Normal 39 3 4 2 2 2 5" xfId="42815"/>
    <cellStyle name="Normal 39 3 4 2 2 2 6" xfId="42816"/>
    <cellStyle name="Normal 39 3 4 2 2 3" xfId="42817"/>
    <cellStyle name="Normal 39 3 4 2 2 4" xfId="42818"/>
    <cellStyle name="Normal 39 3 4 2 2 5" xfId="42819"/>
    <cellStyle name="Normal 39 3 4 2 2 6" xfId="42820"/>
    <cellStyle name="Normal 39 3 4 2 2 7" xfId="42821"/>
    <cellStyle name="Normal 39 3 4 2 3" xfId="42822"/>
    <cellStyle name="Normal 39 3 4 2 3 2" xfId="42823"/>
    <cellStyle name="Normal 39 3 4 2 3 3" xfId="42824"/>
    <cellStyle name="Normal 39 3 4 2 3 4" xfId="42825"/>
    <cellStyle name="Normal 39 3 4 2 3 5" xfId="42826"/>
    <cellStyle name="Normal 39 3 4 2 3 6" xfId="42827"/>
    <cellStyle name="Normal 39 3 4 2 4" xfId="42828"/>
    <cellStyle name="Normal 39 3 4 2 5" xfId="42829"/>
    <cellStyle name="Normal 39 3 4 2 6" xfId="42830"/>
    <cellStyle name="Normal 39 3 4 2 7" xfId="42831"/>
    <cellStyle name="Normal 39 3 4 2 8" xfId="42832"/>
    <cellStyle name="Normal 39 3 4 3" xfId="42833"/>
    <cellStyle name="Normal 39 3 4 3 2" xfId="42834"/>
    <cellStyle name="Normal 39 3 4 3 2 2" xfId="42835"/>
    <cellStyle name="Normal 39 3 4 3 2 3" xfId="42836"/>
    <cellStyle name="Normal 39 3 4 3 2 4" xfId="42837"/>
    <cellStyle name="Normal 39 3 4 3 2 5" xfId="42838"/>
    <cellStyle name="Normal 39 3 4 3 2 6" xfId="42839"/>
    <cellStyle name="Normal 39 3 4 3 3" xfId="42840"/>
    <cellStyle name="Normal 39 3 4 3 4" xfId="42841"/>
    <cellStyle name="Normal 39 3 4 3 5" xfId="42842"/>
    <cellStyle name="Normal 39 3 4 3 6" xfId="42843"/>
    <cellStyle name="Normal 39 3 4 3 7" xfId="42844"/>
    <cellStyle name="Normal 39 3 4 4" xfId="42845"/>
    <cellStyle name="Normal 39 3 4 4 2" xfId="42846"/>
    <cellStyle name="Normal 39 3 4 4 3" xfId="42847"/>
    <cellStyle name="Normal 39 3 4 4 4" xfId="42848"/>
    <cellStyle name="Normal 39 3 4 4 5" xfId="42849"/>
    <cellStyle name="Normal 39 3 4 4 6" xfId="42850"/>
    <cellStyle name="Normal 39 3 4 5" xfId="42851"/>
    <cellStyle name="Normal 39 3 4 6" xfId="42852"/>
    <cellStyle name="Normal 39 3 4 7" xfId="42853"/>
    <cellStyle name="Normal 39 3 4 8" xfId="42854"/>
    <cellStyle name="Normal 39 3 4 9" xfId="42855"/>
    <cellStyle name="Normal 39 3 5" xfId="42856"/>
    <cellStyle name="Normal 39 3 5 2" xfId="42857"/>
    <cellStyle name="Normal 39 3 5 2 2" xfId="42858"/>
    <cellStyle name="Normal 39 3 5 2 2 2" xfId="42859"/>
    <cellStyle name="Normal 39 3 5 2 2 2 2" xfId="42860"/>
    <cellStyle name="Normal 39 3 5 2 2 2 3" xfId="42861"/>
    <cellStyle name="Normal 39 3 5 2 2 2 4" xfId="42862"/>
    <cellStyle name="Normal 39 3 5 2 2 2 5" xfId="42863"/>
    <cellStyle name="Normal 39 3 5 2 2 2 6" xfId="42864"/>
    <cellStyle name="Normal 39 3 5 2 2 3" xfId="42865"/>
    <cellStyle name="Normal 39 3 5 2 2 4" xfId="42866"/>
    <cellStyle name="Normal 39 3 5 2 2 5" xfId="42867"/>
    <cellStyle name="Normal 39 3 5 2 2 6" xfId="42868"/>
    <cellStyle name="Normal 39 3 5 2 2 7" xfId="42869"/>
    <cellStyle name="Normal 39 3 5 2 3" xfId="42870"/>
    <cellStyle name="Normal 39 3 5 2 3 2" xfId="42871"/>
    <cellStyle name="Normal 39 3 5 2 3 3" xfId="42872"/>
    <cellStyle name="Normal 39 3 5 2 3 4" xfId="42873"/>
    <cellStyle name="Normal 39 3 5 2 3 5" xfId="42874"/>
    <cellStyle name="Normal 39 3 5 2 3 6" xfId="42875"/>
    <cellStyle name="Normal 39 3 5 2 4" xfId="42876"/>
    <cellStyle name="Normal 39 3 5 2 5" xfId="42877"/>
    <cellStyle name="Normal 39 3 5 2 6" xfId="42878"/>
    <cellStyle name="Normal 39 3 5 2 7" xfId="42879"/>
    <cellStyle name="Normal 39 3 5 2 8" xfId="42880"/>
    <cellStyle name="Normal 39 3 5 3" xfId="42881"/>
    <cellStyle name="Normal 39 3 5 3 2" xfId="42882"/>
    <cellStyle name="Normal 39 3 5 3 2 2" xfId="42883"/>
    <cellStyle name="Normal 39 3 5 3 2 3" xfId="42884"/>
    <cellStyle name="Normal 39 3 5 3 2 4" xfId="42885"/>
    <cellStyle name="Normal 39 3 5 3 2 5" xfId="42886"/>
    <cellStyle name="Normal 39 3 5 3 2 6" xfId="42887"/>
    <cellStyle name="Normal 39 3 5 3 3" xfId="42888"/>
    <cellStyle name="Normal 39 3 5 3 4" xfId="42889"/>
    <cellStyle name="Normal 39 3 5 3 5" xfId="42890"/>
    <cellStyle name="Normal 39 3 5 3 6" xfId="42891"/>
    <cellStyle name="Normal 39 3 5 3 7" xfId="42892"/>
    <cellStyle name="Normal 39 3 5 4" xfId="42893"/>
    <cellStyle name="Normal 39 3 5 4 2" xfId="42894"/>
    <cellStyle name="Normal 39 3 5 4 3" xfId="42895"/>
    <cellStyle name="Normal 39 3 5 4 4" xfId="42896"/>
    <cellStyle name="Normal 39 3 5 4 5" xfId="42897"/>
    <cellStyle name="Normal 39 3 5 4 6" xfId="42898"/>
    <cellStyle name="Normal 39 3 5 5" xfId="42899"/>
    <cellStyle name="Normal 39 3 5 6" xfId="42900"/>
    <cellStyle name="Normal 39 3 5 7" xfId="42901"/>
    <cellStyle name="Normal 39 3 5 8" xfId="42902"/>
    <cellStyle name="Normal 39 3 5 9" xfId="42903"/>
    <cellStyle name="Normal 39 3 6" xfId="42904"/>
    <cellStyle name="Normal 39 3 6 2" xfId="42905"/>
    <cellStyle name="Normal 39 3 6 2 2" xfId="42906"/>
    <cellStyle name="Normal 39 3 6 2 2 2" xfId="42907"/>
    <cellStyle name="Normal 39 3 6 2 2 2 2" xfId="42908"/>
    <cellStyle name="Normal 39 3 6 2 2 2 3" xfId="42909"/>
    <cellStyle name="Normal 39 3 6 2 2 2 4" xfId="42910"/>
    <cellStyle name="Normal 39 3 6 2 2 2 5" xfId="42911"/>
    <cellStyle name="Normal 39 3 6 2 2 2 6" xfId="42912"/>
    <cellStyle name="Normal 39 3 6 2 2 3" xfId="42913"/>
    <cellStyle name="Normal 39 3 6 2 2 4" xfId="42914"/>
    <cellStyle name="Normal 39 3 6 2 2 5" xfId="42915"/>
    <cellStyle name="Normal 39 3 6 2 2 6" xfId="42916"/>
    <cellStyle name="Normal 39 3 6 2 2 7" xfId="42917"/>
    <cellStyle name="Normal 39 3 6 2 3" xfId="42918"/>
    <cellStyle name="Normal 39 3 6 2 3 2" xfId="42919"/>
    <cellStyle name="Normal 39 3 6 2 3 3" xfId="42920"/>
    <cellStyle name="Normal 39 3 6 2 3 4" xfId="42921"/>
    <cellStyle name="Normal 39 3 6 2 3 5" xfId="42922"/>
    <cellStyle name="Normal 39 3 6 2 3 6" xfId="42923"/>
    <cellStyle name="Normal 39 3 6 2 4" xfId="42924"/>
    <cellStyle name="Normal 39 3 6 2 5" xfId="42925"/>
    <cellStyle name="Normal 39 3 6 2 6" xfId="42926"/>
    <cellStyle name="Normal 39 3 6 2 7" xfId="42927"/>
    <cellStyle name="Normal 39 3 6 2 8" xfId="42928"/>
    <cellStyle name="Normal 39 3 6 3" xfId="42929"/>
    <cellStyle name="Normal 39 3 6 3 2" xfId="42930"/>
    <cellStyle name="Normal 39 3 6 3 2 2" xfId="42931"/>
    <cellStyle name="Normal 39 3 6 3 2 3" xfId="42932"/>
    <cellStyle name="Normal 39 3 6 3 2 4" xfId="42933"/>
    <cellStyle name="Normal 39 3 6 3 2 5" xfId="42934"/>
    <cellStyle name="Normal 39 3 6 3 2 6" xfId="42935"/>
    <cellStyle name="Normal 39 3 6 3 3" xfId="42936"/>
    <cellStyle name="Normal 39 3 6 3 4" xfId="42937"/>
    <cellStyle name="Normal 39 3 6 3 5" xfId="42938"/>
    <cellStyle name="Normal 39 3 6 3 6" xfId="42939"/>
    <cellStyle name="Normal 39 3 6 3 7" xfId="42940"/>
    <cellStyle name="Normal 39 3 6 4" xfId="42941"/>
    <cellStyle name="Normal 39 3 6 4 2" xfId="42942"/>
    <cellStyle name="Normal 39 3 6 4 3" xfId="42943"/>
    <cellStyle name="Normal 39 3 6 4 4" xfId="42944"/>
    <cellStyle name="Normal 39 3 6 4 5" xfId="42945"/>
    <cellStyle name="Normal 39 3 6 4 6" xfId="42946"/>
    <cellStyle name="Normal 39 3 6 5" xfId="42947"/>
    <cellStyle name="Normal 39 3 6 6" xfId="42948"/>
    <cellStyle name="Normal 39 3 6 7" xfId="42949"/>
    <cellStyle name="Normal 39 3 6 8" xfId="42950"/>
    <cellStyle name="Normal 39 3 6 9" xfId="42951"/>
    <cellStyle name="Normal 39 3 7" xfId="42952"/>
    <cellStyle name="Normal 39 3 7 2" xfId="42953"/>
    <cellStyle name="Normal 39 3 7 2 2" xfId="42954"/>
    <cellStyle name="Normal 39 3 7 2 2 2" xfId="42955"/>
    <cellStyle name="Normal 39 3 7 2 2 2 2" xfId="42956"/>
    <cellStyle name="Normal 39 3 7 2 2 2 3" xfId="42957"/>
    <cellStyle name="Normal 39 3 7 2 2 2 4" xfId="42958"/>
    <cellStyle name="Normal 39 3 7 2 2 2 5" xfId="42959"/>
    <cellStyle name="Normal 39 3 7 2 2 2 6" xfId="42960"/>
    <cellStyle name="Normal 39 3 7 2 2 3" xfId="42961"/>
    <cellStyle name="Normal 39 3 7 2 2 4" xfId="42962"/>
    <cellStyle name="Normal 39 3 7 2 2 5" xfId="42963"/>
    <cellStyle name="Normal 39 3 7 2 2 6" xfId="42964"/>
    <cellStyle name="Normal 39 3 7 2 2 7" xfId="42965"/>
    <cellStyle name="Normal 39 3 7 2 3" xfId="42966"/>
    <cellStyle name="Normal 39 3 7 2 3 2" xfId="42967"/>
    <cellStyle name="Normal 39 3 7 2 3 3" xfId="42968"/>
    <cellStyle name="Normal 39 3 7 2 3 4" xfId="42969"/>
    <cellStyle name="Normal 39 3 7 2 3 5" xfId="42970"/>
    <cellStyle name="Normal 39 3 7 2 3 6" xfId="42971"/>
    <cellStyle name="Normal 39 3 7 2 4" xfId="42972"/>
    <cellStyle name="Normal 39 3 7 2 5" xfId="42973"/>
    <cellStyle name="Normal 39 3 7 2 6" xfId="42974"/>
    <cellStyle name="Normal 39 3 7 2 7" xfId="42975"/>
    <cellStyle name="Normal 39 3 7 2 8" xfId="42976"/>
    <cellStyle name="Normal 39 3 7 3" xfId="42977"/>
    <cellStyle name="Normal 39 3 7 3 2" xfId="42978"/>
    <cellStyle name="Normal 39 3 7 3 2 2" xfId="42979"/>
    <cellStyle name="Normal 39 3 7 3 2 3" xfId="42980"/>
    <cellStyle name="Normal 39 3 7 3 2 4" xfId="42981"/>
    <cellStyle name="Normal 39 3 7 3 2 5" xfId="42982"/>
    <cellStyle name="Normal 39 3 7 3 2 6" xfId="42983"/>
    <cellStyle name="Normal 39 3 7 3 3" xfId="42984"/>
    <cellStyle name="Normal 39 3 7 3 4" xfId="42985"/>
    <cellStyle name="Normal 39 3 7 3 5" xfId="42986"/>
    <cellStyle name="Normal 39 3 7 3 6" xfId="42987"/>
    <cellStyle name="Normal 39 3 7 3 7" xfId="42988"/>
    <cellStyle name="Normal 39 3 7 4" xfId="42989"/>
    <cellStyle name="Normal 39 3 7 4 2" xfId="42990"/>
    <cellStyle name="Normal 39 3 7 4 3" xfId="42991"/>
    <cellStyle name="Normal 39 3 7 4 4" xfId="42992"/>
    <cellStyle name="Normal 39 3 7 4 5" xfId="42993"/>
    <cellStyle name="Normal 39 3 7 4 6" xfId="42994"/>
    <cellStyle name="Normal 39 3 7 5" xfId="42995"/>
    <cellStyle name="Normal 39 3 7 6" xfId="42996"/>
    <cellStyle name="Normal 39 3 7 7" xfId="42997"/>
    <cellStyle name="Normal 39 3 7 8" xfId="42998"/>
    <cellStyle name="Normal 39 3 7 9" xfId="42999"/>
    <cellStyle name="Normal 39 3 8" xfId="43000"/>
    <cellStyle name="Normal 39 3 8 2" xfId="43001"/>
    <cellStyle name="Normal 39 3 8 2 2" xfId="43002"/>
    <cellStyle name="Normal 39 3 8 2 2 2" xfId="43003"/>
    <cellStyle name="Normal 39 3 8 2 2 3" xfId="43004"/>
    <cellStyle name="Normal 39 3 8 2 2 4" xfId="43005"/>
    <cellStyle name="Normal 39 3 8 2 2 5" xfId="43006"/>
    <cellStyle name="Normal 39 3 8 2 2 6" xfId="43007"/>
    <cellStyle name="Normal 39 3 8 2 3" xfId="43008"/>
    <cellStyle name="Normal 39 3 8 2 4" xfId="43009"/>
    <cellStyle name="Normal 39 3 8 2 5" xfId="43010"/>
    <cellStyle name="Normal 39 3 8 2 6" xfId="43011"/>
    <cellStyle name="Normal 39 3 8 2 7" xfId="43012"/>
    <cellStyle name="Normal 39 3 8 3" xfId="43013"/>
    <cellStyle name="Normal 39 3 8 3 2" xfId="43014"/>
    <cellStyle name="Normal 39 3 8 3 3" xfId="43015"/>
    <cellStyle name="Normal 39 3 8 3 4" xfId="43016"/>
    <cellStyle name="Normal 39 3 8 3 5" xfId="43017"/>
    <cellStyle name="Normal 39 3 8 3 6" xfId="43018"/>
    <cellStyle name="Normal 39 3 8 4" xfId="43019"/>
    <cellStyle name="Normal 39 3 8 5" xfId="43020"/>
    <cellStyle name="Normal 39 3 8 6" xfId="43021"/>
    <cellStyle name="Normal 39 3 8 7" xfId="43022"/>
    <cellStyle name="Normal 39 3 8 8" xfId="43023"/>
    <cellStyle name="Normal 39 3 9" xfId="43024"/>
    <cellStyle name="Normal 39 3 9 2" xfId="43025"/>
    <cellStyle name="Normal 39 3 9 2 2" xfId="43026"/>
    <cellStyle name="Normal 39 3 9 2 3" xfId="43027"/>
    <cellStyle name="Normal 39 3 9 2 4" xfId="43028"/>
    <cellStyle name="Normal 39 3 9 2 5" xfId="43029"/>
    <cellStyle name="Normal 39 3 9 2 6" xfId="43030"/>
    <cellStyle name="Normal 39 3 9 3" xfId="43031"/>
    <cellStyle name="Normal 39 3 9 4" xfId="43032"/>
    <cellStyle name="Normal 39 3 9 5" xfId="43033"/>
    <cellStyle name="Normal 39 3 9 6" xfId="43034"/>
    <cellStyle name="Normal 39 3 9 7" xfId="43035"/>
    <cellStyle name="Normal 39 4" xfId="43036"/>
    <cellStyle name="Normal 39 4 10" xfId="43037"/>
    <cellStyle name="Normal 39 4 10 2" xfId="43038"/>
    <cellStyle name="Normal 39 4 10 3" xfId="43039"/>
    <cellStyle name="Normal 39 4 10 4" xfId="43040"/>
    <cellStyle name="Normal 39 4 10 5" xfId="43041"/>
    <cellStyle name="Normal 39 4 10 6" xfId="43042"/>
    <cellStyle name="Normal 39 4 11" xfId="43043"/>
    <cellStyle name="Normal 39 4 12" xfId="43044"/>
    <cellStyle name="Normal 39 4 13" xfId="43045"/>
    <cellStyle name="Normal 39 4 14" xfId="43046"/>
    <cellStyle name="Normal 39 4 15" xfId="43047"/>
    <cellStyle name="Normal 39 4 2" xfId="43048"/>
    <cellStyle name="Normal 39 4 2 10" xfId="43049"/>
    <cellStyle name="Normal 39 4 2 11" xfId="43050"/>
    <cellStyle name="Normal 39 4 2 12" xfId="43051"/>
    <cellStyle name="Normal 39 4 2 13" xfId="43052"/>
    <cellStyle name="Normal 39 4 2 14" xfId="43053"/>
    <cellStyle name="Normal 39 4 2 2" xfId="43054"/>
    <cellStyle name="Normal 39 4 2 2 2" xfId="43055"/>
    <cellStyle name="Normal 39 4 2 2 2 2" xfId="43056"/>
    <cellStyle name="Normal 39 4 2 2 2 2 2" xfId="43057"/>
    <cellStyle name="Normal 39 4 2 2 2 2 2 2" xfId="43058"/>
    <cellStyle name="Normal 39 4 2 2 2 2 2 3" xfId="43059"/>
    <cellStyle name="Normal 39 4 2 2 2 2 2 4" xfId="43060"/>
    <cellStyle name="Normal 39 4 2 2 2 2 2 5" xfId="43061"/>
    <cellStyle name="Normal 39 4 2 2 2 2 2 6" xfId="43062"/>
    <cellStyle name="Normal 39 4 2 2 2 2 3" xfId="43063"/>
    <cellStyle name="Normal 39 4 2 2 2 2 4" xfId="43064"/>
    <cellStyle name="Normal 39 4 2 2 2 2 5" xfId="43065"/>
    <cellStyle name="Normal 39 4 2 2 2 2 6" xfId="43066"/>
    <cellStyle name="Normal 39 4 2 2 2 2 7" xfId="43067"/>
    <cellStyle name="Normal 39 4 2 2 2 3" xfId="43068"/>
    <cellStyle name="Normal 39 4 2 2 2 3 2" xfId="43069"/>
    <cellStyle name="Normal 39 4 2 2 2 3 3" xfId="43070"/>
    <cellStyle name="Normal 39 4 2 2 2 3 4" xfId="43071"/>
    <cellStyle name="Normal 39 4 2 2 2 3 5" xfId="43072"/>
    <cellStyle name="Normal 39 4 2 2 2 3 6" xfId="43073"/>
    <cellStyle name="Normal 39 4 2 2 2 4" xfId="43074"/>
    <cellStyle name="Normal 39 4 2 2 2 5" xfId="43075"/>
    <cellStyle name="Normal 39 4 2 2 2 6" xfId="43076"/>
    <cellStyle name="Normal 39 4 2 2 2 7" xfId="43077"/>
    <cellStyle name="Normal 39 4 2 2 2 8" xfId="43078"/>
    <cellStyle name="Normal 39 4 2 2 3" xfId="43079"/>
    <cellStyle name="Normal 39 4 2 2 3 2" xfId="43080"/>
    <cellStyle name="Normal 39 4 2 2 3 2 2" xfId="43081"/>
    <cellStyle name="Normal 39 4 2 2 3 2 3" xfId="43082"/>
    <cellStyle name="Normal 39 4 2 2 3 2 4" xfId="43083"/>
    <cellStyle name="Normal 39 4 2 2 3 2 5" xfId="43084"/>
    <cellStyle name="Normal 39 4 2 2 3 2 6" xfId="43085"/>
    <cellStyle name="Normal 39 4 2 2 3 3" xfId="43086"/>
    <cellStyle name="Normal 39 4 2 2 3 4" xfId="43087"/>
    <cellStyle name="Normal 39 4 2 2 3 5" xfId="43088"/>
    <cellStyle name="Normal 39 4 2 2 3 6" xfId="43089"/>
    <cellStyle name="Normal 39 4 2 2 3 7" xfId="43090"/>
    <cellStyle name="Normal 39 4 2 2 4" xfId="43091"/>
    <cellStyle name="Normal 39 4 2 2 4 2" xfId="43092"/>
    <cellStyle name="Normal 39 4 2 2 4 3" xfId="43093"/>
    <cellStyle name="Normal 39 4 2 2 4 4" xfId="43094"/>
    <cellStyle name="Normal 39 4 2 2 4 5" xfId="43095"/>
    <cellStyle name="Normal 39 4 2 2 4 6" xfId="43096"/>
    <cellStyle name="Normal 39 4 2 2 5" xfId="43097"/>
    <cellStyle name="Normal 39 4 2 2 6" xfId="43098"/>
    <cellStyle name="Normal 39 4 2 2 7" xfId="43099"/>
    <cellStyle name="Normal 39 4 2 2 8" xfId="43100"/>
    <cellStyle name="Normal 39 4 2 2 9" xfId="43101"/>
    <cellStyle name="Normal 39 4 2 3" xfId="43102"/>
    <cellStyle name="Normal 39 4 2 3 2" xfId="43103"/>
    <cellStyle name="Normal 39 4 2 3 2 2" xfId="43104"/>
    <cellStyle name="Normal 39 4 2 3 2 2 2" xfId="43105"/>
    <cellStyle name="Normal 39 4 2 3 2 2 2 2" xfId="43106"/>
    <cellStyle name="Normal 39 4 2 3 2 2 2 3" xfId="43107"/>
    <cellStyle name="Normal 39 4 2 3 2 2 2 4" xfId="43108"/>
    <cellStyle name="Normal 39 4 2 3 2 2 2 5" xfId="43109"/>
    <cellStyle name="Normal 39 4 2 3 2 2 2 6" xfId="43110"/>
    <cellStyle name="Normal 39 4 2 3 2 2 3" xfId="43111"/>
    <cellStyle name="Normal 39 4 2 3 2 2 4" xfId="43112"/>
    <cellStyle name="Normal 39 4 2 3 2 2 5" xfId="43113"/>
    <cellStyle name="Normal 39 4 2 3 2 2 6" xfId="43114"/>
    <cellStyle name="Normal 39 4 2 3 2 2 7" xfId="43115"/>
    <cellStyle name="Normal 39 4 2 3 2 3" xfId="43116"/>
    <cellStyle name="Normal 39 4 2 3 2 3 2" xfId="43117"/>
    <cellStyle name="Normal 39 4 2 3 2 3 3" xfId="43118"/>
    <cellStyle name="Normal 39 4 2 3 2 3 4" xfId="43119"/>
    <cellStyle name="Normal 39 4 2 3 2 3 5" xfId="43120"/>
    <cellStyle name="Normal 39 4 2 3 2 3 6" xfId="43121"/>
    <cellStyle name="Normal 39 4 2 3 2 4" xfId="43122"/>
    <cellStyle name="Normal 39 4 2 3 2 5" xfId="43123"/>
    <cellStyle name="Normal 39 4 2 3 2 6" xfId="43124"/>
    <cellStyle name="Normal 39 4 2 3 2 7" xfId="43125"/>
    <cellStyle name="Normal 39 4 2 3 2 8" xfId="43126"/>
    <cellStyle name="Normal 39 4 2 3 3" xfId="43127"/>
    <cellStyle name="Normal 39 4 2 3 3 2" xfId="43128"/>
    <cellStyle name="Normal 39 4 2 3 3 2 2" xfId="43129"/>
    <cellStyle name="Normal 39 4 2 3 3 2 3" xfId="43130"/>
    <cellStyle name="Normal 39 4 2 3 3 2 4" xfId="43131"/>
    <cellStyle name="Normal 39 4 2 3 3 2 5" xfId="43132"/>
    <cellStyle name="Normal 39 4 2 3 3 2 6" xfId="43133"/>
    <cellStyle name="Normal 39 4 2 3 3 3" xfId="43134"/>
    <cellStyle name="Normal 39 4 2 3 3 4" xfId="43135"/>
    <cellStyle name="Normal 39 4 2 3 3 5" xfId="43136"/>
    <cellStyle name="Normal 39 4 2 3 3 6" xfId="43137"/>
    <cellStyle name="Normal 39 4 2 3 3 7" xfId="43138"/>
    <cellStyle name="Normal 39 4 2 3 4" xfId="43139"/>
    <cellStyle name="Normal 39 4 2 3 4 2" xfId="43140"/>
    <cellStyle name="Normal 39 4 2 3 4 3" xfId="43141"/>
    <cellStyle name="Normal 39 4 2 3 4 4" xfId="43142"/>
    <cellStyle name="Normal 39 4 2 3 4 5" xfId="43143"/>
    <cellStyle name="Normal 39 4 2 3 4 6" xfId="43144"/>
    <cellStyle name="Normal 39 4 2 3 5" xfId="43145"/>
    <cellStyle name="Normal 39 4 2 3 6" xfId="43146"/>
    <cellStyle name="Normal 39 4 2 3 7" xfId="43147"/>
    <cellStyle name="Normal 39 4 2 3 8" xfId="43148"/>
    <cellStyle name="Normal 39 4 2 3 9" xfId="43149"/>
    <cellStyle name="Normal 39 4 2 4" xfId="43150"/>
    <cellStyle name="Normal 39 4 2 4 2" xfId="43151"/>
    <cellStyle name="Normal 39 4 2 4 2 2" xfId="43152"/>
    <cellStyle name="Normal 39 4 2 4 2 2 2" xfId="43153"/>
    <cellStyle name="Normal 39 4 2 4 2 2 2 2" xfId="43154"/>
    <cellStyle name="Normal 39 4 2 4 2 2 2 3" xfId="43155"/>
    <cellStyle name="Normal 39 4 2 4 2 2 2 4" xfId="43156"/>
    <cellStyle name="Normal 39 4 2 4 2 2 2 5" xfId="43157"/>
    <cellStyle name="Normal 39 4 2 4 2 2 2 6" xfId="43158"/>
    <cellStyle name="Normal 39 4 2 4 2 2 3" xfId="43159"/>
    <cellStyle name="Normal 39 4 2 4 2 2 4" xfId="43160"/>
    <cellStyle name="Normal 39 4 2 4 2 2 5" xfId="43161"/>
    <cellStyle name="Normal 39 4 2 4 2 2 6" xfId="43162"/>
    <cellStyle name="Normal 39 4 2 4 2 2 7" xfId="43163"/>
    <cellStyle name="Normal 39 4 2 4 2 3" xfId="43164"/>
    <cellStyle name="Normal 39 4 2 4 2 3 2" xfId="43165"/>
    <cellStyle name="Normal 39 4 2 4 2 3 3" xfId="43166"/>
    <cellStyle name="Normal 39 4 2 4 2 3 4" xfId="43167"/>
    <cellStyle name="Normal 39 4 2 4 2 3 5" xfId="43168"/>
    <cellStyle name="Normal 39 4 2 4 2 3 6" xfId="43169"/>
    <cellStyle name="Normal 39 4 2 4 2 4" xfId="43170"/>
    <cellStyle name="Normal 39 4 2 4 2 5" xfId="43171"/>
    <cellStyle name="Normal 39 4 2 4 2 6" xfId="43172"/>
    <cellStyle name="Normal 39 4 2 4 2 7" xfId="43173"/>
    <cellStyle name="Normal 39 4 2 4 2 8" xfId="43174"/>
    <cellStyle name="Normal 39 4 2 4 3" xfId="43175"/>
    <cellStyle name="Normal 39 4 2 4 3 2" xfId="43176"/>
    <cellStyle name="Normal 39 4 2 4 3 2 2" xfId="43177"/>
    <cellStyle name="Normal 39 4 2 4 3 2 3" xfId="43178"/>
    <cellStyle name="Normal 39 4 2 4 3 2 4" xfId="43179"/>
    <cellStyle name="Normal 39 4 2 4 3 2 5" xfId="43180"/>
    <cellStyle name="Normal 39 4 2 4 3 2 6" xfId="43181"/>
    <cellStyle name="Normal 39 4 2 4 3 3" xfId="43182"/>
    <cellStyle name="Normal 39 4 2 4 3 4" xfId="43183"/>
    <cellStyle name="Normal 39 4 2 4 3 5" xfId="43184"/>
    <cellStyle name="Normal 39 4 2 4 3 6" xfId="43185"/>
    <cellStyle name="Normal 39 4 2 4 3 7" xfId="43186"/>
    <cellStyle name="Normal 39 4 2 4 4" xfId="43187"/>
    <cellStyle name="Normal 39 4 2 4 4 2" xfId="43188"/>
    <cellStyle name="Normal 39 4 2 4 4 3" xfId="43189"/>
    <cellStyle name="Normal 39 4 2 4 4 4" xfId="43190"/>
    <cellStyle name="Normal 39 4 2 4 4 5" xfId="43191"/>
    <cellStyle name="Normal 39 4 2 4 4 6" xfId="43192"/>
    <cellStyle name="Normal 39 4 2 4 5" xfId="43193"/>
    <cellStyle name="Normal 39 4 2 4 6" xfId="43194"/>
    <cellStyle name="Normal 39 4 2 4 7" xfId="43195"/>
    <cellStyle name="Normal 39 4 2 4 8" xfId="43196"/>
    <cellStyle name="Normal 39 4 2 4 9" xfId="43197"/>
    <cellStyle name="Normal 39 4 2 5" xfId="43198"/>
    <cellStyle name="Normal 39 4 2 5 2" xfId="43199"/>
    <cellStyle name="Normal 39 4 2 5 2 2" xfId="43200"/>
    <cellStyle name="Normal 39 4 2 5 2 2 2" xfId="43201"/>
    <cellStyle name="Normal 39 4 2 5 2 2 2 2" xfId="43202"/>
    <cellStyle name="Normal 39 4 2 5 2 2 2 3" xfId="43203"/>
    <cellStyle name="Normal 39 4 2 5 2 2 2 4" xfId="43204"/>
    <cellStyle name="Normal 39 4 2 5 2 2 2 5" xfId="43205"/>
    <cellStyle name="Normal 39 4 2 5 2 2 2 6" xfId="43206"/>
    <cellStyle name="Normal 39 4 2 5 2 2 3" xfId="43207"/>
    <cellStyle name="Normal 39 4 2 5 2 2 4" xfId="43208"/>
    <cellStyle name="Normal 39 4 2 5 2 2 5" xfId="43209"/>
    <cellStyle name="Normal 39 4 2 5 2 2 6" xfId="43210"/>
    <cellStyle name="Normal 39 4 2 5 2 2 7" xfId="43211"/>
    <cellStyle name="Normal 39 4 2 5 2 3" xfId="43212"/>
    <cellStyle name="Normal 39 4 2 5 2 3 2" xfId="43213"/>
    <cellStyle name="Normal 39 4 2 5 2 3 3" xfId="43214"/>
    <cellStyle name="Normal 39 4 2 5 2 3 4" xfId="43215"/>
    <cellStyle name="Normal 39 4 2 5 2 3 5" xfId="43216"/>
    <cellStyle name="Normal 39 4 2 5 2 3 6" xfId="43217"/>
    <cellStyle name="Normal 39 4 2 5 2 4" xfId="43218"/>
    <cellStyle name="Normal 39 4 2 5 2 5" xfId="43219"/>
    <cellStyle name="Normal 39 4 2 5 2 6" xfId="43220"/>
    <cellStyle name="Normal 39 4 2 5 2 7" xfId="43221"/>
    <cellStyle name="Normal 39 4 2 5 2 8" xfId="43222"/>
    <cellStyle name="Normal 39 4 2 5 3" xfId="43223"/>
    <cellStyle name="Normal 39 4 2 5 3 2" xfId="43224"/>
    <cellStyle name="Normal 39 4 2 5 3 2 2" xfId="43225"/>
    <cellStyle name="Normal 39 4 2 5 3 2 3" xfId="43226"/>
    <cellStyle name="Normal 39 4 2 5 3 2 4" xfId="43227"/>
    <cellStyle name="Normal 39 4 2 5 3 2 5" xfId="43228"/>
    <cellStyle name="Normal 39 4 2 5 3 2 6" xfId="43229"/>
    <cellStyle name="Normal 39 4 2 5 3 3" xfId="43230"/>
    <cellStyle name="Normal 39 4 2 5 3 4" xfId="43231"/>
    <cellStyle name="Normal 39 4 2 5 3 5" xfId="43232"/>
    <cellStyle name="Normal 39 4 2 5 3 6" xfId="43233"/>
    <cellStyle name="Normal 39 4 2 5 3 7" xfId="43234"/>
    <cellStyle name="Normal 39 4 2 5 4" xfId="43235"/>
    <cellStyle name="Normal 39 4 2 5 4 2" xfId="43236"/>
    <cellStyle name="Normal 39 4 2 5 4 3" xfId="43237"/>
    <cellStyle name="Normal 39 4 2 5 4 4" xfId="43238"/>
    <cellStyle name="Normal 39 4 2 5 4 5" xfId="43239"/>
    <cellStyle name="Normal 39 4 2 5 4 6" xfId="43240"/>
    <cellStyle name="Normal 39 4 2 5 5" xfId="43241"/>
    <cellStyle name="Normal 39 4 2 5 6" xfId="43242"/>
    <cellStyle name="Normal 39 4 2 5 7" xfId="43243"/>
    <cellStyle name="Normal 39 4 2 5 8" xfId="43244"/>
    <cellStyle name="Normal 39 4 2 5 9" xfId="43245"/>
    <cellStyle name="Normal 39 4 2 6" xfId="43246"/>
    <cellStyle name="Normal 39 4 2 6 2" xfId="43247"/>
    <cellStyle name="Normal 39 4 2 6 2 2" xfId="43248"/>
    <cellStyle name="Normal 39 4 2 6 2 2 2" xfId="43249"/>
    <cellStyle name="Normal 39 4 2 6 2 2 2 2" xfId="43250"/>
    <cellStyle name="Normal 39 4 2 6 2 2 2 3" xfId="43251"/>
    <cellStyle name="Normal 39 4 2 6 2 2 2 4" xfId="43252"/>
    <cellStyle name="Normal 39 4 2 6 2 2 2 5" xfId="43253"/>
    <cellStyle name="Normal 39 4 2 6 2 2 2 6" xfId="43254"/>
    <cellStyle name="Normal 39 4 2 6 2 2 3" xfId="43255"/>
    <cellStyle name="Normal 39 4 2 6 2 2 4" xfId="43256"/>
    <cellStyle name="Normal 39 4 2 6 2 2 5" xfId="43257"/>
    <cellStyle name="Normal 39 4 2 6 2 2 6" xfId="43258"/>
    <cellStyle name="Normal 39 4 2 6 2 2 7" xfId="43259"/>
    <cellStyle name="Normal 39 4 2 6 2 3" xfId="43260"/>
    <cellStyle name="Normal 39 4 2 6 2 3 2" xfId="43261"/>
    <cellStyle name="Normal 39 4 2 6 2 3 3" xfId="43262"/>
    <cellStyle name="Normal 39 4 2 6 2 3 4" xfId="43263"/>
    <cellStyle name="Normal 39 4 2 6 2 3 5" xfId="43264"/>
    <cellStyle name="Normal 39 4 2 6 2 3 6" xfId="43265"/>
    <cellStyle name="Normal 39 4 2 6 2 4" xfId="43266"/>
    <cellStyle name="Normal 39 4 2 6 2 5" xfId="43267"/>
    <cellStyle name="Normal 39 4 2 6 2 6" xfId="43268"/>
    <cellStyle name="Normal 39 4 2 6 2 7" xfId="43269"/>
    <cellStyle name="Normal 39 4 2 6 2 8" xfId="43270"/>
    <cellStyle name="Normal 39 4 2 6 3" xfId="43271"/>
    <cellStyle name="Normal 39 4 2 6 3 2" xfId="43272"/>
    <cellStyle name="Normal 39 4 2 6 3 2 2" xfId="43273"/>
    <cellStyle name="Normal 39 4 2 6 3 2 3" xfId="43274"/>
    <cellStyle name="Normal 39 4 2 6 3 2 4" xfId="43275"/>
    <cellStyle name="Normal 39 4 2 6 3 2 5" xfId="43276"/>
    <cellStyle name="Normal 39 4 2 6 3 2 6" xfId="43277"/>
    <cellStyle name="Normal 39 4 2 6 3 3" xfId="43278"/>
    <cellStyle name="Normal 39 4 2 6 3 4" xfId="43279"/>
    <cellStyle name="Normal 39 4 2 6 3 5" xfId="43280"/>
    <cellStyle name="Normal 39 4 2 6 3 6" xfId="43281"/>
    <cellStyle name="Normal 39 4 2 6 3 7" xfId="43282"/>
    <cellStyle name="Normal 39 4 2 6 4" xfId="43283"/>
    <cellStyle name="Normal 39 4 2 6 4 2" xfId="43284"/>
    <cellStyle name="Normal 39 4 2 6 4 3" xfId="43285"/>
    <cellStyle name="Normal 39 4 2 6 4 4" xfId="43286"/>
    <cellStyle name="Normal 39 4 2 6 4 5" xfId="43287"/>
    <cellStyle name="Normal 39 4 2 6 4 6" xfId="43288"/>
    <cellStyle name="Normal 39 4 2 6 5" xfId="43289"/>
    <cellStyle name="Normal 39 4 2 6 6" xfId="43290"/>
    <cellStyle name="Normal 39 4 2 6 7" xfId="43291"/>
    <cellStyle name="Normal 39 4 2 6 8" xfId="43292"/>
    <cellStyle name="Normal 39 4 2 6 9" xfId="43293"/>
    <cellStyle name="Normal 39 4 2 7" xfId="43294"/>
    <cellStyle name="Normal 39 4 2 7 2" xfId="43295"/>
    <cellStyle name="Normal 39 4 2 7 2 2" xfId="43296"/>
    <cellStyle name="Normal 39 4 2 7 2 2 2" xfId="43297"/>
    <cellStyle name="Normal 39 4 2 7 2 2 3" xfId="43298"/>
    <cellStyle name="Normal 39 4 2 7 2 2 4" xfId="43299"/>
    <cellStyle name="Normal 39 4 2 7 2 2 5" xfId="43300"/>
    <cellStyle name="Normal 39 4 2 7 2 2 6" xfId="43301"/>
    <cellStyle name="Normal 39 4 2 7 2 3" xfId="43302"/>
    <cellStyle name="Normal 39 4 2 7 2 4" xfId="43303"/>
    <cellStyle name="Normal 39 4 2 7 2 5" xfId="43304"/>
    <cellStyle name="Normal 39 4 2 7 2 6" xfId="43305"/>
    <cellStyle name="Normal 39 4 2 7 2 7" xfId="43306"/>
    <cellStyle name="Normal 39 4 2 7 3" xfId="43307"/>
    <cellStyle name="Normal 39 4 2 7 3 2" xfId="43308"/>
    <cellStyle name="Normal 39 4 2 7 3 3" xfId="43309"/>
    <cellStyle name="Normal 39 4 2 7 3 4" xfId="43310"/>
    <cellStyle name="Normal 39 4 2 7 3 5" xfId="43311"/>
    <cellStyle name="Normal 39 4 2 7 3 6" xfId="43312"/>
    <cellStyle name="Normal 39 4 2 7 4" xfId="43313"/>
    <cellStyle name="Normal 39 4 2 7 5" xfId="43314"/>
    <cellStyle name="Normal 39 4 2 7 6" xfId="43315"/>
    <cellStyle name="Normal 39 4 2 7 7" xfId="43316"/>
    <cellStyle name="Normal 39 4 2 7 8" xfId="43317"/>
    <cellStyle name="Normal 39 4 2 8" xfId="43318"/>
    <cellStyle name="Normal 39 4 2 8 2" xfId="43319"/>
    <cellStyle name="Normal 39 4 2 8 2 2" xfId="43320"/>
    <cellStyle name="Normal 39 4 2 8 2 3" xfId="43321"/>
    <cellStyle name="Normal 39 4 2 8 2 4" xfId="43322"/>
    <cellStyle name="Normal 39 4 2 8 2 5" xfId="43323"/>
    <cellStyle name="Normal 39 4 2 8 2 6" xfId="43324"/>
    <cellStyle name="Normal 39 4 2 8 3" xfId="43325"/>
    <cellStyle name="Normal 39 4 2 8 4" xfId="43326"/>
    <cellStyle name="Normal 39 4 2 8 5" xfId="43327"/>
    <cellStyle name="Normal 39 4 2 8 6" xfId="43328"/>
    <cellStyle name="Normal 39 4 2 8 7" xfId="43329"/>
    <cellStyle name="Normal 39 4 2 9" xfId="43330"/>
    <cellStyle name="Normal 39 4 2 9 2" xfId="43331"/>
    <cellStyle name="Normal 39 4 2 9 3" xfId="43332"/>
    <cellStyle name="Normal 39 4 2 9 4" xfId="43333"/>
    <cellStyle name="Normal 39 4 2 9 5" xfId="43334"/>
    <cellStyle name="Normal 39 4 2 9 6" xfId="43335"/>
    <cellStyle name="Normal 39 4 3" xfId="43336"/>
    <cellStyle name="Normal 39 4 3 2" xfId="43337"/>
    <cellStyle name="Normal 39 4 3 2 2" xfId="43338"/>
    <cellStyle name="Normal 39 4 3 2 2 2" xfId="43339"/>
    <cellStyle name="Normal 39 4 3 2 2 2 2" xfId="43340"/>
    <cellStyle name="Normal 39 4 3 2 2 2 3" xfId="43341"/>
    <cellStyle name="Normal 39 4 3 2 2 2 4" xfId="43342"/>
    <cellStyle name="Normal 39 4 3 2 2 2 5" xfId="43343"/>
    <cellStyle name="Normal 39 4 3 2 2 2 6" xfId="43344"/>
    <cellStyle name="Normal 39 4 3 2 2 3" xfId="43345"/>
    <cellStyle name="Normal 39 4 3 2 2 4" xfId="43346"/>
    <cellStyle name="Normal 39 4 3 2 2 5" xfId="43347"/>
    <cellStyle name="Normal 39 4 3 2 2 6" xfId="43348"/>
    <cellStyle name="Normal 39 4 3 2 2 7" xfId="43349"/>
    <cellStyle name="Normal 39 4 3 2 3" xfId="43350"/>
    <cellStyle name="Normal 39 4 3 2 3 2" xfId="43351"/>
    <cellStyle name="Normal 39 4 3 2 3 3" xfId="43352"/>
    <cellStyle name="Normal 39 4 3 2 3 4" xfId="43353"/>
    <cellStyle name="Normal 39 4 3 2 3 5" xfId="43354"/>
    <cellStyle name="Normal 39 4 3 2 3 6" xfId="43355"/>
    <cellStyle name="Normal 39 4 3 2 4" xfId="43356"/>
    <cellStyle name="Normal 39 4 3 2 5" xfId="43357"/>
    <cellStyle name="Normal 39 4 3 2 6" xfId="43358"/>
    <cellStyle name="Normal 39 4 3 2 7" xfId="43359"/>
    <cellStyle name="Normal 39 4 3 2 8" xfId="43360"/>
    <cellStyle name="Normal 39 4 3 3" xfId="43361"/>
    <cellStyle name="Normal 39 4 3 3 2" xfId="43362"/>
    <cellStyle name="Normal 39 4 3 3 2 2" xfId="43363"/>
    <cellStyle name="Normal 39 4 3 3 2 3" xfId="43364"/>
    <cellStyle name="Normal 39 4 3 3 2 4" xfId="43365"/>
    <cellStyle name="Normal 39 4 3 3 2 5" xfId="43366"/>
    <cellStyle name="Normal 39 4 3 3 2 6" xfId="43367"/>
    <cellStyle name="Normal 39 4 3 3 3" xfId="43368"/>
    <cellStyle name="Normal 39 4 3 3 4" xfId="43369"/>
    <cellStyle name="Normal 39 4 3 3 5" xfId="43370"/>
    <cellStyle name="Normal 39 4 3 3 6" xfId="43371"/>
    <cellStyle name="Normal 39 4 3 3 7" xfId="43372"/>
    <cellStyle name="Normal 39 4 3 4" xfId="43373"/>
    <cellStyle name="Normal 39 4 3 4 2" xfId="43374"/>
    <cellStyle name="Normal 39 4 3 4 3" xfId="43375"/>
    <cellStyle name="Normal 39 4 3 4 4" xfId="43376"/>
    <cellStyle name="Normal 39 4 3 4 5" xfId="43377"/>
    <cellStyle name="Normal 39 4 3 4 6" xfId="43378"/>
    <cellStyle name="Normal 39 4 3 5" xfId="43379"/>
    <cellStyle name="Normal 39 4 3 6" xfId="43380"/>
    <cellStyle name="Normal 39 4 3 7" xfId="43381"/>
    <cellStyle name="Normal 39 4 3 8" xfId="43382"/>
    <cellStyle name="Normal 39 4 3 9" xfId="43383"/>
    <cellStyle name="Normal 39 4 4" xfId="43384"/>
    <cellStyle name="Normal 39 4 4 2" xfId="43385"/>
    <cellStyle name="Normal 39 4 4 2 2" xfId="43386"/>
    <cellStyle name="Normal 39 4 4 2 2 2" xfId="43387"/>
    <cellStyle name="Normal 39 4 4 2 2 2 2" xfId="43388"/>
    <cellStyle name="Normal 39 4 4 2 2 2 3" xfId="43389"/>
    <cellStyle name="Normal 39 4 4 2 2 2 4" xfId="43390"/>
    <cellStyle name="Normal 39 4 4 2 2 2 5" xfId="43391"/>
    <cellStyle name="Normal 39 4 4 2 2 2 6" xfId="43392"/>
    <cellStyle name="Normal 39 4 4 2 2 3" xfId="43393"/>
    <cellStyle name="Normal 39 4 4 2 2 4" xfId="43394"/>
    <cellStyle name="Normal 39 4 4 2 2 5" xfId="43395"/>
    <cellStyle name="Normal 39 4 4 2 2 6" xfId="43396"/>
    <cellStyle name="Normal 39 4 4 2 2 7" xfId="43397"/>
    <cellStyle name="Normal 39 4 4 2 3" xfId="43398"/>
    <cellStyle name="Normal 39 4 4 2 3 2" xfId="43399"/>
    <cellStyle name="Normal 39 4 4 2 3 3" xfId="43400"/>
    <cellStyle name="Normal 39 4 4 2 3 4" xfId="43401"/>
    <cellStyle name="Normal 39 4 4 2 3 5" xfId="43402"/>
    <cellStyle name="Normal 39 4 4 2 3 6" xfId="43403"/>
    <cellStyle name="Normal 39 4 4 2 4" xfId="43404"/>
    <cellStyle name="Normal 39 4 4 2 5" xfId="43405"/>
    <cellStyle name="Normal 39 4 4 2 6" xfId="43406"/>
    <cellStyle name="Normal 39 4 4 2 7" xfId="43407"/>
    <cellStyle name="Normal 39 4 4 2 8" xfId="43408"/>
    <cellStyle name="Normal 39 4 4 3" xfId="43409"/>
    <cellStyle name="Normal 39 4 4 3 2" xfId="43410"/>
    <cellStyle name="Normal 39 4 4 3 2 2" xfId="43411"/>
    <cellStyle name="Normal 39 4 4 3 2 3" xfId="43412"/>
    <cellStyle name="Normal 39 4 4 3 2 4" xfId="43413"/>
    <cellStyle name="Normal 39 4 4 3 2 5" xfId="43414"/>
    <cellStyle name="Normal 39 4 4 3 2 6" xfId="43415"/>
    <cellStyle name="Normal 39 4 4 3 3" xfId="43416"/>
    <cellStyle name="Normal 39 4 4 3 4" xfId="43417"/>
    <cellStyle name="Normal 39 4 4 3 5" xfId="43418"/>
    <cellStyle name="Normal 39 4 4 3 6" xfId="43419"/>
    <cellStyle name="Normal 39 4 4 3 7" xfId="43420"/>
    <cellStyle name="Normal 39 4 4 4" xfId="43421"/>
    <cellStyle name="Normal 39 4 4 4 2" xfId="43422"/>
    <cellStyle name="Normal 39 4 4 4 3" xfId="43423"/>
    <cellStyle name="Normal 39 4 4 4 4" xfId="43424"/>
    <cellStyle name="Normal 39 4 4 4 5" xfId="43425"/>
    <cellStyle name="Normal 39 4 4 4 6" xfId="43426"/>
    <cellStyle name="Normal 39 4 4 5" xfId="43427"/>
    <cellStyle name="Normal 39 4 4 6" xfId="43428"/>
    <cellStyle name="Normal 39 4 4 7" xfId="43429"/>
    <cellStyle name="Normal 39 4 4 8" xfId="43430"/>
    <cellStyle name="Normal 39 4 4 9" xfId="43431"/>
    <cellStyle name="Normal 39 4 5" xfId="43432"/>
    <cellStyle name="Normal 39 4 5 2" xfId="43433"/>
    <cellStyle name="Normal 39 4 5 2 2" xfId="43434"/>
    <cellStyle name="Normal 39 4 5 2 2 2" xfId="43435"/>
    <cellStyle name="Normal 39 4 5 2 2 2 2" xfId="43436"/>
    <cellStyle name="Normal 39 4 5 2 2 2 3" xfId="43437"/>
    <cellStyle name="Normal 39 4 5 2 2 2 4" xfId="43438"/>
    <cellStyle name="Normal 39 4 5 2 2 2 5" xfId="43439"/>
    <cellStyle name="Normal 39 4 5 2 2 2 6" xfId="43440"/>
    <cellStyle name="Normal 39 4 5 2 2 3" xfId="43441"/>
    <cellStyle name="Normal 39 4 5 2 2 4" xfId="43442"/>
    <cellStyle name="Normal 39 4 5 2 2 5" xfId="43443"/>
    <cellStyle name="Normal 39 4 5 2 2 6" xfId="43444"/>
    <cellStyle name="Normal 39 4 5 2 2 7" xfId="43445"/>
    <cellStyle name="Normal 39 4 5 2 3" xfId="43446"/>
    <cellStyle name="Normal 39 4 5 2 3 2" xfId="43447"/>
    <cellStyle name="Normal 39 4 5 2 3 3" xfId="43448"/>
    <cellStyle name="Normal 39 4 5 2 3 4" xfId="43449"/>
    <cellStyle name="Normal 39 4 5 2 3 5" xfId="43450"/>
    <cellStyle name="Normal 39 4 5 2 3 6" xfId="43451"/>
    <cellStyle name="Normal 39 4 5 2 4" xfId="43452"/>
    <cellStyle name="Normal 39 4 5 2 5" xfId="43453"/>
    <cellStyle name="Normal 39 4 5 2 6" xfId="43454"/>
    <cellStyle name="Normal 39 4 5 2 7" xfId="43455"/>
    <cellStyle name="Normal 39 4 5 2 8" xfId="43456"/>
    <cellStyle name="Normal 39 4 5 3" xfId="43457"/>
    <cellStyle name="Normal 39 4 5 3 2" xfId="43458"/>
    <cellStyle name="Normal 39 4 5 3 2 2" xfId="43459"/>
    <cellStyle name="Normal 39 4 5 3 2 3" xfId="43460"/>
    <cellStyle name="Normal 39 4 5 3 2 4" xfId="43461"/>
    <cellStyle name="Normal 39 4 5 3 2 5" xfId="43462"/>
    <cellStyle name="Normal 39 4 5 3 2 6" xfId="43463"/>
    <cellStyle name="Normal 39 4 5 3 3" xfId="43464"/>
    <cellStyle name="Normal 39 4 5 3 4" xfId="43465"/>
    <cellStyle name="Normal 39 4 5 3 5" xfId="43466"/>
    <cellStyle name="Normal 39 4 5 3 6" xfId="43467"/>
    <cellStyle name="Normal 39 4 5 3 7" xfId="43468"/>
    <cellStyle name="Normal 39 4 5 4" xfId="43469"/>
    <cellStyle name="Normal 39 4 5 4 2" xfId="43470"/>
    <cellStyle name="Normal 39 4 5 4 3" xfId="43471"/>
    <cellStyle name="Normal 39 4 5 4 4" xfId="43472"/>
    <cellStyle name="Normal 39 4 5 4 5" xfId="43473"/>
    <cellStyle name="Normal 39 4 5 4 6" xfId="43474"/>
    <cellStyle name="Normal 39 4 5 5" xfId="43475"/>
    <cellStyle name="Normal 39 4 5 6" xfId="43476"/>
    <cellStyle name="Normal 39 4 5 7" xfId="43477"/>
    <cellStyle name="Normal 39 4 5 8" xfId="43478"/>
    <cellStyle name="Normal 39 4 5 9" xfId="43479"/>
    <cellStyle name="Normal 39 4 6" xfId="43480"/>
    <cellStyle name="Normal 39 4 6 2" xfId="43481"/>
    <cellStyle name="Normal 39 4 6 2 2" xfId="43482"/>
    <cellStyle name="Normal 39 4 6 2 2 2" xfId="43483"/>
    <cellStyle name="Normal 39 4 6 2 2 2 2" xfId="43484"/>
    <cellStyle name="Normal 39 4 6 2 2 2 3" xfId="43485"/>
    <cellStyle name="Normal 39 4 6 2 2 2 4" xfId="43486"/>
    <cellStyle name="Normal 39 4 6 2 2 2 5" xfId="43487"/>
    <cellStyle name="Normal 39 4 6 2 2 2 6" xfId="43488"/>
    <cellStyle name="Normal 39 4 6 2 2 3" xfId="43489"/>
    <cellStyle name="Normal 39 4 6 2 2 4" xfId="43490"/>
    <cellStyle name="Normal 39 4 6 2 2 5" xfId="43491"/>
    <cellStyle name="Normal 39 4 6 2 2 6" xfId="43492"/>
    <cellStyle name="Normal 39 4 6 2 2 7" xfId="43493"/>
    <cellStyle name="Normal 39 4 6 2 3" xfId="43494"/>
    <cellStyle name="Normal 39 4 6 2 3 2" xfId="43495"/>
    <cellStyle name="Normal 39 4 6 2 3 3" xfId="43496"/>
    <cellStyle name="Normal 39 4 6 2 3 4" xfId="43497"/>
    <cellStyle name="Normal 39 4 6 2 3 5" xfId="43498"/>
    <cellStyle name="Normal 39 4 6 2 3 6" xfId="43499"/>
    <cellStyle name="Normal 39 4 6 2 4" xfId="43500"/>
    <cellStyle name="Normal 39 4 6 2 5" xfId="43501"/>
    <cellStyle name="Normal 39 4 6 2 6" xfId="43502"/>
    <cellStyle name="Normal 39 4 6 2 7" xfId="43503"/>
    <cellStyle name="Normal 39 4 6 2 8" xfId="43504"/>
    <cellStyle name="Normal 39 4 6 3" xfId="43505"/>
    <cellStyle name="Normal 39 4 6 3 2" xfId="43506"/>
    <cellStyle name="Normal 39 4 6 3 2 2" xfId="43507"/>
    <cellStyle name="Normal 39 4 6 3 2 3" xfId="43508"/>
    <cellStyle name="Normal 39 4 6 3 2 4" xfId="43509"/>
    <cellStyle name="Normal 39 4 6 3 2 5" xfId="43510"/>
    <cellStyle name="Normal 39 4 6 3 2 6" xfId="43511"/>
    <cellStyle name="Normal 39 4 6 3 3" xfId="43512"/>
    <cellStyle name="Normal 39 4 6 3 4" xfId="43513"/>
    <cellStyle name="Normal 39 4 6 3 5" xfId="43514"/>
    <cellStyle name="Normal 39 4 6 3 6" xfId="43515"/>
    <cellStyle name="Normal 39 4 6 3 7" xfId="43516"/>
    <cellStyle name="Normal 39 4 6 4" xfId="43517"/>
    <cellStyle name="Normal 39 4 6 4 2" xfId="43518"/>
    <cellStyle name="Normal 39 4 6 4 3" xfId="43519"/>
    <cellStyle name="Normal 39 4 6 4 4" xfId="43520"/>
    <cellStyle name="Normal 39 4 6 4 5" xfId="43521"/>
    <cellStyle name="Normal 39 4 6 4 6" xfId="43522"/>
    <cellStyle name="Normal 39 4 6 5" xfId="43523"/>
    <cellStyle name="Normal 39 4 6 6" xfId="43524"/>
    <cellStyle name="Normal 39 4 6 7" xfId="43525"/>
    <cellStyle name="Normal 39 4 6 8" xfId="43526"/>
    <cellStyle name="Normal 39 4 6 9" xfId="43527"/>
    <cellStyle name="Normal 39 4 7" xfId="43528"/>
    <cellStyle name="Normal 39 4 7 2" xfId="43529"/>
    <cellStyle name="Normal 39 4 7 2 2" xfId="43530"/>
    <cellStyle name="Normal 39 4 7 2 2 2" xfId="43531"/>
    <cellStyle name="Normal 39 4 7 2 2 2 2" xfId="43532"/>
    <cellStyle name="Normal 39 4 7 2 2 2 3" xfId="43533"/>
    <cellStyle name="Normal 39 4 7 2 2 2 4" xfId="43534"/>
    <cellStyle name="Normal 39 4 7 2 2 2 5" xfId="43535"/>
    <cellStyle name="Normal 39 4 7 2 2 2 6" xfId="43536"/>
    <cellStyle name="Normal 39 4 7 2 2 3" xfId="43537"/>
    <cellStyle name="Normal 39 4 7 2 2 4" xfId="43538"/>
    <cellStyle name="Normal 39 4 7 2 2 5" xfId="43539"/>
    <cellStyle name="Normal 39 4 7 2 2 6" xfId="43540"/>
    <cellStyle name="Normal 39 4 7 2 2 7" xfId="43541"/>
    <cellStyle name="Normal 39 4 7 2 3" xfId="43542"/>
    <cellStyle name="Normal 39 4 7 2 3 2" xfId="43543"/>
    <cellStyle name="Normal 39 4 7 2 3 3" xfId="43544"/>
    <cellStyle name="Normal 39 4 7 2 3 4" xfId="43545"/>
    <cellStyle name="Normal 39 4 7 2 3 5" xfId="43546"/>
    <cellStyle name="Normal 39 4 7 2 3 6" xfId="43547"/>
    <cellStyle name="Normal 39 4 7 2 4" xfId="43548"/>
    <cellStyle name="Normal 39 4 7 2 5" xfId="43549"/>
    <cellStyle name="Normal 39 4 7 2 6" xfId="43550"/>
    <cellStyle name="Normal 39 4 7 2 7" xfId="43551"/>
    <cellStyle name="Normal 39 4 7 2 8" xfId="43552"/>
    <cellStyle name="Normal 39 4 7 3" xfId="43553"/>
    <cellStyle name="Normal 39 4 7 3 2" xfId="43554"/>
    <cellStyle name="Normal 39 4 7 3 2 2" xfId="43555"/>
    <cellStyle name="Normal 39 4 7 3 2 3" xfId="43556"/>
    <cellStyle name="Normal 39 4 7 3 2 4" xfId="43557"/>
    <cellStyle name="Normal 39 4 7 3 2 5" xfId="43558"/>
    <cellStyle name="Normal 39 4 7 3 2 6" xfId="43559"/>
    <cellStyle name="Normal 39 4 7 3 3" xfId="43560"/>
    <cellStyle name="Normal 39 4 7 3 4" xfId="43561"/>
    <cellStyle name="Normal 39 4 7 3 5" xfId="43562"/>
    <cellStyle name="Normal 39 4 7 3 6" xfId="43563"/>
    <cellStyle name="Normal 39 4 7 3 7" xfId="43564"/>
    <cellStyle name="Normal 39 4 7 4" xfId="43565"/>
    <cellStyle name="Normal 39 4 7 4 2" xfId="43566"/>
    <cellStyle name="Normal 39 4 7 4 3" xfId="43567"/>
    <cellStyle name="Normal 39 4 7 4 4" xfId="43568"/>
    <cellStyle name="Normal 39 4 7 4 5" xfId="43569"/>
    <cellStyle name="Normal 39 4 7 4 6" xfId="43570"/>
    <cellStyle name="Normal 39 4 7 5" xfId="43571"/>
    <cellStyle name="Normal 39 4 7 6" xfId="43572"/>
    <cellStyle name="Normal 39 4 7 7" xfId="43573"/>
    <cellStyle name="Normal 39 4 7 8" xfId="43574"/>
    <cellStyle name="Normal 39 4 7 9" xfId="43575"/>
    <cellStyle name="Normal 39 4 8" xfId="43576"/>
    <cellStyle name="Normal 39 4 8 2" xfId="43577"/>
    <cellStyle name="Normal 39 4 8 2 2" xfId="43578"/>
    <cellStyle name="Normal 39 4 8 2 2 2" xfId="43579"/>
    <cellStyle name="Normal 39 4 8 2 2 3" xfId="43580"/>
    <cellStyle name="Normal 39 4 8 2 2 4" xfId="43581"/>
    <cellStyle name="Normal 39 4 8 2 2 5" xfId="43582"/>
    <cellStyle name="Normal 39 4 8 2 2 6" xfId="43583"/>
    <cellStyle name="Normal 39 4 8 2 3" xfId="43584"/>
    <cellStyle name="Normal 39 4 8 2 4" xfId="43585"/>
    <cellStyle name="Normal 39 4 8 2 5" xfId="43586"/>
    <cellStyle name="Normal 39 4 8 2 6" xfId="43587"/>
    <cellStyle name="Normal 39 4 8 2 7" xfId="43588"/>
    <cellStyle name="Normal 39 4 8 3" xfId="43589"/>
    <cellStyle name="Normal 39 4 8 3 2" xfId="43590"/>
    <cellStyle name="Normal 39 4 8 3 3" xfId="43591"/>
    <cellStyle name="Normal 39 4 8 3 4" xfId="43592"/>
    <cellStyle name="Normal 39 4 8 3 5" xfId="43593"/>
    <cellStyle name="Normal 39 4 8 3 6" xfId="43594"/>
    <cellStyle name="Normal 39 4 8 4" xfId="43595"/>
    <cellStyle name="Normal 39 4 8 5" xfId="43596"/>
    <cellStyle name="Normal 39 4 8 6" xfId="43597"/>
    <cellStyle name="Normal 39 4 8 7" xfId="43598"/>
    <cellStyle name="Normal 39 4 8 8" xfId="43599"/>
    <cellStyle name="Normal 39 4 9" xfId="43600"/>
    <cellStyle name="Normal 39 4 9 2" xfId="43601"/>
    <cellStyle name="Normal 39 4 9 2 2" xfId="43602"/>
    <cellStyle name="Normal 39 4 9 2 3" xfId="43603"/>
    <cellStyle name="Normal 39 4 9 2 4" xfId="43604"/>
    <cellStyle name="Normal 39 4 9 2 5" xfId="43605"/>
    <cellStyle name="Normal 39 4 9 2 6" xfId="43606"/>
    <cellStyle name="Normal 39 4 9 3" xfId="43607"/>
    <cellStyle name="Normal 39 4 9 4" xfId="43608"/>
    <cellStyle name="Normal 39 4 9 5" xfId="43609"/>
    <cellStyle name="Normal 39 4 9 6" xfId="43610"/>
    <cellStyle name="Normal 39 4 9 7" xfId="43611"/>
    <cellStyle name="Normal 39 5" xfId="43612"/>
    <cellStyle name="Normal 39 5 10" xfId="43613"/>
    <cellStyle name="Normal 39 5 11" xfId="43614"/>
    <cellStyle name="Normal 39 5 12" xfId="43615"/>
    <cellStyle name="Normal 39 5 13" xfId="43616"/>
    <cellStyle name="Normal 39 5 14" xfId="43617"/>
    <cellStyle name="Normal 39 5 2" xfId="43618"/>
    <cellStyle name="Normal 39 5 2 2" xfId="43619"/>
    <cellStyle name="Normal 39 5 2 2 2" xfId="43620"/>
    <cellStyle name="Normal 39 5 2 2 2 2" xfId="43621"/>
    <cellStyle name="Normal 39 5 2 2 2 2 2" xfId="43622"/>
    <cellStyle name="Normal 39 5 2 2 2 2 3" xfId="43623"/>
    <cellStyle name="Normal 39 5 2 2 2 2 4" xfId="43624"/>
    <cellStyle name="Normal 39 5 2 2 2 2 5" xfId="43625"/>
    <cellStyle name="Normal 39 5 2 2 2 2 6" xfId="43626"/>
    <cellStyle name="Normal 39 5 2 2 2 3" xfId="43627"/>
    <cellStyle name="Normal 39 5 2 2 2 4" xfId="43628"/>
    <cellStyle name="Normal 39 5 2 2 2 5" xfId="43629"/>
    <cellStyle name="Normal 39 5 2 2 2 6" xfId="43630"/>
    <cellStyle name="Normal 39 5 2 2 2 7" xfId="43631"/>
    <cellStyle name="Normal 39 5 2 2 3" xfId="43632"/>
    <cellStyle name="Normal 39 5 2 2 3 2" xfId="43633"/>
    <cellStyle name="Normal 39 5 2 2 3 3" xfId="43634"/>
    <cellStyle name="Normal 39 5 2 2 3 4" xfId="43635"/>
    <cellStyle name="Normal 39 5 2 2 3 5" xfId="43636"/>
    <cellStyle name="Normal 39 5 2 2 3 6" xfId="43637"/>
    <cellStyle name="Normal 39 5 2 2 4" xfId="43638"/>
    <cellStyle name="Normal 39 5 2 2 5" xfId="43639"/>
    <cellStyle name="Normal 39 5 2 2 6" xfId="43640"/>
    <cellStyle name="Normal 39 5 2 2 7" xfId="43641"/>
    <cellStyle name="Normal 39 5 2 2 8" xfId="43642"/>
    <cellStyle name="Normal 39 5 2 3" xfId="43643"/>
    <cellStyle name="Normal 39 5 2 3 2" xfId="43644"/>
    <cellStyle name="Normal 39 5 2 3 2 2" xfId="43645"/>
    <cellStyle name="Normal 39 5 2 3 2 3" xfId="43646"/>
    <cellStyle name="Normal 39 5 2 3 2 4" xfId="43647"/>
    <cellStyle name="Normal 39 5 2 3 2 5" xfId="43648"/>
    <cellStyle name="Normal 39 5 2 3 2 6" xfId="43649"/>
    <cellStyle name="Normal 39 5 2 3 3" xfId="43650"/>
    <cellStyle name="Normal 39 5 2 3 4" xfId="43651"/>
    <cellStyle name="Normal 39 5 2 3 5" xfId="43652"/>
    <cellStyle name="Normal 39 5 2 3 6" xfId="43653"/>
    <cellStyle name="Normal 39 5 2 3 7" xfId="43654"/>
    <cellStyle name="Normal 39 5 2 4" xfId="43655"/>
    <cellStyle name="Normal 39 5 2 4 2" xfId="43656"/>
    <cellStyle name="Normal 39 5 2 4 3" xfId="43657"/>
    <cellStyle name="Normal 39 5 2 4 4" xfId="43658"/>
    <cellStyle name="Normal 39 5 2 4 5" xfId="43659"/>
    <cellStyle name="Normal 39 5 2 4 6" xfId="43660"/>
    <cellStyle name="Normal 39 5 2 5" xfId="43661"/>
    <cellStyle name="Normal 39 5 2 6" xfId="43662"/>
    <cellStyle name="Normal 39 5 2 7" xfId="43663"/>
    <cellStyle name="Normal 39 5 2 8" xfId="43664"/>
    <cellStyle name="Normal 39 5 2 9" xfId="43665"/>
    <cellStyle name="Normal 39 5 3" xfId="43666"/>
    <cellStyle name="Normal 39 5 3 2" xfId="43667"/>
    <cellStyle name="Normal 39 5 3 2 2" xfId="43668"/>
    <cellStyle name="Normal 39 5 3 2 2 2" xfId="43669"/>
    <cellStyle name="Normal 39 5 3 2 2 2 2" xfId="43670"/>
    <cellStyle name="Normal 39 5 3 2 2 2 3" xfId="43671"/>
    <cellStyle name="Normal 39 5 3 2 2 2 4" xfId="43672"/>
    <cellStyle name="Normal 39 5 3 2 2 2 5" xfId="43673"/>
    <cellStyle name="Normal 39 5 3 2 2 2 6" xfId="43674"/>
    <cellStyle name="Normal 39 5 3 2 2 3" xfId="43675"/>
    <cellStyle name="Normal 39 5 3 2 2 4" xfId="43676"/>
    <cellStyle name="Normal 39 5 3 2 2 5" xfId="43677"/>
    <cellStyle name="Normal 39 5 3 2 2 6" xfId="43678"/>
    <cellStyle name="Normal 39 5 3 2 2 7" xfId="43679"/>
    <cellStyle name="Normal 39 5 3 2 3" xfId="43680"/>
    <cellStyle name="Normal 39 5 3 2 3 2" xfId="43681"/>
    <cellStyle name="Normal 39 5 3 2 3 3" xfId="43682"/>
    <cellStyle name="Normal 39 5 3 2 3 4" xfId="43683"/>
    <cellStyle name="Normal 39 5 3 2 3 5" xfId="43684"/>
    <cellStyle name="Normal 39 5 3 2 3 6" xfId="43685"/>
    <cellStyle name="Normal 39 5 3 2 4" xfId="43686"/>
    <cellStyle name="Normal 39 5 3 2 5" xfId="43687"/>
    <cellStyle name="Normal 39 5 3 2 6" xfId="43688"/>
    <cellStyle name="Normal 39 5 3 2 7" xfId="43689"/>
    <cellStyle name="Normal 39 5 3 2 8" xfId="43690"/>
    <cellStyle name="Normal 39 5 3 3" xfId="43691"/>
    <cellStyle name="Normal 39 5 3 3 2" xfId="43692"/>
    <cellStyle name="Normal 39 5 3 3 2 2" xfId="43693"/>
    <cellStyle name="Normal 39 5 3 3 2 3" xfId="43694"/>
    <cellStyle name="Normal 39 5 3 3 2 4" xfId="43695"/>
    <cellStyle name="Normal 39 5 3 3 2 5" xfId="43696"/>
    <cellStyle name="Normal 39 5 3 3 2 6" xfId="43697"/>
    <cellStyle name="Normal 39 5 3 3 3" xfId="43698"/>
    <cellStyle name="Normal 39 5 3 3 4" xfId="43699"/>
    <cellStyle name="Normal 39 5 3 3 5" xfId="43700"/>
    <cellStyle name="Normal 39 5 3 3 6" xfId="43701"/>
    <cellStyle name="Normal 39 5 3 3 7" xfId="43702"/>
    <cellStyle name="Normal 39 5 3 4" xfId="43703"/>
    <cellStyle name="Normal 39 5 3 4 2" xfId="43704"/>
    <cellStyle name="Normal 39 5 3 4 3" xfId="43705"/>
    <cellStyle name="Normal 39 5 3 4 4" xfId="43706"/>
    <cellStyle name="Normal 39 5 3 4 5" xfId="43707"/>
    <cellStyle name="Normal 39 5 3 4 6" xfId="43708"/>
    <cellStyle name="Normal 39 5 3 5" xfId="43709"/>
    <cellStyle name="Normal 39 5 3 6" xfId="43710"/>
    <cellStyle name="Normal 39 5 3 7" xfId="43711"/>
    <cellStyle name="Normal 39 5 3 8" xfId="43712"/>
    <cellStyle name="Normal 39 5 3 9" xfId="43713"/>
    <cellStyle name="Normal 39 5 4" xfId="43714"/>
    <cellStyle name="Normal 39 5 4 2" xfId="43715"/>
    <cellStyle name="Normal 39 5 4 2 2" xfId="43716"/>
    <cellStyle name="Normal 39 5 4 2 2 2" xfId="43717"/>
    <cellStyle name="Normal 39 5 4 2 2 2 2" xfId="43718"/>
    <cellStyle name="Normal 39 5 4 2 2 2 3" xfId="43719"/>
    <cellStyle name="Normal 39 5 4 2 2 2 4" xfId="43720"/>
    <cellStyle name="Normal 39 5 4 2 2 2 5" xfId="43721"/>
    <cellStyle name="Normal 39 5 4 2 2 2 6" xfId="43722"/>
    <cellStyle name="Normal 39 5 4 2 2 3" xfId="43723"/>
    <cellStyle name="Normal 39 5 4 2 2 4" xfId="43724"/>
    <cellStyle name="Normal 39 5 4 2 2 5" xfId="43725"/>
    <cellStyle name="Normal 39 5 4 2 2 6" xfId="43726"/>
    <cellStyle name="Normal 39 5 4 2 2 7" xfId="43727"/>
    <cellStyle name="Normal 39 5 4 2 3" xfId="43728"/>
    <cellStyle name="Normal 39 5 4 2 3 2" xfId="43729"/>
    <cellStyle name="Normal 39 5 4 2 3 3" xfId="43730"/>
    <cellStyle name="Normal 39 5 4 2 3 4" xfId="43731"/>
    <cellStyle name="Normal 39 5 4 2 3 5" xfId="43732"/>
    <cellStyle name="Normal 39 5 4 2 3 6" xfId="43733"/>
    <cellStyle name="Normal 39 5 4 2 4" xfId="43734"/>
    <cellStyle name="Normal 39 5 4 2 5" xfId="43735"/>
    <cellStyle name="Normal 39 5 4 2 6" xfId="43736"/>
    <cellStyle name="Normal 39 5 4 2 7" xfId="43737"/>
    <cellStyle name="Normal 39 5 4 2 8" xfId="43738"/>
    <cellStyle name="Normal 39 5 4 3" xfId="43739"/>
    <cellStyle name="Normal 39 5 4 3 2" xfId="43740"/>
    <cellStyle name="Normal 39 5 4 3 2 2" xfId="43741"/>
    <cellStyle name="Normal 39 5 4 3 2 3" xfId="43742"/>
    <cellStyle name="Normal 39 5 4 3 2 4" xfId="43743"/>
    <cellStyle name="Normal 39 5 4 3 2 5" xfId="43744"/>
    <cellStyle name="Normal 39 5 4 3 2 6" xfId="43745"/>
    <cellStyle name="Normal 39 5 4 3 3" xfId="43746"/>
    <cellStyle name="Normal 39 5 4 3 4" xfId="43747"/>
    <cellStyle name="Normal 39 5 4 3 5" xfId="43748"/>
    <cellStyle name="Normal 39 5 4 3 6" xfId="43749"/>
    <cellStyle name="Normal 39 5 4 3 7" xfId="43750"/>
    <cellStyle name="Normal 39 5 4 4" xfId="43751"/>
    <cellStyle name="Normal 39 5 4 4 2" xfId="43752"/>
    <cellStyle name="Normal 39 5 4 4 3" xfId="43753"/>
    <cellStyle name="Normal 39 5 4 4 4" xfId="43754"/>
    <cellStyle name="Normal 39 5 4 4 5" xfId="43755"/>
    <cellStyle name="Normal 39 5 4 4 6" xfId="43756"/>
    <cellStyle name="Normal 39 5 4 5" xfId="43757"/>
    <cellStyle name="Normal 39 5 4 6" xfId="43758"/>
    <cellStyle name="Normal 39 5 4 7" xfId="43759"/>
    <cellStyle name="Normal 39 5 4 8" xfId="43760"/>
    <cellStyle name="Normal 39 5 4 9" xfId="43761"/>
    <cellStyle name="Normal 39 5 5" xfId="43762"/>
    <cellStyle name="Normal 39 5 5 2" xfId="43763"/>
    <cellStyle name="Normal 39 5 5 2 2" xfId="43764"/>
    <cellStyle name="Normal 39 5 5 2 2 2" xfId="43765"/>
    <cellStyle name="Normal 39 5 5 2 2 2 2" xfId="43766"/>
    <cellStyle name="Normal 39 5 5 2 2 2 3" xfId="43767"/>
    <cellStyle name="Normal 39 5 5 2 2 2 4" xfId="43768"/>
    <cellStyle name="Normal 39 5 5 2 2 2 5" xfId="43769"/>
    <cellStyle name="Normal 39 5 5 2 2 2 6" xfId="43770"/>
    <cellStyle name="Normal 39 5 5 2 2 3" xfId="43771"/>
    <cellStyle name="Normal 39 5 5 2 2 4" xfId="43772"/>
    <cellStyle name="Normal 39 5 5 2 2 5" xfId="43773"/>
    <cellStyle name="Normal 39 5 5 2 2 6" xfId="43774"/>
    <cellStyle name="Normal 39 5 5 2 2 7" xfId="43775"/>
    <cellStyle name="Normal 39 5 5 2 3" xfId="43776"/>
    <cellStyle name="Normal 39 5 5 2 3 2" xfId="43777"/>
    <cellStyle name="Normal 39 5 5 2 3 3" xfId="43778"/>
    <cellStyle name="Normal 39 5 5 2 3 4" xfId="43779"/>
    <cellStyle name="Normal 39 5 5 2 3 5" xfId="43780"/>
    <cellStyle name="Normal 39 5 5 2 3 6" xfId="43781"/>
    <cellStyle name="Normal 39 5 5 2 4" xfId="43782"/>
    <cellStyle name="Normal 39 5 5 2 5" xfId="43783"/>
    <cellStyle name="Normal 39 5 5 2 6" xfId="43784"/>
    <cellStyle name="Normal 39 5 5 2 7" xfId="43785"/>
    <cellStyle name="Normal 39 5 5 2 8" xfId="43786"/>
    <cellStyle name="Normal 39 5 5 3" xfId="43787"/>
    <cellStyle name="Normal 39 5 5 3 2" xfId="43788"/>
    <cellStyle name="Normal 39 5 5 3 2 2" xfId="43789"/>
    <cellStyle name="Normal 39 5 5 3 2 3" xfId="43790"/>
    <cellStyle name="Normal 39 5 5 3 2 4" xfId="43791"/>
    <cellStyle name="Normal 39 5 5 3 2 5" xfId="43792"/>
    <cellStyle name="Normal 39 5 5 3 2 6" xfId="43793"/>
    <cellStyle name="Normal 39 5 5 3 3" xfId="43794"/>
    <cellStyle name="Normal 39 5 5 3 4" xfId="43795"/>
    <cellStyle name="Normal 39 5 5 3 5" xfId="43796"/>
    <cellStyle name="Normal 39 5 5 3 6" xfId="43797"/>
    <cellStyle name="Normal 39 5 5 3 7" xfId="43798"/>
    <cellStyle name="Normal 39 5 5 4" xfId="43799"/>
    <cellStyle name="Normal 39 5 5 4 2" xfId="43800"/>
    <cellStyle name="Normal 39 5 5 4 3" xfId="43801"/>
    <cellStyle name="Normal 39 5 5 4 4" xfId="43802"/>
    <cellStyle name="Normal 39 5 5 4 5" xfId="43803"/>
    <cellStyle name="Normal 39 5 5 4 6" xfId="43804"/>
    <cellStyle name="Normal 39 5 5 5" xfId="43805"/>
    <cellStyle name="Normal 39 5 5 6" xfId="43806"/>
    <cellStyle name="Normal 39 5 5 7" xfId="43807"/>
    <cellStyle name="Normal 39 5 5 8" xfId="43808"/>
    <cellStyle name="Normal 39 5 5 9" xfId="43809"/>
    <cellStyle name="Normal 39 5 6" xfId="43810"/>
    <cellStyle name="Normal 39 5 6 2" xfId="43811"/>
    <cellStyle name="Normal 39 5 6 2 2" xfId="43812"/>
    <cellStyle name="Normal 39 5 6 2 2 2" xfId="43813"/>
    <cellStyle name="Normal 39 5 6 2 2 2 2" xfId="43814"/>
    <cellStyle name="Normal 39 5 6 2 2 2 3" xfId="43815"/>
    <cellStyle name="Normal 39 5 6 2 2 2 4" xfId="43816"/>
    <cellStyle name="Normal 39 5 6 2 2 2 5" xfId="43817"/>
    <cellStyle name="Normal 39 5 6 2 2 2 6" xfId="43818"/>
    <cellStyle name="Normal 39 5 6 2 2 3" xfId="43819"/>
    <cellStyle name="Normal 39 5 6 2 2 4" xfId="43820"/>
    <cellStyle name="Normal 39 5 6 2 2 5" xfId="43821"/>
    <cellStyle name="Normal 39 5 6 2 2 6" xfId="43822"/>
    <cellStyle name="Normal 39 5 6 2 2 7" xfId="43823"/>
    <cellStyle name="Normal 39 5 6 2 3" xfId="43824"/>
    <cellStyle name="Normal 39 5 6 2 3 2" xfId="43825"/>
    <cellStyle name="Normal 39 5 6 2 3 3" xfId="43826"/>
    <cellStyle name="Normal 39 5 6 2 3 4" xfId="43827"/>
    <cellStyle name="Normal 39 5 6 2 3 5" xfId="43828"/>
    <cellStyle name="Normal 39 5 6 2 3 6" xfId="43829"/>
    <cellStyle name="Normal 39 5 6 2 4" xfId="43830"/>
    <cellStyle name="Normal 39 5 6 2 5" xfId="43831"/>
    <cellStyle name="Normal 39 5 6 2 6" xfId="43832"/>
    <cellStyle name="Normal 39 5 6 2 7" xfId="43833"/>
    <cellStyle name="Normal 39 5 6 2 8" xfId="43834"/>
    <cellStyle name="Normal 39 5 6 3" xfId="43835"/>
    <cellStyle name="Normal 39 5 6 3 2" xfId="43836"/>
    <cellStyle name="Normal 39 5 6 3 2 2" xfId="43837"/>
    <cellStyle name="Normal 39 5 6 3 2 3" xfId="43838"/>
    <cellStyle name="Normal 39 5 6 3 2 4" xfId="43839"/>
    <cellStyle name="Normal 39 5 6 3 2 5" xfId="43840"/>
    <cellStyle name="Normal 39 5 6 3 2 6" xfId="43841"/>
    <cellStyle name="Normal 39 5 6 3 3" xfId="43842"/>
    <cellStyle name="Normal 39 5 6 3 4" xfId="43843"/>
    <cellStyle name="Normal 39 5 6 3 5" xfId="43844"/>
    <cellStyle name="Normal 39 5 6 3 6" xfId="43845"/>
    <cellStyle name="Normal 39 5 6 3 7" xfId="43846"/>
    <cellStyle name="Normal 39 5 6 4" xfId="43847"/>
    <cellStyle name="Normal 39 5 6 4 2" xfId="43848"/>
    <cellStyle name="Normal 39 5 6 4 3" xfId="43849"/>
    <cellStyle name="Normal 39 5 6 4 4" xfId="43850"/>
    <cellStyle name="Normal 39 5 6 4 5" xfId="43851"/>
    <cellStyle name="Normal 39 5 6 4 6" xfId="43852"/>
    <cellStyle name="Normal 39 5 6 5" xfId="43853"/>
    <cellStyle name="Normal 39 5 6 6" xfId="43854"/>
    <cellStyle name="Normal 39 5 6 7" xfId="43855"/>
    <cellStyle name="Normal 39 5 6 8" xfId="43856"/>
    <cellStyle name="Normal 39 5 6 9" xfId="43857"/>
    <cellStyle name="Normal 39 5 7" xfId="43858"/>
    <cellStyle name="Normal 39 5 7 2" xfId="43859"/>
    <cellStyle name="Normal 39 5 7 2 2" xfId="43860"/>
    <cellStyle name="Normal 39 5 7 2 2 2" xfId="43861"/>
    <cellStyle name="Normal 39 5 7 2 2 3" xfId="43862"/>
    <cellStyle name="Normal 39 5 7 2 2 4" xfId="43863"/>
    <cellStyle name="Normal 39 5 7 2 2 5" xfId="43864"/>
    <cellStyle name="Normal 39 5 7 2 2 6" xfId="43865"/>
    <cellStyle name="Normal 39 5 7 2 3" xfId="43866"/>
    <cellStyle name="Normal 39 5 7 2 4" xfId="43867"/>
    <cellStyle name="Normal 39 5 7 2 5" xfId="43868"/>
    <cellStyle name="Normal 39 5 7 2 6" xfId="43869"/>
    <cellStyle name="Normal 39 5 7 2 7" xfId="43870"/>
    <cellStyle name="Normal 39 5 7 3" xfId="43871"/>
    <cellStyle name="Normal 39 5 7 3 2" xfId="43872"/>
    <cellStyle name="Normal 39 5 7 3 3" xfId="43873"/>
    <cellStyle name="Normal 39 5 7 3 4" xfId="43874"/>
    <cellStyle name="Normal 39 5 7 3 5" xfId="43875"/>
    <cellStyle name="Normal 39 5 7 3 6" xfId="43876"/>
    <cellStyle name="Normal 39 5 7 4" xfId="43877"/>
    <cellStyle name="Normal 39 5 7 5" xfId="43878"/>
    <cellStyle name="Normal 39 5 7 6" xfId="43879"/>
    <cellStyle name="Normal 39 5 7 7" xfId="43880"/>
    <cellStyle name="Normal 39 5 7 8" xfId="43881"/>
    <cellStyle name="Normal 39 5 8" xfId="43882"/>
    <cellStyle name="Normal 39 5 8 2" xfId="43883"/>
    <cellStyle name="Normal 39 5 8 2 2" xfId="43884"/>
    <cellStyle name="Normal 39 5 8 2 3" xfId="43885"/>
    <cellStyle name="Normal 39 5 8 2 4" xfId="43886"/>
    <cellStyle name="Normal 39 5 8 2 5" xfId="43887"/>
    <cellStyle name="Normal 39 5 8 2 6" xfId="43888"/>
    <cellStyle name="Normal 39 5 8 3" xfId="43889"/>
    <cellStyle name="Normal 39 5 8 4" xfId="43890"/>
    <cellStyle name="Normal 39 5 8 5" xfId="43891"/>
    <cellStyle name="Normal 39 5 8 6" xfId="43892"/>
    <cellStyle name="Normal 39 5 8 7" xfId="43893"/>
    <cellStyle name="Normal 39 5 9" xfId="43894"/>
    <cellStyle name="Normal 39 5 9 2" xfId="43895"/>
    <cellStyle name="Normal 39 5 9 3" xfId="43896"/>
    <cellStyle name="Normal 39 5 9 4" xfId="43897"/>
    <cellStyle name="Normal 39 5 9 5" xfId="43898"/>
    <cellStyle name="Normal 39 5 9 6" xfId="43899"/>
    <cellStyle name="Normal 39 6" xfId="43900"/>
    <cellStyle name="Normal 39 6 10" xfId="43901"/>
    <cellStyle name="Normal 39 6 11" xfId="43902"/>
    <cellStyle name="Normal 39 6 12" xfId="43903"/>
    <cellStyle name="Normal 39 6 13" xfId="43904"/>
    <cellStyle name="Normal 39 6 14" xfId="43905"/>
    <cellStyle name="Normal 39 6 2" xfId="43906"/>
    <cellStyle name="Normal 39 6 2 2" xfId="43907"/>
    <cellStyle name="Normal 39 6 2 2 2" xfId="43908"/>
    <cellStyle name="Normal 39 6 2 2 2 2" xfId="43909"/>
    <cellStyle name="Normal 39 6 2 2 2 2 2" xfId="43910"/>
    <cellStyle name="Normal 39 6 2 2 2 2 3" xfId="43911"/>
    <cellStyle name="Normal 39 6 2 2 2 2 4" xfId="43912"/>
    <cellStyle name="Normal 39 6 2 2 2 2 5" xfId="43913"/>
    <cellStyle name="Normal 39 6 2 2 2 2 6" xfId="43914"/>
    <cellStyle name="Normal 39 6 2 2 2 3" xfId="43915"/>
    <cellStyle name="Normal 39 6 2 2 2 4" xfId="43916"/>
    <cellStyle name="Normal 39 6 2 2 2 5" xfId="43917"/>
    <cellStyle name="Normal 39 6 2 2 2 6" xfId="43918"/>
    <cellStyle name="Normal 39 6 2 2 2 7" xfId="43919"/>
    <cellStyle name="Normal 39 6 2 2 3" xfId="43920"/>
    <cellStyle name="Normal 39 6 2 2 3 2" xfId="43921"/>
    <cellStyle name="Normal 39 6 2 2 3 3" xfId="43922"/>
    <cellStyle name="Normal 39 6 2 2 3 4" xfId="43923"/>
    <cellStyle name="Normal 39 6 2 2 3 5" xfId="43924"/>
    <cellStyle name="Normal 39 6 2 2 3 6" xfId="43925"/>
    <cellStyle name="Normal 39 6 2 2 4" xfId="43926"/>
    <cellStyle name="Normal 39 6 2 2 5" xfId="43927"/>
    <cellStyle name="Normal 39 6 2 2 6" xfId="43928"/>
    <cellStyle name="Normal 39 6 2 2 7" xfId="43929"/>
    <cellStyle name="Normal 39 6 2 2 8" xfId="43930"/>
    <cellStyle name="Normal 39 6 2 3" xfId="43931"/>
    <cellStyle name="Normal 39 6 2 3 2" xfId="43932"/>
    <cellStyle name="Normal 39 6 2 3 2 2" xfId="43933"/>
    <cellStyle name="Normal 39 6 2 3 2 3" xfId="43934"/>
    <cellStyle name="Normal 39 6 2 3 2 4" xfId="43935"/>
    <cellStyle name="Normal 39 6 2 3 2 5" xfId="43936"/>
    <cellStyle name="Normal 39 6 2 3 2 6" xfId="43937"/>
    <cellStyle name="Normal 39 6 2 3 3" xfId="43938"/>
    <cellStyle name="Normal 39 6 2 3 4" xfId="43939"/>
    <cellStyle name="Normal 39 6 2 3 5" xfId="43940"/>
    <cellStyle name="Normal 39 6 2 3 6" xfId="43941"/>
    <cellStyle name="Normal 39 6 2 3 7" xfId="43942"/>
    <cellStyle name="Normal 39 6 2 4" xfId="43943"/>
    <cellStyle name="Normal 39 6 2 4 2" xfId="43944"/>
    <cellStyle name="Normal 39 6 2 4 3" xfId="43945"/>
    <cellStyle name="Normal 39 6 2 4 4" xfId="43946"/>
    <cellStyle name="Normal 39 6 2 4 5" xfId="43947"/>
    <cellStyle name="Normal 39 6 2 4 6" xfId="43948"/>
    <cellStyle name="Normal 39 6 2 5" xfId="43949"/>
    <cellStyle name="Normal 39 6 2 6" xfId="43950"/>
    <cellStyle name="Normal 39 6 2 7" xfId="43951"/>
    <cellStyle name="Normal 39 6 2 8" xfId="43952"/>
    <cellStyle name="Normal 39 6 2 9" xfId="43953"/>
    <cellStyle name="Normal 39 6 3" xfId="43954"/>
    <cellStyle name="Normal 39 6 3 2" xfId="43955"/>
    <cellStyle name="Normal 39 6 3 2 2" xfId="43956"/>
    <cellStyle name="Normal 39 6 3 2 2 2" xfId="43957"/>
    <cellStyle name="Normal 39 6 3 2 2 2 2" xfId="43958"/>
    <cellStyle name="Normal 39 6 3 2 2 2 3" xfId="43959"/>
    <cellStyle name="Normal 39 6 3 2 2 2 4" xfId="43960"/>
    <cellStyle name="Normal 39 6 3 2 2 2 5" xfId="43961"/>
    <cellStyle name="Normal 39 6 3 2 2 2 6" xfId="43962"/>
    <cellStyle name="Normal 39 6 3 2 2 3" xfId="43963"/>
    <cellStyle name="Normal 39 6 3 2 2 4" xfId="43964"/>
    <cellStyle name="Normal 39 6 3 2 2 5" xfId="43965"/>
    <cellStyle name="Normal 39 6 3 2 2 6" xfId="43966"/>
    <cellStyle name="Normal 39 6 3 2 2 7" xfId="43967"/>
    <cellStyle name="Normal 39 6 3 2 3" xfId="43968"/>
    <cellStyle name="Normal 39 6 3 2 3 2" xfId="43969"/>
    <cellStyle name="Normal 39 6 3 2 3 3" xfId="43970"/>
    <cellStyle name="Normal 39 6 3 2 3 4" xfId="43971"/>
    <cellStyle name="Normal 39 6 3 2 3 5" xfId="43972"/>
    <cellStyle name="Normal 39 6 3 2 3 6" xfId="43973"/>
    <cellStyle name="Normal 39 6 3 2 4" xfId="43974"/>
    <cellStyle name="Normal 39 6 3 2 5" xfId="43975"/>
    <cellStyle name="Normal 39 6 3 2 6" xfId="43976"/>
    <cellStyle name="Normal 39 6 3 2 7" xfId="43977"/>
    <cellStyle name="Normal 39 6 3 2 8" xfId="43978"/>
    <cellStyle name="Normal 39 6 3 3" xfId="43979"/>
    <cellStyle name="Normal 39 6 3 3 2" xfId="43980"/>
    <cellStyle name="Normal 39 6 3 3 2 2" xfId="43981"/>
    <cellStyle name="Normal 39 6 3 3 2 3" xfId="43982"/>
    <cellStyle name="Normal 39 6 3 3 2 4" xfId="43983"/>
    <cellStyle name="Normal 39 6 3 3 2 5" xfId="43984"/>
    <cellStyle name="Normal 39 6 3 3 2 6" xfId="43985"/>
    <cellStyle name="Normal 39 6 3 3 3" xfId="43986"/>
    <cellStyle name="Normal 39 6 3 3 4" xfId="43987"/>
    <cellStyle name="Normal 39 6 3 3 5" xfId="43988"/>
    <cellStyle name="Normal 39 6 3 3 6" xfId="43989"/>
    <cellStyle name="Normal 39 6 3 3 7" xfId="43990"/>
    <cellStyle name="Normal 39 6 3 4" xfId="43991"/>
    <cellStyle name="Normal 39 6 3 4 2" xfId="43992"/>
    <cellStyle name="Normal 39 6 3 4 3" xfId="43993"/>
    <cellStyle name="Normal 39 6 3 4 4" xfId="43994"/>
    <cellStyle name="Normal 39 6 3 4 5" xfId="43995"/>
    <cellStyle name="Normal 39 6 3 4 6" xfId="43996"/>
    <cellStyle name="Normal 39 6 3 5" xfId="43997"/>
    <cellStyle name="Normal 39 6 3 6" xfId="43998"/>
    <cellStyle name="Normal 39 6 3 7" xfId="43999"/>
    <cellStyle name="Normal 39 6 3 8" xfId="44000"/>
    <cellStyle name="Normal 39 6 3 9" xfId="44001"/>
    <cellStyle name="Normal 39 6 4" xfId="44002"/>
    <cellStyle name="Normal 39 6 4 2" xfId="44003"/>
    <cellStyle name="Normal 39 6 4 2 2" xfId="44004"/>
    <cellStyle name="Normal 39 6 4 2 2 2" xfId="44005"/>
    <cellStyle name="Normal 39 6 4 2 2 2 2" xfId="44006"/>
    <cellStyle name="Normal 39 6 4 2 2 2 3" xfId="44007"/>
    <cellStyle name="Normal 39 6 4 2 2 2 4" xfId="44008"/>
    <cellStyle name="Normal 39 6 4 2 2 2 5" xfId="44009"/>
    <cellStyle name="Normal 39 6 4 2 2 2 6" xfId="44010"/>
    <cellStyle name="Normal 39 6 4 2 2 3" xfId="44011"/>
    <cellStyle name="Normal 39 6 4 2 2 4" xfId="44012"/>
    <cellStyle name="Normal 39 6 4 2 2 5" xfId="44013"/>
    <cellStyle name="Normal 39 6 4 2 2 6" xfId="44014"/>
    <cellStyle name="Normal 39 6 4 2 2 7" xfId="44015"/>
    <cellStyle name="Normal 39 6 4 2 3" xfId="44016"/>
    <cellStyle name="Normal 39 6 4 2 3 2" xfId="44017"/>
    <cellStyle name="Normal 39 6 4 2 3 3" xfId="44018"/>
    <cellStyle name="Normal 39 6 4 2 3 4" xfId="44019"/>
    <cellStyle name="Normal 39 6 4 2 3 5" xfId="44020"/>
    <cellStyle name="Normal 39 6 4 2 3 6" xfId="44021"/>
    <cellStyle name="Normal 39 6 4 2 4" xfId="44022"/>
    <cellStyle name="Normal 39 6 4 2 5" xfId="44023"/>
    <cellStyle name="Normal 39 6 4 2 6" xfId="44024"/>
    <cellStyle name="Normal 39 6 4 2 7" xfId="44025"/>
    <cellStyle name="Normal 39 6 4 2 8" xfId="44026"/>
    <cellStyle name="Normal 39 6 4 3" xfId="44027"/>
    <cellStyle name="Normal 39 6 4 3 2" xfId="44028"/>
    <cellStyle name="Normal 39 6 4 3 2 2" xfId="44029"/>
    <cellStyle name="Normal 39 6 4 3 2 3" xfId="44030"/>
    <cellStyle name="Normal 39 6 4 3 2 4" xfId="44031"/>
    <cellStyle name="Normal 39 6 4 3 2 5" xfId="44032"/>
    <cellStyle name="Normal 39 6 4 3 2 6" xfId="44033"/>
    <cellStyle name="Normal 39 6 4 3 3" xfId="44034"/>
    <cellStyle name="Normal 39 6 4 3 4" xfId="44035"/>
    <cellStyle name="Normal 39 6 4 3 5" xfId="44036"/>
    <cellStyle name="Normal 39 6 4 3 6" xfId="44037"/>
    <cellStyle name="Normal 39 6 4 3 7" xfId="44038"/>
    <cellStyle name="Normal 39 6 4 4" xfId="44039"/>
    <cellStyle name="Normal 39 6 4 4 2" xfId="44040"/>
    <cellStyle name="Normal 39 6 4 4 3" xfId="44041"/>
    <cellStyle name="Normal 39 6 4 4 4" xfId="44042"/>
    <cellStyle name="Normal 39 6 4 4 5" xfId="44043"/>
    <cellStyle name="Normal 39 6 4 4 6" xfId="44044"/>
    <cellStyle name="Normal 39 6 4 5" xfId="44045"/>
    <cellStyle name="Normal 39 6 4 6" xfId="44046"/>
    <cellStyle name="Normal 39 6 4 7" xfId="44047"/>
    <cellStyle name="Normal 39 6 4 8" xfId="44048"/>
    <cellStyle name="Normal 39 6 4 9" xfId="44049"/>
    <cellStyle name="Normal 39 6 5" xfId="44050"/>
    <cellStyle name="Normal 39 6 5 2" xfId="44051"/>
    <cellStyle name="Normal 39 6 5 2 2" xfId="44052"/>
    <cellStyle name="Normal 39 6 5 2 2 2" xfId="44053"/>
    <cellStyle name="Normal 39 6 5 2 2 2 2" xfId="44054"/>
    <cellStyle name="Normal 39 6 5 2 2 2 3" xfId="44055"/>
    <cellStyle name="Normal 39 6 5 2 2 2 4" xfId="44056"/>
    <cellStyle name="Normal 39 6 5 2 2 2 5" xfId="44057"/>
    <cellStyle name="Normal 39 6 5 2 2 2 6" xfId="44058"/>
    <cellStyle name="Normal 39 6 5 2 2 3" xfId="44059"/>
    <cellStyle name="Normal 39 6 5 2 2 4" xfId="44060"/>
    <cellStyle name="Normal 39 6 5 2 2 5" xfId="44061"/>
    <cellStyle name="Normal 39 6 5 2 2 6" xfId="44062"/>
    <cellStyle name="Normal 39 6 5 2 2 7" xfId="44063"/>
    <cellStyle name="Normal 39 6 5 2 3" xfId="44064"/>
    <cellStyle name="Normal 39 6 5 2 3 2" xfId="44065"/>
    <cellStyle name="Normal 39 6 5 2 3 3" xfId="44066"/>
    <cellStyle name="Normal 39 6 5 2 3 4" xfId="44067"/>
    <cellStyle name="Normal 39 6 5 2 3 5" xfId="44068"/>
    <cellStyle name="Normal 39 6 5 2 3 6" xfId="44069"/>
    <cellStyle name="Normal 39 6 5 2 4" xfId="44070"/>
    <cellStyle name="Normal 39 6 5 2 5" xfId="44071"/>
    <cellStyle name="Normal 39 6 5 2 6" xfId="44072"/>
    <cellStyle name="Normal 39 6 5 2 7" xfId="44073"/>
    <cellStyle name="Normal 39 6 5 2 8" xfId="44074"/>
    <cellStyle name="Normal 39 6 5 3" xfId="44075"/>
    <cellStyle name="Normal 39 6 5 3 2" xfId="44076"/>
    <cellStyle name="Normal 39 6 5 3 2 2" xfId="44077"/>
    <cellStyle name="Normal 39 6 5 3 2 3" xfId="44078"/>
    <cellStyle name="Normal 39 6 5 3 2 4" xfId="44079"/>
    <cellStyle name="Normal 39 6 5 3 2 5" xfId="44080"/>
    <cellStyle name="Normal 39 6 5 3 2 6" xfId="44081"/>
    <cellStyle name="Normal 39 6 5 3 3" xfId="44082"/>
    <cellStyle name="Normal 39 6 5 3 4" xfId="44083"/>
    <cellStyle name="Normal 39 6 5 3 5" xfId="44084"/>
    <cellStyle name="Normal 39 6 5 3 6" xfId="44085"/>
    <cellStyle name="Normal 39 6 5 3 7" xfId="44086"/>
    <cellStyle name="Normal 39 6 5 4" xfId="44087"/>
    <cellStyle name="Normal 39 6 5 4 2" xfId="44088"/>
    <cellStyle name="Normal 39 6 5 4 3" xfId="44089"/>
    <cellStyle name="Normal 39 6 5 4 4" xfId="44090"/>
    <cellStyle name="Normal 39 6 5 4 5" xfId="44091"/>
    <cellStyle name="Normal 39 6 5 4 6" xfId="44092"/>
    <cellStyle name="Normal 39 6 5 5" xfId="44093"/>
    <cellStyle name="Normal 39 6 5 6" xfId="44094"/>
    <cellStyle name="Normal 39 6 5 7" xfId="44095"/>
    <cellStyle name="Normal 39 6 5 8" xfId="44096"/>
    <cellStyle name="Normal 39 6 5 9" xfId="44097"/>
    <cellStyle name="Normal 39 6 6" xfId="44098"/>
    <cellStyle name="Normal 39 6 6 2" xfId="44099"/>
    <cellStyle name="Normal 39 6 6 2 2" xfId="44100"/>
    <cellStyle name="Normal 39 6 6 2 2 2" xfId="44101"/>
    <cellStyle name="Normal 39 6 6 2 2 2 2" xfId="44102"/>
    <cellStyle name="Normal 39 6 6 2 2 2 3" xfId="44103"/>
    <cellStyle name="Normal 39 6 6 2 2 2 4" xfId="44104"/>
    <cellStyle name="Normal 39 6 6 2 2 2 5" xfId="44105"/>
    <cellStyle name="Normal 39 6 6 2 2 2 6" xfId="44106"/>
    <cellStyle name="Normal 39 6 6 2 2 3" xfId="44107"/>
    <cellStyle name="Normal 39 6 6 2 2 4" xfId="44108"/>
    <cellStyle name="Normal 39 6 6 2 2 5" xfId="44109"/>
    <cellStyle name="Normal 39 6 6 2 2 6" xfId="44110"/>
    <cellStyle name="Normal 39 6 6 2 2 7" xfId="44111"/>
    <cellStyle name="Normal 39 6 6 2 3" xfId="44112"/>
    <cellStyle name="Normal 39 6 6 2 3 2" xfId="44113"/>
    <cellStyle name="Normal 39 6 6 2 3 3" xfId="44114"/>
    <cellStyle name="Normal 39 6 6 2 3 4" xfId="44115"/>
    <cellStyle name="Normal 39 6 6 2 3 5" xfId="44116"/>
    <cellStyle name="Normal 39 6 6 2 3 6" xfId="44117"/>
    <cellStyle name="Normal 39 6 6 2 4" xfId="44118"/>
    <cellStyle name="Normal 39 6 6 2 5" xfId="44119"/>
    <cellStyle name="Normal 39 6 6 2 6" xfId="44120"/>
    <cellStyle name="Normal 39 6 6 2 7" xfId="44121"/>
    <cellStyle name="Normal 39 6 6 2 8" xfId="44122"/>
    <cellStyle name="Normal 39 6 6 3" xfId="44123"/>
    <cellStyle name="Normal 39 6 6 3 2" xfId="44124"/>
    <cellStyle name="Normal 39 6 6 3 2 2" xfId="44125"/>
    <cellStyle name="Normal 39 6 6 3 2 3" xfId="44126"/>
    <cellStyle name="Normal 39 6 6 3 2 4" xfId="44127"/>
    <cellStyle name="Normal 39 6 6 3 2 5" xfId="44128"/>
    <cellStyle name="Normal 39 6 6 3 2 6" xfId="44129"/>
    <cellStyle name="Normal 39 6 6 3 3" xfId="44130"/>
    <cellStyle name="Normal 39 6 6 3 4" xfId="44131"/>
    <cellStyle name="Normal 39 6 6 3 5" xfId="44132"/>
    <cellStyle name="Normal 39 6 6 3 6" xfId="44133"/>
    <cellStyle name="Normal 39 6 6 3 7" xfId="44134"/>
    <cellStyle name="Normal 39 6 6 4" xfId="44135"/>
    <cellStyle name="Normal 39 6 6 4 2" xfId="44136"/>
    <cellStyle name="Normal 39 6 6 4 3" xfId="44137"/>
    <cellStyle name="Normal 39 6 6 4 4" xfId="44138"/>
    <cellStyle name="Normal 39 6 6 4 5" xfId="44139"/>
    <cellStyle name="Normal 39 6 6 4 6" xfId="44140"/>
    <cellStyle name="Normal 39 6 6 5" xfId="44141"/>
    <cellStyle name="Normal 39 6 6 6" xfId="44142"/>
    <cellStyle name="Normal 39 6 6 7" xfId="44143"/>
    <cellStyle name="Normal 39 6 6 8" xfId="44144"/>
    <cellStyle name="Normal 39 6 6 9" xfId="44145"/>
    <cellStyle name="Normal 39 6 7" xfId="44146"/>
    <cellStyle name="Normal 39 6 7 2" xfId="44147"/>
    <cellStyle name="Normal 39 6 7 2 2" xfId="44148"/>
    <cellStyle name="Normal 39 6 7 2 2 2" xfId="44149"/>
    <cellStyle name="Normal 39 6 7 2 2 3" xfId="44150"/>
    <cellStyle name="Normal 39 6 7 2 2 4" xfId="44151"/>
    <cellStyle name="Normal 39 6 7 2 2 5" xfId="44152"/>
    <cellStyle name="Normal 39 6 7 2 2 6" xfId="44153"/>
    <cellStyle name="Normal 39 6 7 2 3" xfId="44154"/>
    <cellStyle name="Normal 39 6 7 2 4" xfId="44155"/>
    <cellStyle name="Normal 39 6 7 2 5" xfId="44156"/>
    <cellStyle name="Normal 39 6 7 2 6" xfId="44157"/>
    <cellStyle name="Normal 39 6 7 2 7" xfId="44158"/>
    <cellStyle name="Normal 39 6 7 3" xfId="44159"/>
    <cellStyle name="Normal 39 6 7 3 2" xfId="44160"/>
    <cellStyle name="Normal 39 6 7 3 3" xfId="44161"/>
    <cellStyle name="Normal 39 6 7 3 4" xfId="44162"/>
    <cellStyle name="Normal 39 6 7 3 5" xfId="44163"/>
    <cellStyle name="Normal 39 6 7 3 6" xfId="44164"/>
    <cellStyle name="Normal 39 6 7 4" xfId="44165"/>
    <cellStyle name="Normal 39 6 7 5" xfId="44166"/>
    <cellStyle name="Normal 39 6 7 6" xfId="44167"/>
    <cellStyle name="Normal 39 6 7 7" xfId="44168"/>
    <cellStyle name="Normal 39 6 7 8" xfId="44169"/>
    <cellStyle name="Normal 39 6 8" xfId="44170"/>
    <cellStyle name="Normal 39 6 8 2" xfId="44171"/>
    <cellStyle name="Normal 39 6 8 2 2" xfId="44172"/>
    <cellStyle name="Normal 39 6 8 2 3" xfId="44173"/>
    <cellStyle name="Normal 39 6 8 2 4" xfId="44174"/>
    <cellStyle name="Normal 39 6 8 2 5" xfId="44175"/>
    <cellStyle name="Normal 39 6 8 2 6" xfId="44176"/>
    <cellStyle name="Normal 39 6 8 3" xfId="44177"/>
    <cellStyle name="Normal 39 6 8 4" xfId="44178"/>
    <cellStyle name="Normal 39 6 8 5" xfId="44179"/>
    <cellStyle name="Normal 39 6 8 6" xfId="44180"/>
    <cellStyle name="Normal 39 6 8 7" xfId="44181"/>
    <cellStyle name="Normal 39 6 9" xfId="44182"/>
    <cellStyle name="Normal 39 6 9 2" xfId="44183"/>
    <cellStyle name="Normal 39 6 9 3" xfId="44184"/>
    <cellStyle name="Normal 39 6 9 4" xfId="44185"/>
    <cellStyle name="Normal 39 6 9 5" xfId="44186"/>
    <cellStyle name="Normal 39 6 9 6" xfId="44187"/>
    <cellStyle name="Normal 39 7" xfId="44188"/>
    <cellStyle name="Normal 39 7 2" xfId="44189"/>
    <cellStyle name="Normal 39 7 2 2" xfId="44190"/>
    <cellStyle name="Normal 39 7 2 2 2" xfId="44191"/>
    <cellStyle name="Normal 39 7 2 2 2 2" xfId="44192"/>
    <cellStyle name="Normal 39 7 2 2 2 3" xfId="44193"/>
    <cellStyle name="Normal 39 7 2 2 2 4" xfId="44194"/>
    <cellStyle name="Normal 39 7 2 2 2 5" xfId="44195"/>
    <cellStyle name="Normal 39 7 2 2 2 6" xfId="44196"/>
    <cellStyle name="Normal 39 7 2 2 3" xfId="44197"/>
    <cellStyle name="Normal 39 7 2 2 4" xfId="44198"/>
    <cellStyle name="Normal 39 7 2 2 5" xfId="44199"/>
    <cellStyle name="Normal 39 7 2 2 6" xfId="44200"/>
    <cellStyle name="Normal 39 7 2 2 7" xfId="44201"/>
    <cellStyle name="Normal 39 7 2 3" xfId="44202"/>
    <cellStyle name="Normal 39 7 2 3 2" xfId="44203"/>
    <cellStyle name="Normal 39 7 2 3 3" xfId="44204"/>
    <cellStyle name="Normal 39 7 2 3 4" xfId="44205"/>
    <cellStyle name="Normal 39 7 2 3 5" xfId="44206"/>
    <cellStyle name="Normal 39 7 2 3 6" xfId="44207"/>
    <cellStyle name="Normal 39 7 2 4" xfId="44208"/>
    <cellStyle name="Normal 39 7 2 5" xfId="44209"/>
    <cellStyle name="Normal 39 7 2 6" xfId="44210"/>
    <cellStyle name="Normal 39 7 2 7" xfId="44211"/>
    <cellStyle name="Normal 39 7 2 8" xfId="44212"/>
    <cellStyle name="Normal 39 7 3" xfId="44213"/>
    <cellStyle name="Normal 39 7 3 2" xfId="44214"/>
    <cellStyle name="Normal 39 7 3 2 2" xfId="44215"/>
    <cellStyle name="Normal 39 7 3 2 3" xfId="44216"/>
    <cellStyle name="Normal 39 7 3 2 4" xfId="44217"/>
    <cellStyle name="Normal 39 7 3 2 5" xfId="44218"/>
    <cellStyle name="Normal 39 7 3 2 6" xfId="44219"/>
    <cellStyle name="Normal 39 7 3 3" xfId="44220"/>
    <cellStyle name="Normal 39 7 3 4" xfId="44221"/>
    <cellStyle name="Normal 39 7 3 5" xfId="44222"/>
    <cellStyle name="Normal 39 7 3 6" xfId="44223"/>
    <cellStyle name="Normal 39 7 3 7" xfId="44224"/>
    <cellStyle name="Normal 39 7 4" xfId="44225"/>
    <cellStyle name="Normal 39 7 4 2" xfId="44226"/>
    <cellStyle name="Normal 39 7 4 3" xfId="44227"/>
    <cellStyle name="Normal 39 7 4 4" xfId="44228"/>
    <cellStyle name="Normal 39 7 4 5" xfId="44229"/>
    <cellStyle name="Normal 39 7 4 6" xfId="44230"/>
    <cellStyle name="Normal 39 7 5" xfId="44231"/>
    <cellStyle name="Normal 39 7 6" xfId="44232"/>
    <cellStyle name="Normal 39 7 7" xfId="44233"/>
    <cellStyle name="Normal 39 7 8" xfId="44234"/>
    <cellStyle name="Normal 39 7 9" xfId="44235"/>
    <cellStyle name="Normal 39 8" xfId="44236"/>
    <cellStyle name="Normal 39 8 2" xfId="44237"/>
    <cellStyle name="Normal 39 8 2 2" xfId="44238"/>
    <cellStyle name="Normal 39 8 2 2 2" xfId="44239"/>
    <cellStyle name="Normal 39 8 2 2 2 2" xfId="44240"/>
    <cellStyle name="Normal 39 8 2 2 2 3" xfId="44241"/>
    <cellStyle name="Normal 39 8 2 2 2 4" xfId="44242"/>
    <cellStyle name="Normal 39 8 2 2 2 5" xfId="44243"/>
    <cellStyle name="Normal 39 8 2 2 2 6" xfId="44244"/>
    <cellStyle name="Normal 39 8 2 2 3" xfId="44245"/>
    <cellStyle name="Normal 39 8 2 2 4" xfId="44246"/>
    <cellStyle name="Normal 39 8 2 2 5" xfId="44247"/>
    <cellStyle name="Normal 39 8 2 2 6" xfId="44248"/>
    <cellStyle name="Normal 39 8 2 2 7" xfId="44249"/>
    <cellStyle name="Normal 39 8 2 3" xfId="44250"/>
    <cellStyle name="Normal 39 8 2 3 2" xfId="44251"/>
    <cellStyle name="Normal 39 8 2 3 3" xfId="44252"/>
    <cellStyle name="Normal 39 8 2 3 4" xfId="44253"/>
    <cellStyle name="Normal 39 8 2 3 5" xfId="44254"/>
    <cellStyle name="Normal 39 8 2 3 6" xfId="44255"/>
    <cellStyle name="Normal 39 8 2 4" xfId="44256"/>
    <cellStyle name="Normal 39 8 2 5" xfId="44257"/>
    <cellStyle name="Normal 39 8 2 6" xfId="44258"/>
    <cellStyle name="Normal 39 8 2 7" xfId="44259"/>
    <cellStyle name="Normal 39 8 2 8" xfId="44260"/>
    <cellStyle name="Normal 39 8 3" xfId="44261"/>
    <cellStyle name="Normal 39 8 3 2" xfId="44262"/>
    <cellStyle name="Normal 39 8 3 2 2" xfId="44263"/>
    <cellStyle name="Normal 39 8 3 2 3" xfId="44264"/>
    <cellStyle name="Normal 39 8 3 2 4" xfId="44265"/>
    <cellStyle name="Normal 39 8 3 2 5" xfId="44266"/>
    <cellStyle name="Normal 39 8 3 2 6" xfId="44267"/>
    <cellStyle name="Normal 39 8 3 3" xfId="44268"/>
    <cellStyle name="Normal 39 8 3 4" xfId="44269"/>
    <cellStyle name="Normal 39 8 3 5" xfId="44270"/>
    <cellStyle name="Normal 39 8 3 6" xfId="44271"/>
    <cellStyle name="Normal 39 8 3 7" xfId="44272"/>
    <cellStyle name="Normal 39 8 4" xfId="44273"/>
    <cellStyle name="Normal 39 8 4 2" xfId="44274"/>
    <cellStyle name="Normal 39 8 4 3" xfId="44275"/>
    <cellStyle name="Normal 39 8 4 4" xfId="44276"/>
    <cellStyle name="Normal 39 8 4 5" xfId="44277"/>
    <cellStyle name="Normal 39 8 4 6" xfId="44278"/>
    <cellStyle name="Normal 39 8 5" xfId="44279"/>
    <cellStyle name="Normal 39 8 6" xfId="44280"/>
    <cellStyle name="Normal 39 8 7" xfId="44281"/>
    <cellStyle name="Normal 39 8 8" xfId="44282"/>
    <cellStyle name="Normal 39 8 9" xfId="44283"/>
    <cellStyle name="Normal 39 9" xfId="44284"/>
    <cellStyle name="Normal 39 9 2" xfId="44285"/>
    <cellStyle name="Normal 39 9 2 2" xfId="44286"/>
    <cellStyle name="Normal 39 9 2 2 2" xfId="44287"/>
    <cellStyle name="Normal 39 9 2 2 2 2" xfId="44288"/>
    <cellStyle name="Normal 39 9 2 2 2 3" xfId="44289"/>
    <cellStyle name="Normal 39 9 2 2 2 4" xfId="44290"/>
    <cellStyle name="Normal 39 9 2 2 2 5" xfId="44291"/>
    <cellStyle name="Normal 39 9 2 2 2 6" xfId="44292"/>
    <cellStyle name="Normal 39 9 2 2 3" xfId="44293"/>
    <cellStyle name="Normal 39 9 2 2 4" xfId="44294"/>
    <cellStyle name="Normal 39 9 2 2 5" xfId="44295"/>
    <cellStyle name="Normal 39 9 2 2 6" xfId="44296"/>
    <cellStyle name="Normal 39 9 2 2 7" xfId="44297"/>
    <cellStyle name="Normal 39 9 2 3" xfId="44298"/>
    <cellStyle name="Normal 39 9 2 3 2" xfId="44299"/>
    <cellStyle name="Normal 39 9 2 3 3" xfId="44300"/>
    <cellStyle name="Normal 39 9 2 3 4" xfId="44301"/>
    <cellStyle name="Normal 39 9 2 3 5" xfId="44302"/>
    <cellStyle name="Normal 39 9 2 3 6" xfId="44303"/>
    <cellStyle name="Normal 39 9 2 4" xfId="44304"/>
    <cellStyle name="Normal 39 9 2 5" xfId="44305"/>
    <cellStyle name="Normal 39 9 2 6" xfId="44306"/>
    <cellStyle name="Normal 39 9 2 7" xfId="44307"/>
    <cellStyle name="Normal 39 9 2 8" xfId="44308"/>
    <cellStyle name="Normal 39 9 3" xfId="44309"/>
    <cellStyle name="Normal 39 9 3 2" xfId="44310"/>
    <cellStyle name="Normal 39 9 3 2 2" xfId="44311"/>
    <cellStyle name="Normal 39 9 3 2 3" xfId="44312"/>
    <cellStyle name="Normal 39 9 3 2 4" xfId="44313"/>
    <cellStyle name="Normal 39 9 3 2 5" xfId="44314"/>
    <cellStyle name="Normal 39 9 3 2 6" xfId="44315"/>
    <cellStyle name="Normal 39 9 3 3" xfId="44316"/>
    <cellStyle name="Normal 39 9 3 4" xfId="44317"/>
    <cellStyle name="Normal 39 9 3 5" xfId="44318"/>
    <cellStyle name="Normal 39 9 3 6" xfId="44319"/>
    <cellStyle name="Normal 39 9 3 7" xfId="44320"/>
    <cellStyle name="Normal 39 9 4" xfId="44321"/>
    <cellStyle name="Normal 39 9 4 2" xfId="44322"/>
    <cellStyle name="Normal 39 9 4 3" xfId="44323"/>
    <cellStyle name="Normal 39 9 4 4" xfId="44324"/>
    <cellStyle name="Normal 39 9 4 5" xfId="44325"/>
    <cellStyle name="Normal 39 9 4 6" xfId="44326"/>
    <cellStyle name="Normal 39 9 5" xfId="44327"/>
    <cellStyle name="Normal 39 9 6" xfId="44328"/>
    <cellStyle name="Normal 39 9 7" xfId="44329"/>
    <cellStyle name="Normal 39 9 8" xfId="44330"/>
    <cellStyle name="Normal 39 9 9" xfId="44331"/>
    <cellStyle name="Normal 4" xfId="17"/>
    <cellStyle name="Normal 4 2" xfId="44332"/>
    <cellStyle name="Normal 4 2 2" xfId="44333"/>
    <cellStyle name="Normal 4 2 2 2" xfId="44334"/>
    <cellStyle name="Normal 4 2 2 2 2" xfId="44335"/>
    <cellStyle name="Normal 4 2 2 2 2 2" xfId="44336"/>
    <cellStyle name="Normal 4 2 2 2 2 3" xfId="44337"/>
    <cellStyle name="Normal 4 2 2 2 2 4" xfId="44338"/>
    <cellStyle name="Normal 4 2 2 2 2 5" xfId="44339"/>
    <cellStyle name="Normal 4 2 2 2 2 6" xfId="44340"/>
    <cellStyle name="Normal 4 2 2 2 3" xfId="44341"/>
    <cellStyle name="Normal 4 2 2 2 4" xfId="44342"/>
    <cellStyle name="Normal 4 2 2 2 5" xfId="44343"/>
    <cellStyle name="Normal 4 2 2 2 6" xfId="44344"/>
    <cellStyle name="Normal 4 2 2 2 7" xfId="44345"/>
    <cellStyle name="Normal 4 2 2 3" xfId="44346"/>
    <cellStyle name="Normal 4 2 2 3 2" xfId="44347"/>
    <cellStyle name="Normal 4 2 2 3 3" xfId="44348"/>
    <cellStyle name="Normal 4 2 2 3 4" xfId="44349"/>
    <cellStyle name="Normal 4 2 2 3 5" xfId="44350"/>
    <cellStyle name="Normal 4 2 2 3 6" xfId="44351"/>
    <cellStyle name="Normal 4 2 2 4" xfId="44352"/>
    <cellStyle name="Normal 4 2 2 5" xfId="44353"/>
    <cellStyle name="Normal 4 2 2 6" xfId="44354"/>
    <cellStyle name="Normal 4 2 2 7" xfId="44355"/>
    <cellStyle name="Normal 4 2 2 8" xfId="44356"/>
    <cellStyle name="Normal 4 2 3" xfId="44357"/>
    <cellStyle name="Normal 4 3" xfId="44358"/>
    <cellStyle name="Normal 4 3 2" xfId="44359"/>
    <cellStyle name="Normal 4 4" xfId="44360"/>
    <cellStyle name="Normal 40" xfId="44361"/>
    <cellStyle name="Normal 40 2" xfId="44362"/>
    <cellStyle name="Normal 41" xfId="44363"/>
    <cellStyle name="Normal 42" xfId="44364"/>
    <cellStyle name="Normal 43" xfId="44365"/>
    <cellStyle name="Normal 44" xfId="44366"/>
    <cellStyle name="Normal 45" xfId="44367"/>
    <cellStyle name="Normal 46" xfId="44368"/>
    <cellStyle name="Normal 47" xfId="44369"/>
    <cellStyle name="Normal 48" xfId="44370"/>
    <cellStyle name="Normal 49" xfId="44371"/>
    <cellStyle name="Normal 5" xfId="58"/>
    <cellStyle name="Normal 5 2" xfId="44372"/>
    <cellStyle name="Normal 5 3" xfId="44373"/>
    <cellStyle name="Normal 50" xfId="44374"/>
    <cellStyle name="Normal 51" xfId="44375"/>
    <cellStyle name="Normal 52" xfId="44376"/>
    <cellStyle name="Normal 53" xfId="44377"/>
    <cellStyle name="Normal 54" xfId="44378"/>
    <cellStyle name="Normal 55" xfId="44379"/>
    <cellStyle name="Normal 56" xfId="44380"/>
    <cellStyle name="Normal 57" xfId="44381"/>
    <cellStyle name="Normal 58" xfId="44382"/>
    <cellStyle name="Normal 59" xfId="44383"/>
    <cellStyle name="Normal 6" xfId="44384"/>
    <cellStyle name="Normal 6 2" xfId="44385"/>
    <cellStyle name="Normal 6 3" xfId="44386"/>
    <cellStyle name="Normal 60" xfId="44387"/>
    <cellStyle name="Normal 61" xfId="44388"/>
    <cellStyle name="Normal 62" xfId="44389"/>
    <cellStyle name="Normal 63" xfId="44390"/>
    <cellStyle name="Normal 64" xfId="44391"/>
    <cellStyle name="Normal 65" xfId="44392"/>
    <cellStyle name="Normal 66" xfId="44393"/>
    <cellStyle name="Normal 67" xfId="44394"/>
    <cellStyle name="Normal 68" xfId="44395"/>
    <cellStyle name="Normal 69" xfId="44396"/>
    <cellStyle name="Normal 7" xfId="44397"/>
    <cellStyle name="Normal 7 2" xfId="44398"/>
    <cellStyle name="Normal 7 3" xfId="44399"/>
    <cellStyle name="Normal 7 4" xfId="44400"/>
    <cellStyle name="Normal 70" xfId="44401"/>
    <cellStyle name="Normal 71" xfId="44402"/>
    <cellStyle name="Normal 72" xfId="44403"/>
    <cellStyle name="Normal 73" xfId="44404"/>
    <cellStyle name="Normal 74" xfId="44405"/>
    <cellStyle name="Normal 75" xfId="44406"/>
    <cellStyle name="Normal 76" xfId="44407"/>
    <cellStyle name="Normal 77" xfId="44408"/>
    <cellStyle name="Normal 78" xfId="44409"/>
    <cellStyle name="Normal 79" xfId="44410"/>
    <cellStyle name="Normal 8" xfId="44411"/>
    <cellStyle name="Normal 8 2" xfId="44412"/>
    <cellStyle name="Normal 8 3" xfId="44413"/>
    <cellStyle name="Normal 80" xfId="44414"/>
    <cellStyle name="Normal 81" xfId="44415"/>
    <cellStyle name="Normal 82" xfId="44416"/>
    <cellStyle name="Normal 83" xfId="44417"/>
    <cellStyle name="Normal 84" xfId="44418"/>
    <cellStyle name="Normal 85" xfId="44419"/>
    <cellStyle name="Normal 86" xfId="44420"/>
    <cellStyle name="Normal 87" xfId="44421"/>
    <cellStyle name="Normal 87 10" xfId="44422"/>
    <cellStyle name="Normal 87 10 2" xfId="44423"/>
    <cellStyle name="Normal 87 10 3" xfId="44424"/>
    <cellStyle name="Normal 87 10 4" xfId="44425"/>
    <cellStyle name="Normal 87 10 5" xfId="44426"/>
    <cellStyle name="Normal 87 10 6" xfId="44427"/>
    <cellStyle name="Normal 87 11" xfId="44428"/>
    <cellStyle name="Normal 87 12" xfId="44429"/>
    <cellStyle name="Normal 87 13" xfId="44430"/>
    <cellStyle name="Normal 87 14" xfId="44431"/>
    <cellStyle name="Normal 87 15" xfId="44432"/>
    <cellStyle name="Normal 87 2" xfId="44433"/>
    <cellStyle name="Normal 87 2 10" xfId="44434"/>
    <cellStyle name="Normal 87 2 11" xfId="44435"/>
    <cellStyle name="Normal 87 2 12" xfId="44436"/>
    <cellStyle name="Normal 87 2 13" xfId="44437"/>
    <cellStyle name="Normal 87 2 14" xfId="44438"/>
    <cellStyle name="Normal 87 2 2" xfId="44439"/>
    <cellStyle name="Normal 87 2 2 2" xfId="44440"/>
    <cellStyle name="Normal 87 2 2 2 2" xfId="44441"/>
    <cellStyle name="Normal 87 2 2 2 2 2" xfId="44442"/>
    <cellStyle name="Normal 87 2 2 2 2 2 2" xfId="44443"/>
    <cellStyle name="Normal 87 2 2 2 2 2 3" xfId="44444"/>
    <cellStyle name="Normal 87 2 2 2 2 2 4" xfId="44445"/>
    <cellStyle name="Normal 87 2 2 2 2 2 5" xfId="44446"/>
    <cellStyle name="Normal 87 2 2 2 2 2 6" xfId="44447"/>
    <cellStyle name="Normal 87 2 2 2 2 3" xfId="44448"/>
    <cellStyle name="Normal 87 2 2 2 2 4" xfId="44449"/>
    <cellStyle name="Normal 87 2 2 2 2 5" xfId="44450"/>
    <cellStyle name="Normal 87 2 2 2 2 6" xfId="44451"/>
    <cellStyle name="Normal 87 2 2 2 2 7" xfId="44452"/>
    <cellStyle name="Normal 87 2 2 2 3" xfId="44453"/>
    <cellStyle name="Normal 87 2 2 2 3 2" xfId="44454"/>
    <cellStyle name="Normal 87 2 2 2 3 3" xfId="44455"/>
    <cellStyle name="Normal 87 2 2 2 3 4" xfId="44456"/>
    <cellStyle name="Normal 87 2 2 2 3 5" xfId="44457"/>
    <cellStyle name="Normal 87 2 2 2 3 6" xfId="44458"/>
    <cellStyle name="Normal 87 2 2 2 4" xfId="44459"/>
    <cellStyle name="Normal 87 2 2 2 5" xfId="44460"/>
    <cellStyle name="Normal 87 2 2 2 6" xfId="44461"/>
    <cellStyle name="Normal 87 2 2 2 7" xfId="44462"/>
    <cellStyle name="Normal 87 2 2 2 8" xfId="44463"/>
    <cellStyle name="Normal 87 2 2 3" xfId="44464"/>
    <cellStyle name="Normal 87 2 2 3 2" xfId="44465"/>
    <cellStyle name="Normal 87 2 2 3 2 2" xfId="44466"/>
    <cellStyle name="Normal 87 2 2 3 2 3" xfId="44467"/>
    <cellStyle name="Normal 87 2 2 3 2 4" xfId="44468"/>
    <cellStyle name="Normal 87 2 2 3 2 5" xfId="44469"/>
    <cellStyle name="Normal 87 2 2 3 2 6" xfId="44470"/>
    <cellStyle name="Normal 87 2 2 3 3" xfId="44471"/>
    <cellStyle name="Normal 87 2 2 3 4" xfId="44472"/>
    <cellStyle name="Normal 87 2 2 3 5" xfId="44473"/>
    <cellStyle name="Normal 87 2 2 3 6" xfId="44474"/>
    <cellStyle name="Normal 87 2 2 3 7" xfId="44475"/>
    <cellStyle name="Normal 87 2 2 4" xfId="44476"/>
    <cellStyle name="Normal 87 2 2 4 2" xfId="44477"/>
    <cellStyle name="Normal 87 2 2 4 3" xfId="44478"/>
    <cellStyle name="Normal 87 2 2 4 4" xfId="44479"/>
    <cellStyle name="Normal 87 2 2 4 5" xfId="44480"/>
    <cellStyle name="Normal 87 2 2 4 6" xfId="44481"/>
    <cellStyle name="Normal 87 2 2 5" xfId="44482"/>
    <cellStyle name="Normal 87 2 2 6" xfId="44483"/>
    <cellStyle name="Normal 87 2 2 7" xfId="44484"/>
    <cellStyle name="Normal 87 2 2 8" xfId="44485"/>
    <cellStyle name="Normal 87 2 2 9" xfId="44486"/>
    <cellStyle name="Normal 87 2 3" xfId="44487"/>
    <cellStyle name="Normal 87 2 3 2" xfId="44488"/>
    <cellStyle name="Normal 87 2 3 2 2" xfId="44489"/>
    <cellStyle name="Normal 87 2 3 2 2 2" xfId="44490"/>
    <cellStyle name="Normal 87 2 3 2 2 2 2" xfId="44491"/>
    <cellStyle name="Normal 87 2 3 2 2 2 3" xfId="44492"/>
    <cellStyle name="Normal 87 2 3 2 2 2 4" xfId="44493"/>
    <cellStyle name="Normal 87 2 3 2 2 2 5" xfId="44494"/>
    <cellStyle name="Normal 87 2 3 2 2 2 6" xfId="44495"/>
    <cellStyle name="Normal 87 2 3 2 2 3" xfId="44496"/>
    <cellStyle name="Normal 87 2 3 2 2 4" xfId="44497"/>
    <cellStyle name="Normal 87 2 3 2 2 5" xfId="44498"/>
    <cellStyle name="Normal 87 2 3 2 2 6" xfId="44499"/>
    <cellStyle name="Normal 87 2 3 2 2 7" xfId="44500"/>
    <cellStyle name="Normal 87 2 3 2 3" xfId="44501"/>
    <cellStyle name="Normal 87 2 3 2 3 2" xfId="44502"/>
    <cellStyle name="Normal 87 2 3 2 3 3" xfId="44503"/>
    <cellStyle name="Normal 87 2 3 2 3 4" xfId="44504"/>
    <cellStyle name="Normal 87 2 3 2 3 5" xfId="44505"/>
    <cellStyle name="Normal 87 2 3 2 3 6" xfId="44506"/>
    <cellStyle name="Normal 87 2 3 2 4" xfId="44507"/>
    <cellStyle name="Normal 87 2 3 2 5" xfId="44508"/>
    <cellStyle name="Normal 87 2 3 2 6" xfId="44509"/>
    <cellStyle name="Normal 87 2 3 2 7" xfId="44510"/>
    <cellStyle name="Normal 87 2 3 2 8" xfId="44511"/>
    <cellStyle name="Normal 87 2 3 3" xfId="44512"/>
    <cellStyle name="Normal 87 2 3 3 2" xfId="44513"/>
    <cellStyle name="Normal 87 2 3 3 2 2" xfId="44514"/>
    <cellStyle name="Normal 87 2 3 3 2 3" xfId="44515"/>
    <cellStyle name="Normal 87 2 3 3 2 4" xfId="44516"/>
    <cellStyle name="Normal 87 2 3 3 2 5" xfId="44517"/>
    <cellStyle name="Normal 87 2 3 3 2 6" xfId="44518"/>
    <cellStyle name="Normal 87 2 3 3 3" xfId="44519"/>
    <cellStyle name="Normal 87 2 3 3 4" xfId="44520"/>
    <cellStyle name="Normal 87 2 3 3 5" xfId="44521"/>
    <cellStyle name="Normal 87 2 3 3 6" xfId="44522"/>
    <cellStyle name="Normal 87 2 3 3 7" xfId="44523"/>
    <cellStyle name="Normal 87 2 3 4" xfId="44524"/>
    <cellStyle name="Normal 87 2 3 4 2" xfId="44525"/>
    <cellStyle name="Normal 87 2 3 4 3" xfId="44526"/>
    <cellStyle name="Normal 87 2 3 4 4" xfId="44527"/>
    <cellStyle name="Normal 87 2 3 4 5" xfId="44528"/>
    <cellStyle name="Normal 87 2 3 4 6" xfId="44529"/>
    <cellStyle name="Normal 87 2 3 5" xfId="44530"/>
    <cellStyle name="Normal 87 2 3 6" xfId="44531"/>
    <cellStyle name="Normal 87 2 3 7" xfId="44532"/>
    <cellStyle name="Normal 87 2 3 8" xfId="44533"/>
    <cellStyle name="Normal 87 2 3 9" xfId="44534"/>
    <cellStyle name="Normal 87 2 4" xfId="44535"/>
    <cellStyle name="Normal 87 2 4 2" xfId="44536"/>
    <cellStyle name="Normal 87 2 4 2 2" xfId="44537"/>
    <cellStyle name="Normal 87 2 4 2 2 2" xfId="44538"/>
    <cellStyle name="Normal 87 2 4 2 2 2 2" xfId="44539"/>
    <cellStyle name="Normal 87 2 4 2 2 2 3" xfId="44540"/>
    <cellStyle name="Normal 87 2 4 2 2 2 4" xfId="44541"/>
    <cellStyle name="Normal 87 2 4 2 2 2 5" xfId="44542"/>
    <cellStyle name="Normal 87 2 4 2 2 2 6" xfId="44543"/>
    <cellStyle name="Normal 87 2 4 2 2 3" xfId="44544"/>
    <cellStyle name="Normal 87 2 4 2 2 4" xfId="44545"/>
    <cellStyle name="Normal 87 2 4 2 2 5" xfId="44546"/>
    <cellStyle name="Normal 87 2 4 2 2 6" xfId="44547"/>
    <cellStyle name="Normal 87 2 4 2 2 7" xfId="44548"/>
    <cellStyle name="Normal 87 2 4 2 3" xfId="44549"/>
    <cellStyle name="Normal 87 2 4 2 3 2" xfId="44550"/>
    <cellStyle name="Normal 87 2 4 2 3 3" xfId="44551"/>
    <cellStyle name="Normal 87 2 4 2 3 4" xfId="44552"/>
    <cellStyle name="Normal 87 2 4 2 3 5" xfId="44553"/>
    <cellStyle name="Normal 87 2 4 2 3 6" xfId="44554"/>
    <cellStyle name="Normal 87 2 4 2 4" xfId="44555"/>
    <cellStyle name="Normal 87 2 4 2 5" xfId="44556"/>
    <cellStyle name="Normal 87 2 4 2 6" xfId="44557"/>
    <cellStyle name="Normal 87 2 4 2 7" xfId="44558"/>
    <cellStyle name="Normal 87 2 4 2 8" xfId="44559"/>
    <cellStyle name="Normal 87 2 4 3" xfId="44560"/>
    <cellStyle name="Normal 87 2 4 3 2" xfId="44561"/>
    <cellStyle name="Normal 87 2 4 3 2 2" xfId="44562"/>
    <cellStyle name="Normal 87 2 4 3 2 3" xfId="44563"/>
    <cellStyle name="Normal 87 2 4 3 2 4" xfId="44564"/>
    <cellStyle name="Normal 87 2 4 3 2 5" xfId="44565"/>
    <cellStyle name="Normal 87 2 4 3 2 6" xfId="44566"/>
    <cellStyle name="Normal 87 2 4 3 3" xfId="44567"/>
    <cellStyle name="Normal 87 2 4 3 4" xfId="44568"/>
    <cellStyle name="Normal 87 2 4 3 5" xfId="44569"/>
    <cellStyle name="Normal 87 2 4 3 6" xfId="44570"/>
    <cellStyle name="Normal 87 2 4 3 7" xfId="44571"/>
    <cellStyle name="Normal 87 2 4 4" xfId="44572"/>
    <cellStyle name="Normal 87 2 4 4 2" xfId="44573"/>
    <cellStyle name="Normal 87 2 4 4 3" xfId="44574"/>
    <cellStyle name="Normal 87 2 4 4 4" xfId="44575"/>
    <cellStyle name="Normal 87 2 4 4 5" xfId="44576"/>
    <cellStyle name="Normal 87 2 4 4 6" xfId="44577"/>
    <cellStyle name="Normal 87 2 4 5" xfId="44578"/>
    <cellStyle name="Normal 87 2 4 6" xfId="44579"/>
    <cellStyle name="Normal 87 2 4 7" xfId="44580"/>
    <cellStyle name="Normal 87 2 4 8" xfId="44581"/>
    <cellStyle name="Normal 87 2 4 9" xfId="44582"/>
    <cellStyle name="Normal 87 2 5" xfId="44583"/>
    <cellStyle name="Normal 87 2 5 2" xfId="44584"/>
    <cellStyle name="Normal 87 2 5 2 2" xfId="44585"/>
    <cellStyle name="Normal 87 2 5 2 2 2" xfId="44586"/>
    <cellStyle name="Normal 87 2 5 2 2 2 2" xfId="44587"/>
    <cellStyle name="Normal 87 2 5 2 2 2 3" xfId="44588"/>
    <cellStyle name="Normal 87 2 5 2 2 2 4" xfId="44589"/>
    <cellStyle name="Normal 87 2 5 2 2 2 5" xfId="44590"/>
    <cellStyle name="Normal 87 2 5 2 2 2 6" xfId="44591"/>
    <cellStyle name="Normal 87 2 5 2 2 3" xfId="44592"/>
    <cellStyle name="Normal 87 2 5 2 2 4" xfId="44593"/>
    <cellStyle name="Normal 87 2 5 2 2 5" xfId="44594"/>
    <cellStyle name="Normal 87 2 5 2 2 6" xfId="44595"/>
    <cellStyle name="Normal 87 2 5 2 2 7" xfId="44596"/>
    <cellStyle name="Normal 87 2 5 2 3" xfId="44597"/>
    <cellStyle name="Normal 87 2 5 2 3 2" xfId="44598"/>
    <cellStyle name="Normal 87 2 5 2 3 3" xfId="44599"/>
    <cellStyle name="Normal 87 2 5 2 3 4" xfId="44600"/>
    <cellStyle name="Normal 87 2 5 2 3 5" xfId="44601"/>
    <cellStyle name="Normal 87 2 5 2 3 6" xfId="44602"/>
    <cellStyle name="Normal 87 2 5 2 4" xfId="44603"/>
    <cellStyle name="Normal 87 2 5 2 5" xfId="44604"/>
    <cellStyle name="Normal 87 2 5 2 6" xfId="44605"/>
    <cellStyle name="Normal 87 2 5 2 7" xfId="44606"/>
    <cellStyle name="Normal 87 2 5 2 8" xfId="44607"/>
    <cellStyle name="Normal 87 2 5 3" xfId="44608"/>
    <cellStyle name="Normal 87 2 5 3 2" xfId="44609"/>
    <cellStyle name="Normal 87 2 5 3 2 2" xfId="44610"/>
    <cellStyle name="Normal 87 2 5 3 2 3" xfId="44611"/>
    <cellStyle name="Normal 87 2 5 3 2 4" xfId="44612"/>
    <cellStyle name="Normal 87 2 5 3 2 5" xfId="44613"/>
    <cellStyle name="Normal 87 2 5 3 2 6" xfId="44614"/>
    <cellStyle name="Normal 87 2 5 3 3" xfId="44615"/>
    <cellStyle name="Normal 87 2 5 3 4" xfId="44616"/>
    <cellStyle name="Normal 87 2 5 3 5" xfId="44617"/>
    <cellStyle name="Normal 87 2 5 3 6" xfId="44618"/>
    <cellStyle name="Normal 87 2 5 3 7" xfId="44619"/>
    <cellStyle name="Normal 87 2 5 4" xfId="44620"/>
    <cellStyle name="Normal 87 2 5 4 2" xfId="44621"/>
    <cellStyle name="Normal 87 2 5 4 3" xfId="44622"/>
    <cellStyle name="Normal 87 2 5 4 4" xfId="44623"/>
    <cellStyle name="Normal 87 2 5 4 5" xfId="44624"/>
    <cellStyle name="Normal 87 2 5 4 6" xfId="44625"/>
    <cellStyle name="Normal 87 2 5 5" xfId="44626"/>
    <cellStyle name="Normal 87 2 5 6" xfId="44627"/>
    <cellStyle name="Normal 87 2 5 7" xfId="44628"/>
    <cellStyle name="Normal 87 2 5 8" xfId="44629"/>
    <cellStyle name="Normal 87 2 5 9" xfId="44630"/>
    <cellStyle name="Normal 87 2 6" xfId="44631"/>
    <cellStyle name="Normal 87 2 6 2" xfId="44632"/>
    <cellStyle name="Normal 87 2 6 2 2" xfId="44633"/>
    <cellStyle name="Normal 87 2 6 2 2 2" xfId="44634"/>
    <cellStyle name="Normal 87 2 6 2 2 2 2" xfId="44635"/>
    <cellStyle name="Normal 87 2 6 2 2 2 3" xfId="44636"/>
    <cellStyle name="Normal 87 2 6 2 2 2 4" xfId="44637"/>
    <cellStyle name="Normal 87 2 6 2 2 2 5" xfId="44638"/>
    <cellStyle name="Normal 87 2 6 2 2 2 6" xfId="44639"/>
    <cellStyle name="Normal 87 2 6 2 2 3" xfId="44640"/>
    <cellStyle name="Normal 87 2 6 2 2 4" xfId="44641"/>
    <cellStyle name="Normal 87 2 6 2 2 5" xfId="44642"/>
    <cellStyle name="Normal 87 2 6 2 2 6" xfId="44643"/>
    <cellStyle name="Normal 87 2 6 2 2 7" xfId="44644"/>
    <cellStyle name="Normal 87 2 6 2 3" xfId="44645"/>
    <cellStyle name="Normal 87 2 6 2 3 2" xfId="44646"/>
    <cellStyle name="Normal 87 2 6 2 3 3" xfId="44647"/>
    <cellStyle name="Normal 87 2 6 2 3 4" xfId="44648"/>
    <cellStyle name="Normal 87 2 6 2 3 5" xfId="44649"/>
    <cellStyle name="Normal 87 2 6 2 3 6" xfId="44650"/>
    <cellStyle name="Normal 87 2 6 2 4" xfId="44651"/>
    <cellStyle name="Normal 87 2 6 2 5" xfId="44652"/>
    <cellStyle name="Normal 87 2 6 2 6" xfId="44653"/>
    <cellStyle name="Normal 87 2 6 2 7" xfId="44654"/>
    <cellStyle name="Normal 87 2 6 2 8" xfId="44655"/>
    <cellStyle name="Normal 87 2 6 3" xfId="44656"/>
    <cellStyle name="Normal 87 2 6 3 2" xfId="44657"/>
    <cellStyle name="Normal 87 2 6 3 2 2" xfId="44658"/>
    <cellStyle name="Normal 87 2 6 3 2 3" xfId="44659"/>
    <cellStyle name="Normal 87 2 6 3 2 4" xfId="44660"/>
    <cellStyle name="Normal 87 2 6 3 2 5" xfId="44661"/>
    <cellStyle name="Normal 87 2 6 3 2 6" xfId="44662"/>
    <cellStyle name="Normal 87 2 6 3 3" xfId="44663"/>
    <cellStyle name="Normal 87 2 6 3 4" xfId="44664"/>
    <cellStyle name="Normal 87 2 6 3 5" xfId="44665"/>
    <cellStyle name="Normal 87 2 6 3 6" xfId="44666"/>
    <cellStyle name="Normal 87 2 6 3 7" xfId="44667"/>
    <cellStyle name="Normal 87 2 6 4" xfId="44668"/>
    <cellStyle name="Normal 87 2 6 4 2" xfId="44669"/>
    <cellStyle name="Normal 87 2 6 4 3" xfId="44670"/>
    <cellStyle name="Normal 87 2 6 4 4" xfId="44671"/>
    <cellStyle name="Normal 87 2 6 4 5" xfId="44672"/>
    <cellStyle name="Normal 87 2 6 4 6" xfId="44673"/>
    <cellStyle name="Normal 87 2 6 5" xfId="44674"/>
    <cellStyle name="Normal 87 2 6 6" xfId="44675"/>
    <cellStyle name="Normal 87 2 6 7" xfId="44676"/>
    <cellStyle name="Normal 87 2 6 8" xfId="44677"/>
    <cellStyle name="Normal 87 2 6 9" xfId="44678"/>
    <cellStyle name="Normal 87 2 7" xfId="44679"/>
    <cellStyle name="Normal 87 2 7 2" xfId="44680"/>
    <cellStyle name="Normal 87 2 7 2 2" xfId="44681"/>
    <cellStyle name="Normal 87 2 7 2 2 2" xfId="44682"/>
    <cellStyle name="Normal 87 2 7 2 2 3" xfId="44683"/>
    <cellStyle name="Normal 87 2 7 2 2 4" xfId="44684"/>
    <cellStyle name="Normal 87 2 7 2 2 5" xfId="44685"/>
    <cellStyle name="Normal 87 2 7 2 2 6" xfId="44686"/>
    <cellStyle name="Normal 87 2 7 2 3" xfId="44687"/>
    <cellStyle name="Normal 87 2 7 2 4" xfId="44688"/>
    <cellStyle name="Normal 87 2 7 2 5" xfId="44689"/>
    <cellStyle name="Normal 87 2 7 2 6" xfId="44690"/>
    <cellStyle name="Normal 87 2 7 2 7" xfId="44691"/>
    <cellStyle name="Normal 87 2 7 3" xfId="44692"/>
    <cellStyle name="Normal 87 2 7 3 2" xfId="44693"/>
    <cellStyle name="Normal 87 2 7 3 3" xfId="44694"/>
    <cellStyle name="Normal 87 2 7 3 4" xfId="44695"/>
    <cellStyle name="Normal 87 2 7 3 5" xfId="44696"/>
    <cellStyle name="Normal 87 2 7 3 6" xfId="44697"/>
    <cellStyle name="Normal 87 2 7 4" xfId="44698"/>
    <cellStyle name="Normal 87 2 7 5" xfId="44699"/>
    <cellStyle name="Normal 87 2 7 6" xfId="44700"/>
    <cellStyle name="Normal 87 2 7 7" xfId="44701"/>
    <cellStyle name="Normal 87 2 7 8" xfId="44702"/>
    <cellStyle name="Normal 87 2 8" xfId="44703"/>
    <cellStyle name="Normal 87 2 8 2" xfId="44704"/>
    <cellStyle name="Normal 87 2 8 2 2" xfId="44705"/>
    <cellStyle name="Normal 87 2 8 2 3" xfId="44706"/>
    <cellStyle name="Normal 87 2 8 2 4" xfId="44707"/>
    <cellStyle name="Normal 87 2 8 2 5" xfId="44708"/>
    <cellStyle name="Normal 87 2 8 2 6" xfId="44709"/>
    <cellStyle name="Normal 87 2 8 3" xfId="44710"/>
    <cellStyle name="Normal 87 2 8 4" xfId="44711"/>
    <cellStyle name="Normal 87 2 8 5" xfId="44712"/>
    <cellStyle name="Normal 87 2 8 6" xfId="44713"/>
    <cellStyle name="Normal 87 2 8 7" xfId="44714"/>
    <cellStyle name="Normal 87 2 9" xfId="44715"/>
    <cellStyle name="Normal 87 2 9 2" xfId="44716"/>
    <cellStyle name="Normal 87 2 9 3" xfId="44717"/>
    <cellStyle name="Normal 87 2 9 4" xfId="44718"/>
    <cellStyle name="Normal 87 2 9 5" xfId="44719"/>
    <cellStyle name="Normal 87 2 9 6" xfId="44720"/>
    <cellStyle name="Normal 87 3" xfId="44721"/>
    <cellStyle name="Normal 87 3 2" xfId="44722"/>
    <cellStyle name="Normal 87 3 2 2" xfId="44723"/>
    <cellStyle name="Normal 87 3 2 2 2" xfId="44724"/>
    <cellStyle name="Normal 87 3 2 2 2 2" xfId="44725"/>
    <cellStyle name="Normal 87 3 2 2 2 3" xfId="44726"/>
    <cellStyle name="Normal 87 3 2 2 2 4" xfId="44727"/>
    <cellStyle name="Normal 87 3 2 2 2 5" xfId="44728"/>
    <cellStyle name="Normal 87 3 2 2 2 6" xfId="44729"/>
    <cellStyle name="Normal 87 3 2 2 3" xfId="44730"/>
    <cellStyle name="Normal 87 3 2 2 4" xfId="44731"/>
    <cellStyle name="Normal 87 3 2 2 5" xfId="44732"/>
    <cellStyle name="Normal 87 3 2 2 6" xfId="44733"/>
    <cellStyle name="Normal 87 3 2 2 7" xfId="44734"/>
    <cellStyle name="Normal 87 3 2 3" xfId="44735"/>
    <cellStyle name="Normal 87 3 2 3 2" xfId="44736"/>
    <cellStyle name="Normal 87 3 2 3 3" xfId="44737"/>
    <cellStyle name="Normal 87 3 2 3 4" xfId="44738"/>
    <cellStyle name="Normal 87 3 2 3 5" xfId="44739"/>
    <cellStyle name="Normal 87 3 2 3 6" xfId="44740"/>
    <cellStyle name="Normal 87 3 2 4" xfId="44741"/>
    <cellStyle name="Normal 87 3 2 5" xfId="44742"/>
    <cellStyle name="Normal 87 3 2 6" xfId="44743"/>
    <cellStyle name="Normal 87 3 2 7" xfId="44744"/>
    <cellStyle name="Normal 87 3 2 8" xfId="44745"/>
    <cellStyle name="Normal 87 3 3" xfId="44746"/>
    <cellStyle name="Normal 87 3 3 2" xfId="44747"/>
    <cellStyle name="Normal 87 3 3 2 2" xfId="44748"/>
    <cellStyle name="Normal 87 3 3 2 3" xfId="44749"/>
    <cellStyle name="Normal 87 3 3 2 4" xfId="44750"/>
    <cellStyle name="Normal 87 3 3 2 5" xfId="44751"/>
    <cellStyle name="Normal 87 3 3 2 6" xfId="44752"/>
    <cellStyle name="Normal 87 3 3 3" xfId="44753"/>
    <cellStyle name="Normal 87 3 3 4" xfId="44754"/>
    <cellStyle name="Normal 87 3 3 5" xfId="44755"/>
    <cellStyle name="Normal 87 3 3 6" xfId="44756"/>
    <cellStyle name="Normal 87 3 3 7" xfId="44757"/>
    <cellStyle name="Normal 87 3 4" xfId="44758"/>
    <cellStyle name="Normal 87 3 4 2" xfId="44759"/>
    <cellStyle name="Normal 87 3 4 3" xfId="44760"/>
    <cellStyle name="Normal 87 3 4 4" xfId="44761"/>
    <cellStyle name="Normal 87 3 4 5" xfId="44762"/>
    <cellStyle name="Normal 87 3 4 6" xfId="44763"/>
    <cellStyle name="Normal 87 3 5" xfId="44764"/>
    <cellStyle name="Normal 87 3 6" xfId="44765"/>
    <cellStyle name="Normal 87 3 7" xfId="44766"/>
    <cellStyle name="Normal 87 3 8" xfId="44767"/>
    <cellStyle name="Normal 87 3 9" xfId="44768"/>
    <cellStyle name="Normal 87 4" xfId="44769"/>
    <cellStyle name="Normal 87 4 2" xfId="44770"/>
    <cellStyle name="Normal 87 4 2 2" xfId="44771"/>
    <cellStyle name="Normal 87 4 2 2 2" xfId="44772"/>
    <cellStyle name="Normal 87 4 2 2 2 2" xfId="44773"/>
    <cellStyle name="Normal 87 4 2 2 2 3" xfId="44774"/>
    <cellStyle name="Normal 87 4 2 2 2 4" xfId="44775"/>
    <cellStyle name="Normal 87 4 2 2 2 5" xfId="44776"/>
    <cellStyle name="Normal 87 4 2 2 2 6" xfId="44777"/>
    <cellStyle name="Normal 87 4 2 2 3" xfId="44778"/>
    <cellStyle name="Normal 87 4 2 2 4" xfId="44779"/>
    <cellStyle name="Normal 87 4 2 2 5" xfId="44780"/>
    <cellStyle name="Normal 87 4 2 2 6" xfId="44781"/>
    <cellStyle name="Normal 87 4 2 2 7" xfId="44782"/>
    <cellStyle name="Normal 87 4 2 3" xfId="44783"/>
    <cellStyle name="Normal 87 4 2 3 2" xfId="44784"/>
    <cellStyle name="Normal 87 4 2 3 3" xfId="44785"/>
    <cellStyle name="Normal 87 4 2 3 4" xfId="44786"/>
    <cellStyle name="Normal 87 4 2 3 5" xfId="44787"/>
    <cellStyle name="Normal 87 4 2 3 6" xfId="44788"/>
    <cellStyle name="Normal 87 4 2 4" xfId="44789"/>
    <cellStyle name="Normal 87 4 2 5" xfId="44790"/>
    <cellStyle name="Normal 87 4 2 6" xfId="44791"/>
    <cellStyle name="Normal 87 4 2 7" xfId="44792"/>
    <cellStyle name="Normal 87 4 2 8" xfId="44793"/>
    <cellStyle name="Normal 87 4 3" xfId="44794"/>
    <cellStyle name="Normal 87 4 3 2" xfId="44795"/>
    <cellStyle name="Normal 87 4 3 2 2" xfId="44796"/>
    <cellStyle name="Normal 87 4 3 2 3" xfId="44797"/>
    <cellStyle name="Normal 87 4 3 2 4" xfId="44798"/>
    <cellStyle name="Normal 87 4 3 2 5" xfId="44799"/>
    <cellStyle name="Normal 87 4 3 2 6" xfId="44800"/>
    <cellStyle name="Normal 87 4 3 3" xfId="44801"/>
    <cellStyle name="Normal 87 4 3 4" xfId="44802"/>
    <cellStyle name="Normal 87 4 3 5" xfId="44803"/>
    <cellStyle name="Normal 87 4 3 6" xfId="44804"/>
    <cellStyle name="Normal 87 4 3 7" xfId="44805"/>
    <cellStyle name="Normal 87 4 4" xfId="44806"/>
    <cellStyle name="Normal 87 4 4 2" xfId="44807"/>
    <cellStyle name="Normal 87 4 4 3" xfId="44808"/>
    <cellStyle name="Normal 87 4 4 4" xfId="44809"/>
    <cellStyle name="Normal 87 4 4 5" xfId="44810"/>
    <cellStyle name="Normal 87 4 4 6" xfId="44811"/>
    <cellStyle name="Normal 87 4 5" xfId="44812"/>
    <cellStyle name="Normal 87 4 6" xfId="44813"/>
    <cellStyle name="Normal 87 4 7" xfId="44814"/>
    <cellStyle name="Normal 87 4 8" xfId="44815"/>
    <cellStyle name="Normal 87 4 9" xfId="44816"/>
    <cellStyle name="Normal 87 5" xfId="44817"/>
    <cellStyle name="Normal 87 5 2" xfId="44818"/>
    <cellStyle name="Normal 87 5 2 2" xfId="44819"/>
    <cellStyle name="Normal 87 5 2 2 2" xfId="44820"/>
    <cellStyle name="Normal 87 5 2 2 2 2" xfId="44821"/>
    <cellStyle name="Normal 87 5 2 2 2 3" xfId="44822"/>
    <cellStyle name="Normal 87 5 2 2 2 4" xfId="44823"/>
    <cellStyle name="Normal 87 5 2 2 2 5" xfId="44824"/>
    <cellStyle name="Normal 87 5 2 2 2 6" xfId="44825"/>
    <cellStyle name="Normal 87 5 2 2 3" xfId="44826"/>
    <cellStyle name="Normal 87 5 2 2 4" xfId="44827"/>
    <cellStyle name="Normal 87 5 2 2 5" xfId="44828"/>
    <cellStyle name="Normal 87 5 2 2 6" xfId="44829"/>
    <cellStyle name="Normal 87 5 2 2 7" xfId="44830"/>
    <cellStyle name="Normal 87 5 2 3" xfId="44831"/>
    <cellStyle name="Normal 87 5 2 3 2" xfId="44832"/>
    <cellStyle name="Normal 87 5 2 3 3" xfId="44833"/>
    <cellStyle name="Normal 87 5 2 3 4" xfId="44834"/>
    <cellStyle name="Normal 87 5 2 3 5" xfId="44835"/>
    <cellStyle name="Normal 87 5 2 3 6" xfId="44836"/>
    <cellStyle name="Normal 87 5 2 4" xfId="44837"/>
    <cellStyle name="Normal 87 5 2 5" xfId="44838"/>
    <cellStyle name="Normal 87 5 2 6" xfId="44839"/>
    <cellStyle name="Normal 87 5 2 7" xfId="44840"/>
    <cellStyle name="Normal 87 5 2 8" xfId="44841"/>
    <cellStyle name="Normal 87 5 3" xfId="44842"/>
    <cellStyle name="Normal 87 5 3 2" xfId="44843"/>
    <cellStyle name="Normal 87 5 3 2 2" xfId="44844"/>
    <cellStyle name="Normal 87 5 3 2 3" xfId="44845"/>
    <cellStyle name="Normal 87 5 3 2 4" xfId="44846"/>
    <cellStyle name="Normal 87 5 3 2 5" xfId="44847"/>
    <cellStyle name="Normal 87 5 3 2 6" xfId="44848"/>
    <cellStyle name="Normal 87 5 3 3" xfId="44849"/>
    <cellStyle name="Normal 87 5 3 4" xfId="44850"/>
    <cellStyle name="Normal 87 5 3 5" xfId="44851"/>
    <cellStyle name="Normal 87 5 3 6" xfId="44852"/>
    <cellStyle name="Normal 87 5 3 7" xfId="44853"/>
    <cellStyle name="Normal 87 5 4" xfId="44854"/>
    <cellStyle name="Normal 87 5 4 2" xfId="44855"/>
    <cellStyle name="Normal 87 5 4 3" xfId="44856"/>
    <cellStyle name="Normal 87 5 4 4" xfId="44857"/>
    <cellStyle name="Normal 87 5 4 5" xfId="44858"/>
    <cellStyle name="Normal 87 5 4 6" xfId="44859"/>
    <cellStyle name="Normal 87 5 5" xfId="44860"/>
    <cellStyle name="Normal 87 5 6" xfId="44861"/>
    <cellStyle name="Normal 87 5 7" xfId="44862"/>
    <cellStyle name="Normal 87 5 8" xfId="44863"/>
    <cellStyle name="Normal 87 5 9" xfId="44864"/>
    <cellStyle name="Normal 87 6" xfId="44865"/>
    <cellStyle name="Normal 87 6 2" xfId="44866"/>
    <cellStyle name="Normal 87 6 2 2" xfId="44867"/>
    <cellStyle name="Normal 87 6 2 2 2" xfId="44868"/>
    <cellStyle name="Normal 87 6 2 2 2 2" xfId="44869"/>
    <cellStyle name="Normal 87 6 2 2 2 3" xfId="44870"/>
    <cellStyle name="Normal 87 6 2 2 2 4" xfId="44871"/>
    <cellStyle name="Normal 87 6 2 2 2 5" xfId="44872"/>
    <cellStyle name="Normal 87 6 2 2 2 6" xfId="44873"/>
    <cellStyle name="Normal 87 6 2 2 3" xfId="44874"/>
    <cellStyle name="Normal 87 6 2 2 4" xfId="44875"/>
    <cellStyle name="Normal 87 6 2 2 5" xfId="44876"/>
    <cellStyle name="Normal 87 6 2 2 6" xfId="44877"/>
    <cellStyle name="Normal 87 6 2 2 7" xfId="44878"/>
    <cellStyle name="Normal 87 6 2 3" xfId="44879"/>
    <cellStyle name="Normal 87 6 2 3 2" xfId="44880"/>
    <cellStyle name="Normal 87 6 2 3 3" xfId="44881"/>
    <cellStyle name="Normal 87 6 2 3 4" xfId="44882"/>
    <cellStyle name="Normal 87 6 2 3 5" xfId="44883"/>
    <cellStyle name="Normal 87 6 2 3 6" xfId="44884"/>
    <cellStyle name="Normal 87 6 2 4" xfId="44885"/>
    <cellStyle name="Normal 87 6 2 5" xfId="44886"/>
    <cellStyle name="Normal 87 6 2 6" xfId="44887"/>
    <cellStyle name="Normal 87 6 2 7" xfId="44888"/>
    <cellStyle name="Normal 87 6 2 8" xfId="44889"/>
    <cellStyle name="Normal 87 6 3" xfId="44890"/>
    <cellStyle name="Normal 87 6 3 2" xfId="44891"/>
    <cellStyle name="Normal 87 6 3 2 2" xfId="44892"/>
    <cellStyle name="Normal 87 6 3 2 3" xfId="44893"/>
    <cellStyle name="Normal 87 6 3 2 4" xfId="44894"/>
    <cellStyle name="Normal 87 6 3 2 5" xfId="44895"/>
    <cellStyle name="Normal 87 6 3 2 6" xfId="44896"/>
    <cellStyle name="Normal 87 6 3 3" xfId="44897"/>
    <cellStyle name="Normal 87 6 3 4" xfId="44898"/>
    <cellStyle name="Normal 87 6 3 5" xfId="44899"/>
    <cellStyle name="Normal 87 6 3 6" xfId="44900"/>
    <cellStyle name="Normal 87 6 3 7" xfId="44901"/>
    <cellStyle name="Normal 87 6 4" xfId="44902"/>
    <cellStyle name="Normal 87 6 4 2" xfId="44903"/>
    <cellStyle name="Normal 87 6 4 3" xfId="44904"/>
    <cellStyle name="Normal 87 6 4 4" xfId="44905"/>
    <cellStyle name="Normal 87 6 4 5" xfId="44906"/>
    <cellStyle name="Normal 87 6 4 6" xfId="44907"/>
    <cellStyle name="Normal 87 6 5" xfId="44908"/>
    <cellStyle name="Normal 87 6 6" xfId="44909"/>
    <cellStyle name="Normal 87 6 7" xfId="44910"/>
    <cellStyle name="Normal 87 6 8" xfId="44911"/>
    <cellStyle name="Normal 87 6 9" xfId="44912"/>
    <cellStyle name="Normal 87 7" xfId="44913"/>
    <cellStyle name="Normal 87 7 2" xfId="44914"/>
    <cellStyle name="Normal 87 7 2 2" xfId="44915"/>
    <cellStyle name="Normal 87 7 2 2 2" xfId="44916"/>
    <cellStyle name="Normal 87 7 2 2 2 2" xfId="44917"/>
    <cellStyle name="Normal 87 7 2 2 2 3" xfId="44918"/>
    <cellStyle name="Normal 87 7 2 2 2 4" xfId="44919"/>
    <cellStyle name="Normal 87 7 2 2 2 5" xfId="44920"/>
    <cellStyle name="Normal 87 7 2 2 2 6" xfId="44921"/>
    <cellStyle name="Normal 87 7 2 2 3" xfId="44922"/>
    <cellStyle name="Normal 87 7 2 2 4" xfId="44923"/>
    <cellStyle name="Normal 87 7 2 2 5" xfId="44924"/>
    <cellStyle name="Normal 87 7 2 2 6" xfId="44925"/>
    <cellStyle name="Normal 87 7 2 2 7" xfId="44926"/>
    <cellStyle name="Normal 87 7 2 3" xfId="44927"/>
    <cellStyle name="Normal 87 7 2 3 2" xfId="44928"/>
    <cellStyle name="Normal 87 7 2 3 3" xfId="44929"/>
    <cellStyle name="Normal 87 7 2 3 4" xfId="44930"/>
    <cellStyle name="Normal 87 7 2 3 5" xfId="44931"/>
    <cellStyle name="Normal 87 7 2 3 6" xfId="44932"/>
    <cellStyle name="Normal 87 7 2 4" xfId="44933"/>
    <cellStyle name="Normal 87 7 2 5" xfId="44934"/>
    <cellStyle name="Normal 87 7 2 6" xfId="44935"/>
    <cellStyle name="Normal 87 7 2 7" xfId="44936"/>
    <cellStyle name="Normal 87 7 2 8" xfId="44937"/>
    <cellStyle name="Normal 87 7 3" xfId="44938"/>
    <cellStyle name="Normal 87 7 3 2" xfId="44939"/>
    <cellStyle name="Normal 87 7 3 2 2" xfId="44940"/>
    <cellStyle name="Normal 87 7 3 2 3" xfId="44941"/>
    <cellStyle name="Normal 87 7 3 2 4" xfId="44942"/>
    <cellStyle name="Normal 87 7 3 2 5" xfId="44943"/>
    <cellStyle name="Normal 87 7 3 2 6" xfId="44944"/>
    <cellStyle name="Normal 87 7 3 3" xfId="44945"/>
    <cellStyle name="Normal 87 7 3 4" xfId="44946"/>
    <cellStyle name="Normal 87 7 3 5" xfId="44947"/>
    <cellStyle name="Normal 87 7 3 6" xfId="44948"/>
    <cellStyle name="Normal 87 7 3 7" xfId="44949"/>
    <cellStyle name="Normal 87 7 4" xfId="44950"/>
    <cellStyle name="Normal 87 7 4 2" xfId="44951"/>
    <cellStyle name="Normal 87 7 4 3" xfId="44952"/>
    <cellStyle name="Normal 87 7 4 4" xfId="44953"/>
    <cellStyle name="Normal 87 7 4 5" xfId="44954"/>
    <cellStyle name="Normal 87 7 4 6" xfId="44955"/>
    <cellStyle name="Normal 87 7 5" xfId="44956"/>
    <cellStyle name="Normal 87 7 6" xfId="44957"/>
    <cellStyle name="Normal 87 7 7" xfId="44958"/>
    <cellStyle name="Normal 87 7 8" xfId="44959"/>
    <cellStyle name="Normal 87 7 9" xfId="44960"/>
    <cellStyle name="Normal 87 8" xfId="44961"/>
    <cellStyle name="Normal 87 8 2" xfId="44962"/>
    <cellStyle name="Normal 87 8 2 2" xfId="44963"/>
    <cellStyle name="Normal 87 8 2 2 2" xfId="44964"/>
    <cellStyle name="Normal 87 8 2 2 3" xfId="44965"/>
    <cellStyle name="Normal 87 8 2 2 4" xfId="44966"/>
    <cellStyle name="Normal 87 8 2 2 5" xfId="44967"/>
    <cellStyle name="Normal 87 8 2 2 6" xfId="44968"/>
    <cellStyle name="Normal 87 8 2 3" xfId="44969"/>
    <cellStyle name="Normal 87 8 2 4" xfId="44970"/>
    <cellStyle name="Normal 87 8 2 5" xfId="44971"/>
    <cellStyle name="Normal 87 8 2 6" xfId="44972"/>
    <cellStyle name="Normal 87 8 2 7" xfId="44973"/>
    <cellStyle name="Normal 87 8 3" xfId="44974"/>
    <cellStyle name="Normal 87 8 3 2" xfId="44975"/>
    <cellStyle name="Normal 87 8 3 3" xfId="44976"/>
    <cellStyle name="Normal 87 8 3 4" xfId="44977"/>
    <cellStyle name="Normal 87 8 3 5" xfId="44978"/>
    <cellStyle name="Normal 87 8 3 6" xfId="44979"/>
    <cellStyle name="Normal 87 8 4" xfId="44980"/>
    <cellStyle name="Normal 87 8 5" xfId="44981"/>
    <cellStyle name="Normal 87 8 6" xfId="44982"/>
    <cellStyle name="Normal 87 8 7" xfId="44983"/>
    <cellStyle name="Normal 87 8 8" xfId="44984"/>
    <cellStyle name="Normal 87 9" xfId="44985"/>
    <cellStyle name="Normal 87 9 2" xfId="44986"/>
    <cellStyle name="Normal 87 9 2 2" xfId="44987"/>
    <cellStyle name="Normal 87 9 2 3" xfId="44988"/>
    <cellStyle name="Normal 87 9 2 4" xfId="44989"/>
    <cellStyle name="Normal 87 9 2 5" xfId="44990"/>
    <cellStyle name="Normal 87 9 2 6" xfId="44991"/>
    <cellStyle name="Normal 87 9 3" xfId="44992"/>
    <cellStyle name="Normal 87 9 4" xfId="44993"/>
    <cellStyle name="Normal 87 9 5" xfId="44994"/>
    <cellStyle name="Normal 87 9 6" xfId="44995"/>
    <cellStyle name="Normal 87 9 7" xfId="44996"/>
    <cellStyle name="Normal 88" xfId="44997"/>
    <cellStyle name="Normal 89" xfId="44998"/>
    <cellStyle name="Normal 9" xfId="44999"/>
    <cellStyle name="Normal 9 2" xfId="45000"/>
    <cellStyle name="Normal 9 3" xfId="45001"/>
    <cellStyle name="Normal 90" xfId="45002"/>
    <cellStyle name="Normal 91" xfId="45003"/>
    <cellStyle name="Normal 92" xfId="45004"/>
    <cellStyle name="Normal 93" xfId="45005"/>
    <cellStyle name="Normal 94" xfId="45006"/>
    <cellStyle name="Normal 95" xfId="45007"/>
    <cellStyle name="Normal 96" xfId="45008"/>
    <cellStyle name="Normal 96 10" xfId="45009"/>
    <cellStyle name="Normal 96 11" xfId="45010"/>
    <cellStyle name="Normal 96 12" xfId="45011"/>
    <cellStyle name="Normal 96 13" xfId="45012"/>
    <cellStyle name="Normal 96 14" xfId="45013"/>
    <cellStyle name="Normal 96 2" xfId="45014"/>
    <cellStyle name="Normal 96 2 2" xfId="45015"/>
    <cellStyle name="Normal 96 2 2 2" xfId="45016"/>
    <cellStyle name="Normal 96 2 2 2 2" xfId="45017"/>
    <cellStyle name="Normal 96 2 2 2 2 2" xfId="45018"/>
    <cellStyle name="Normal 96 2 2 2 2 3" xfId="45019"/>
    <cellStyle name="Normal 96 2 2 2 2 4" xfId="45020"/>
    <cellStyle name="Normal 96 2 2 2 2 5" xfId="45021"/>
    <cellStyle name="Normal 96 2 2 2 2 6" xfId="45022"/>
    <cellStyle name="Normal 96 2 2 2 3" xfId="45023"/>
    <cellStyle name="Normal 96 2 2 2 4" xfId="45024"/>
    <cellStyle name="Normal 96 2 2 2 5" xfId="45025"/>
    <cellStyle name="Normal 96 2 2 2 6" xfId="45026"/>
    <cellStyle name="Normal 96 2 2 2 7" xfId="45027"/>
    <cellStyle name="Normal 96 2 2 3" xfId="45028"/>
    <cellStyle name="Normal 96 2 2 3 2" xfId="45029"/>
    <cellStyle name="Normal 96 2 2 3 3" xfId="45030"/>
    <cellStyle name="Normal 96 2 2 3 4" xfId="45031"/>
    <cellStyle name="Normal 96 2 2 3 5" xfId="45032"/>
    <cellStyle name="Normal 96 2 2 3 6" xfId="45033"/>
    <cellStyle name="Normal 96 2 2 4" xfId="45034"/>
    <cellStyle name="Normal 96 2 2 5" xfId="45035"/>
    <cellStyle name="Normal 96 2 2 6" xfId="45036"/>
    <cellStyle name="Normal 96 2 2 7" xfId="45037"/>
    <cellStyle name="Normal 96 2 2 8" xfId="45038"/>
    <cellStyle name="Normal 96 2 3" xfId="45039"/>
    <cellStyle name="Normal 96 2 3 2" xfId="45040"/>
    <cellStyle name="Normal 96 2 3 2 2" xfId="45041"/>
    <cellStyle name="Normal 96 2 3 2 3" xfId="45042"/>
    <cellStyle name="Normal 96 2 3 2 4" xfId="45043"/>
    <cellStyle name="Normal 96 2 3 2 5" xfId="45044"/>
    <cellStyle name="Normal 96 2 3 2 6" xfId="45045"/>
    <cellStyle name="Normal 96 2 3 3" xfId="45046"/>
    <cellStyle name="Normal 96 2 3 4" xfId="45047"/>
    <cellStyle name="Normal 96 2 3 5" xfId="45048"/>
    <cellStyle name="Normal 96 2 3 6" xfId="45049"/>
    <cellStyle name="Normal 96 2 3 7" xfId="45050"/>
    <cellStyle name="Normal 96 2 4" xfId="45051"/>
    <cellStyle name="Normal 96 2 4 2" xfId="45052"/>
    <cellStyle name="Normal 96 2 4 3" xfId="45053"/>
    <cellStyle name="Normal 96 2 4 4" xfId="45054"/>
    <cellStyle name="Normal 96 2 4 5" xfId="45055"/>
    <cellStyle name="Normal 96 2 4 6" xfId="45056"/>
    <cellStyle name="Normal 96 2 5" xfId="45057"/>
    <cellStyle name="Normal 96 2 6" xfId="45058"/>
    <cellStyle name="Normal 96 2 7" xfId="45059"/>
    <cellStyle name="Normal 96 2 8" xfId="45060"/>
    <cellStyle name="Normal 96 2 9" xfId="45061"/>
    <cellStyle name="Normal 96 3" xfId="45062"/>
    <cellStyle name="Normal 96 3 2" xfId="45063"/>
    <cellStyle name="Normal 96 3 2 2" xfId="45064"/>
    <cellStyle name="Normal 96 3 2 2 2" xfId="45065"/>
    <cellStyle name="Normal 96 3 2 2 2 2" xfId="45066"/>
    <cellStyle name="Normal 96 3 2 2 2 3" xfId="45067"/>
    <cellStyle name="Normal 96 3 2 2 2 4" xfId="45068"/>
    <cellStyle name="Normal 96 3 2 2 2 5" xfId="45069"/>
    <cellStyle name="Normal 96 3 2 2 2 6" xfId="45070"/>
    <cellStyle name="Normal 96 3 2 2 3" xfId="45071"/>
    <cellStyle name="Normal 96 3 2 2 4" xfId="45072"/>
    <cellStyle name="Normal 96 3 2 2 5" xfId="45073"/>
    <cellStyle name="Normal 96 3 2 2 6" xfId="45074"/>
    <cellStyle name="Normal 96 3 2 2 7" xfId="45075"/>
    <cellStyle name="Normal 96 3 2 3" xfId="45076"/>
    <cellStyle name="Normal 96 3 2 3 2" xfId="45077"/>
    <cellStyle name="Normal 96 3 2 3 3" xfId="45078"/>
    <cellStyle name="Normal 96 3 2 3 4" xfId="45079"/>
    <cellStyle name="Normal 96 3 2 3 5" xfId="45080"/>
    <cellStyle name="Normal 96 3 2 3 6" xfId="45081"/>
    <cellStyle name="Normal 96 3 2 4" xfId="45082"/>
    <cellStyle name="Normal 96 3 2 5" xfId="45083"/>
    <cellStyle name="Normal 96 3 2 6" xfId="45084"/>
    <cellStyle name="Normal 96 3 2 7" xfId="45085"/>
    <cellStyle name="Normal 96 3 2 8" xfId="45086"/>
    <cellStyle name="Normal 96 3 3" xfId="45087"/>
    <cellStyle name="Normal 96 3 3 2" xfId="45088"/>
    <cellStyle name="Normal 96 3 3 2 2" xfId="45089"/>
    <cellStyle name="Normal 96 3 3 2 3" xfId="45090"/>
    <cellStyle name="Normal 96 3 3 2 4" xfId="45091"/>
    <cellStyle name="Normal 96 3 3 2 5" xfId="45092"/>
    <cellStyle name="Normal 96 3 3 2 6" xfId="45093"/>
    <cellStyle name="Normal 96 3 3 3" xfId="45094"/>
    <cellStyle name="Normal 96 3 3 4" xfId="45095"/>
    <cellStyle name="Normal 96 3 3 5" xfId="45096"/>
    <cellStyle name="Normal 96 3 3 6" xfId="45097"/>
    <cellStyle name="Normal 96 3 3 7" xfId="45098"/>
    <cellStyle name="Normal 96 3 4" xfId="45099"/>
    <cellStyle name="Normal 96 3 4 2" xfId="45100"/>
    <cellStyle name="Normal 96 3 4 3" xfId="45101"/>
    <cellStyle name="Normal 96 3 4 4" xfId="45102"/>
    <cellStyle name="Normal 96 3 4 5" xfId="45103"/>
    <cellStyle name="Normal 96 3 4 6" xfId="45104"/>
    <cellStyle name="Normal 96 3 5" xfId="45105"/>
    <cellStyle name="Normal 96 3 6" xfId="45106"/>
    <cellStyle name="Normal 96 3 7" xfId="45107"/>
    <cellStyle name="Normal 96 3 8" xfId="45108"/>
    <cellStyle name="Normal 96 3 9" xfId="45109"/>
    <cellStyle name="Normal 96 4" xfId="45110"/>
    <cellStyle name="Normal 96 4 2" xfId="45111"/>
    <cellStyle name="Normal 96 4 2 2" xfId="45112"/>
    <cellStyle name="Normal 96 4 2 2 2" xfId="45113"/>
    <cellStyle name="Normal 96 4 2 2 2 2" xfId="45114"/>
    <cellStyle name="Normal 96 4 2 2 2 3" xfId="45115"/>
    <cellStyle name="Normal 96 4 2 2 2 4" xfId="45116"/>
    <cellStyle name="Normal 96 4 2 2 2 5" xfId="45117"/>
    <cellStyle name="Normal 96 4 2 2 2 6" xfId="45118"/>
    <cellStyle name="Normal 96 4 2 2 3" xfId="45119"/>
    <cellStyle name="Normal 96 4 2 2 4" xfId="45120"/>
    <cellStyle name="Normal 96 4 2 2 5" xfId="45121"/>
    <cellStyle name="Normal 96 4 2 2 6" xfId="45122"/>
    <cellStyle name="Normal 96 4 2 2 7" xfId="45123"/>
    <cellStyle name="Normal 96 4 2 3" xfId="45124"/>
    <cellStyle name="Normal 96 4 2 3 2" xfId="45125"/>
    <cellStyle name="Normal 96 4 2 3 3" xfId="45126"/>
    <cellStyle name="Normal 96 4 2 3 4" xfId="45127"/>
    <cellStyle name="Normal 96 4 2 3 5" xfId="45128"/>
    <cellStyle name="Normal 96 4 2 3 6" xfId="45129"/>
    <cellStyle name="Normal 96 4 2 4" xfId="45130"/>
    <cellStyle name="Normal 96 4 2 5" xfId="45131"/>
    <cellStyle name="Normal 96 4 2 6" xfId="45132"/>
    <cellStyle name="Normal 96 4 2 7" xfId="45133"/>
    <cellStyle name="Normal 96 4 2 8" xfId="45134"/>
    <cellStyle name="Normal 96 4 3" xfId="45135"/>
    <cellStyle name="Normal 96 4 3 2" xfId="45136"/>
    <cellStyle name="Normal 96 4 3 2 2" xfId="45137"/>
    <cellStyle name="Normal 96 4 3 2 3" xfId="45138"/>
    <cellStyle name="Normal 96 4 3 2 4" xfId="45139"/>
    <cellStyle name="Normal 96 4 3 2 5" xfId="45140"/>
    <cellStyle name="Normal 96 4 3 2 6" xfId="45141"/>
    <cellStyle name="Normal 96 4 3 3" xfId="45142"/>
    <cellStyle name="Normal 96 4 3 4" xfId="45143"/>
    <cellStyle name="Normal 96 4 3 5" xfId="45144"/>
    <cellStyle name="Normal 96 4 3 6" xfId="45145"/>
    <cellStyle name="Normal 96 4 3 7" xfId="45146"/>
    <cellStyle name="Normal 96 4 4" xfId="45147"/>
    <cellStyle name="Normal 96 4 4 2" xfId="45148"/>
    <cellStyle name="Normal 96 4 4 3" xfId="45149"/>
    <cellStyle name="Normal 96 4 4 4" xfId="45150"/>
    <cellStyle name="Normal 96 4 4 5" xfId="45151"/>
    <cellStyle name="Normal 96 4 4 6" xfId="45152"/>
    <cellStyle name="Normal 96 4 5" xfId="45153"/>
    <cellStyle name="Normal 96 4 6" xfId="45154"/>
    <cellStyle name="Normal 96 4 7" xfId="45155"/>
    <cellStyle name="Normal 96 4 8" xfId="45156"/>
    <cellStyle name="Normal 96 4 9" xfId="45157"/>
    <cellStyle name="Normal 96 5" xfId="45158"/>
    <cellStyle name="Normal 96 5 2" xfId="45159"/>
    <cellStyle name="Normal 96 5 2 2" xfId="45160"/>
    <cellStyle name="Normal 96 5 2 2 2" xfId="45161"/>
    <cellStyle name="Normal 96 5 2 2 2 2" xfId="45162"/>
    <cellStyle name="Normal 96 5 2 2 2 3" xfId="45163"/>
    <cellStyle name="Normal 96 5 2 2 2 4" xfId="45164"/>
    <cellStyle name="Normal 96 5 2 2 2 5" xfId="45165"/>
    <cellStyle name="Normal 96 5 2 2 2 6" xfId="45166"/>
    <cellStyle name="Normal 96 5 2 2 3" xfId="45167"/>
    <cellStyle name="Normal 96 5 2 2 4" xfId="45168"/>
    <cellStyle name="Normal 96 5 2 2 5" xfId="45169"/>
    <cellStyle name="Normal 96 5 2 2 6" xfId="45170"/>
    <cellStyle name="Normal 96 5 2 2 7" xfId="45171"/>
    <cellStyle name="Normal 96 5 2 3" xfId="45172"/>
    <cellStyle name="Normal 96 5 2 3 2" xfId="45173"/>
    <cellStyle name="Normal 96 5 2 3 3" xfId="45174"/>
    <cellStyle name="Normal 96 5 2 3 4" xfId="45175"/>
    <cellStyle name="Normal 96 5 2 3 5" xfId="45176"/>
    <cellStyle name="Normal 96 5 2 3 6" xfId="45177"/>
    <cellStyle name="Normal 96 5 2 4" xfId="45178"/>
    <cellStyle name="Normal 96 5 2 5" xfId="45179"/>
    <cellStyle name="Normal 96 5 2 6" xfId="45180"/>
    <cellStyle name="Normal 96 5 2 7" xfId="45181"/>
    <cellStyle name="Normal 96 5 2 8" xfId="45182"/>
    <cellStyle name="Normal 96 5 3" xfId="45183"/>
    <cellStyle name="Normal 96 5 3 2" xfId="45184"/>
    <cellStyle name="Normal 96 5 3 2 2" xfId="45185"/>
    <cellStyle name="Normal 96 5 3 2 3" xfId="45186"/>
    <cellStyle name="Normal 96 5 3 2 4" xfId="45187"/>
    <cellStyle name="Normal 96 5 3 2 5" xfId="45188"/>
    <cellStyle name="Normal 96 5 3 2 6" xfId="45189"/>
    <cellStyle name="Normal 96 5 3 3" xfId="45190"/>
    <cellStyle name="Normal 96 5 3 4" xfId="45191"/>
    <cellStyle name="Normal 96 5 3 5" xfId="45192"/>
    <cellStyle name="Normal 96 5 3 6" xfId="45193"/>
    <cellStyle name="Normal 96 5 3 7" xfId="45194"/>
    <cellStyle name="Normal 96 5 4" xfId="45195"/>
    <cellStyle name="Normal 96 5 4 2" xfId="45196"/>
    <cellStyle name="Normal 96 5 4 3" xfId="45197"/>
    <cellStyle name="Normal 96 5 4 4" xfId="45198"/>
    <cellStyle name="Normal 96 5 4 5" xfId="45199"/>
    <cellStyle name="Normal 96 5 4 6" xfId="45200"/>
    <cellStyle name="Normal 96 5 5" xfId="45201"/>
    <cellStyle name="Normal 96 5 6" xfId="45202"/>
    <cellStyle name="Normal 96 5 7" xfId="45203"/>
    <cellStyle name="Normal 96 5 8" xfId="45204"/>
    <cellStyle name="Normal 96 5 9" xfId="45205"/>
    <cellStyle name="Normal 96 6" xfId="45206"/>
    <cellStyle name="Normal 96 6 2" xfId="45207"/>
    <cellStyle name="Normal 96 6 2 2" xfId="45208"/>
    <cellStyle name="Normal 96 6 2 2 2" xfId="45209"/>
    <cellStyle name="Normal 96 6 2 2 2 2" xfId="45210"/>
    <cellStyle name="Normal 96 6 2 2 2 3" xfId="45211"/>
    <cellStyle name="Normal 96 6 2 2 2 4" xfId="45212"/>
    <cellStyle name="Normal 96 6 2 2 2 5" xfId="45213"/>
    <cellStyle name="Normal 96 6 2 2 2 6" xfId="45214"/>
    <cellStyle name="Normal 96 6 2 2 3" xfId="45215"/>
    <cellStyle name="Normal 96 6 2 2 4" xfId="45216"/>
    <cellStyle name="Normal 96 6 2 2 5" xfId="45217"/>
    <cellStyle name="Normal 96 6 2 2 6" xfId="45218"/>
    <cellStyle name="Normal 96 6 2 2 7" xfId="45219"/>
    <cellStyle name="Normal 96 6 2 3" xfId="45220"/>
    <cellStyle name="Normal 96 6 2 3 2" xfId="45221"/>
    <cellStyle name="Normal 96 6 2 3 3" xfId="45222"/>
    <cellStyle name="Normal 96 6 2 3 4" xfId="45223"/>
    <cellStyle name="Normal 96 6 2 3 5" xfId="45224"/>
    <cellStyle name="Normal 96 6 2 3 6" xfId="45225"/>
    <cellStyle name="Normal 96 6 2 4" xfId="45226"/>
    <cellStyle name="Normal 96 6 2 5" xfId="45227"/>
    <cellStyle name="Normal 96 6 2 6" xfId="45228"/>
    <cellStyle name="Normal 96 6 2 7" xfId="45229"/>
    <cellStyle name="Normal 96 6 2 8" xfId="45230"/>
    <cellStyle name="Normal 96 6 3" xfId="45231"/>
    <cellStyle name="Normal 96 6 3 2" xfId="45232"/>
    <cellStyle name="Normal 96 6 3 2 2" xfId="45233"/>
    <cellStyle name="Normal 96 6 3 2 3" xfId="45234"/>
    <cellStyle name="Normal 96 6 3 2 4" xfId="45235"/>
    <cellStyle name="Normal 96 6 3 2 5" xfId="45236"/>
    <cellStyle name="Normal 96 6 3 2 6" xfId="45237"/>
    <cellStyle name="Normal 96 6 3 3" xfId="45238"/>
    <cellStyle name="Normal 96 6 3 4" xfId="45239"/>
    <cellStyle name="Normal 96 6 3 5" xfId="45240"/>
    <cellStyle name="Normal 96 6 3 6" xfId="45241"/>
    <cellStyle name="Normal 96 6 3 7" xfId="45242"/>
    <cellStyle name="Normal 96 6 4" xfId="45243"/>
    <cellStyle name="Normal 96 6 4 2" xfId="45244"/>
    <cellStyle name="Normal 96 6 4 3" xfId="45245"/>
    <cellStyle name="Normal 96 6 4 4" xfId="45246"/>
    <cellStyle name="Normal 96 6 4 5" xfId="45247"/>
    <cellStyle name="Normal 96 6 4 6" xfId="45248"/>
    <cellStyle name="Normal 96 6 5" xfId="45249"/>
    <cellStyle name="Normal 96 6 6" xfId="45250"/>
    <cellStyle name="Normal 96 6 7" xfId="45251"/>
    <cellStyle name="Normal 96 6 8" xfId="45252"/>
    <cellStyle name="Normal 96 6 9" xfId="45253"/>
    <cellStyle name="Normal 96 7" xfId="45254"/>
    <cellStyle name="Normal 96 7 2" xfId="45255"/>
    <cellStyle name="Normal 96 7 2 2" xfId="45256"/>
    <cellStyle name="Normal 96 7 2 2 2" xfId="45257"/>
    <cellStyle name="Normal 96 7 2 2 3" xfId="45258"/>
    <cellStyle name="Normal 96 7 2 2 4" xfId="45259"/>
    <cellStyle name="Normal 96 7 2 2 5" xfId="45260"/>
    <cellStyle name="Normal 96 7 2 2 6" xfId="45261"/>
    <cellStyle name="Normal 96 7 2 3" xfId="45262"/>
    <cellStyle name="Normal 96 7 2 4" xfId="45263"/>
    <cellStyle name="Normal 96 7 2 5" xfId="45264"/>
    <cellStyle name="Normal 96 7 2 6" xfId="45265"/>
    <cellStyle name="Normal 96 7 2 7" xfId="45266"/>
    <cellStyle name="Normal 96 7 3" xfId="45267"/>
    <cellStyle name="Normal 96 7 3 2" xfId="45268"/>
    <cellStyle name="Normal 96 7 3 3" xfId="45269"/>
    <cellStyle name="Normal 96 7 3 4" xfId="45270"/>
    <cellStyle name="Normal 96 7 3 5" xfId="45271"/>
    <cellStyle name="Normal 96 7 3 6" xfId="45272"/>
    <cellStyle name="Normal 96 7 4" xfId="45273"/>
    <cellStyle name="Normal 96 7 5" xfId="45274"/>
    <cellStyle name="Normal 96 7 6" xfId="45275"/>
    <cellStyle name="Normal 96 7 7" xfId="45276"/>
    <cellStyle name="Normal 96 7 8" xfId="45277"/>
    <cellStyle name="Normal 96 8" xfId="45278"/>
    <cellStyle name="Normal 96 8 2" xfId="45279"/>
    <cellStyle name="Normal 96 8 2 2" xfId="45280"/>
    <cellStyle name="Normal 96 8 2 3" xfId="45281"/>
    <cellStyle name="Normal 96 8 2 4" xfId="45282"/>
    <cellStyle name="Normal 96 8 2 5" xfId="45283"/>
    <cellStyle name="Normal 96 8 2 6" xfId="45284"/>
    <cellStyle name="Normal 96 8 3" xfId="45285"/>
    <cellStyle name="Normal 96 8 4" xfId="45286"/>
    <cellStyle name="Normal 96 8 5" xfId="45287"/>
    <cellStyle name="Normal 96 8 6" xfId="45288"/>
    <cellStyle name="Normal 96 8 7" xfId="45289"/>
    <cellStyle name="Normal 96 9" xfId="45290"/>
    <cellStyle name="Normal 96 9 2" xfId="45291"/>
    <cellStyle name="Normal 96 9 3" xfId="45292"/>
    <cellStyle name="Normal 96 9 4" xfId="45293"/>
    <cellStyle name="Normal 96 9 5" xfId="45294"/>
    <cellStyle name="Normal 96 9 6" xfId="45295"/>
    <cellStyle name="Normal 97" xfId="45296"/>
    <cellStyle name="Normal 97 10" xfId="45297"/>
    <cellStyle name="Normal 97 11" xfId="45298"/>
    <cellStyle name="Normal 97 12" xfId="45299"/>
    <cellStyle name="Normal 97 13" xfId="45300"/>
    <cellStyle name="Normal 97 14" xfId="45301"/>
    <cellStyle name="Normal 97 2" xfId="45302"/>
    <cellStyle name="Normal 97 2 2" xfId="45303"/>
    <cellStyle name="Normal 97 2 2 2" xfId="45304"/>
    <cellStyle name="Normal 97 2 2 2 2" xfId="45305"/>
    <cellStyle name="Normal 97 2 2 2 2 2" xfId="45306"/>
    <cellStyle name="Normal 97 2 2 2 2 3" xfId="45307"/>
    <cellStyle name="Normal 97 2 2 2 2 4" xfId="45308"/>
    <cellStyle name="Normal 97 2 2 2 2 5" xfId="45309"/>
    <cellStyle name="Normal 97 2 2 2 2 6" xfId="45310"/>
    <cellStyle name="Normal 97 2 2 2 3" xfId="45311"/>
    <cellStyle name="Normal 97 2 2 2 4" xfId="45312"/>
    <cellStyle name="Normal 97 2 2 2 5" xfId="45313"/>
    <cellStyle name="Normal 97 2 2 2 6" xfId="45314"/>
    <cellStyle name="Normal 97 2 2 2 7" xfId="45315"/>
    <cellStyle name="Normal 97 2 2 3" xfId="45316"/>
    <cellStyle name="Normal 97 2 2 3 2" xfId="45317"/>
    <cellStyle name="Normal 97 2 2 3 3" xfId="45318"/>
    <cellStyle name="Normal 97 2 2 3 4" xfId="45319"/>
    <cellStyle name="Normal 97 2 2 3 5" xfId="45320"/>
    <cellStyle name="Normal 97 2 2 3 6" xfId="45321"/>
    <cellStyle name="Normal 97 2 2 4" xfId="45322"/>
    <cellStyle name="Normal 97 2 2 5" xfId="45323"/>
    <cellStyle name="Normal 97 2 2 6" xfId="45324"/>
    <cellStyle name="Normal 97 2 2 7" xfId="45325"/>
    <cellStyle name="Normal 97 2 2 8" xfId="45326"/>
    <cellStyle name="Normal 97 2 3" xfId="45327"/>
    <cellStyle name="Normal 97 2 3 2" xfId="45328"/>
    <cellStyle name="Normal 97 2 3 2 2" xfId="45329"/>
    <cellStyle name="Normal 97 2 3 2 3" xfId="45330"/>
    <cellStyle name="Normal 97 2 3 2 4" xfId="45331"/>
    <cellStyle name="Normal 97 2 3 2 5" xfId="45332"/>
    <cellStyle name="Normal 97 2 3 2 6" xfId="45333"/>
    <cellStyle name="Normal 97 2 3 3" xfId="45334"/>
    <cellStyle name="Normal 97 2 3 4" xfId="45335"/>
    <cellStyle name="Normal 97 2 3 5" xfId="45336"/>
    <cellStyle name="Normal 97 2 3 6" xfId="45337"/>
    <cellStyle name="Normal 97 2 3 7" xfId="45338"/>
    <cellStyle name="Normal 97 2 4" xfId="45339"/>
    <cellStyle name="Normal 97 2 4 2" xfId="45340"/>
    <cellStyle name="Normal 97 2 4 3" xfId="45341"/>
    <cellStyle name="Normal 97 2 4 4" xfId="45342"/>
    <cellStyle name="Normal 97 2 4 5" xfId="45343"/>
    <cellStyle name="Normal 97 2 4 6" xfId="45344"/>
    <cellStyle name="Normal 97 2 5" xfId="45345"/>
    <cellStyle name="Normal 97 2 6" xfId="45346"/>
    <cellStyle name="Normal 97 2 7" xfId="45347"/>
    <cellStyle name="Normal 97 2 8" xfId="45348"/>
    <cellStyle name="Normal 97 2 9" xfId="45349"/>
    <cellStyle name="Normal 97 3" xfId="45350"/>
    <cellStyle name="Normal 97 3 2" xfId="45351"/>
    <cellStyle name="Normal 97 3 2 2" xfId="45352"/>
    <cellStyle name="Normal 97 3 2 2 2" xfId="45353"/>
    <cellStyle name="Normal 97 3 2 2 2 2" xfId="45354"/>
    <cellStyle name="Normal 97 3 2 2 2 3" xfId="45355"/>
    <cellStyle name="Normal 97 3 2 2 2 4" xfId="45356"/>
    <cellStyle name="Normal 97 3 2 2 2 5" xfId="45357"/>
    <cellStyle name="Normal 97 3 2 2 2 6" xfId="45358"/>
    <cellStyle name="Normal 97 3 2 2 3" xfId="45359"/>
    <cellStyle name="Normal 97 3 2 2 4" xfId="45360"/>
    <cellStyle name="Normal 97 3 2 2 5" xfId="45361"/>
    <cellStyle name="Normal 97 3 2 2 6" xfId="45362"/>
    <cellStyle name="Normal 97 3 2 2 7" xfId="45363"/>
    <cellStyle name="Normal 97 3 2 3" xfId="45364"/>
    <cellStyle name="Normal 97 3 2 3 2" xfId="45365"/>
    <cellStyle name="Normal 97 3 2 3 3" xfId="45366"/>
    <cellStyle name="Normal 97 3 2 3 4" xfId="45367"/>
    <cellStyle name="Normal 97 3 2 3 5" xfId="45368"/>
    <cellStyle name="Normal 97 3 2 3 6" xfId="45369"/>
    <cellStyle name="Normal 97 3 2 4" xfId="45370"/>
    <cellStyle name="Normal 97 3 2 5" xfId="45371"/>
    <cellStyle name="Normal 97 3 2 6" xfId="45372"/>
    <cellStyle name="Normal 97 3 2 7" xfId="45373"/>
    <cellStyle name="Normal 97 3 2 8" xfId="45374"/>
    <cellStyle name="Normal 97 3 3" xfId="45375"/>
    <cellStyle name="Normal 97 3 3 2" xfId="45376"/>
    <cellStyle name="Normal 97 3 3 2 2" xfId="45377"/>
    <cellStyle name="Normal 97 3 3 2 3" xfId="45378"/>
    <cellStyle name="Normal 97 3 3 2 4" xfId="45379"/>
    <cellStyle name="Normal 97 3 3 2 5" xfId="45380"/>
    <cellStyle name="Normal 97 3 3 2 6" xfId="45381"/>
    <cellStyle name="Normal 97 3 3 3" xfId="45382"/>
    <cellStyle name="Normal 97 3 3 4" xfId="45383"/>
    <cellStyle name="Normal 97 3 3 5" xfId="45384"/>
    <cellStyle name="Normal 97 3 3 6" xfId="45385"/>
    <cellStyle name="Normal 97 3 3 7" xfId="45386"/>
    <cellStyle name="Normal 97 3 4" xfId="45387"/>
    <cellStyle name="Normal 97 3 4 2" xfId="45388"/>
    <cellStyle name="Normal 97 3 4 3" xfId="45389"/>
    <cellStyle name="Normal 97 3 4 4" xfId="45390"/>
    <cellStyle name="Normal 97 3 4 5" xfId="45391"/>
    <cellStyle name="Normal 97 3 4 6" xfId="45392"/>
    <cellStyle name="Normal 97 3 5" xfId="45393"/>
    <cellStyle name="Normal 97 3 6" xfId="45394"/>
    <cellStyle name="Normal 97 3 7" xfId="45395"/>
    <cellStyle name="Normal 97 3 8" xfId="45396"/>
    <cellStyle name="Normal 97 3 9" xfId="45397"/>
    <cellStyle name="Normal 97 4" xfId="45398"/>
    <cellStyle name="Normal 97 4 2" xfId="45399"/>
    <cellStyle name="Normal 97 4 2 2" xfId="45400"/>
    <cellStyle name="Normal 97 4 2 2 2" xfId="45401"/>
    <cellStyle name="Normal 97 4 2 2 2 2" xfId="45402"/>
    <cellStyle name="Normal 97 4 2 2 2 3" xfId="45403"/>
    <cellStyle name="Normal 97 4 2 2 2 4" xfId="45404"/>
    <cellStyle name="Normal 97 4 2 2 2 5" xfId="45405"/>
    <cellStyle name="Normal 97 4 2 2 2 6" xfId="45406"/>
    <cellStyle name="Normal 97 4 2 2 3" xfId="45407"/>
    <cellStyle name="Normal 97 4 2 2 4" xfId="45408"/>
    <cellStyle name="Normal 97 4 2 2 5" xfId="45409"/>
    <cellStyle name="Normal 97 4 2 2 6" xfId="45410"/>
    <cellStyle name="Normal 97 4 2 2 7" xfId="45411"/>
    <cellStyle name="Normal 97 4 2 3" xfId="45412"/>
    <cellStyle name="Normal 97 4 2 3 2" xfId="45413"/>
    <cellStyle name="Normal 97 4 2 3 3" xfId="45414"/>
    <cellStyle name="Normal 97 4 2 3 4" xfId="45415"/>
    <cellStyle name="Normal 97 4 2 3 5" xfId="45416"/>
    <cellStyle name="Normal 97 4 2 3 6" xfId="45417"/>
    <cellStyle name="Normal 97 4 2 4" xfId="45418"/>
    <cellStyle name="Normal 97 4 2 5" xfId="45419"/>
    <cellStyle name="Normal 97 4 2 6" xfId="45420"/>
    <cellStyle name="Normal 97 4 2 7" xfId="45421"/>
    <cellStyle name="Normal 97 4 2 8" xfId="45422"/>
    <cellStyle name="Normal 97 4 3" xfId="45423"/>
    <cellStyle name="Normal 97 4 3 2" xfId="45424"/>
    <cellStyle name="Normal 97 4 3 2 2" xfId="45425"/>
    <cellStyle name="Normal 97 4 3 2 3" xfId="45426"/>
    <cellStyle name="Normal 97 4 3 2 4" xfId="45427"/>
    <cellStyle name="Normal 97 4 3 2 5" xfId="45428"/>
    <cellStyle name="Normal 97 4 3 2 6" xfId="45429"/>
    <cellStyle name="Normal 97 4 3 3" xfId="45430"/>
    <cellStyle name="Normal 97 4 3 4" xfId="45431"/>
    <cellStyle name="Normal 97 4 3 5" xfId="45432"/>
    <cellStyle name="Normal 97 4 3 6" xfId="45433"/>
    <cellStyle name="Normal 97 4 3 7" xfId="45434"/>
    <cellStyle name="Normal 97 4 4" xfId="45435"/>
    <cellStyle name="Normal 97 4 4 2" xfId="45436"/>
    <cellStyle name="Normal 97 4 4 3" xfId="45437"/>
    <cellStyle name="Normal 97 4 4 4" xfId="45438"/>
    <cellStyle name="Normal 97 4 4 5" xfId="45439"/>
    <cellStyle name="Normal 97 4 4 6" xfId="45440"/>
    <cellStyle name="Normal 97 4 5" xfId="45441"/>
    <cellStyle name="Normal 97 4 6" xfId="45442"/>
    <cellStyle name="Normal 97 4 7" xfId="45443"/>
    <cellStyle name="Normal 97 4 8" xfId="45444"/>
    <cellStyle name="Normal 97 4 9" xfId="45445"/>
    <cellStyle name="Normal 97 5" xfId="45446"/>
    <cellStyle name="Normal 97 5 2" xfId="45447"/>
    <cellStyle name="Normal 97 5 2 2" xfId="45448"/>
    <cellStyle name="Normal 97 5 2 2 2" xfId="45449"/>
    <cellStyle name="Normal 97 5 2 2 2 2" xfId="45450"/>
    <cellStyle name="Normal 97 5 2 2 2 3" xfId="45451"/>
    <cellStyle name="Normal 97 5 2 2 2 4" xfId="45452"/>
    <cellStyle name="Normal 97 5 2 2 2 5" xfId="45453"/>
    <cellStyle name="Normal 97 5 2 2 2 6" xfId="45454"/>
    <cellStyle name="Normal 97 5 2 2 3" xfId="45455"/>
    <cellStyle name="Normal 97 5 2 2 4" xfId="45456"/>
    <cellStyle name="Normal 97 5 2 2 5" xfId="45457"/>
    <cellStyle name="Normal 97 5 2 2 6" xfId="45458"/>
    <cellStyle name="Normal 97 5 2 2 7" xfId="45459"/>
    <cellStyle name="Normal 97 5 2 3" xfId="45460"/>
    <cellStyle name="Normal 97 5 2 3 2" xfId="45461"/>
    <cellStyle name="Normal 97 5 2 3 3" xfId="45462"/>
    <cellStyle name="Normal 97 5 2 3 4" xfId="45463"/>
    <cellStyle name="Normal 97 5 2 3 5" xfId="45464"/>
    <cellStyle name="Normal 97 5 2 3 6" xfId="45465"/>
    <cellStyle name="Normal 97 5 2 4" xfId="45466"/>
    <cellStyle name="Normal 97 5 2 5" xfId="45467"/>
    <cellStyle name="Normal 97 5 2 6" xfId="45468"/>
    <cellStyle name="Normal 97 5 2 7" xfId="45469"/>
    <cellStyle name="Normal 97 5 2 8" xfId="45470"/>
    <cellStyle name="Normal 97 5 3" xfId="45471"/>
    <cellStyle name="Normal 97 5 3 2" xfId="45472"/>
    <cellStyle name="Normal 97 5 3 2 2" xfId="45473"/>
    <cellStyle name="Normal 97 5 3 2 3" xfId="45474"/>
    <cellStyle name="Normal 97 5 3 2 4" xfId="45475"/>
    <cellStyle name="Normal 97 5 3 2 5" xfId="45476"/>
    <cellStyle name="Normal 97 5 3 2 6" xfId="45477"/>
    <cellStyle name="Normal 97 5 3 3" xfId="45478"/>
    <cellStyle name="Normal 97 5 3 4" xfId="45479"/>
    <cellStyle name="Normal 97 5 3 5" xfId="45480"/>
    <cellStyle name="Normal 97 5 3 6" xfId="45481"/>
    <cellStyle name="Normal 97 5 3 7" xfId="45482"/>
    <cellStyle name="Normal 97 5 4" xfId="45483"/>
    <cellStyle name="Normal 97 5 4 2" xfId="45484"/>
    <cellStyle name="Normal 97 5 4 3" xfId="45485"/>
    <cellStyle name="Normal 97 5 4 4" xfId="45486"/>
    <cellStyle name="Normal 97 5 4 5" xfId="45487"/>
    <cellStyle name="Normal 97 5 4 6" xfId="45488"/>
    <cellStyle name="Normal 97 5 5" xfId="45489"/>
    <cellStyle name="Normal 97 5 6" xfId="45490"/>
    <cellStyle name="Normal 97 5 7" xfId="45491"/>
    <cellStyle name="Normal 97 5 8" xfId="45492"/>
    <cellStyle name="Normal 97 5 9" xfId="45493"/>
    <cellStyle name="Normal 97 6" xfId="45494"/>
    <cellStyle name="Normal 97 6 2" xfId="45495"/>
    <cellStyle name="Normal 97 6 2 2" xfId="45496"/>
    <cellStyle name="Normal 97 6 2 2 2" xfId="45497"/>
    <cellStyle name="Normal 97 6 2 2 2 2" xfId="45498"/>
    <cellStyle name="Normal 97 6 2 2 2 3" xfId="45499"/>
    <cellStyle name="Normal 97 6 2 2 2 4" xfId="45500"/>
    <cellStyle name="Normal 97 6 2 2 2 5" xfId="45501"/>
    <cellStyle name="Normal 97 6 2 2 2 6" xfId="45502"/>
    <cellStyle name="Normal 97 6 2 2 3" xfId="45503"/>
    <cellStyle name="Normal 97 6 2 2 4" xfId="45504"/>
    <cellStyle name="Normal 97 6 2 2 5" xfId="45505"/>
    <cellStyle name="Normal 97 6 2 2 6" xfId="45506"/>
    <cellStyle name="Normal 97 6 2 2 7" xfId="45507"/>
    <cellStyle name="Normal 97 6 2 3" xfId="45508"/>
    <cellStyle name="Normal 97 6 2 3 2" xfId="45509"/>
    <cellStyle name="Normal 97 6 2 3 3" xfId="45510"/>
    <cellStyle name="Normal 97 6 2 3 4" xfId="45511"/>
    <cellStyle name="Normal 97 6 2 3 5" xfId="45512"/>
    <cellStyle name="Normal 97 6 2 3 6" xfId="45513"/>
    <cellStyle name="Normal 97 6 2 4" xfId="45514"/>
    <cellStyle name="Normal 97 6 2 5" xfId="45515"/>
    <cellStyle name="Normal 97 6 2 6" xfId="45516"/>
    <cellStyle name="Normal 97 6 2 7" xfId="45517"/>
    <cellStyle name="Normal 97 6 2 8" xfId="45518"/>
    <cellStyle name="Normal 97 6 3" xfId="45519"/>
    <cellStyle name="Normal 97 6 3 2" xfId="45520"/>
    <cellStyle name="Normal 97 6 3 2 2" xfId="45521"/>
    <cellStyle name="Normal 97 6 3 2 3" xfId="45522"/>
    <cellStyle name="Normal 97 6 3 2 4" xfId="45523"/>
    <cellStyle name="Normal 97 6 3 2 5" xfId="45524"/>
    <cellStyle name="Normal 97 6 3 2 6" xfId="45525"/>
    <cellStyle name="Normal 97 6 3 3" xfId="45526"/>
    <cellStyle name="Normal 97 6 3 4" xfId="45527"/>
    <cellStyle name="Normal 97 6 3 5" xfId="45528"/>
    <cellStyle name="Normal 97 6 3 6" xfId="45529"/>
    <cellStyle name="Normal 97 6 3 7" xfId="45530"/>
    <cellStyle name="Normal 97 6 4" xfId="45531"/>
    <cellStyle name="Normal 97 6 4 2" xfId="45532"/>
    <cellStyle name="Normal 97 6 4 3" xfId="45533"/>
    <cellStyle name="Normal 97 6 4 4" xfId="45534"/>
    <cellStyle name="Normal 97 6 4 5" xfId="45535"/>
    <cellStyle name="Normal 97 6 4 6" xfId="45536"/>
    <cellStyle name="Normal 97 6 5" xfId="45537"/>
    <cellStyle name="Normal 97 6 6" xfId="45538"/>
    <cellStyle name="Normal 97 6 7" xfId="45539"/>
    <cellStyle name="Normal 97 6 8" xfId="45540"/>
    <cellStyle name="Normal 97 6 9" xfId="45541"/>
    <cellStyle name="Normal 97 7" xfId="45542"/>
    <cellStyle name="Normal 97 7 2" xfId="45543"/>
    <cellStyle name="Normal 97 7 2 2" xfId="45544"/>
    <cellStyle name="Normal 97 7 2 2 2" xfId="45545"/>
    <cellStyle name="Normal 97 7 2 2 3" xfId="45546"/>
    <cellStyle name="Normal 97 7 2 2 4" xfId="45547"/>
    <cellStyle name="Normal 97 7 2 2 5" xfId="45548"/>
    <cellStyle name="Normal 97 7 2 2 6" xfId="45549"/>
    <cellStyle name="Normal 97 7 2 3" xfId="45550"/>
    <cellStyle name="Normal 97 7 2 4" xfId="45551"/>
    <cellStyle name="Normal 97 7 2 5" xfId="45552"/>
    <cellStyle name="Normal 97 7 2 6" xfId="45553"/>
    <cellStyle name="Normal 97 7 2 7" xfId="45554"/>
    <cellStyle name="Normal 97 7 3" xfId="45555"/>
    <cellStyle name="Normal 97 7 3 2" xfId="45556"/>
    <cellStyle name="Normal 97 7 3 3" xfId="45557"/>
    <cellStyle name="Normal 97 7 3 4" xfId="45558"/>
    <cellStyle name="Normal 97 7 3 5" xfId="45559"/>
    <cellStyle name="Normal 97 7 3 6" xfId="45560"/>
    <cellStyle name="Normal 97 7 4" xfId="45561"/>
    <cellStyle name="Normal 97 7 5" xfId="45562"/>
    <cellStyle name="Normal 97 7 6" xfId="45563"/>
    <cellStyle name="Normal 97 7 7" xfId="45564"/>
    <cellStyle name="Normal 97 7 8" xfId="45565"/>
    <cellStyle name="Normal 97 8" xfId="45566"/>
    <cellStyle name="Normal 97 8 2" xfId="45567"/>
    <cellStyle name="Normal 97 8 2 2" xfId="45568"/>
    <cellStyle name="Normal 97 8 2 3" xfId="45569"/>
    <cellStyle name="Normal 97 8 2 4" xfId="45570"/>
    <cellStyle name="Normal 97 8 2 5" xfId="45571"/>
    <cellStyle name="Normal 97 8 2 6" xfId="45572"/>
    <cellStyle name="Normal 97 8 3" xfId="45573"/>
    <cellStyle name="Normal 97 8 4" xfId="45574"/>
    <cellStyle name="Normal 97 8 5" xfId="45575"/>
    <cellStyle name="Normal 97 8 6" xfId="45576"/>
    <cellStyle name="Normal 97 8 7" xfId="45577"/>
    <cellStyle name="Normal 97 9" xfId="45578"/>
    <cellStyle name="Normal 97 9 2" xfId="45579"/>
    <cellStyle name="Normal 97 9 3" xfId="45580"/>
    <cellStyle name="Normal 97 9 4" xfId="45581"/>
    <cellStyle name="Normal 97 9 5" xfId="45582"/>
    <cellStyle name="Normal 97 9 6" xfId="45583"/>
    <cellStyle name="Normal 98" xfId="45584"/>
    <cellStyle name="Normal 98 10" xfId="45585"/>
    <cellStyle name="Normal 98 11" xfId="45586"/>
    <cellStyle name="Normal 98 12" xfId="45587"/>
    <cellStyle name="Normal 98 13" xfId="45588"/>
    <cellStyle name="Normal 98 14" xfId="45589"/>
    <cellStyle name="Normal 98 2" xfId="45590"/>
    <cellStyle name="Normal 98 2 2" xfId="45591"/>
    <cellStyle name="Normal 98 2 2 2" xfId="45592"/>
    <cellStyle name="Normal 98 2 2 2 2" xfId="45593"/>
    <cellStyle name="Normal 98 2 2 2 2 2" xfId="45594"/>
    <cellStyle name="Normal 98 2 2 2 2 3" xfId="45595"/>
    <cellStyle name="Normal 98 2 2 2 2 4" xfId="45596"/>
    <cellStyle name="Normal 98 2 2 2 2 5" xfId="45597"/>
    <cellStyle name="Normal 98 2 2 2 2 6" xfId="45598"/>
    <cellStyle name="Normal 98 2 2 2 3" xfId="45599"/>
    <cellStyle name="Normal 98 2 2 2 4" xfId="45600"/>
    <cellStyle name="Normal 98 2 2 2 5" xfId="45601"/>
    <cellStyle name="Normal 98 2 2 2 6" xfId="45602"/>
    <cellStyle name="Normal 98 2 2 2 7" xfId="45603"/>
    <cellStyle name="Normal 98 2 2 3" xfId="45604"/>
    <cellStyle name="Normal 98 2 2 3 2" xfId="45605"/>
    <cellStyle name="Normal 98 2 2 3 3" xfId="45606"/>
    <cellStyle name="Normal 98 2 2 3 4" xfId="45607"/>
    <cellStyle name="Normal 98 2 2 3 5" xfId="45608"/>
    <cellStyle name="Normal 98 2 2 3 6" xfId="45609"/>
    <cellStyle name="Normal 98 2 2 4" xfId="45610"/>
    <cellStyle name="Normal 98 2 2 5" xfId="45611"/>
    <cellStyle name="Normal 98 2 2 6" xfId="45612"/>
    <cellStyle name="Normal 98 2 2 7" xfId="45613"/>
    <cellStyle name="Normal 98 2 2 8" xfId="45614"/>
    <cellStyle name="Normal 98 2 3" xfId="45615"/>
    <cellStyle name="Normal 98 2 3 2" xfId="45616"/>
    <cellStyle name="Normal 98 2 3 2 2" xfId="45617"/>
    <cellStyle name="Normal 98 2 3 2 3" xfId="45618"/>
    <cellStyle name="Normal 98 2 3 2 4" xfId="45619"/>
    <cellStyle name="Normal 98 2 3 2 5" xfId="45620"/>
    <cellStyle name="Normal 98 2 3 2 6" xfId="45621"/>
    <cellStyle name="Normal 98 2 3 3" xfId="45622"/>
    <cellStyle name="Normal 98 2 3 4" xfId="45623"/>
    <cellStyle name="Normal 98 2 3 5" xfId="45624"/>
    <cellStyle name="Normal 98 2 3 6" xfId="45625"/>
    <cellStyle name="Normal 98 2 3 7" xfId="45626"/>
    <cellStyle name="Normal 98 2 4" xfId="45627"/>
    <cellStyle name="Normal 98 2 4 2" xfId="45628"/>
    <cellStyle name="Normal 98 2 4 3" xfId="45629"/>
    <cellStyle name="Normal 98 2 4 4" xfId="45630"/>
    <cellStyle name="Normal 98 2 4 5" xfId="45631"/>
    <cellStyle name="Normal 98 2 4 6" xfId="45632"/>
    <cellStyle name="Normal 98 2 5" xfId="45633"/>
    <cellStyle name="Normal 98 2 6" xfId="45634"/>
    <cellStyle name="Normal 98 2 7" xfId="45635"/>
    <cellStyle name="Normal 98 2 8" xfId="45636"/>
    <cellStyle name="Normal 98 2 9" xfId="45637"/>
    <cellStyle name="Normal 98 3" xfId="45638"/>
    <cellStyle name="Normal 98 3 2" xfId="45639"/>
    <cellStyle name="Normal 98 3 2 2" xfId="45640"/>
    <cellStyle name="Normal 98 3 2 2 2" xfId="45641"/>
    <cellStyle name="Normal 98 3 2 2 2 2" xfId="45642"/>
    <cellStyle name="Normal 98 3 2 2 2 3" xfId="45643"/>
    <cellStyle name="Normal 98 3 2 2 2 4" xfId="45644"/>
    <cellStyle name="Normal 98 3 2 2 2 5" xfId="45645"/>
    <cellStyle name="Normal 98 3 2 2 2 6" xfId="45646"/>
    <cellStyle name="Normal 98 3 2 2 3" xfId="45647"/>
    <cellStyle name="Normal 98 3 2 2 4" xfId="45648"/>
    <cellStyle name="Normal 98 3 2 2 5" xfId="45649"/>
    <cellStyle name="Normal 98 3 2 2 6" xfId="45650"/>
    <cellStyle name="Normal 98 3 2 2 7" xfId="45651"/>
    <cellStyle name="Normal 98 3 2 3" xfId="45652"/>
    <cellStyle name="Normal 98 3 2 3 2" xfId="45653"/>
    <cellStyle name="Normal 98 3 2 3 3" xfId="45654"/>
    <cellStyle name="Normal 98 3 2 3 4" xfId="45655"/>
    <cellStyle name="Normal 98 3 2 3 5" xfId="45656"/>
    <cellStyle name="Normal 98 3 2 3 6" xfId="45657"/>
    <cellStyle name="Normal 98 3 2 4" xfId="45658"/>
    <cellStyle name="Normal 98 3 2 5" xfId="45659"/>
    <cellStyle name="Normal 98 3 2 6" xfId="45660"/>
    <cellStyle name="Normal 98 3 2 7" xfId="45661"/>
    <cellStyle name="Normal 98 3 2 8" xfId="45662"/>
    <cellStyle name="Normal 98 3 3" xfId="45663"/>
    <cellStyle name="Normal 98 3 3 2" xfId="45664"/>
    <cellStyle name="Normal 98 3 3 2 2" xfId="45665"/>
    <cellStyle name="Normal 98 3 3 2 3" xfId="45666"/>
    <cellStyle name="Normal 98 3 3 2 4" xfId="45667"/>
    <cellStyle name="Normal 98 3 3 2 5" xfId="45668"/>
    <cellStyle name="Normal 98 3 3 2 6" xfId="45669"/>
    <cellStyle name="Normal 98 3 3 3" xfId="45670"/>
    <cellStyle name="Normal 98 3 3 4" xfId="45671"/>
    <cellStyle name="Normal 98 3 3 5" xfId="45672"/>
    <cellStyle name="Normal 98 3 3 6" xfId="45673"/>
    <cellStyle name="Normal 98 3 3 7" xfId="45674"/>
    <cellStyle name="Normal 98 3 4" xfId="45675"/>
    <cellStyle name="Normal 98 3 4 2" xfId="45676"/>
    <cellStyle name="Normal 98 3 4 3" xfId="45677"/>
    <cellStyle name="Normal 98 3 4 4" xfId="45678"/>
    <cellStyle name="Normal 98 3 4 5" xfId="45679"/>
    <cellStyle name="Normal 98 3 4 6" xfId="45680"/>
    <cellStyle name="Normal 98 3 5" xfId="45681"/>
    <cellStyle name="Normal 98 3 6" xfId="45682"/>
    <cellStyle name="Normal 98 3 7" xfId="45683"/>
    <cellStyle name="Normal 98 3 8" xfId="45684"/>
    <cellStyle name="Normal 98 3 9" xfId="45685"/>
    <cellStyle name="Normal 98 4" xfId="45686"/>
    <cellStyle name="Normal 98 4 2" xfId="45687"/>
    <cellStyle name="Normal 98 4 2 2" xfId="45688"/>
    <cellStyle name="Normal 98 4 2 2 2" xfId="45689"/>
    <cellStyle name="Normal 98 4 2 2 2 2" xfId="45690"/>
    <cellStyle name="Normal 98 4 2 2 2 3" xfId="45691"/>
    <cellStyle name="Normal 98 4 2 2 2 4" xfId="45692"/>
    <cellStyle name="Normal 98 4 2 2 2 5" xfId="45693"/>
    <cellStyle name="Normal 98 4 2 2 2 6" xfId="45694"/>
    <cellStyle name="Normal 98 4 2 2 3" xfId="45695"/>
    <cellStyle name="Normal 98 4 2 2 4" xfId="45696"/>
    <cellStyle name="Normal 98 4 2 2 5" xfId="45697"/>
    <cellStyle name="Normal 98 4 2 2 6" xfId="45698"/>
    <cellStyle name="Normal 98 4 2 2 7" xfId="45699"/>
    <cellStyle name="Normal 98 4 2 3" xfId="45700"/>
    <cellStyle name="Normal 98 4 2 3 2" xfId="45701"/>
    <cellStyle name="Normal 98 4 2 3 3" xfId="45702"/>
    <cellStyle name="Normal 98 4 2 3 4" xfId="45703"/>
    <cellStyle name="Normal 98 4 2 3 5" xfId="45704"/>
    <cellStyle name="Normal 98 4 2 3 6" xfId="45705"/>
    <cellStyle name="Normal 98 4 2 4" xfId="45706"/>
    <cellStyle name="Normal 98 4 2 5" xfId="45707"/>
    <cellStyle name="Normal 98 4 2 6" xfId="45708"/>
    <cellStyle name="Normal 98 4 2 7" xfId="45709"/>
    <cellStyle name="Normal 98 4 2 8" xfId="45710"/>
    <cellStyle name="Normal 98 4 3" xfId="45711"/>
    <cellStyle name="Normal 98 4 3 2" xfId="45712"/>
    <cellStyle name="Normal 98 4 3 2 2" xfId="45713"/>
    <cellStyle name="Normal 98 4 3 2 3" xfId="45714"/>
    <cellStyle name="Normal 98 4 3 2 4" xfId="45715"/>
    <cellStyle name="Normal 98 4 3 2 5" xfId="45716"/>
    <cellStyle name="Normal 98 4 3 2 6" xfId="45717"/>
    <cellStyle name="Normal 98 4 3 3" xfId="45718"/>
    <cellStyle name="Normal 98 4 3 4" xfId="45719"/>
    <cellStyle name="Normal 98 4 3 5" xfId="45720"/>
    <cellStyle name="Normal 98 4 3 6" xfId="45721"/>
    <cellStyle name="Normal 98 4 3 7" xfId="45722"/>
    <cellStyle name="Normal 98 4 4" xfId="45723"/>
    <cellStyle name="Normal 98 4 4 2" xfId="45724"/>
    <cellStyle name="Normal 98 4 4 3" xfId="45725"/>
    <cellStyle name="Normal 98 4 4 4" xfId="45726"/>
    <cellStyle name="Normal 98 4 4 5" xfId="45727"/>
    <cellStyle name="Normal 98 4 4 6" xfId="45728"/>
    <cellStyle name="Normal 98 4 5" xfId="45729"/>
    <cellStyle name="Normal 98 4 6" xfId="45730"/>
    <cellStyle name="Normal 98 4 7" xfId="45731"/>
    <cellStyle name="Normal 98 4 8" xfId="45732"/>
    <cellStyle name="Normal 98 4 9" xfId="45733"/>
    <cellStyle name="Normal 98 5" xfId="45734"/>
    <cellStyle name="Normal 98 5 2" xfId="45735"/>
    <cellStyle name="Normal 98 5 2 2" xfId="45736"/>
    <cellStyle name="Normal 98 5 2 2 2" xfId="45737"/>
    <cellStyle name="Normal 98 5 2 2 2 2" xfId="45738"/>
    <cellStyle name="Normal 98 5 2 2 2 3" xfId="45739"/>
    <cellStyle name="Normal 98 5 2 2 2 4" xfId="45740"/>
    <cellStyle name="Normal 98 5 2 2 2 5" xfId="45741"/>
    <cellStyle name="Normal 98 5 2 2 2 6" xfId="45742"/>
    <cellStyle name="Normal 98 5 2 2 3" xfId="45743"/>
    <cellStyle name="Normal 98 5 2 2 4" xfId="45744"/>
    <cellStyle name="Normal 98 5 2 2 5" xfId="45745"/>
    <cellStyle name="Normal 98 5 2 2 6" xfId="45746"/>
    <cellStyle name="Normal 98 5 2 2 7" xfId="45747"/>
    <cellStyle name="Normal 98 5 2 3" xfId="45748"/>
    <cellStyle name="Normal 98 5 2 3 2" xfId="45749"/>
    <cellStyle name="Normal 98 5 2 3 3" xfId="45750"/>
    <cellStyle name="Normal 98 5 2 3 4" xfId="45751"/>
    <cellStyle name="Normal 98 5 2 3 5" xfId="45752"/>
    <cellStyle name="Normal 98 5 2 3 6" xfId="45753"/>
    <cellStyle name="Normal 98 5 2 4" xfId="45754"/>
    <cellStyle name="Normal 98 5 2 5" xfId="45755"/>
    <cellStyle name="Normal 98 5 2 6" xfId="45756"/>
    <cellStyle name="Normal 98 5 2 7" xfId="45757"/>
    <cellStyle name="Normal 98 5 2 8" xfId="45758"/>
    <cellStyle name="Normal 98 5 3" xfId="45759"/>
    <cellStyle name="Normal 98 5 3 2" xfId="45760"/>
    <cellStyle name="Normal 98 5 3 2 2" xfId="45761"/>
    <cellStyle name="Normal 98 5 3 2 3" xfId="45762"/>
    <cellStyle name="Normal 98 5 3 2 4" xfId="45763"/>
    <cellStyle name="Normal 98 5 3 2 5" xfId="45764"/>
    <cellStyle name="Normal 98 5 3 2 6" xfId="45765"/>
    <cellStyle name="Normal 98 5 3 3" xfId="45766"/>
    <cellStyle name="Normal 98 5 3 4" xfId="45767"/>
    <cellStyle name="Normal 98 5 3 5" xfId="45768"/>
    <cellStyle name="Normal 98 5 3 6" xfId="45769"/>
    <cellStyle name="Normal 98 5 3 7" xfId="45770"/>
    <cellStyle name="Normal 98 5 4" xfId="45771"/>
    <cellStyle name="Normal 98 5 4 2" xfId="45772"/>
    <cellStyle name="Normal 98 5 4 3" xfId="45773"/>
    <cellStyle name="Normal 98 5 4 4" xfId="45774"/>
    <cellStyle name="Normal 98 5 4 5" xfId="45775"/>
    <cellStyle name="Normal 98 5 4 6" xfId="45776"/>
    <cellStyle name="Normal 98 5 5" xfId="45777"/>
    <cellStyle name="Normal 98 5 6" xfId="45778"/>
    <cellStyle name="Normal 98 5 7" xfId="45779"/>
    <cellStyle name="Normal 98 5 8" xfId="45780"/>
    <cellStyle name="Normal 98 5 9" xfId="45781"/>
    <cellStyle name="Normal 98 6" xfId="45782"/>
    <cellStyle name="Normal 98 6 2" xfId="45783"/>
    <cellStyle name="Normal 98 6 2 2" xfId="45784"/>
    <cellStyle name="Normal 98 6 2 2 2" xfId="45785"/>
    <cellStyle name="Normal 98 6 2 2 2 2" xfId="45786"/>
    <cellStyle name="Normal 98 6 2 2 2 3" xfId="45787"/>
    <cellStyle name="Normal 98 6 2 2 2 4" xfId="45788"/>
    <cellStyle name="Normal 98 6 2 2 2 5" xfId="45789"/>
    <cellStyle name="Normal 98 6 2 2 2 6" xfId="45790"/>
    <cellStyle name="Normal 98 6 2 2 3" xfId="45791"/>
    <cellStyle name="Normal 98 6 2 2 4" xfId="45792"/>
    <cellStyle name="Normal 98 6 2 2 5" xfId="45793"/>
    <cellStyle name="Normal 98 6 2 2 6" xfId="45794"/>
    <cellStyle name="Normal 98 6 2 2 7" xfId="45795"/>
    <cellStyle name="Normal 98 6 2 3" xfId="45796"/>
    <cellStyle name="Normal 98 6 2 3 2" xfId="45797"/>
    <cellStyle name="Normal 98 6 2 3 3" xfId="45798"/>
    <cellStyle name="Normal 98 6 2 3 4" xfId="45799"/>
    <cellStyle name="Normal 98 6 2 3 5" xfId="45800"/>
    <cellStyle name="Normal 98 6 2 3 6" xfId="45801"/>
    <cellStyle name="Normal 98 6 2 4" xfId="45802"/>
    <cellStyle name="Normal 98 6 2 5" xfId="45803"/>
    <cellStyle name="Normal 98 6 2 6" xfId="45804"/>
    <cellStyle name="Normal 98 6 2 7" xfId="45805"/>
    <cellStyle name="Normal 98 6 2 8" xfId="45806"/>
    <cellStyle name="Normal 98 6 3" xfId="45807"/>
    <cellStyle name="Normal 98 6 3 2" xfId="45808"/>
    <cellStyle name="Normal 98 6 3 2 2" xfId="45809"/>
    <cellStyle name="Normal 98 6 3 2 3" xfId="45810"/>
    <cellStyle name="Normal 98 6 3 2 4" xfId="45811"/>
    <cellStyle name="Normal 98 6 3 2 5" xfId="45812"/>
    <cellStyle name="Normal 98 6 3 2 6" xfId="45813"/>
    <cellStyle name="Normal 98 6 3 3" xfId="45814"/>
    <cellStyle name="Normal 98 6 3 4" xfId="45815"/>
    <cellStyle name="Normal 98 6 3 5" xfId="45816"/>
    <cellStyle name="Normal 98 6 3 6" xfId="45817"/>
    <cellStyle name="Normal 98 6 3 7" xfId="45818"/>
    <cellStyle name="Normal 98 6 4" xfId="45819"/>
    <cellStyle name="Normal 98 6 4 2" xfId="45820"/>
    <cellStyle name="Normal 98 6 4 3" xfId="45821"/>
    <cellStyle name="Normal 98 6 4 4" xfId="45822"/>
    <cellStyle name="Normal 98 6 4 5" xfId="45823"/>
    <cellStyle name="Normal 98 6 4 6" xfId="45824"/>
    <cellStyle name="Normal 98 6 5" xfId="45825"/>
    <cellStyle name="Normal 98 6 6" xfId="45826"/>
    <cellStyle name="Normal 98 6 7" xfId="45827"/>
    <cellStyle name="Normal 98 6 8" xfId="45828"/>
    <cellStyle name="Normal 98 6 9" xfId="45829"/>
    <cellStyle name="Normal 98 7" xfId="45830"/>
    <cellStyle name="Normal 98 7 2" xfId="45831"/>
    <cellStyle name="Normal 98 7 2 2" xfId="45832"/>
    <cellStyle name="Normal 98 7 2 2 2" xfId="45833"/>
    <cellStyle name="Normal 98 7 2 2 3" xfId="45834"/>
    <cellStyle name="Normal 98 7 2 2 4" xfId="45835"/>
    <cellStyle name="Normal 98 7 2 2 5" xfId="45836"/>
    <cellStyle name="Normal 98 7 2 2 6" xfId="45837"/>
    <cellStyle name="Normal 98 7 2 3" xfId="45838"/>
    <cellStyle name="Normal 98 7 2 4" xfId="45839"/>
    <cellStyle name="Normal 98 7 2 5" xfId="45840"/>
    <cellStyle name="Normal 98 7 2 6" xfId="45841"/>
    <cellStyle name="Normal 98 7 2 7" xfId="45842"/>
    <cellStyle name="Normal 98 7 3" xfId="45843"/>
    <cellStyle name="Normal 98 7 3 2" xfId="45844"/>
    <cellStyle name="Normal 98 7 3 3" xfId="45845"/>
    <cellStyle name="Normal 98 7 3 4" xfId="45846"/>
    <cellStyle name="Normal 98 7 3 5" xfId="45847"/>
    <cellStyle name="Normal 98 7 3 6" xfId="45848"/>
    <cellStyle name="Normal 98 7 4" xfId="45849"/>
    <cellStyle name="Normal 98 7 5" xfId="45850"/>
    <cellStyle name="Normal 98 7 6" xfId="45851"/>
    <cellStyle name="Normal 98 7 7" xfId="45852"/>
    <cellStyle name="Normal 98 7 8" xfId="45853"/>
    <cellStyle name="Normal 98 8" xfId="45854"/>
    <cellStyle name="Normal 98 8 2" xfId="45855"/>
    <cellStyle name="Normal 98 8 2 2" xfId="45856"/>
    <cellStyle name="Normal 98 8 2 3" xfId="45857"/>
    <cellStyle name="Normal 98 8 2 4" xfId="45858"/>
    <cellStyle name="Normal 98 8 2 5" xfId="45859"/>
    <cellStyle name="Normal 98 8 2 6" xfId="45860"/>
    <cellStyle name="Normal 98 8 3" xfId="45861"/>
    <cellStyle name="Normal 98 8 4" xfId="45862"/>
    <cellStyle name="Normal 98 8 5" xfId="45863"/>
    <cellStyle name="Normal 98 8 6" xfId="45864"/>
    <cellStyle name="Normal 98 8 7" xfId="45865"/>
    <cellStyle name="Normal 98 9" xfId="45866"/>
    <cellStyle name="Normal 98 9 2" xfId="45867"/>
    <cellStyle name="Normal 98 9 3" xfId="45868"/>
    <cellStyle name="Normal 98 9 4" xfId="45869"/>
    <cellStyle name="Normal 98 9 5" xfId="45870"/>
    <cellStyle name="Normal 98 9 6" xfId="45871"/>
    <cellStyle name="Normal 99" xfId="45872"/>
    <cellStyle name="Normal 99 10" xfId="45873"/>
    <cellStyle name="Normal 99 11" xfId="45874"/>
    <cellStyle name="Normal 99 2" xfId="45875"/>
    <cellStyle name="Normal 99 2 2" xfId="45876"/>
    <cellStyle name="Normal 99 2 2 2" xfId="45877"/>
    <cellStyle name="Normal 99 2 2 2 2" xfId="45878"/>
    <cellStyle name="Normal 99 2 2 2 2 2" xfId="45879"/>
    <cellStyle name="Normal 99 2 2 2 2 3" xfId="45880"/>
    <cellStyle name="Normal 99 2 2 2 2 4" xfId="45881"/>
    <cellStyle name="Normal 99 2 2 2 2 5" xfId="45882"/>
    <cellStyle name="Normal 99 2 2 2 2 6" xfId="45883"/>
    <cellStyle name="Normal 99 2 2 2 3" xfId="45884"/>
    <cellStyle name="Normal 99 2 2 2 4" xfId="45885"/>
    <cellStyle name="Normal 99 2 2 2 5" xfId="45886"/>
    <cellStyle name="Normal 99 2 2 2 6" xfId="45887"/>
    <cellStyle name="Normal 99 2 2 2 7" xfId="45888"/>
    <cellStyle name="Normal 99 2 2 3" xfId="45889"/>
    <cellStyle name="Normal 99 2 2 3 2" xfId="45890"/>
    <cellStyle name="Normal 99 2 2 3 3" xfId="45891"/>
    <cellStyle name="Normal 99 2 2 3 4" xfId="45892"/>
    <cellStyle name="Normal 99 2 2 3 5" xfId="45893"/>
    <cellStyle name="Normal 99 2 2 3 6" xfId="45894"/>
    <cellStyle name="Normal 99 2 2 4" xfId="45895"/>
    <cellStyle name="Normal 99 2 2 5" xfId="45896"/>
    <cellStyle name="Normal 99 2 2 6" xfId="45897"/>
    <cellStyle name="Normal 99 2 2 7" xfId="45898"/>
    <cellStyle name="Normal 99 2 2 8" xfId="45899"/>
    <cellStyle name="Normal 99 2 3" xfId="45900"/>
    <cellStyle name="Normal 99 2 3 2" xfId="45901"/>
    <cellStyle name="Normal 99 2 3 2 2" xfId="45902"/>
    <cellStyle name="Normal 99 2 3 2 3" xfId="45903"/>
    <cellStyle name="Normal 99 2 3 2 4" xfId="45904"/>
    <cellStyle name="Normal 99 2 3 2 5" xfId="45905"/>
    <cellStyle name="Normal 99 2 3 2 6" xfId="45906"/>
    <cellStyle name="Normal 99 2 3 3" xfId="45907"/>
    <cellStyle name="Normal 99 2 3 4" xfId="45908"/>
    <cellStyle name="Normal 99 2 3 5" xfId="45909"/>
    <cellStyle name="Normal 99 2 3 6" xfId="45910"/>
    <cellStyle name="Normal 99 2 3 7" xfId="45911"/>
    <cellStyle name="Normal 99 2 4" xfId="45912"/>
    <cellStyle name="Normal 99 2 4 2" xfId="45913"/>
    <cellStyle name="Normal 99 2 4 3" xfId="45914"/>
    <cellStyle name="Normal 99 2 4 4" xfId="45915"/>
    <cellStyle name="Normal 99 2 4 5" xfId="45916"/>
    <cellStyle name="Normal 99 2 4 6" xfId="45917"/>
    <cellStyle name="Normal 99 2 5" xfId="45918"/>
    <cellStyle name="Normal 99 2 6" xfId="45919"/>
    <cellStyle name="Normal 99 2 7" xfId="45920"/>
    <cellStyle name="Normal 99 2 8" xfId="45921"/>
    <cellStyle name="Normal 99 2 9" xfId="45922"/>
    <cellStyle name="Normal 99 3" xfId="45923"/>
    <cellStyle name="Normal 99 3 2" xfId="45924"/>
    <cellStyle name="Normal 99 3 2 2" xfId="45925"/>
    <cellStyle name="Normal 99 3 2 2 2" xfId="45926"/>
    <cellStyle name="Normal 99 3 2 2 2 2" xfId="45927"/>
    <cellStyle name="Normal 99 3 2 2 2 3" xfId="45928"/>
    <cellStyle name="Normal 99 3 2 2 2 4" xfId="45929"/>
    <cellStyle name="Normal 99 3 2 2 2 5" xfId="45930"/>
    <cellStyle name="Normal 99 3 2 2 2 6" xfId="45931"/>
    <cellStyle name="Normal 99 3 2 2 3" xfId="45932"/>
    <cellStyle name="Normal 99 3 2 2 4" xfId="45933"/>
    <cellStyle name="Normal 99 3 2 2 5" xfId="45934"/>
    <cellStyle name="Normal 99 3 2 2 6" xfId="45935"/>
    <cellStyle name="Normal 99 3 2 2 7" xfId="45936"/>
    <cellStyle name="Normal 99 3 2 3" xfId="45937"/>
    <cellStyle name="Normal 99 3 2 3 2" xfId="45938"/>
    <cellStyle name="Normal 99 3 2 3 3" xfId="45939"/>
    <cellStyle name="Normal 99 3 2 3 4" xfId="45940"/>
    <cellStyle name="Normal 99 3 2 3 5" xfId="45941"/>
    <cellStyle name="Normal 99 3 2 3 6" xfId="45942"/>
    <cellStyle name="Normal 99 3 2 4" xfId="45943"/>
    <cellStyle name="Normal 99 3 2 5" xfId="45944"/>
    <cellStyle name="Normal 99 3 2 6" xfId="45945"/>
    <cellStyle name="Normal 99 3 2 7" xfId="45946"/>
    <cellStyle name="Normal 99 3 2 8" xfId="45947"/>
    <cellStyle name="Normal 99 3 3" xfId="45948"/>
    <cellStyle name="Normal 99 3 3 2" xfId="45949"/>
    <cellStyle name="Normal 99 3 3 2 2" xfId="45950"/>
    <cellStyle name="Normal 99 3 3 2 3" xfId="45951"/>
    <cellStyle name="Normal 99 3 3 2 4" xfId="45952"/>
    <cellStyle name="Normal 99 3 3 2 5" xfId="45953"/>
    <cellStyle name="Normal 99 3 3 2 6" xfId="45954"/>
    <cellStyle name="Normal 99 3 3 3" xfId="45955"/>
    <cellStyle name="Normal 99 3 3 4" xfId="45956"/>
    <cellStyle name="Normal 99 3 3 5" xfId="45957"/>
    <cellStyle name="Normal 99 3 3 6" xfId="45958"/>
    <cellStyle name="Normal 99 3 3 7" xfId="45959"/>
    <cellStyle name="Normal 99 3 4" xfId="45960"/>
    <cellStyle name="Normal 99 3 4 2" xfId="45961"/>
    <cellStyle name="Normal 99 3 4 3" xfId="45962"/>
    <cellStyle name="Normal 99 3 4 4" xfId="45963"/>
    <cellStyle name="Normal 99 3 4 5" xfId="45964"/>
    <cellStyle name="Normal 99 3 4 6" xfId="45965"/>
    <cellStyle name="Normal 99 3 5" xfId="45966"/>
    <cellStyle name="Normal 99 3 6" xfId="45967"/>
    <cellStyle name="Normal 99 3 7" xfId="45968"/>
    <cellStyle name="Normal 99 3 8" xfId="45969"/>
    <cellStyle name="Normal 99 3 9" xfId="45970"/>
    <cellStyle name="Normal 99 4" xfId="45971"/>
    <cellStyle name="Normal 99 4 2" xfId="45972"/>
    <cellStyle name="Normal 99 4 2 2" xfId="45973"/>
    <cellStyle name="Normal 99 4 2 2 2" xfId="45974"/>
    <cellStyle name="Normal 99 4 2 2 3" xfId="45975"/>
    <cellStyle name="Normal 99 4 2 2 4" xfId="45976"/>
    <cellStyle name="Normal 99 4 2 2 5" xfId="45977"/>
    <cellStyle name="Normal 99 4 2 2 6" xfId="45978"/>
    <cellStyle name="Normal 99 4 2 3" xfId="45979"/>
    <cellStyle name="Normal 99 4 2 4" xfId="45980"/>
    <cellStyle name="Normal 99 4 2 5" xfId="45981"/>
    <cellStyle name="Normal 99 4 2 6" xfId="45982"/>
    <cellStyle name="Normal 99 4 2 7" xfId="45983"/>
    <cellStyle name="Normal 99 4 3" xfId="45984"/>
    <cellStyle name="Normal 99 4 3 2" xfId="45985"/>
    <cellStyle name="Normal 99 4 3 3" xfId="45986"/>
    <cellStyle name="Normal 99 4 3 4" xfId="45987"/>
    <cellStyle name="Normal 99 4 3 5" xfId="45988"/>
    <cellStyle name="Normal 99 4 3 6" xfId="45989"/>
    <cellStyle name="Normal 99 4 4" xfId="45990"/>
    <cellStyle name="Normal 99 4 5" xfId="45991"/>
    <cellStyle name="Normal 99 4 6" xfId="45992"/>
    <cellStyle name="Normal 99 4 7" xfId="45993"/>
    <cellStyle name="Normal 99 4 8" xfId="45994"/>
    <cellStyle name="Normal 99 5" xfId="45995"/>
    <cellStyle name="Normal 99 5 2" xfId="45996"/>
    <cellStyle name="Normal 99 5 2 2" xfId="45997"/>
    <cellStyle name="Normal 99 5 2 3" xfId="45998"/>
    <cellStyle name="Normal 99 5 2 4" xfId="45999"/>
    <cellStyle name="Normal 99 5 2 5" xfId="46000"/>
    <cellStyle name="Normal 99 5 2 6" xfId="46001"/>
    <cellStyle name="Normal 99 5 3" xfId="46002"/>
    <cellStyle name="Normal 99 5 4" xfId="46003"/>
    <cellStyle name="Normal 99 5 5" xfId="46004"/>
    <cellStyle name="Normal 99 5 6" xfId="46005"/>
    <cellStyle name="Normal 99 5 7" xfId="46006"/>
    <cellStyle name="Normal 99 6" xfId="46007"/>
    <cellStyle name="Normal 99 6 2" xfId="46008"/>
    <cellStyle name="Normal 99 6 3" xfId="46009"/>
    <cellStyle name="Normal 99 6 4" xfId="46010"/>
    <cellStyle name="Normal 99 6 5" xfId="46011"/>
    <cellStyle name="Normal 99 6 6" xfId="46012"/>
    <cellStyle name="Normal 99 7" xfId="46013"/>
    <cellStyle name="Normal 99 8" xfId="46014"/>
    <cellStyle name="Normal 99 9" xfId="46015"/>
    <cellStyle name="Normal_Regulatory Reporting 26-10-2005" xfId="57"/>
    <cellStyle name="Note 10" xfId="46016"/>
    <cellStyle name="Note 10 10" xfId="46017"/>
    <cellStyle name="Note 10 11" xfId="46018"/>
    <cellStyle name="Note 10 12" xfId="46019"/>
    <cellStyle name="Note 10 13" xfId="46020"/>
    <cellStyle name="Note 10 2" xfId="46021"/>
    <cellStyle name="Note 10 2 10" xfId="46022"/>
    <cellStyle name="Note 10 2 11" xfId="46023"/>
    <cellStyle name="Note 10 2 12" xfId="46024"/>
    <cellStyle name="Note 10 2 2" xfId="46025"/>
    <cellStyle name="Note 10 2 2 10" xfId="46026"/>
    <cellStyle name="Note 10 2 2 11" xfId="46027"/>
    <cellStyle name="Note 10 2 2 2" xfId="46028"/>
    <cellStyle name="Note 10 2 2 2 10" xfId="46029"/>
    <cellStyle name="Note 10 2 2 2 11" xfId="46030"/>
    <cellStyle name="Note 10 2 2 2 2" xfId="46031"/>
    <cellStyle name="Note 10 2 2 2 3" xfId="46032"/>
    <cellStyle name="Note 10 2 2 2 4" xfId="46033"/>
    <cellStyle name="Note 10 2 2 2 5" xfId="46034"/>
    <cellStyle name="Note 10 2 2 2 6" xfId="46035"/>
    <cellStyle name="Note 10 2 2 2 7" xfId="46036"/>
    <cellStyle name="Note 10 2 2 2 8" xfId="46037"/>
    <cellStyle name="Note 10 2 2 2 9" xfId="46038"/>
    <cellStyle name="Note 10 2 2 3" xfId="46039"/>
    <cellStyle name="Note 10 2 2 4" xfId="46040"/>
    <cellStyle name="Note 10 2 2 5" xfId="46041"/>
    <cellStyle name="Note 10 2 2 6" xfId="46042"/>
    <cellStyle name="Note 10 2 2 7" xfId="46043"/>
    <cellStyle name="Note 10 2 2 8" xfId="46044"/>
    <cellStyle name="Note 10 2 2 9" xfId="46045"/>
    <cellStyle name="Note 10 2 3" xfId="46046"/>
    <cellStyle name="Note 10 2 3 10" xfId="46047"/>
    <cellStyle name="Note 10 2 3 11" xfId="46048"/>
    <cellStyle name="Note 10 2 3 2" xfId="46049"/>
    <cellStyle name="Note 10 2 3 3" xfId="46050"/>
    <cellStyle name="Note 10 2 3 4" xfId="46051"/>
    <cellStyle name="Note 10 2 3 5" xfId="46052"/>
    <cellStyle name="Note 10 2 3 6" xfId="46053"/>
    <cellStyle name="Note 10 2 3 7" xfId="46054"/>
    <cellStyle name="Note 10 2 3 8" xfId="46055"/>
    <cellStyle name="Note 10 2 3 9" xfId="46056"/>
    <cellStyle name="Note 10 2 4" xfId="46057"/>
    <cellStyle name="Note 10 2 5" xfId="46058"/>
    <cellStyle name="Note 10 2 6" xfId="46059"/>
    <cellStyle name="Note 10 2 7" xfId="46060"/>
    <cellStyle name="Note 10 2 8" xfId="46061"/>
    <cellStyle name="Note 10 2 9" xfId="46062"/>
    <cellStyle name="Note 10 3" xfId="46063"/>
    <cellStyle name="Note 10 3 10" xfId="46064"/>
    <cellStyle name="Note 10 3 11" xfId="46065"/>
    <cellStyle name="Note 10 3 2" xfId="46066"/>
    <cellStyle name="Note 10 3 2 10" xfId="46067"/>
    <cellStyle name="Note 10 3 2 11" xfId="46068"/>
    <cellStyle name="Note 10 3 2 2" xfId="46069"/>
    <cellStyle name="Note 10 3 2 3" xfId="46070"/>
    <cellStyle name="Note 10 3 2 4" xfId="46071"/>
    <cellStyle name="Note 10 3 2 5" xfId="46072"/>
    <cellStyle name="Note 10 3 2 6" xfId="46073"/>
    <cellStyle name="Note 10 3 2 7" xfId="46074"/>
    <cellStyle name="Note 10 3 2 8" xfId="46075"/>
    <cellStyle name="Note 10 3 2 9" xfId="46076"/>
    <cellStyle name="Note 10 3 3" xfId="46077"/>
    <cellStyle name="Note 10 3 4" xfId="46078"/>
    <cellStyle name="Note 10 3 5" xfId="46079"/>
    <cellStyle name="Note 10 3 6" xfId="46080"/>
    <cellStyle name="Note 10 3 7" xfId="46081"/>
    <cellStyle name="Note 10 3 8" xfId="46082"/>
    <cellStyle name="Note 10 3 9" xfId="46083"/>
    <cellStyle name="Note 10 4" xfId="46084"/>
    <cellStyle name="Note 10 4 10" xfId="46085"/>
    <cellStyle name="Note 10 4 11" xfId="46086"/>
    <cellStyle name="Note 10 4 2" xfId="46087"/>
    <cellStyle name="Note 10 4 3" xfId="46088"/>
    <cellStyle name="Note 10 4 4" xfId="46089"/>
    <cellStyle name="Note 10 4 5" xfId="46090"/>
    <cellStyle name="Note 10 4 6" xfId="46091"/>
    <cellStyle name="Note 10 4 7" xfId="46092"/>
    <cellStyle name="Note 10 4 8" xfId="46093"/>
    <cellStyle name="Note 10 4 9" xfId="46094"/>
    <cellStyle name="Note 10 5" xfId="46095"/>
    <cellStyle name="Note 10 6" xfId="46096"/>
    <cellStyle name="Note 10 7" xfId="46097"/>
    <cellStyle name="Note 10 8" xfId="46098"/>
    <cellStyle name="Note 10 9" xfId="46099"/>
    <cellStyle name="Note 11" xfId="46100"/>
    <cellStyle name="Note 11 10" xfId="46101"/>
    <cellStyle name="Note 11 11" xfId="46102"/>
    <cellStyle name="Note 11 12" xfId="46103"/>
    <cellStyle name="Note 11 13" xfId="46104"/>
    <cellStyle name="Note 11 2" xfId="46105"/>
    <cellStyle name="Note 11 2 10" xfId="46106"/>
    <cellStyle name="Note 11 2 11" xfId="46107"/>
    <cellStyle name="Note 11 2 12" xfId="46108"/>
    <cellStyle name="Note 11 2 2" xfId="46109"/>
    <cellStyle name="Note 11 2 2 10" xfId="46110"/>
    <cellStyle name="Note 11 2 2 11" xfId="46111"/>
    <cellStyle name="Note 11 2 2 2" xfId="46112"/>
    <cellStyle name="Note 11 2 2 2 10" xfId="46113"/>
    <cellStyle name="Note 11 2 2 2 11" xfId="46114"/>
    <cellStyle name="Note 11 2 2 2 2" xfId="46115"/>
    <cellStyle name="Note 11 2 2 2 3" xfId="46116"/>
    <cellStyle name="Note 11 2 2 2 4" xfId="46117"/>
    <cellStyle name="Note 11 2 2 2 5" xfId="46118"/>
    <cellStyle name="Note 11 2 2 2 6" xfId="46119"/>
    <cellStyle name="Note 11 2 2 2 7" xfId="46120"/>
    <cellStyle name="Note 11 2 2 2 8" xfId="46121"/>
    <cellStyle name="Note 11 2 2 2 9" xfId="46122"/>
    <cellStyle name="Note 11 2 2 3" xfId="46123"/>
    <cellStyle name="Note 11 2 2 4" xfId="46124"/>
    <cellStyle name="Note 11 2 2 5" xfId="46125"/>
    <cellStyle name="Note 11 2 2 6" xfId="46126"/>
    <cellStyle name="Note 11 2 2 7" xfId="46127"/>
    <cellStyle name="Note 11 2 2 8" xfId="46128"/>
    <cellStyle name="Note 11 2 2 9" xfId="46129"/>
    <cellStyle name="Note 11 2 3" xfId="46130"/>
    <cellStyle name="Note 11 2 3 10" xfId="46131"/>
    <cellStyle name="Note 11 2 3 11" xfId="46132"/>
    <cellStyle name="Note 11 2 3 2" xfId="46133"/>
    <cellStyle name="Note 11 2 3 3" xfId="46134"/>
    <cellStyle name="Note 11 2 3 4" xfId="46135"/>
    <cellStyle name="Note 11 2 3 5" xfId="46136"/>
    <cellStyle name="Note 11 2 3 6" xfId="46137"/>
    <cellStyle name="Note 11 2 3 7" xfId="46138"/>
    <cellStyle name="Note 11 2 3 8" xfId="46139"/>
    <cellStyle name="Note 11 2 3 9" xfId="46140"/>
    <cellStyle name="Note 11 2 4" xfId="46141"/>
    <cellStyle name="Note 11 2 5" xfId="46142"/>
    <cellStyle name="Note 11 2 6" xfId="46143"/>
    <cellStyle name="Note 11 2 7" xfId="46144"/>
    <cellStyle name="Note 11 2 8" xfId="46145"/>
    <cellStyle name="Note 11 2 9" xfId="46146"/>
    <cellStyle name="Note 11 3" xfId="46147"/>
    <cellStyle name="Note 11 3 10" xfId="46148"/>
    <cellStyle name="Note 11 3 11" xfId="46149"/>
    <cellStyle name="Note 11 3 2" xfId="46150"/>
    <cellStyle name="Note 11 3 2 10" xfId="46151"/>
    <cellStyle name="Note 11 3 2 11" xfId="46152"/>
    <cellStyle name="Note 11 3 2 2" xfId="46153"/>
    <cellStyle name="Note 11 3 2 3" xfId="46154"/>
    <cellStyle name="Note 11 3 2 4" xfId="46155"/>
    <cellStyle name="Note 11 3 2 5" xfId="46156"/>
    <cellStyle name="Note 11 3 2 6" xfId="46157"/>
    <cellStyle name="Note 11 3 2 7" xfId="46158"/>
    <cellStyle name="Note 11 3 2 8" xfId="46159"/>
    <cellStyle name="Note 11 3 2 9" xfId="46160"/>
    <cellStyle name="Note 11 3 3" xfId="46161"/>
    <cellStyle name="Note 11 3 4" xfId="46162"/>
    <cellStyle name="Note 11 3 5" xfId="46163"/>
    <cellStyle name="Note 11 3 6" xfId="46164"/>
    <cellStyle name="Note 11 3 7" xfId="46165"/>
    <cellStyle name="Note 11 3 8" xfId="46166"/>
    <cellStyle name="Note 11 3 9" xfId="46167"/>
    <cellStyle name="Note 11 4" xfId="46168"/>
    <cellStyle name="Note 11 4 10" xfId="46169"/>
    <cellStyle name="Note 11 4 11" xfId="46170"/>
    <cellStyle name="Note 11 4 2" xfId="46171"/>
    <cellStyle name="Note 11 4 3" xfId="46172"/>
    <cellStyle name="Note 11 4 4" xfId="46173"/>
    <cellStyle name="Note 11 4 5" xfId="46174"/>
    <cellStyle name="Note 11 4 6" xfId="46175"/>
    <cellStyle name="Note 11 4 7" xfId="46176"/>
    <cellStyle name="Note 11 4 8" xfId="46177"/>
    <cellStyle name="Note 11 4 9" xfId="46178"/>
    <cellStyle name="Note 11 5" xfId="46179"/>
    <cellStyle name="Note 11 6" xfId="46180"/>
    <cellStyle name="Note 11 7" xfId="46181"/>
    <cellStyle name="Note 11 8" xfId="46182"/>
    <cellStyle name="Note 11 9" xfId="46183"/>
    <cellStyle name="Note 12" xfId="46184"/>
    <cellStyle name="Note 12 10" xfId="46185"/>
    <cellStyle name="Note 12 11" xfId="46186"/>
    <cellStyle name="Note 12 12" xfId="46187"/>
    <cellStyle name="Note 12 2" xfId="46188"/>
    <cellStyle name="Note 12 2 10" xfId="46189"/>
    <cellStyle name="Note 12 2 11" xfId="46190"/>
    <cellStyle name="Note 12 2 2" xfId="46191"/>
    <cellStyle name="Note 12 2 2 10" xfId="46192"/>
    <cellStyle name="Note 12 2 2 11" xfId="46193"/>
    <cellStyle name="Note 12 2 2 2" xfId="46194"/>
    <cellStyle name="Note 12 2 2 3" xfId="46195"/>
    <cellStyle name="Note 12 2 2 4" xfId="46196"/>
    <cellStyle name="Note 12 2 2 5" xfId="46197"/>
    <cellStyle name="Note 12 2 2 6" xfId="46198"/>
    <cellStyle name="Note 12 2 2 7" xfId="46199"/>
    <cellStyle name="Note 12 2 2 8" xfId="46200"/>
    <cellStyle name="Note 12 2 2 9" xfId="46201"/>
    <cellStyle name="Note 12 2 3" xfId="46202"/>
    <cellStyle name="Note 12 2 4" xfId="46203"/>
    <cellStyle name="Note 12 2 5" xfId="46204"/>
    <cellStyle name="Note 12 2 6" xfId="46205"/>
    <cellStyle name="Note 12 2 7" xfId="46206"/>
    <cellStyle name="Note 12 2 8" xfId="46207"/>
    <cellStyle name="Note 12 2 9" xfId="46208"/>
    <cellStyle name="Note 12 3" xfId="46209"/>
    <cellStyle name="Note 12 3 10" xfId="46210"/>
    <cellStyle name="Note 12 3 11" xfId="46211"/>
    <cellStyle name="Note 12 3 2" xfId="46212"/>
    <cellStyle name="Note 12 3 3" xfId="46213"/>
    <cellStyle name="Note 12 3 4" xfId="46214"/>
    <cellStyle name="Note 12 3 5" xfId="46215"/>
    <cellStyle name="Note 12 3 6" xfId="46216"/>
    <cellStyle name="Note 12 3 7" xfId="46217"/>
    <cellStyle name="Note 12 3 8" xfId="46218"/>
    <cellStyle name="Note 12 3 9" xfId="46219"/>
    <cellStyle name="Note 12 4" xfId="46220"/>
    <cellStyle name="Note 12 5" xfId="46221"/>
    <cellStyle name="Note 12 6" xfId="46222"/>
    <cellStyle name="Note 12 7" xfId="46223"/>
    <cellStyle name="Note 12 8" xfId="46224"/>
    <cellStyle name="Note 12 9" xfId="46225"/>
    <cellStyle name="Note 13" xfId="46226"/>
    <cellStyle name="Note 13 10" xfId="46227"/>
    <cellStyle name="Note 13 11" xfId="46228"/>
    <cellStyle name="Note 13 12" xfId="46229"/>
    <cellStyle name="Note 13 2" xfId="46230"/>
    <cellStyle name="Note 13 2 10" xfId="46231"/>
    <cellStyle name="Note 13 2 11" xfId="46232"/>
    <cellStyle name="Note 13 2 2" xfId="46233"/>
    <cellStyle name="Note 13 2 2 10" xfId="46234"/>
    <cellStyle name="Note 13 2 2 11" xfId="46235"/>
    <cellStyle name="Note 13 2 2 2" xfId="46236"/>
    <cellStyle name="Note 13 2 2 3" xfId="46237"/>
    <cellStyle name="Note 13 2 2 4" xfId="46238"/>
    <cellStyle name="Note 13 2 2 5" xfId="46239"/>
    <cellStyle name="Note 13 2 2 6" xfId="46240"/>
    <cellStyle name="Note 13 2 2 7" xfId="46241"/>
    <cellStyle name="Note 13 2 2 8" xfId="46242"/>
    <cellStyle name="Note 13 2 2 9" xfId="46243"/>
    <cellStyle name="Note 13 2 3" xfId="46244"/>
    <cellStyle name="Note 13 2 4" xfId="46245"/>
    <cellStyle name="Note 13 2 5" xfId="46246"/>
    <cellStyle name="Note 13 2 6" xfId="46247"/>
    <cellStyle name="Note 13 2 7" xfId="46248"/>
    <cellStyle name="Note 13 2 8" xfId="46249"/>
    <cellStyle name="Note 13 2 9" xfId="46250"/>
    <cellStyle name="Note 13 3" xfId="46251"/>
    <cellStyle name="Note 13 3 10" xfId="46252"/>
    <cellStyle name="Note 13 3 11" xfId="46253"/>
    <cellStyle name="Note 13 3 2" xfId="46254"/>
    <cellStyle name="Note 13 3 3" xfId="46255"/>
    <cellStyle name="Note 13 3 4" xfId="46256"/>
    <cellStyle name="Note 13 3 5" xfId="46257"/>
    <cellStyle name="Note 13 3 6" xfId="46258"/>
    <cellStyle name="Note 13 3 7" xfId="46259"/>
    <cellStyle name="Note 13 3 8" xfId="46260"/>
    <cellStyle name="Note 13 3 9" xfId="46261"/>
    <cellStyle name="Note 13 4" xfId="46262"/>
    <cellStyle name="Note 13 5" xfId="46263"/>
    <cellStyle name="Note 13 6" xfId="46264"/>
    <cellStyle name="Note 13 7" xfId="46265"/>
    <cellStyle name="Note 13 8" xfId="46266"/>
    <cellStyle name="Note 13 9" xfId="46267"/>
    <cellStyle name="Note 14" xfId="46268"/>
    <cellStyle name="Note 14 10" xfId="46269"/>
    <cellStyle name="Note 14 11" xfId="46270"/>
    <cellStyle name="Note 14 2" xfId="46271"/>
    <cellStyle name="Note 14 3" xfId="46272"/>
    <cellStyle name="Note 14 4" xfId="46273"/>
    <cellStyle name="Note 14 5" xfId="46274"/>
    <cellStyle name="Note 14 6" xfId="46275"/>
    <cellStyle name="Note 14 7" xfId="46276"/>
    <cellStyle name="Note 14 8" xfId="46277"/>
    <cellStyle name="Note 14 9" xfId="46278"/>
    <cellStyle name="Note 15" xfId="46279"/>
    <cellStyle name="Note 16" xfId="46280"/>
    <cellStyle name="Note 2" xfId="46281"/>
    <cellStyle name="Note 2 10" xfId="46282"/>
    <cellStyle name="Note 2 10 10" xfId="46283"/>
    <cellStyle name="Note 2 10 11" xfId="46284"/>
    <cellStyle name="Note 2 10 12" xfId="46285"/>
    <cellStyle name="Note 2 10 2" xfId="46286"/>
    <cellStyle name="Note 2 10 2 10" xfId="46287"/>
    <cellStyle name="Note 2 10 2 11" xfId="46288"/>
    <cellStyle name="Note 2 10 2 2" xfId="46289"/>
    <cellStyle name="Note 2 10 2 2 10" xfId="46290"/>
    <cellStyle name="Note 2 10 2 2 11" xfId="46291"/>
    <cellStyle name="Note 2 10 2 2 2" xfId="46292"/>
    <cellStyle name="Note 2 10 2 2 3" xfId="46293"/>
    <cellStyle name="Note 2 10 2 2 4" xfId="46294"/>
    <cellStyle name="Note 2 10 2 2 5" xfId="46295"/>
    <cellStyle name="Note 2 10 2 2 6" xfId="46296"/>
    <cellStyle name="Note 2 10 2 2 7" xfId="46297"/>
    <cellStyle name="Note 2 10 2 2 8" xfId="46298"/>
    <cellStyle name="Note 2 10 2 2 9" xfId="46299"/>
    <cellStyle name="Note 2 10 2 3" xfId="46300"/>
    <cellStyle name="Note 2 10 2 4" xfId="46301"/>
    <cellStyle name="Note 2 10 2 5" xfId="46302"/>
    <cellStyle name="Note 2 10 2 6" xfId="46303"/>
    <cellStyle name="Note 2 10 2 7" xfId="46304"/>
    <cellStyle name="Note 2 10 2 8" xfId="46305"/>
    <cellStyle name="Note 2 10 2 9" xfId="46306"/>
    <cellStyle name="Note 2 10 3" xfId="46307"/>
    <cellStyle name="Note 2 10 3 10" xfId="46308"/>
    <cellStyle name="Note 2 10 3 11" xfId="46309"/>
    <cellStyle name="Note 2 10 3 2" xfId="46310"/>
    <cellStyle name="Note 2 10 3 3" xfId="46311"/>
    <cellStyle name="Note 2 10 3 4" xfId="46312"/>
    <cellStyle name="Note 2 10 3 5" xfId="46313"/>
    <cellStyle name="Note 2 10 3 6" xfId="46314"/>
    <cellStyle name="Note 2 10 3 7" xfId="46315"/>
    <cellStyle name="Note 2 10 3 8" xfId="46316"/>
    <cellStyle name="Note 2 10 3 9" xfId="46317"/>
    <cellStyle name="Note 2 10 4" xfId="46318"/>
    <cellStyle name="Note 2 10 5" xfId="46319"/>
    <cellStyle name="Note 2 10 6" xfId="46320"/>
    <cellStyle name="Note 2 10 7" xfId="46321"/>
    <cellStyle name="Note 2 10 8" xfId="46322"/>
    <cellStyle name="Note 2 10 9" xfId="46323"/>
    <cellStyle name="Note 2 11" xfId="46324"/>
    <cellStyle name="Note 2 11 10" xfId="46325"/>
    <cellStyle name="Note 2 11 11" xfId="46326"/>
    <cellStyle name="Note 2 11 2" xfId="46327"/>
    <cellStyle name="Note 2 11 3" xfId="46328"/>
    <cellStyle name="Note 2 11 4" xfId="46329"/>
    <cellStyle name="Note 2 11 5" xfId="46330"/>
    <cellStyle name="Note 2 11 6" xfId="46331"/>
    <cellStyle name="Note 2 11 7" xfId="46332"/>
    <cellStyle name="Note 2 11 8" xfId="46333"/>
    <cellStyle name="Note 2 11 9" xfId="46334"/>
    <cellStyle name="Note 2 12" xfId="46335"/>
    <cellStyle name="Note 2 13" xfId="46336"/>
    <cellStyle name="Note 2 2" xfId="46337"/>
    <cellStyle name="Note 2 2 10" xfId="46338"/>
    <cellStyle name="Note 2 2 10 10" xfId="46339"/>
    <cellStyle name="Note 2 2 10 11" xfId="46340"/>
    <cellStyle name="Note 2 2 10 2" xfId="46341"/>
    <cellStyle name="Note 2 2 10 3" xfId="46342"/>
    <cellStyle name="Note 2 2 10 4" xfId="46343"/>
    <cellStyle name="Note 2 2 10 5" xfId="46344"/>
    <cellStyle name="Note 2 2 10 6" xfId="46345"/>
    <cellStyle name="Note 2 2 10 7" xfId="46346"/>
    <cellStyle name="Note 2 2 10 8" xfId="46347"/>
    <cellStyle name="Note 2 2 10 9" xfId="46348"/>
    <cellStyle name="Note 2 2 11" xfId="46349"/>
    <cellStyle name="Note 2 2 12" xfId="46350"/>
    <cellStyle name="Note 2 2 2" xfId="46351"/>
    <cellStyle name="Note 2 2 2 10" xfId="46352"/>
    <cellStyle name="Note 2 2 2 11" xfId="46353"/>
    <cellStyle name="Note 2 2 2 12" xfId="46354"/>
    <cellStyle name="Note 2 2 2 13" xfId="46355"/>
    <cellStyle name="Note 2 2 2 2" xfId="46356"/>
    <cellStyle name="Note 2 2 2 2 10" xfId="46357"/>
    <cellStyle name="Note 2 2 2 2 11" xfId="46358"/>
    <cellStyle name="Note 2 2 2 2 12" xfId="46359"/>
    <cellStyle name="Note 2 2 2 2 2" xfId="46360"/>
    <cellStyle name="Note 2 2 2 2 2 10" xfId="46361"/>
    <cellStyle name="Note 2 2 2 2 2 11" xfId="46362"/>
    <cellStyle name="Note 2 2 2 2 2 2" xfId="46363"/>
    <cellStyle name="Note 2 2 2 2 2 2 10" xfId="46364"/>
    <cellStyle name="Note 2 2 2 2 2 2 11" xfId="46365"/>
    <cellStyle name="Note 2 2 2 2 2 2 2" xfId="46366"/>
    <cellStyle name="Note 2 2 2 2 2 2 3" xfId="46367"/>
    <cellStyle name="Note 2 2 2 2 2 2 4" xfId="46368"/>
    <cellStyle name="Note 2 2 2 2 2 2 5" xfId="46369"/>
    <cellStyle name="Note 2 2 2 2 2 2 6" xfId="46370"/>
    <cellStyle name="Note 2 2 2 2 2 2 7" xfId="46371"/>
    <cellStyle name="Note 2 2 2 2 2 2 8" xfId="46372"/>
    <cellStyle name="Note 2 2 2 2 2 2 9" xfId="46373"/>
    <cellStyle name="Note 2 2 2 2 2 3" xfId="46374"/>
    <cellStyle name="Note 2 2 2 2 2 4" xfId="46375"/>
    <cellStyle name="Note 2 2 2 2 2 5" xfId="46376"/>
    <cellStyle name="Note 2 2 2 2 2 6" xfId="46377"/>
    <cellStyle name="Note 2 2 2 2 2 7" xfId="46378"/>
    <cellStyle name="Note 2 2 2 2 2 8" xfId="46379"/>
    <cellStyle name="Note 2 2 2 2 2 9" xfId="46380"/>
    <cellStyle name="Note 2 2 2 2 3" xfId="46381"/>
    <cellStyle name="Note 2 2 2 2 3 10" xfId="46382"/>
    <cellStyle name="Note 2 2 2 2 3 11" xfId="46383"/>
    <cellStyle name="Note 2 2 2 2 3 2" xfId="46384"/>
    <cellStyle name="Note 2 2 2 2 3 3" xfId="46385"/>
    <cellStyle name="Note 2 2 2 2 3 4" xfId="46386"/>
    <cellStyle name="Note 2 2 2 2 3 5" xfId="46387"/>
    <cellStyle name="Note 2 2 2 2 3 6" xfId="46388"/>
    <cellStyle name="Note 2 2 2 2 3 7" xfId="46389"/>
    <cellStyle name="Note 2 2 2 2 3 8" xfId="46390"/>
    <cellStyle name="Note 2 2 2 2 3 9" xfId="46391"/>
    <cellStyle name="Note 2 2 2 2 4" xfId="46392"/>
    <cellStyle name="Note 2 2 2 2 5" xfId="46393"/>
    <cellStyle name="Note 2 2 2 2 6" xfId="46394"/>
    <cellStyle name="Note 2 2 2 2 7" xfId="46395"/>
    <cellStyle name="Note 2 2 2 2 8" xfId="46396"/>
    <cellStyle name="Note 2 2 2 2 9" xfId="46397"/>
    <cellStyle name="Note 2 2 2 3" xfId="46398"/>
    <cellStyle name="Note 2 2 2 3 10" xfId="46399"/>
    <cellStyle name="Note 2 2 2 3 11" xfId="46400"/>
    <cellStyle name="Note 2 2 2 3 2" xfId="46401"/>
    <cellStyle name="Note 2 2 2 3 2 10" xfId="46402"/>
    <cellStyle name="Note 2 2 2 3 2 11" xfId="46403"/>
    <cellStyle name="Note 2 2 2 3 2 2" xfId="46404"/>
    <cellStyle name="Note 2 2 2 3 2 3" xfId="46405"/>
    <cellStyle name="Note 2 2 2 3 2 4" xfId="46406"/>
    <cellStyle name="Note 2 2 2 3 2 5" xfId="46407"/>
    <cellStyle name="Note 2 2 2 3 2 6" xfId="46408"/>
    <cellStyle name="Note 2 2 2 3 2 7" xfId="46409"/>
    <cellStyle name="Note 2 2 2 3 2 8" xfId="46410"/>
    <cellStyle name="Note 2 2 2 3 2 9" xfId="46411"/>
    <cellStyle name="Note 2 2 2 3 3" xfId="46412"/>
    <cellStyle name="Note 2 2 2 3 4" xfId="46413"/>
    <cellStyle name="Note 2 2 2 3 5" xfId="46414"/>
    <cellStyle name="Note 2 2 2 3 6" xfId="46415"/>
    <cellStyle name="Note 2 2 2 3 7" xfId="46416"/>
    <cellStyle name="Note 2 2 2 3 8" xfId="46417"/>
    <cellStyle name="Note 2 2 2 3 9" xfId="46418"/>
    <cellStyle name="Note 2 2 2 4" xfId="46419"/>
    <cellStyle name="Note 2 2 2 4 10" xfId="46420"/>
    <cellStyle name="Note 2 2 2 4 11" xfId="46421"/>
    <cellStyle name="Note 2 2 2 4 2" xfId="46422"/>
    <cellStyle name="Note 2 2 2 4 3" xfId="46423"/>
    <cellStyle name="Note 2 2 2 4 4" xfId="46424"/>
    <cellStyle name="Note 2 2 2 4 5" xfId="46425"/>
    <cellStyle name="Note 2 2 2 4 6" xfId="46426"/>
    <cellStyle name="Note 2 2 2 4 7" xfId="46427"/>
    <cellStyle name="Note 2 2 2 4 8" xfId="46428"/>
    <cellStyle name="Note 2 2 2 4 9" xfId="46429"/>
    <cellStyle name="Note 2 2 2 5" xfId="46430"/>
    <cellStyle name="Note 2 2 2 6" xfId="46431"/>
    <cellStyle name="Note 2 2 2 7" xfId="46432"/>
    <cellStyle name="Note 2 2 2 8" xfId="46433"/>
    <cellStyle name="Note 2 2 2 9" xfId="46434"/>
    <cellStyle name="Note 2 2 3" xfId="46435"/>
    <cellStyle name="Note 2 2 3 10" xfId="46436"/>
    <cellStyle name="Note 2 2 3 11" xfId="46437"/>
    <cellStyle name="Note 2 2 3 12" xfId="46438"/>
    <cellStyle name="Note 2 2 3 13" xfId="46439"/>
    <cellStyle name="Note 2 2 3 2" xfId="46440"/>
    <cellStyle name="Note 2 2 3 2 10" xfId="46441"/>
    <cellStyle name="Note 2 2 3 2 11" xfId="46442"/>
    <cellStyle name="Note 2 2 3 2 12" xfId="46443"/>
    <cellStyle name="Note 2 2 3 2 2" xfId="46444"/>
    <cellStyle name="Note 2 2 3 2 2 10" xfId="46445"/>
    <cellStyle name="Note 2 2 3 2 2 11" xfId="46446"/>
    <cellStyle name="Note 2 2 3 2 2 2" xfId="46447"/>
    <cellStyle name="Note 2 2 3 2 2 2 10" xfId="46448"/>
    <cellStyle name="Note 2 2 3 2 2 2 11" xfId="46449"/>
    <cellStyle name="Note 2 2 3 2 2 2 2" xfId="46450"/>
    <cellStyle name="Note 2 2 3 2 2 2 3" xfId="46451"/>
    <cellStyle name="Note 2 2 3 2 2 2 4" xfId="46452"/>
    <cellStyle name="Note 2 2 3 2 2 2 5" xfId="46453"/>
    <cellStyle name="Note 2 2 3 2 2 2 6" xfId="46454"/>
    <cellStyle name="Note 2 2 3 2 2 2 7" xfId="46455"/>
    <cellStyle name="Note 2 2 3 2 2 2 8" xfId="46456"/>
    <cellStyle name="Note 2 2 3 2 2 2 9" xfId="46457"/>
    <cellStyle name="Note 2 2 3 2 2 3" xfId="46458"/>
    <cellStyle name="Note 2 2 3 2 2 4" xfId="46459"/>
    <cellStyle name="Note 2 2 3 2 2 5" xfId="46460"/>
    <cellStyle name="Note 2 2 3 2 2 6" xfId="46461"/>
    <cellStyle name="Note 2 2 3 2 2 7" xfId="46462"/>
    <cellStyle name="Note 2 2 3 2 2 8" xfId="46463"/>
    <cellStyle name="Note 2 2 3 2 2 9" xfId="46464"/>
    <cellStyle name="Note 2 2 3 2 3" xfId="46465"/>
    <cellStyle name="Note 2 2 3 2 3 10" xfId="46466"/>
    <cellStyle name="Note 2 2 3 2 3 11" xfId="46467"/>
    <cellStyle name="Note 2 2 3 2 3 2" xfId="46468"/>
    <cellStyle name="Note 2 2 3 2 3 3" xfId="46469"/>
    <cellStyle name="Note 2 2 3 2 3 4" xfId="46470"/>
    <cellStyle name="Note 2 2 3 2 3 5" xfId="46471"/>
    <cellStyle name="Note 2 2 3 2 3 6" xfId="46472"/>
    <cellStyle name="Note 2 2 3 2 3 7" xfId="46473"/>
    <cellStyle name="Note 2 2 3 2 3 8" xfId="46474"/>
    <cellStyle name="Note 2 2 3 2 3 9" xfId="46475"/>
    <cellStyle name="Note 2 2 3 2 4" xfId="46476"/>
    <cellStyle name="Note 2 2 3 2 5" xfId="46477"/>
    <cellStyle name="Note 2 2 3 2 6" xfId="46478"/>
    <cellStyle name="Note 2 2 3 2 7" xfId="46479"/>
    <cellStyle name="Note 2 2 3 2 8" xfId="46480"/>
    <cellStyle name="Note 2 2 3 2 9" xfId="46481"/>
    <cellStyle name="Note 2 2 3 3" xfId="46482"/>
    <cellStyle name="Note 2 2 3 3 10" xfId="46483"/>
    <cellStyle name="Note 2 2 3 3 11" xfId="46484"/>
    <cellStyle name="Note 2 2 3 3 2" xfId="46485"/>
    <cellStyle name="Note 2 2 3 3 2 10" xfId="46486"/>
    <cellStyle name="Note 2 2 3 3 2 11" xfId="46487"/>
    <cellStyle name="Note 2 2 3 3 2 2" xfId="46488"/>
    <cellStyle name="Note 2 2 3 3 2 3" xfId="46489"/>
    <cellStyle name="Note 2 2 3 3 2 4" xfId="46490"/>
    <cellStyle name="Note 2 2 3 3 2 5" xfId="46491"/>
    <cellStyle name="Note 2 2 3 3 2 6" xfId="46492"/>
    <cellStyle name="Note 2 2 3 3 2 7" xfId="46493"/>
    <cellStyle name="Note 2 2 3 3 2 8" xfId="46494"/>
    <cellStyle name="Note 2 2 3 3 2 9" xfId="46495"/>
    <cellStyle name="Note 2 2 3 3 3" xfId="46496"/>
    <cellStyle name="Note 2 2 3 3 4" xfId="46497"/>
    <cellStyle name="Note 2 2 3 3 5" xfId="46498"/>
    <cellStyle name="Note 2 2 3 3 6" xfId="46499"/>
    <cellStyle name="Note 2 2 3 3 7" xfId="46500"/>
    <cellStyle name="Note 2 2 3 3 8" xfId="46501"/>
    <cellStyle name="Note 2 2 3 3 9" xfId="46502"/>
    <cellStyle name="Note 2 2 3 4" xfId="46503"/>
    <cellStyle name="Note 2 2 3 4 10" xfId="46504"/>
    <cellStyle name="Note 2 2 3 4 11" xfId="46505"/>
    <cellStyle name="Note 2 2 3 4 2" xfId="46506"/>
    <cellStyle name="Note 2 2 3 4 3" xfId="46507"/>
    <cellStyle name="Note 2 2 3 4 4" xfId="46508"/>
    <cellStyle name="Note 2 2 3 4 5" xfId="46509"/>
    <cellStyle name="Note 2 2 3 4 6" xfId="46510"/>
    <cellStyle name="Note 2 2 3 4 7" xfId="46511"/>
    <cellStyle name="Note 2 2 3 4 8" xfId="46512"/>
    <cellStyle name="Note 2 2 3 4 9" xfId="46513"/>
    <cellStyle name="Note 2 2 3 5" xfId="46514"/>
    <cellStyle name="Note 2 2 3 6" xfId="46515"/>
    <cellStyle name="Note 2 2 3 7" xfId="46516"/>
    <cellStyle name="Note 2 2 3 8" xfId="46517"/>
    <cellStyle name="Note 2 2 3 9" xfId="46518"/>
    <cellStyle name="Note 2 2 4" xfId="46519"/>
    <cellStyle name="Note 2 2 4 10" xfId="46520"/>
    <cellStyle name="Note 2 2 4 11" xfId="46521"/>
    <cellStyle name="Note 2 2 4 12" xfId="46522"/>
    <cellStyle name="Note 2 2 4 13" xfId="46523"/>
    <cellStyle name="Note 2 2 4 2" xfId="46524"/>
    <cellStyle name="Note 2 2 4 2 10" xfId="46525"/>
    <cellStyle name="Note 2 2 4 2 11" xfId="46526"/>
    <cellStyle name="Note 2 2 4 2 12" xfId="46527"/>
    <cellStyle name="Note 2 2 4 2 2" xfId="46528"/>
    <cellStyle name="Note 2 2 4 2 2 10" xfId="46529"/>
    <cellStyle name="Note 2 2 4 2 2 11" xfId="46530"/>
    <cellStyle name="Note 2 2 4 2 2 2" xfId="46531"/>
    <cellStyle name="Note 2 2 4 2 2 2 10" xfId="46532"/>
    <cellStyle name="Note 2 2 4 2 2 2 11" xfId="46533"/>
    <cellStyle name="Note 2 2 4 2 2 2 2" xfId="46534"/>
    <cellStyle name="Note 2 2 4 2 2 2 3" xfId="46535"/>
    <cellStyle name="Note 2 2 4 2 2 2 4" xfId="46536"/>
    <cellStyle name="Note 2 2 4 2 2 2 5" xfId="46537"/>
    <cellStyle name="Note 2 2 4 2 2 2 6" xfId="46538"/>
    <cellStyle name="Note 2 2 4 2 2 2 7" xfId="46539"/>
    <cellStyle name="Note 2 2 4 2 2 2 8" xfId="46540"/>
    <cellStyle name="Note 2 2 4 2 2 2 9" xfId="46541"/>
    <cellStyle name="Note 2 2 4 2 2 3" xfId="46542"/>
    <cellStyle name="Note 2 2 4 2 2 4" xfId="46543"/>
    <cellStyle name="Note 2 2 4 2 2 5" xfId="46544"/>
    <cellStyle name="Note 2 2 4 2 2 6" xfId="46545"/>
    <cellStyle name="Note 2 2 4 2 2 7" xfId="46546"/>
    <cellStyle name="Note 2 2 4 2 2 8" xfId="46547"/>
    <cellStyle name="Note 2 2 4 2 2 9" xfId="46548"/>
    <cellStyle name="Note 2 2 4 2 3" xfId="46549"/>
    <cellStyle name="Note 2 2 4 2 3 10" xfId="46550"/>
    <cellStyle name="Note 2 2 4 2 3 11" xfId="46551"/>
    <cellStyle name="Note 2 2 4 2 3 2" xfId="46552"/>
    <cellStyle name="Note 2 2 4 2 3 3" xfId="46553"/>
    <cellStyle name="Note 2 2 4 2 3 4" xfId="46554"/>
    <cellStyle name="Note 2 2 4 2 3 5" xfId="46555"/>
    <cellStyle name="Note 2 2 4 2 3 6" xfId="46556"/>
    <cellStyle name="Note 2 2 4 2 3 7" xfId="46557"/>
    <cellStyle name="Note 2 2 4 2 3 8" xfId="46558"/>
    <cellStyle name="Note 2 2 4 2 3 9" xfId="46559"/>
    <cellStyle name="Note 2 2 4 2 4" xfId="46560"/>
    <cellStyle name="Note 2 2 4 2 5" xfId="46561"/>
    <cellStyle name="Note 2 2 4 2 6" xfId="46562"/>
    <cellStyle name="Note 2 2 4 2 7" xfId="46563"/>
    <cellStyle name="Note 2 2 4 2 8" xfId="46564"/>
    <cellStyle name="Note 2 2 4 2 9" xfId="46565"/>
    <cellStyle name="Note 2 2 4 3" xfId="46566"/>
    <cellStyle name="Note 2 2 4 3 10" xfId="46567"/>
    <cellStyle name="Note 2 2 4 3 11" xfId="46568"/>
    <cellStyle name="Note 2 2 4 3 2" xfId="46569"/>
    <cellStyle name="Note 2 2 4 3 2 10" xfId="46570"/>
    <cellStyle name="Note 2 2 4 3 2 11" xfId="46571"/>
    <cellStyle name="Note 2 2 4 3 2 2" xfId="46572"/>
    <cellStyle name="Note 2 2 4 3 2 3" xfId="46573"/>
    <cellStyle name="Note 2 2 4 3 2 4" xfId="46574"/>
    <cellStyle name="Note 2 2 4 3 2 5" xfId="46575"/>
    <cellStyle name="Note 2 2 4 3 2 6" xfId="46576"/>
    <cellStyle name="Note 2 2 4 3 2 7" xfId="46577"/>
    <cellStyle name="Note 2 2 4 3 2 8" xfId="46578"/>
    <cellStyle name="Note 2 2 4 3 2 9" xfId="46579"/>
    <cellStyle name="Note 2 2 4 3 3" xfId="46580"/>
    <cellStyle name="Note 2 2 4 3 4" xfId="46581"/>
    <cellStyle name="Note 2 2 4 3 5" xfId="46582"/>
    <cellStyle name="Note 2 2 4 3 6" xfId="46583"/>
    <cellStyle name="Note 2 2 4 3 7" xfId="46584"/>
    <cellStyle name="Note 2 2 4 3 8" xfId="46585"/>
    <cellStyle name="Note 2 2 4 3 9" xfId="46586"/>
    <cellStyle name="Note 2 2 4 4" xfId="46587"/>
    <cellStyle name="Note 2 2 4 4 10" xfId="46588"/>
    <cellStyle name="Note 2 2 4 4 11" xfId="46589"/>
    <cellStyle name="Note 2 2 4 4 2" xfId="46590"/>
    <cellStyle name="Note 2 2 4 4 3" xfId="46591"/>
    <cellStyle name="Note 2 2 4 4 4" xfId="46592"/>
    <cellStyle name="Note 2 2 4 4 5" xfId="46593"/>
    <cellStyle name="Note 2 2 4 4 6" xfId="46594"/>
    <cellStyle name="Note 2 2 4 4 7" xfId="46595"/>
    <cellStyle name="Note 2 2 4 4 8" xfId="46596"/>
    <cellStyle name="Note 2 2 4 4 9" xfId="46597"/>
    <cellStyle name="Note 2 2 4 5" xfId="46598"/>
    <cellStyle name="Note 2 2 4 6" xfId="46599"/>
    <cellStyle name="Note 2 2 4 7" xfId="46600"/>
    <cellStyle name="Note 2 2 4 8" xfId="46601"/>
    <cellStyle name="Note 2 2 4 9" xfId="46602"/>
    <cellStyle name="Note 2 2 5" xfId="46603"/>
    <cellStyle name="Note 2 2 5 10" xfId="46604"/>
    <cellStyle name="Note 2 2 5 11" xfId="46605"/>
    <cellStyle name="Note 2 2 5 12" xfId="46606"/>
    <cellStyle name="Note 2 2 5 13" xfId="46607"/>
    <cellStyle name="Note 2 2 5 2" xfId="46608"/>
    <cellStyle name="Note 2 2 5 2 10" xfId="46609"/>
    <cellStyle name="Note 2 2 5 2 11" xfId="46610"/>
    <cellStyle name="Note 2 2 5 2 12" xfId="46611"/>
    <cellStyle name="Note 2 2 5 2 2" xfId="46612"/>
    <cellStyle name="Note 2 2 5 2 2 10" xfId="46613"/>
    <cellStyle name="Note 2 2 5 2 2 11" xfId="46614"/>
    <cellStyle name="Note 2 2 5 2 2 2" xfId="46615"/>
    <cellStyle name="Note 2 2 5 2 2 2 10" xfId="46616"/>
    <cellStyle name="Note 2 2 5 2 2 2 11" xfId="46617"/>
    <cellStyle name="Note 2 2 5 2 2 2 2" xfId="46618"/>
    <cellStyle name="Note 2 2 5 2 2 2 3" xfId="46619"/>
    <cellStyle name="Note 2 2 5 2 2 2 4" xfId="46620"/>
    <cellStyle name="Note 2 2 5 2 2 2 5" xfId="46621"/>
    <cellStyle name="Note 2 2 5 2 2 2 6" xfId="46622"/>
    <cellStyle name="Note 2 2 5 2 2 2 7" xfId="46623"/>
    <cellStyle name="Note 2 2 5 2 2 2 8" xfId="46624"/>
    <cellStyle name="Note 2 2 5 2 2 2 9" xfId="46625"/>
    <cellStyle name="Note 2 2 5 2 2 3" xfId="46626"/>
    <cellStyle name="Note 2 2 5 2 2 4" xfId="46627"/>
    <cellStyle name="Note 2 2 5 2 2 5" xfId="46628"/>
    <cellStyle name="Note 2 2 5 2 2 6" xfId="46629"/>
    <cellStyle name="Note 2 2 5 2 2 7" xfId="46630"/>
    <cellStyle name="Note 2 2 5 2 2 8" xfId="46631"/>
    <cellStyle name="Note 2 2 5 2 2 9" xfId="46632"/>
    <cellStyle name="Note 2 2 5 2 3" xfId="46633"/>
    <cellStyle name="Note 2 2 5 2 3 10" xfId="46634"/>
    <cellStyle name="Note 2 2 5 2 3 11" xfId="46635"/>
    <cellStyle name="Note 2 2 5 2 3 2" xfId="46636"/>
    <cellStyle name="Note 2 2 5 2 3 3" xfId="46637"/>
    <cellStyle name="Note 2 2 5 2 3 4" xfId="46638"/>
    <cellStyle name="Note 2 2 5 2 3 5" xfId="46639"/>
    <cellStyle name="Note 2 2 5 2 3 6" xfId="46640"/>
    <cellStyle name="Note 2 2 5 2 3 7" xfId="46641"/>
    <cellStyle name="Note 2 2 5 2 3 8" xfId="46642"/>
    <cellStyle name="Note 2 2 5 2 3 9" xfId="46643"/>
    <cellStyle name="Note 2 2 5 2 4" xfId="46644"/>
    <cellStyle name="Note 2 2 5 2 5" xfId="46645"/>
    <cellStyle name="Note 2 2 5 2 6" xfId="46646"/>
    <cellStyle name="Note 2 2 5 2 7" xfId="46647"/>
    <cellStyle name="Note 2 2 5 2 8" xfId="46648"/>
    <cellStyle name="Note 2 2 5 2 9" xfId="46649"/>
    <cellStyle name="Note 2 2 5 3" xfId="46650"/>
    <cellStyle name="Note 2 2 5 3 10" xfId="46651"/>
    <cellStyle name="Note 2 2 5 3 11" xfId="46652"/>
    <cellStyle name="Note 2 2 5 3 2" xfId="46653"/>
    <cellStyle name="Note 2 2 5 3 2 10" xfId="46654"/>
    <cellStyle name="Note 2 2 5 3 2 11" xfId="46655"/>
    <cellStyle name="Note 2 2 5 3 2 2" xfId="46656"/>
    <cellStyle name="Note 2 2 5 3 2 3" xfId="46657"/>
    <cellStyle name="Note 2 2 5 3 2 4" xfId="46658"/>
    <cellStyle name="Note 2 2 5 3 2 5" xfId="46659"/>
    <cellStyle name="Note 2 2 5 3 2 6" xfId="46660"/>
    <cellStyle name="Note 2 2 5 3 2 7" xfId="46661"/>
    <cellStyle name="Note 2 2 5 3 2 8" xfId="46662"/>
    <cellStyle name="Note 2 2 5 3 2 9" xfId="46663"/>
    <cellStyle name="Note 2 2 5 3 3" xfId="46664"/>
    <cellStyle name="Note 2 2 5 3 4" xfId="46665"/>
    <cellStyle name="Note 2 2 5 3 5" xfId="46666"/>
    <cellStyle name="Note 2 2 5 3 6" xfId="46667"/>
    <cellStyle name="Note 2 2 5 3 7" xfId="46668"/>
    <cellStyle name="Note 2 2 5 3 8" xfId="46669"/>
    <cellStyle name="Note 2 2 5 3 9" xfId="46670"/>
    <cellStyle name="Note 2 2 5 4" xfId="46671"/>
    <cellStyle name="Note 2 2 5 4 10" xfId="46672"/>
    <cellStyle name="Note 2 2 5 4 11" xfId="46673"/>
    <cellStyle name="Note 2 2 5 4 2" xfId="46674"/>
    <cellStyle name="Note 2 2 5 4 3" xfId="46675"/>
    <cellStyle name="Note 2 2 5 4 4" xfId="46676"/>
    <cellStyle name="Note 2 2 5 4 5" xfId="46677"/>
    <cellStyle name="Note 2 2 5 4 6" xfId="46678"/>
    <cellStyle name="Note 2 2 5 4 7" xfId="46679"/>
    <cellStyle name="Note 2 2 5 4 8" xfId="46680"/>
    <cellStyle name="Note 2 2 5 4 9" xfId="46681"/>
    <cellStyle name="Note 2 2 5 5" xfId="46682"/>
    <cellStyle name="Note 2 2 5 6" xfId="46683"/>
    <cellStyle name="Note 2 2 5 7" xfId="46684"/>
    <cellStyle name="Note 2 2 5 8" xfId="46685"/>
    <cellStyle name="Note 2 2 5 9" xfId="46686"/>
    <cellStyle name="Note 2 2 6" xfId="46687"/>
    <cellStyle name="Note 2 2 6 10" xfId="46688"/>
    <cellStyle name="Note 2 2 6 11" xfId="46689"/>
    <cellStyle name="Note 2 2 6 12" xfId="46690"/>
    <cellStyle name="Note 2 2 6 13" xfId="46691"/>
    <cellStyle name="Note 2 2 6 2" xfId="46692"/>
    <cellStyle name="Note 2 2 6 2 10" xfId="46693"/>
    <cellStyle name="Note 2 2 6 2 11" xfId="46694"/>
    <cellStyle name="Note 2 2 6 2 12" xfId="46695"/>
    <cellStyle name="Note 2 2 6 2 2" xfId="46696"/>
    <cellStyle name="Note 2 2 6 2 2 10" xfId="46697"/>
    <cellStyle name="Note 2 2 6 2 2 11" xfId="46698"/>
    <cellStyle name="Note 2 2 6 2 2 2" xfId="46699"/>
    <cellStyle name="Note 2 2 6 2 2 2 10" xfId="46700"/>
    <cellStyle name="Note 2 2 6 2 2 2 11" xfId="46701"/>
    <cellStyle name="Note 2 2 6 2 2 2 2" xfId="46702"/>
    <cellStyle name="Note 2 2 6 2 2 2 3" xfId="46703"/>
    <cellStyle name="Note 2 2 6 2 2 2 4" xfId="46704"/>
    <cellStyle name="Note 2 2 6 2 2 2 5" xfId="46705"/>
    <cellStyle name="Note 2 2 6 2 2 2 6" xfId="46706"/>
    <cellStyle name="Note 2 2 6 2 2 2 7" xfId="46707"/>
    <cellStyle name="Note 2 2 6 2 2 2 8" xfId="46708"/>
    <cellStyle name="Note 2 2 6 2 2 2 9" xfId="46709"/>
    <cellStyle name="Note 2 2 6 2 2 3" xfId="46710"/>
    <cellStyle name="Note 2 2 6 2 2 4" xfId="46711"/>
    <cellStyle name="Note 2 2 6 2 2 5" xfId="46712"/>
    <cellStyle name="Note 2 2 6 2 2 6" xfId="46713"/>
    <cellStyle name="Note 2 2 6 2 2 7" xfId="46714"/>
    <cellStyle name="Note 2 2 6 2 2 8" xfId="46715"/>
    <cellStyle name="Note 2 2 6 2 2 9" xfId="46716"/>
    <cellStyle name="Note 2 2 6 2 3" xfId="46717"/>
    <cellStyle name="Note 2 2 6 2 3 10" xfId="46718"/>
    <cellStyle name="Note 2 2 6 2 3 11" xfId="46719"/>
    <cellStyle name="Note 2 2 6 2 3 2" xfId="46720"/>
    <cellStyle name="Note 2 2 6 2 3 3" xfId="46721"/>
    <cellStyle name="Note 2 2 6 2 3 4" xfId="46722"/>
    <cellStyle name="Note 2 2 6 2 3 5" xfId="46723"/>
    <cellStyle name="Note 2 2 6 2 3 6" xfId="46724"/>
    <cellStyle name="Note 2 2 6 2 3 7" xfId="46725"/>
    <cellStyle name="Note 2 2 6 2 3 8" xfId="46726"/>
    <cellStyle name="Note 2 2 6 2 3 9" xfId="46727"/>
    <cellStyle name="Note 2 2 6 2 4" xfId="46728"/>
    <cellStyle name="Note 2 2 6 2 5" xfId="46729"/>
    <cellStyle name="Note 2 2 6 2 6" xfId="46730"/>
    <cellStyle name="Note 2 2 6 2 7" xfId="46731"/>
    <cellStyle name="Note 2 2 6 2 8" xfId="46732"/>
    <cellStyle name="Note 2 2 6 2 9" xfId="46733"/>
    <cellStyle name="Note 2 2 6 3" xfId="46734"/>
    <cellStyle name="Note 2 2 6 3 10" xfId="46735"/>
    <cellStyle name="Note 2 2 6 3 11" xfId="46736"/>
    <cellStyle name="Note 2 2 6 3 2" xfId="46737"/>
    <cellStyle name="Note 2 2 6 3 2 10" xfId="46738"/>
    <cellStyle name="Note 2 2 6 3 2 11" xfId="46739"/>
    <cellStyle name="Note 2 2 6 3 2 2" xfId="46740"/>
    <cellStyle name="Note 2 2 6 3 2 3" xfId="46741"/>
    <cellStyle name="Note 2 2 6 3 2 4" xfId="46742"/>
    <cellStyle name="Note 2 2 6 3 2 5" xfId="46743"/>
    <cellStyle name="Note 2 2 6 3 2 6" xfId="46744"/>
    <cellStyle name="Note 2 2 6 3 2 7" xfId="46745"/>
    <cellStyle name="Note 2 2 6 3 2 8" xfId="46746"/>
    <cellStyle name="Note 2 2 6 3 2 9" xfId="46747"/>
    <cellStyle name="Note 2 2 6 3 3" xfId="46748"/>
    <cellStyle name="Note 2 2 6 3 4" xfId="46749"/>
    <cellStyle name="Note 2 2 6 3 5" xfId="46750"/>
    <cellStyle name="Note 2 2 6 3 6" xfId="46751"/>
    <cellStyle name="Note 2 2 6 3 7" xfId="46752"/>
    <cellStyle name="Note 2 2 6 3 8" xfId="46753"/>
    <cellStyle name="Note 2 2 6 3 9" xfId="46754"/>
    <cellStyle name="Note 2 2 6 4" xfId="46755"/>
    <cellStyle name="Note 2 2 6 4 10" xfId="46756"/>
    <cellStyle name="Note 2 2 6 4 11" xfId="46757"/>
    <cellStyle name="Note 2 2 6 4 2" xfId="46758"/>
    <cellStyle name="Note 2 2 6 4 3" xfId="46759"/>
    <cellStyle name="Note 2 2 6 4 4" xfId="46760"/>
    <cellStyle name="Note 2 2 6 4 5" xfId="46761"/>
    <cellStyle name="Note 2 2 6 4 6" xfId="46762"/>
    <cellStyle name="Note 2 2 6 4 7" xfId="46763"/>
    <cellStyle name="Note 2 2 6 4 8" xfId="46764"/>
    <cellStyle name="Note 2 2 6 4 9" xfId="46765"/>
    <cellStyle name="Note 2 2 6 5" xfId="46766"/>
    <cellStyle name="Note 2 2 6 6" xfId="46767"/>
    <cellStyle name="Note 2 2 6 7" xfId="46768"/>
    <cellStyle name="Note 2 2 6 8" xfId="46769"/>
    <cellStyle name="Note 2 2 6 9" xfId="46770"/>
    <cellStyle name="Note 2 2 7" xfId="46771"/>
    <cellStyle name="Note 2 2 7 10" xfId="46772"/>
    <cellStyle name="Note 2 2 7 11" xfId="46773"/>
    <cellStyle name="Note 2 2 7 12" xfId="46774"/>
    <cellStyle name="Note 2 2 7 13" xfId="46775"/>
    <cellStyle name="Note 2 2 7 2" xfId="46776"/>
    <cellStyle name="Note 2 2 7 2 10" xfId="46777"/>
    <cellStyle name="Note 2 2 7 2 11" xfId="46778"/>
    <cellStyle name="Note 2 2 7 2 12" xfId="46779"/>
    <cellStyle name="Note 2 2 7 2 2" xfId="46780"/>
    <cellStyle name="Note 2 2 7 2 2 10" xfId="46781"/>
    <cellStyle name="Note 2 2 7 2 2 11" xfId="46782"/>
    <cellStyle name="Note 2 2 7 2 2 2" xfId="46783"/>
    <cellStyle name="Note 2 2 7 2 2 2 10" xfId="46784"/>
    <cellStyle name="Note 2 2 7 2 2 2 11" xfId="46785"/>
    <cellStyle name="Note 2 2 7 2 2 2 2" xfId="46786"/>
    <cellStyle name="Note 2 2 7 2 2 2 3" xfId="46787"/>
    <cellStyle name="Note 2 2 7 2 2 2 4" xfId="46788"/>
    <cellStyle name="Note 2 2 7 2 2 2 5" xfId="46789"/>
    <cellStyle name="Note 2 2 7 2 2 2 6" xfId="46790"/>
    <cellStyle name="Note 2 2 7 2 2 2 7" xfId="46791"/>
    <cellStyle name="Note 2 2 7 2 2 2 8" xfId="46792"/>
    <cellStyle name="Note 2 2 7 2 2 2 9" xfId="46793"/>
    <cellStyle name="Note 2 2 7 2 2 3" xfId="46794"/>
    <cellStyle name="Note 2 2 7 2 2 4" xfId="46795"/>
    <cellStyle name="Note 2 2 7 2 2 5" xfId="46796"/>
    <cellStyle name="Note 2 2 7 2 2 6" xfId="46797"/>
    <cellStyle name="Note 2 2 7 2 2 7" xfId="46798"/>
    <cellStyle name="Note 2 2 7 2 2 8" xfId="46799"/>
    <cellStyle name="Note 2 2 7 2 2 9" xfId="46800"/>
    <cellStyle name="Note 2 2 7 2 3" xfId="46801"/>
    <cellStyle name="Note 2 2 7 2 3 10" xfId="46802"/>
    <cellStyle name="Note 2 2 7 2 3 11" xfId="46803"/>
    <cellStyle name="Note 2 2 7 2 3 2" xfId="46804"/>
    <cellStyle name="Note 2 2 7 2 3 3" xfId="46805"/>
    <cellStyle name="Note 2 2 7 2 3 4" xfId="46806"/>
    <cellStyle name="Note 2 2 7 2 3 5" xfId="46807"/>
    <cellStyle name="Note 2 2 7 2 3 6" xfId="46808"/>
    <cellStyle name="Note 2 2 7 2 3 7" xfId="46809"/>
    <cellStyle name="Note 2 2 7 2 3 8" xfId="46810"/>
    <cellStyle name="Note 2 2 7 2 3 9" xfId="46811"/>
    <cellStyle name="Note 2 2 7 2 4" xfId="46812"/>
    <cellStyle name="Note 2 2 7 2 5" xfId="46813"/>
    <cellStyle name="Note 2 2 7 2 6" xfId="46814"/>
    <cellStyle name="Note 2 2 7 2 7" xfId="46815"/>
    <cellStyle name="Note 2 2 7 2 8" xfId="46816"/>
    <cellStyle name="Note 2 2 7 2 9" xfId="46817"/>
    <cellStyle name="Note 2 2 7 3" xfId="46818"/>
    <cellStyle name="Note 2 2 7 3 10" xfId="46819"/>
    <cellStyle name="Note 2 2 7 3 11" xfId="46820"/>
    <cellStyle name="Note 2 2 7 3 2" xfId="46821"/>
    <cellStyle name="Note 2 2 7 3 2 10" xfId="46822"/>
    <cellStyle name="Note 2 2 7 3 2 11" xfId="46823"/>
    <cellStyle name="Note 2 2 7 3 2 2" xfId="46824"/>
    <cellStyle name="Note 2 2 7 3 2 3" xfId="46825"/>
    <cellStyle name="Note 2 2 7 3 2 4" xfId="46826"/>
    <cellStyle name="Note 2 2 7 3 2 5" xfId="46827"/>
    <cellStyle name="Note 2 2 7 3 2 6" xfId="46828"/>
    <cellStyle name="Note 2 2 7 3 2 7" xfId="46829"/>
    <cellStyle name="Note 2 2 7 3 2 8" xfId="46830"/>
    <cellStyle name="Note 2 2 7 3 2 9" xfId="46831"/>
    <cellStyle name="Note 2 2 7 3 3" xfId="46832"/>
    <cellStyle name="Note 2 2 7 3 4" xfId="46833"/>
    <cellStyle name="Note 2 2 7 3 5" xfId="46834"/>
    <cellStyle name="Note 2 2 7 3 6" xfId="46835"/>
    <cellStyle name="Note 2 2 7 3 7" xfId="46836"/>
    <cellStyle name="Note 2 2 7 3 8" xfId="46837"/>
    <cellStyle name="Note 2 2 7 3 9" xfId="46838"/>
    <cellStyle name="Note 2 2 7 4" xfId="46839"/>
    <cellStyle name="Note 2 2 7 4 10" xfId="46840"/>
    <cellStyle name="Note 2 2 7 4 11" xfId="46841"/>
    <cellStyle name="Note 2 2 7 4 2" xfId="46842"/>
    <cellStyle name="Note 2 2 7 4 3" xfId="46843"/>
    <cellStyle name="Note 2 2 7 4 4" xfId="46844"/>
    <cellStyle name="Note 2 2 7 4 5" xfId="46845"/>
    <cellStyle name="Note 2 2 7 4 6" xfId="46846"/>
    <cellStyle name="Note 2 2 7 4 7" xfId="46847"/>
    <cellStyle name="Note 2 2 7 4 8" xfId="46848"/>
    <cellStyle name="Note 2 2 7 4 9" xfId="46849"/>
    <cellStyle name="Note 2 2 7 5" xfId="46850"/>
    <cellStyle name="Note 2 2 7 6" xfId="46851"/>
    <cellStyle name="Note 2 2 7 7" xfId="46852"/>
    <cellStyle name="Note 2 2 7 8" xfId="46853"/>
    <cellStyle name="Note 2 2 7 9" xfId="46854"/>
    <cellStyle name="Note 2 2 8" xfId="46855"/>
    <cellStyle name="Note 2 2 8 10" xfId="46856"/>
    <cellStyle name="Note 2 2 8 11" xfId="46857"/>
    <cellStyle name="Note 2 2 8 12" xfId="46858"/>
    <cellStyle name="Note 2 2 8 13" xfId="46859"/>
    <cellStyle name="Note 2 2 8 2" xfId="46860"/>
    <cellStyle name="Note 2 2 8 2 10" xfId="46861"/>
    <cellStyle name="Note 2 2 8 2 11" xfId="46862"/>
    <cellStyle name="Note 2 2 8 2 12" xfId="46863"/>
    <cellStyle name="Note 2 2 8 2 2" xfId="46864"/>
    <cellStyle name="Note 2 2 8 2 2 10" xfId="46865"/>
    <cellStyle name="Note 2 2 8 2 2 11" xfId="46866"/>
    <cellStyle name="Note 2 2 8 2 2 2" xfId="46867"/>
    <cellStyle name="Note 2 2 8 2 2 2 10" xfId="46868"/>
    <cellStyle name="Note 2 2 8 2 2 2 11" xfId="46869"/>
    <cellStyle name="Note 2 2 8 2 2 2 2" xfId="46870"/>
    <cellStyle name="Note 2 2 8 2 2 2 3" xfId="46871"/>
    <cellStyle name="Note 2 2 8 2 2 2 4" xfId="46872"/>
    <cellStyle name="Note 2 2 8 2 2 2 5" xfId="46873"/>
    <cellStyle name="Note 2 2 8 2 2 2 6" xfId="46874"/>
    <cellStyle name="Note 2 2 8 2 2 2 7" xfId="46875"/>
    <cellStyle name="Note 2 2 8 2 2 2 8" xfId="46876"/>
    <cellStyle name="Note 2 2 8 2 2 2 9" xfId="46877"/>
    <cellStyle name="Note 2 2 8 2 2 3" xfId="46878"/>
    <cellStyle name="Note 2 2 8 2 2 4" xfId="46879"/>
    <cellStyle name="Note 2 2 8 2 2 5" xfId="46880"/>
    <cellStyle name="Note 2 2 8 2 2 6" xfId="46881"/>
    <cellStyle name="Note 2 2 8 2 2 7" xfId="46882"/>
    <cellStyle name="Note 2 2 8 2 2 8" xfId="46883"/>
    <cellStyle name="Note 2 2 8 2 2 9" xfId="46884"/>
    <cellStyle name="Note 2 2 8 2 3" xfId="46885"/>
    <cellStyle name="Note 2 2 8 2 3 10" xfId="46886"/>
    <cellStyle name="Note 2 2 8 2 3 11" xfId="46887"/>
    <cellStyle name="Note 2 2 8 2 3 2" xfId="46888"/>
    <cellStyle name="Note 2 2 8 2 3 3" xfId="46889"/>
    <cellStyle name="Note 2 2 8 2 3 4" xfId="46890"/>
    <cellStyle name="Note 2 2 8 2 3 5" xfId="46891"/>
    <cellStyle name="Note 2 2 8 2 3 6" xfId="46892"/>
    <cellStyle name="Note 2 2 8 2 3 7" xfId="46893"/>
    <cellStyle name="Note 2 2 8 2 3 8" xfId="46894"/>
    <cellStyle name="Note 2 2 8 2 3 9" xfId="46895"/>
    <cellStyle name="Note 2 2 8 2 4" xfId="46896"/>
    <cellStyle name="Note 2 2 8 2 5" xfId="46897"/>
    <cellStyle name="Note 2 2 8 2 6" xfId="46898"/>
    <cellStyle name="Note 2 2 8 2 7" xfId="46899"/>
    <cellStyle name="Note 2 2 8 2 8" xfId="46900"/>
    <cellStyle name="Note 2 2 8 2 9" xfId="46901"/>
    <cellStyle name="Note 2 2 8 3" xfId="46902"/>
    <cellStyle name="Note 2 2 8 3 10" xfId="46903"/>
    <cellStyle name="Note 2 2 8 3 11" xfId="46904"/>
    <cellStyle name="Note 2 2 8 3 2" xfId="46905"/>
    <cellStyle name="Note 2 2 8 3 2 10" xfId="46906"/>
    <cellStyle name="Note 2 2 8 3 2 11" xfId="46907"/>
    <cellStyle name="Note 2 2 8 3 2 2" xfId="46908"/>
    <cellStyle name="Note 2 2 8 3 2 3" xfId="46909"/>
    <cellStyle name="Note 2 2 8 3 2 4" xfId="46910"/>
    <cellStyle name="Note 2 2 8 3 2 5" xfId="46911"/>
    <cellStyle name="Note 2 2 8 3 2 6" xfId="46912"/>
    <cellStyle name="Note 2 2 8 3 2 7" xfId="46913"/>
    <cellStyle name="Note 2 2 8 3 2 8" xfId="46914"/>
    <cellStyle name="Note 2 2 8 3 2 9" xfId="46915"/>
    <cellStyle name="Note 2 2 8 3 3" xfId="46916"/>
    <cellStyle name="Note 2 2 8 3 4" xfId="46917"/>
    <cellStyle name="Note 2 2 8 3 5" xfId="46918"/>
    <cellStyle name="Note 2 2 8 3 6" xfId="46919"/>
    <cellStyle name="Note 2 2 8 3 7" xfId="46920"/>
    <cellStyle name="Note 2 2 8 3 8" xfId="46921"/>
    <cellStyle name="Note 2 2 8 3 9" xfId="46922"/>
    <cellStyle name="Note 2 2 8 4" xfId="46923"/>
    <cellStyle name="Note 2 2 8 4 10" xfId="46924"/>
    <cellStyle name="Note 2 2 8 4 11" xfId="46925"/>
    <cellStyle name="Note 2 2 8 4 2" xfId="46926"/>
    <cellStyle name="Note 2 2 8 4 3" xfId="46927"/>
    <cellStyle name="Note 2 2 8 4 4" xfId="46928"/>
    <cellStyle name="Note 2 2 8 4 5" xfId="46929"/>
    <cellStyle name="Note 2 2 8 4 6" xfId="46930"/>
    <cellStyle name="Note 2 2 8 4 7" xfId="46931"/>
    <cellStyle name="Note 2 2 8 4 8" xfId="46932"/>
    <cellStyle name="Note 2 2 8 4 9" xfId="46933"/>
    <cellStyle name="Note 2 2 8 5" xfId="46934"/>
    <cellStyle name="Note 2 2 8 6" xfId="46935"/>
    <cellStyle name="Note 2 2 8 7" xfId="46936"/>
    <cellStyle name="Note 2 2 8 8" xfId="46937"/>
    <cellStyle name="Note 2 2 8 9" xfId="46938"/>
    <cellStyle name="Note 2 2 9" xfId="46939"/>
    <cellStyle name="Note 2 2 9 10" xfId="46940"/>
    <cellStyle name="Note 2 2 9 11" xfId="46941"/>
    <cellStyle name="Note 2 2 9 12" xfId="46942"/>
    <cellStyle name="Note 2 2 9 2" xfId="46943"/>
    <cellStyle name="Note 2 2 9 2 10" xfId="46944"/>
    <cellStyle name="Note 2 2 9 2 11" xfId="46945"/>
    <cellStyle name="Note 2 2 9 2 2" xfId="46946"/>
    <cellStyle name="Note 2 2 9 2 2 10" xfId="46947"/>
    <cellStyle name="Note 2 2 9 2 2 11" xfId="46948"/>
    <cellStyle name="Note 2 2 9 2 2 2" xfId="46949"/>
    <cellStyle name="Note 2 2 9 2 2 3" xfId="46950"/>
    <cellStyle name="Note 2 2 9 2 2 4" xfId="46951"/>
    <cellStyle name="Note 2 2 9 2 2 5" xfId="46952"/>
    <cellStyle name="Note 2 2 9 2 2 6" xfId="46953"/>
    <cellStyle name="Note 2 2 9 2 2 7" xfId="46954"/>
    <cellStyle name="Note 2 2 9 2 2 8" xfId="46955"/>
    <cellStyle name="Note 2 2 9 2 2 9" xfId="46956"/>
    <cellStyle name="Note 2 2 9 2 3" xfId="46957"/>
    <cellStyle name="Note 2 2 9 2 4" xfId="46958"/>
    <cellStyle name="Note 2 2 9 2 5" xfId="46959"/>
    <cellStyle name="Note 2 2 9 2 6" xfId="46960"/>
    <cellStyle name="Note 2 2 9 2 7" xfId="46961"/>
    <cellStyle name="Note 2 2 9 2 8" xfId="46962"/>
    <cellStyle name="Note 2 2 9 2 9" xfId="46963"/>
    <cellStyle name="Note 2 2 9 3" xfId="46964"/>
    <cellStyle name="Note 2 2 9 3 10" xfId="46965"/>
    <cellStyle name="Note 2 2 9 3 11" xfId="46966"/>
    <cellStyle name="Note 2 2 9 3 2" xfId="46967"/>
    <cellStyle name="Note 2 2 9 3 3" xfId="46968"/>
    <cellStyle name="Note 2 2 9 3 4" xfId="46969"/>
    <cellStyle name="Note 2 2 9 3 5" xfId="46970"/>
    <cellStyle name="Note 2 2 9 3 6" xfId="46971"/>
    <cellStyle name="Note 2 2 9 3 7" xfId="46972"/>
    <cellStyle name="Note 2 2 9 3 8" xfId="46973"/>
    <cellStyle name="Note 2 2 9 3 9" xfId="46974"/>
    <cellStyle name="Note 2 2 9 4" xfId="46975"/>
    <cellStyle name="Note 2 2 9 5" xfId="46976"/>
    <cellStyle name="Note 2 2 9 6" xfId="46977"/>
    <cellStyle name="Note 2 2 9 7" xfId="46978"/>
    <cellStyle name="Note 2 2 9 8" xfId="46979"/>
    <cellStyle name="Note 2 2 9 9" xfId="46980"/>
    <cellStyle name="Note 2 3" xfId="46981"/>
    <cellStyle name="Note 2 3 10" xfId="46982"/>
    <cellStyle name="Note 2 3 11" xfId="46983"/>
    <cellStyle name="Note 2 3 12" xfId="46984"/>
    <cellStyle name="Note 2 3 13" xfId="46985"/>
    <cellStyle name="Note 2 3 2" xfId="46986"/>
    <cellStyle name="Note 2 3 2 10" xfId="46987"/>
    <cellStyle name="Note 2 3 2 11" xfId="46988"/>
    <cellStyle name="Note 2 3 2 12" xfId="46989"/>
    <cellStyle name="Note 2 3 2 2" xfId="46990"/>
    <cellStyle name="Note 2 3 2 2 10" xfId="46991"/>
    <cellStyle name="Note 2 3 2 2 11" xfId="46992"/>
    <cellStyle name="Note 2 3 2 2 2" xfId="46993"/>
    <cellStyle name="Note 2 3 2 2 2 10" xfId="46994"/>
    <cellStyle name="Note 2 3 2 2 2 11" xfId="46995"/>
    <cellStyle name="Note 2 3 2 2 2 2" xfId="46996"/>
    <cellStyle name="Note 2 3 2 2 2 3" xfId="46997"/>
    <cellStyle name="Note 2 3 2 2 2 4" xfId="46998"/>
    <cellStyle name="Note 2 3 2 2 2 5" xfId="46999"/>
    <cellStyle name="Note 2 3 2 2 2 6" xfId="47000"/>
    <cellStyle name="Note 2 3 2 2 2 7" xfId="47001"/>
    <cellStyle name="Note 2 3 2 2 2 8" xfId="47002"/>
    <cellStyle name="Note 2 3 2 2 2 9" xfId="47003"/>
    <cellStyle name="Note 2 3 2 2 3" xfId="47004"/>
    <cellStyle name="Note 2 3 2 2 4" xfId="47005"/>
    <cellStyle name="Note 2 3 2 2 5" xfId="47006"/>
    <cellStyle name="Note 2 3 2 2 6" xfId="47007"/>
    <cellStyle name="Note 2 3 2 2 7" xfId="47008"/>
    <cellStyle name="Note 2 3 2 2 8" xfId="47009"/>
    <cellStyle name="Note 2 3 2 2 9" xfId="47010"/>
    <cellStyle name="Note 2 3 2 3" xfId="47011"/>
    <cellStyle name="Note 2 3 2 3 10" xfId="47012"/>
    <cellStyle name="Note 2 3 2 3 11" xfId="47013"/>
    <cellStyle name="Note 2 3 2 3 2" xfId="47014"/>
    <cellStyle name="Note 2 3 2 3 3" xfId="47015"/>
    <cellStyle name="Note 2 3 2 3 4" xfId="47016"/>
    <cellStyle name="Note 2 3 2 3 5" xfId="47017"/>
    <cellStyle name="Note 2 3 2 3 6" xfId="47018"/>
    <cellStyle name="Note 2 3 2 3 7" xfId="47019"/>
    <cellStyle name="Note 2 3 2 3 8" xfId="47020"/>
    <cellStyle name="Note 2 3 2 3 9" xfId="47021"/>
    <cellStyle name="Note 2 3 2 4" xfId="47022"/>
    <cellStyle name="Note 2 3 2 5" xfId="47023"/>
    <cellStyle name="Note 2 3 2 6" xfId="47024"/>
    <cellStyle name="Note 2 3 2 7" xfId="47025"/>
    <cellStyle name="Note 2 3 2 8" xfId="47026"/>
    <cellStyle name="Note 2 3 2 9" xfId="47027"/>
    <cellStyle name="Note 2 3 3" xfId="47028"/>
    <cellStyle name="Note 2 3 3 10" xfId="47029"/>
    <cellStyle name="Note 2 3 3 11" xfId="47030"/>
    <cellStyle name="Note 2 3 3 2" xfId="47031"/>
    <cellStyle name="Note 2 3 3 2 10" xfId="47032"/>
    <cellStyle name="Note 2 3 3 2 11" xfId="47033"/>
    <cellStyle name="Note 2 3 3 2 2" xfId="47034"/>
    <cellStyle name="Note 2 3 3 2 3" xfId="47035"/>
    <cellStyle name="Note 2 3 3 2 4" xfId="47036"/>
    <cellStyle name="Note 2 3 3 2 5" xfId="47037"/>
    <cellStyle name="Note 2 3 3 2 6" xfId="47038"/>
    <cellStyle name="Note 2 3 3 2 7" xfId="47039"/>
    <cellStyle name="Note 2 3 3 2 8" xfId="47040"/>
    <cellStyle name="Note 2 3 3 2 9" xfId="47041"/>
    <cellStyle name="Note 2 3 3 3" xfId="47042"/>
    <cellStyle name="Note 2 3 3 4" xfId="47043"/>
    <cellStyle name="Note 2 3 3 5" xfId="47044"/>
    <cellStyle name="Note 2 3 3 6" xfId="47045"/>
    <cellStyle name="Note 2 3 3 7" xfId="47046"/>
    <cellStyle name="Note 2 3 3 8" xfId="47047"/>
    <cellStyle name="Note 2 3 3 9" xfId="47048"/>
    <cellStyle name="Note 2 3 4" xfId="47049"/>
    <cellStyle name="Note 2 3 4 10" xfId="47050"/>
    <cellStyle name="Note 2 3 4 11" xfId="47051"/>
    <cellStyle name="Note 2 3 4 2" xfId="47052"/>
    <cellStyle name="Note 2 3 4 3" xfId="47053"/>
    <cellStyle name="Note 2 3 4 4" xfId="47054"/>
    <cellStyle name="Note 2 3 4 5" xfId="47055"/>
    <cellStyle name="Note 2 3 4 6" xfId="47056"/>
    <cellStyle name="Note 2 3 4 7" xfId="47057"/>
    <cellStyle name="Note 2 3 4 8" xfId="47058"/>
    <cellStyle name="Note 2 3 4 9" xfId="47059"/>
    <cellStyle name="Note 2 3 5" xfId="47060"/>
    <cellStyle name="Note 2 3 6" xfId="47061"/>
    <cellStyle name="Note 2 3 7" xfId="47062"/>
    <cellStyle name="Note 2 3 8" xfId="47063"/>
    <cellStyle name="Note 2 3 9" xfId="47064"/>
    <cellStyle name="Note 2 4" xfId="47065"/>
    <cellStyle name="Note 2 4 10" xfId="47066"/>
    <cellStyle name="Note 2 4 11" xfId="47067"/>
    <cellStyle name="Note 2 4 12" xfId="47068"/>
    <cellStyle name="Note 2 4 13" xfId="47069"/>
    <cellStyle name="Note 2 4 2" xfId="47070"/>
    <cellStyle name="Note 2 4 2 10" xfId="47071"/>
    <cellStyle name="Note 2 4 2 11" xfId="47072"/>
    <cellStyle name="Note 2 4 2 12" xfId="47073"/>
    <cellStyle name="Note 2 4 2 2" xfId="47074"/>
    <cellStyle name="Note 2 4 2 2 10" xfId="47075"/>
    <cellStyle name="Note 2 4 2 2 11" xfId="47076"/>
    <cellStyle name="Note 2 4 2 2 2" xfId="47077"/>
    <cellStyle name="Note 2 4 2 2 2 10" xfId="47078"/>
    <cellStyle name="Note 2 4 2 2 2 11" xfId="47079"/>
    <cellStyle name="Note 2 4 2 2 2 2" xfId="47080"/>
    <cellStyle name="Note 2 4 2 2 2 3" xfId="47081"/>
    <cellStyle name="Note 2 4 2 2 2 4" xfId="47082"/>
    <cellStyle name="Note 2 4 2 2 2 5" xfId="47083"/>
    <cellStyle name="Note 2 4 2 2 2 6" xfId="47084"/>
    <cellStyle name="Note 2 4 2 2 2 7" xfId="47085"/>
    <cellStyle name="Note 2 4 2 2 2 8" xfId="47086"/>
    <cellStyle name="Note 2 4 2 2 2 9" xfId="47087"/>
    <cellStyle name="Note 2 4 2 2 3" xfId="47088"/>
    <cellStyle name="Note 2 4 2 2 4" xfId="47089"/>
    <cellStyle name="Note 2 4 2 2 5" xfId="47090"/>
    <cellStyle name="Note 2 4 2 2 6" xfId="47091"/>
    <cellStyle name="Note 2 4 2 2 7" xfId="47092"/>
    <cellStyle name="Note 2 4 2 2 8" xfId="47093"/>
    <cellStyle name="Note 2 4 2 2 9" xfId="47094"/>
    <cellStyle name="Note 2 4 2 3" xfId="47095"/>
    <cellStyle name="Note 2 4 2 3 10" xfId="47096"/>
    <cellStyle name="Note 2 4 2 3 11" xfId="47097"/>
    <cellStyle name="Note 2 4 2 3 2" xfId="47098"/>
    <cellStyle name="Note 2 4 2 3 3" xfId="47099"/>
    <cellStyle name="Note 2 4 2 3 4" xfId="47100"/>
    <cellStyle name="Note 2 4 2 3 5" xfId="47101"/>
    <cellStyle name="Note 2 4 2 3 6" xfId="47102"/>
    <cellStyle name="Note 2 4 2 3 7" xfId="47103"/>
    <cellStyle name="Note 2 4 2 3 8" xfId="47104"/>
    <cellStyle name="Note 2 4 2 3 9" xfId="47105"/>
    <cellStyle name="Note 2 4 2 4" xfId="47106"/>
    <cellStyle name="Note 2 4 2 5" xfId="47107"/>
    <cellStyle name="Note 2 4 2 6" xfId="47108"/>
    <cellStyle name="Note 2 4 2 7" xfId="47109"/>
    <cellStyle name="Note 2 4 2 8" xfId="47110"/>
    <cellStyle name="Note 2 4 2 9" xfId="47111"/>
    <cellStyle name="Note 2 4 3" xfId="47112"/>
    <cellStyle name="Note 2 4 3 10" xfId="47113"/>
    <cellStyle name="Note 2 4 3 11" xfId="47114"/>
    <cellStyle name="Note 2 4 3 2" xfId="47115"/>
    <cellStyle name="Note 2 4 3 2 10" xfId="47116"/>
    <cellStyle name="Note 2 4 3 2 11" xfId="47117"/>
    <cellStyle name="Note 2 4 3 2 2" xfId="47118"/>
    <cellStyle name="Note 2 4 3 2 3" xfId="47119"/>
    <cellStyle name="Note 2 4 3 2 4" xfId="47120"/>
    <cellStyle name="Note 2 4 3 2 5" xfId="47121"/>
    <cellStyle name="Note 2 4 3 2 6" xfId="47122"/>
    <cellStyle name="Note 2 4 3 2 7" xfId="47123"/>
    <cellStyle name="Note 2 4 3 2 8" xfId="47124"/>
    <cellStyle name="Note 2 4 3 2 9" xfId="47125"/>
    <cellStyle name="Note 2 4 3 3" xfId="47126"/>
    <cellStyle name="Note 2 4 3 4" xfId="47127"/>
    <cellStyle name="Note 2 4 3 5" xfId="47128"/>
    <cellStyle name="Note 2 4 3 6" xfId="47129"/>
    <cellStyle name="Note 2 4 3 7" xfId="47130"/>
    <cellStyle name="Note 2 4 3 8" xfId="47131"/>
    <cellStyle name="Note 2 4 3 9" xfId="47132"/>
    <cellStyle name="Note 2 4 4" xfId="47133"/>
    <cellStyle name="Note 2 4 4 10" xfId="47134"/>
    <cellStyle name="Note 2 4 4 11" xfId="47135"/>
    <cellStyle name="Note 2 4 4 2" xfId="47136"/>
    <cellStyle name="Note 2 4 4 3" xfId="47137"/>
    <cellStyle name="Note 2 4 4 4" xfId="47138"/>
    <cellStyle name="Note 2 4 4 5" xfId="47139"/>
    <cellStyle name="Note 2 4 4 6" xfId="47140"/>
    <cellStyle name="Note 2 4 4 7" xfId="47141"/>
    <cellStyle name="Note 2 4 4 8" xfId="47142"/>
    <cellStyle name="Note 2 4 4 9" xfId="47143"/>
    <cellStyle name="Note 2 4 5" xfId="47144"/>
    <cellStyle name="Note 2 4 6" xfId="47145"/>
    <cellStyle name="Note 2 4 7" xfId="47146"/>
    <cellStyle name="Note 2 4 8" xfId="47147"/>
    <cellStyle name="Note 2 4 9" xfId="47148"/>
    <cellStyle name="Note 2 5" xfId="47149"/>
    <cellStyle name="Note 2 5 10" xfId="47150"/>
    <cellStyle name="Note 2 5 11" xfId="47151"/>
    <cellStyle name="Note 2 5 12" xfId="47152"/>
    <cellStyle name="Note 2 5 13" xfId="47153"/>
    <cellStyle name="Note 2 5 2" xfId="47154"/>
    <cellStyle name="Note 2 5 2 10" xfId="47155"/>
    <cellStyle name="Note 2 5 2 11" xfId="47156"/>
    <cellStyle name="Note 2 5 2 12" xfId="47157"/>
    <cellStyle name="Note 2 5 2 2" xfId="47158"/>
    <cellStyle name="Note 2 5 2 2 10" xfId="47159"/>
    <cellStyle name="Note 2 5 2 2 11" xfId="47160"/>
    <cellStyle name="Note 2 5 2 2 2" xfId="47161"/>
    <cellStyle name="Note 2 5 2 2 2 10" xfId="47162"/>
    <cellStyle name="Note 2 5 2 2 2 11" xfId="47163"/>
    <cellStyle name="Note 2 5 2 2 2 2" xfId="47164"/>
    <cellStyle name="Note 2 5 2 2 2 3" xfId="47165"/>
    <cellStyle name="Note 2 5 2 2 2 4" xfId="47166"/>
    <cellStyle name="Note 2 5 2 2 2 5" xfId="47167"/>
    <cellStyle name="Note 2 5 2 2 2 6" xfId="47168"/>
    <cellStyle name="Note 2 5 2 2 2 7" xfId="47169"/>
    <cellStyle name="Note 2 5 2 2 2 8" xfId="47170"/>
    <cellStyle name="Note 2 5 2 2 2 9" xfId="47171"/>
    <cellStyle name="Note 2 5 2 2 3" xfId="47172"/>
    <cellStyle name="Note 2 5 2 2 4" xfId="47173"/>
    <cellStyle name="Note 2 5 2 2 5" xfId="47174"/>
    <cellStyle name="Note 2 5 2 2 6" xfId="47175"/>
    <cellStyle name="Note 2 5 2 2 7" xfId="47176"/>
    <cellStyle name="Note 2 5 2 2 8" xfId="47177"/>
    <cellStyle name="Note 2 5 2 2 9" xfId="47178"/>
    <cellStyle name="Note 2 5 2 3" xfId="47179"/>
    <cellStyle name="Note 2 5 2 3 10" xfId="47180"/>
    <cellStyle name="Note 2 5 2 3 11" xfId="47181"/>
    <cellStyle name="Note 2 5 2 3 2" xfId="47182"/>
    <cellStyle name="Note 2 5 2 3 3" xfId="47183"/>
    <cellStyle name="Note 2 5 2 3 4" xfId="47184"/>
    <cellStyle name="Note 2 5 2 3 5" xfId="47185"/>
    <cellStyle name="Note 2 5 2 3 6" xfId="47186"/>
    <cellStyle name="Note 2 5 2 3 7" xfId="47187"/>
    <cellStyle name="Note 2 5 2 3 8" xfId="47188"/>
    <cellStyle name="Note 2 5 2 3 9" xfId="47189"/>
    <cellStyle name="Note 2 5 2 4" xfId="47190"/>
    <cellStyle name="Note 2 5 2 5" xfId="47191"/>
    <cellStyle name="Note 2 5 2 6" xfId="47192"/>
    <cellStyle name="Note 2 5 2 7" xfId="47193"/>
    <cellStyle name="Note 2 5 2 8" xfId="47194"/>
    <cellStyle name="Note 2 5 2 9" xfId="47195"/>
    <cellStyle name="Note 2 5 3" xfId="47196"/>
    <cellStyle name="Note 2 5 3 10" xfId="47197"/>
    <cellStyle name="Note 2 5 3 11" xfId="47198"/>
    <cellStyle name="Note 2 5 3 2" xfId="47199"/>
    <cellStyle name="Note 2 5 3 2 10" xfId="47200"/>
    <cellStyle name="Note 2 5 3 2 11" xfId="47201"/>
    <cellStyle name="Note 2 5 3 2 2" xfId="47202"/>
    <cellStyle name="Note 2 5 3 2 3" xfId="47203"/>
    <cellStyle name="Note 2 5 3 2 4" xfId="47204"/>
    <cellStyle name="Note 2 5 3 2 5" xfId="47205"/>
    <cellStyle name="Note 2 5 3 2 6" xfId="47206"/>
    <cellStyle name="Note 2 5 3 2 7" xfId="47207"/>
    <cellStyle name="Note 2 5 3 2 8" xfId="47208"/>
    <cellStyle name="Note 2 5 3 2 9" xfId="47209"/>
    <cellStyle name="Note 2 5 3 3" xfId="47210"/>
    <cellStyle name="Note 2 5 3 4" xfId="47211"/>
    <cellStyle name="Note 2 5 3 5" xfId="47212"/>
    <cellStyle name="Note 2 5 3 6" xfId="47213"/>
    <cellStyle name="Note 2 5 3 7" xfId="47214"/>
    <cellStyle name="Note 2 5 3 8" xfId="47215"/>
    <cellStyle name="Note 2 5 3 9" xfId="47216"/>
    <cellStyle name="Note 2 5 4" xfId="47217"/>
    <cellStyle name="Note 2 5 4 10" xfId="47218"/>
    <cellStyle name="Note 2 5 4 11" xfId="47219"/>
    <cellStyle name="Note 2 5 4 2" xfId="47220"/>
    <cellStyle name="Note 2 5 4 3" xfId="47221"/>
    <cellStyle name="Note 2 5 4 4" xfId="47222"/>
    <cellStyle name="Note 2 5 4 5" xfId="47223"/>
    <cellStyle name="Note 2 5 4 6" xfId="47224"/>
    <cellStyle name="Note 2 5 4 7" xfId="47225"/>
    <cellStyle name="Note 2 5 4 8" xfId="47226"/>
    <cellStyle name="Note 2 5 4 9" xfId="47227"/>
    <cellStyle name="Note 2 5 5" xfId="47228"/>
    <cellStyle name="Note 2 5 6" xfId="47229"/>
    <cellStyle name="Note 2 5 7" xfId="47230"/>
    <cellStyle name="Note 2 5 8" xfId="47231"/>
    <cellStyle name="Note 2 5 9" xfId="47232"/>
    <cellStyle name="Note 2 6" xfId="47233"/>
    <cellStyle name="Note 2 6 10" xfId="47234"/>
    <cellStyle name="Note 2 6 11" xfId="47235"/>
    <cellStyle name="Note 2 6 12" xfId="47236"/>
    <cellStyle name="Note 2 6 13" xfId="47237"/>
    <cellStyle name="Note 2 6 2" xfId="47238"/>
    <cellStyle name="Note 2 6 2 10" xfId="47239"/>
    <cellStyle name="Note 2 6 2 11" xfId="47240"/>
    <cellStyle name="Note 2 6 2 12" xfId="47241"/>
    <cellStyle name="Note 2 6 2 2" xfId="47242"/>
    <cellStyle name="Note 2 6 2 2 10" xfId="47243"/>
    <cellStyle name="Note 2 6 2 2 11" xfId="47244"/>
    <cellStyle name="Note 2 6 2 2 2" xfId="47245"/>
    <cellStyle name="Note 2 6 2 2 2 10" xfId="47246"/>
    <cellStyle name="Note 2 6 2 2 2 11" xfId="47247"/>
    <cellStyle name="Note 2 6 2 2 2 2" xfId="47248"/>
    <cellStyle name="Note 2 6 2 2 2 3" xfId="47249"/>
    <cellStyle name="Note 2 6 2 2 2 4" xfId="47250"/>
    <cellStyle name="Note 2 6 2 2 2 5" xfId="47251"/>
    <cellStyle name="Note 2 6 2 2 2 6" xfId="47252"/>
    <cellStyle name="Note 2 6 2 2 2 7" xfId="47253"/>
    <cellStyle name="Note 2 6 2 2 2 8" xfId="47254"/>
    <cellStyle name="Note 2 6 2 2 2 9" xfId="47255"/>
    <cellStyle name="Note 2 6 2 2 3" xfId="47256"/>
    <cellStyle name="Note 2 6 2 2 4" xfId="47257"/>
    <cellStyle name="Note 2 6 2 2 5" xfId="47258"/>
    <cellStyle name="Note 2 6 2 2 6" xfId="47259"/>
    <cellStyle name="Note 2 6 2 2 7" xfId="47260"/>
    <cellStyle name="Note 2 6 2 2 8" xfId="47261"/>
    <cellStyle name="Note 2 6 2 2 9" xfId="47262"/>
    <cellStyle name="Note 2 6 2 3" xfId="47263"/>
    <cellStyle name="Note 2 6 2 3 10" xfId="47264"/>
    <cellStyle name="Note 2 6 2 3 11" xfId="47265"/>
    <cellStyle name="Note 2 6 2 3 2" xfId="47266"/>
    <cellStyle name="Note 2 6 2 3 3" xfId="47267"/>
    <cellStyle name="Note 2 6 2 3 4" xfId="47268"/>
    <cellStyle name="Note 2 6 2 3 5" xfId="47269"/>
    <cellStyle name="Note 2 6 2 3 6" xfId="47270"/>
    <cellStyle name="Note 2 6 2 3 7" xfId="47271"/>
    <cellStyle name="Note 2 6 2 3 8" xfId="47272"/>
    <cellStyle name="Note 2 6 2 3 9" xfId="47273"/>
    <cellStyle name="Note 2 6 2 4" xfId="47274"/>
    <cellStyle name="Note 2 6 2 5" xfId="47275"/>
    <cellStyle name="Note 2 6 2 6" xfId="47276"/>
    <cellStyle name="Note 2 6 2 7" xfId="47277"/>
    <cellStyle name="Note 2 6 2 8" xfId="47278"/>
    <cellStyle name="Note 2 6 2 9" xfId="47279"/>
    <cellStyle name="Note 2 6 3" xfId="47280"/>
    <cellStyle name="Note 2 6 3 10" xfId="47281"/>
    <cellStyle name="Note 2 6 3 11" xfId="47282"/>
    <cellStyle name="Note 2 6 3 2" xfId="47283"/>
    <cellStyle name="Note 2 6 3 2 10" xfId="47284"/>
    <cellStyle name="Note 2 6 3 2 11" xfId="47285"/>
    <cellStyle name="Note 2 6 3 2 2" xfId="47286"/>
    <cellStyle name="Note 2 6 3 2 3" xfId="47287"/>
    <cellStyle name="Note 2 6 3 2 4" xfId="47288"/>
    <cellStyle name="Note 2 6 3 2 5" xfId="47289"/>
    <cellStyle name="Note 2 6 3 2 6" xfId="47290"/>
    <cellStyle name="Note 2 6 3 2 7" xfId="47291"/>
    <cellStyle name="Note 2 6 3 2 8" xfId="47292"/>
    <cellStyle name="Note 2 6 3 2 9" xfId="47293"/>
    <cellStyle name="Note 2 6 3 3" xfId="47294"/>
    <cellStyle name="Note 2 6 3 4" xfId="47295"/>
    <cellStyle name="Note 2 6 3 5" xfId="47296"/>
    <cellStyle name="Note 2 6 3 6" xfId="47297"/>
    <cellStyle name="Note 2 6 3 7" xfId="47298"/>
    <cellStyle name="Note 2 6 3 8" xfId="47299"/>
    <cellStyle name="Note 2 6 3 9" xfId="47300"/>
    <cellStyle name="Note 2 6 4" xfId="47301"/>
    <cellStyle name="Note 2 6 4 10" xfId="47302"/>
    <cellStyle name="Note 2 6 4 11" xfId="47303"/>
    <cellStyle name="Note 2 6 4 2" xfId="47304"/>
    <cellStyle name="Note 2 6 4 3" xfId="47305"/>
    <cellStyle name="Note 2 6 4 4" xfId="47306"/>
    <cellStyle name="Note 2 6 4 5" xfId="47307"/>
    <cellStyle name="Note 2 6 4 6" xfId="47308"/>
    <cellStyle name="Note 2 6 4 7" xfId="47309"/>
    <cellStyle name="Note 2 6 4 8" xfId="47310"/>
    <cellStyle name="Note 2 6 4 9" xfId="47311"/>
    <cellStyle name="Note 2 6 5" xfId="47312"/>
    <cellStyle name="Note 2 6 6" xfId="47313"/>
    <cellStyle name="Note 2 6 7" xfId="47314"/>
    <cellStyle name="Note 2 6 8" xfId="47315"/>
    <cellStyle name="Note 2 6 9" xfId="47316"/>
    <cellStyle name="Note 2 7" xfId="47317"/>
    <cellStyle name="Note 2 7 10" xfId="47318"/>
    <cellStyle name="Note 2 7 11" xfId="47319"/>
    <cellStyle name="Note 2 7 12" xfId="47320"/>
    <cellStyle name="Note 2 7 13" xfId="47321"/>
    <cellStyle name="Note 2 7 2" xfId="47322"/>
    <cellStyle name="Note 2 7 2 10" xfId="47323"/>
    <cellStyle name="Note 2 7 2 11" xfId="47324"/>
    <cellStyle name="Note 2 7 2 12" xfId="47325"/>
    <cellStyle name="Note 2 7 2 2" xfId="47326"/>
    <cellStyle name="Note 2 7 2 2 10" xfId="47327"/>
    <cellStyle name="Note 2 7 2 2 11" xfId="47328"/>
    <cellStyle name="Note 2 7 2 2 2" xfId="47329"/>
    <cellStyle name="Note 2 7 2 2 2 10" xfId="47330"/>
    <cellStyle name="Note 2 7 2 2 2 11" xfId="47331"/>
    <cellStyle name="Note 2 7 2 2 2 2" xfId="47332"/>
    <cellStyle name="Note 2 7 2 2 2 3" xfId="47333"/>
    <cellStyle name="Note 2 7 2 2 2 4" xfId="47334"/>
    <cellStyle name="Note 2 7 2 2 2 5" xfId="47335"/>
    <cellStyle name="Note 2 7 2 2 2 6" xfId="47336"/>
    <cellStyle name="Note 2 7 2 2 2 7" xfId="47337"/>
    <cellStyle name="Note 2 7 2 2 2 8" xfId="47338"/>
    <cellStyle name="Note 2 7 2 2 2 9" xfId="47339"/>
    <cellStyle name="Note 2 7 2 2 3" xfId="47340"/>
    <cellStyle name="Note 2 7 2 2 4" xfId="47341"/>
    <cellStyle name="Note 2 7 2 2 5" xfId="47342"/>
    <cellStyle name="Note 2 7 2 2 6" xfId="47343"/>
    <cellStyle name="Note 2 7 2 2 7" xfId="47344"/>
    <cellStyle name="Note 2 7 2 2 8" xfId="47345"/>
    <cellStyle name="Note 2 7 2 2 9" xfId="47346"/>
    <cellStyle name="Note 2 7 2 3" xfId="47347"/>
    <cellStyle name="Note 2 7 2 3 10" xfId="47348"/>
    <cellStyle name="Note 2 7 2 3 11" xfId="47349"/>
    <cellStyle name="Note 2 7 2 3 2" xfId="47350"/>
    <cellStyle name="Note 2 7 2 3 3" xfId="47351"/>
    <cellStyle name="Note 2 7 2 3 4" xfId="47352"/>
    <cellStyle name="Note 2 7 2 3 5" xfId="47353"/>
    <cellStyle name="Note 2 7 2 3 6" xfId="47354"/>
    <cellStyle name="Note 2 7 2 3 7" xfId="47355"/>
    <cellStyle name="Note 2 7 2 3 8" xfId="47356"/>
    <cellStyle name="Note 2 7 2 3 9" xfId="47357"/>
    <cellStyle name="Note 2 7 2 4" xfId="47358"/>
    <cellStyle name="Note 2 7 2 5" xfId="47359"/>
    <cellStyle name="Note 2 7 2 6" xfId="47360"/>
    <cellStyle name="Note 2 7 2 7" xfId="47361"/>
    <cellStyle name="Note 2 7 2 8" xfId="47362"/>
    <cellStyle name="Note 2 7 2 9" xfId="47363"/>
    <cellStyle name="Note 2 7 3" xfId="47364"/>
    <cellStyle name="Note 2 7 3 10" xfId="47365"/>
    <cellStyle name="Note 2 7 3 11" xfId="47366"/>
    <cellStyle name="Note 2 7 3 2" xfId="47367"/>
    <cellStyle name="Note 2 7 3 2 10" xfId="47368"/>
    <cellStyle name="Note 2 7 3 2 11" xfId="47369"/>
    <cellStyle name="Note 2 7 3 2 2" xfId="47370"/>
    <cellStyle name="Note 2 7 3 2 3" xfId="47371"/>
    <cellStyle name="Note 2 7 3 2 4" xfId="47372"/>
    <cellStyle name="Note 2 7 3 2 5" xfId="47373"/>
    <cellStyle name="Note 2 7 3 2 6" xfId="47374"/>
    <cellStyle name="Note 2 7 3 2 7" xfId="47375"/>
    <cellStyle name="Note 2 7 3 2 8" xfId="47376"/>
    <cellStyle name="Note 2 7 3 2 9" xfId="47377"/>
    <cellStyle name="Note 2 7 3 3" xfId="47378"/>
    <cellStyle name="Note 2 7 3 4" xfId="47379"/>
    <cellStyle name="Note 2 7 3 5" xfId="47380"/>
    <cellStyle name="Note 2 7 3 6" xfId="47381"/>
    <cellStyle name="Note 2 7 3 7" xfId="47382"/>
    <cellStyle name="Note 2 7 3 8" xfId="47383"/>
    <cellStyle name="Note 2 7 3 9" xfId="47384"/>
    <cellStyle name="Note 2 7 4" xfId="47385"/>
    <cellStyle name="Note 2 7 4 10" xfId="47386"/>
    <cellStyle name="Note 2 7 4 11" xfId="47387"/>
    <cellStyle name="Note 2 7 4 2" xfId="47388"/>
    <cellStyle name="Note 2 7 4 3" xfId="47389"/>
    <cellStyle name="Note 2 7 4 4" xfId="47390"/>
    <cellStyle name="Note 2 7 4 5" xfId="47391"/>
    <cellStyle name="Note 2 7 4 6" xfId="47392"/>
    <cellStyle name="Note 2 7 4 7" xfId="47393"/>
    <cellStyle name="Note 2 7 4 8" xfId="47394"/>
    <cellStyle name="Note 2 7 4 9" xfId="47395"/>
    <cellStyle name="Note 2 7 5" xfId="47396"/>
    <cellStyle name="Note 2 7 6" xfId="47397"/>
    <cellStyle name="Note 2 7 7" xfId="47398"/>
    <cellStyle name="Note 2 7 8" xfId="47399"/>
    <cellStyle name="Note 2 7 9" xfId="47400"/>
    <cellStyle name="Note 2 8" xfId="47401"/>
    <cellStyle name="Note 2 8 10" xfId="47402"/>
    <cellStyle name="Note 2 8 11" xfId="47403"/>
    <cellStyle name="Note 2 8 12" xfId="47404"/>
    <cellStyle name="Note 2 8 13" xfId="47405"/>
    <cellStyle name="Note 2 8 2" xfId="47406"/>
    <cellStyle name="Note 2 8 2 10" xfId="47407"/>
    <cellStyle name="Note 2 8 2 11" xfId="47408"/>
    <cellStyle name="Note 2 8 2 12" xfId="47409"/>
    <cellStyle name="Note 2 8 2 2" xfId="47410"/>
    <cellStyle name="Note 2 8 2 2 10" xfId="47411"/>
    <cellStyle name="Note 2 8 2 2 11" xfId="47412"/>
    <cellStyle name="Note 2 8 2 2 2" xfId="47413"/>
    <cellStyle name="Note 2 8 2 2 2 10" xfId="47414"/>
    <cellStyle name="Note 2 8 2 2 2 11" xfId="47415"/>
    <cellStyle name="Note 2 8 2 2 2 2" xfId="47416"/>
    <cellStyle name="Note 2 8 2 2 2 3" xfId="47417"/>
    <cellStyle name="Note 2 8 2 2 2 4" xfId="47418"/>
    <cellStyle name="Note 2 8 2 2 2 5" xfId="47419"/>
    <cellStyle name="Note 2 8 2 2 2 6" xfId="47420"/>
    <cellStyle name="Note 2 8 2 2 2 7" xfId="47421"/>
    <cellStyle name="Note 2 8 2 2 2 8" xfId="47422"/>
    <cellStyle name="Note 2 8 2 2 2 9" xfId="47423"/>
    <cellStyle name="Note 2 8 2 2 3" xfId="47424"/>
    <cellStyle name="Note 2 8 2 2 4" xfId="47425"/>
    <cellStyle name="Note 2 8 2 2 5" xfId="47426"/>
    <cellStyle name="Note 2 8 2 2 6" xfId="47427"/>
    <cellStyle name="Note 2 8 2 2 7" xfId="47428"/>
    <cellStyle name="Note 2 8 2 2 8" xfId="47429"/>
    <cellStyle name="Note 2 8 2 2 9" xfId="47430"/>
    <cellStyle name="Note 2 8 2 3" xfId="47431"/>
    <cellStyle name="Note 2 8 2 3 10" xfId="47432"/>
    <cellStyle name="Note 2 8 2 3 11" xfId="47433"/>
    <cellStyle name="Note 2 8 2 3 2" xfId="47434"/>
    <cellStyle name="Note 2 8 2 3 3" xfId="47435"/>
    <cellStyle name="Note 2 8 2 3 4" xfId="47436"/>
    <cellStyle name="Note 2 8 2 3 5" xfId="47437"/>
    <cellStyle name="Note 2 8 2 3 6" xfId="47438"/>
    <cellStyle name="Note 2 8 2 3 7" xfId="47439"/>
    <cellStyle name="Note 2 8 2 3 8" xfId="47440"/>
    <cellStyle name="Note 2 8 2 3 9" xfId="47441"/>
    <cellStyle name="Note 2 8 2 4" xfId="47442"/>
    <cellStyle name="Note 2 8 2 5" xfId="47443"/>
    <cellStyle name="Note 2 8 2 6" xfId="47444"/>
    <cellStyle name="Note 2 8 2 7" xfId="47445"/>
    <cellStyle name="Note 2 8 2 8" xfId="47446"/>
    <cellStyle name="Note 2 8 2 9" xfId="47447"/>
    <cellStyle name="Note 2 8 3" xfId="47448"/>
    <cellStyle name="Note 2 8 3 10" xfId="47449"/>
    <cellStyle name="Note 2 8 3 11" xfId="47450"/>
    <cellStyle name="Note 2 8 3 2" xfId="47451"/>
    <cellStyle name="Note 2 8 3 2 10" xfId="47452"/>
    <cellStyle name="Note 2 8 3 2 11" xfId="47453"/>
    <cellStyle name="Note 2 8 3 2 2" xfId="47454"/>
    <cellStyle name="Note 2 8 3 2 3" xfId="47455"/>
    <cellStyle name="Note 2 8 3 2 4" xfId="47456"/>
    <cellStyle name="Note 2 8 3 2 5" xfId="47457"/>
    <cellStyle name="Note 2 8 3 2 6" xfId="47458"/>
    <cellStyle name="Note 2 8 3 2 7" xfId="47459"/>
    <cellStyle name="Note 2 8 3 2 8" xfId="47460"/>
    <cellStyle name="Note 2 8 3 2 9" xfId="47461"/>
    <cellStyle name="Note 2 8 3 3" xfId="47462"/>
    <cellStyle name="Note 2 8 3 4" xfId="47463"/>
    <cellStyle name="Note 2 8 3 5" xfId="47464"/>
    <cellStyle name="Note 2 8 3 6" xfId="47465"/>
    <cellStyle name="Note 2 8 3 7" xfId="47466"/>
    <cellStyle name="Note 2 8 3 8" xfId="47467"/>
    <cellStyle name="Note 2 8 3 9" xfId="47468"/>
    <cellStyle name="Note 2 8 4" xfId="47469"/>
    <cellStyle name="Note 2 8 4 10" xfId="47470"/>
    <cellStyle name="Note 2 8 4 11" xfId="47471"/>
    <cellStyle name="Note 2 8 4 2" xfId="47472"/>
    <cellStyle name="Note 2 8 4 3" xfId="47473"/>
    <cellStyle name="Note 2 8 4 4" xfId="47474"/>
    <cellStyle name="Note 2 8 4 5" xfId="47475"/>
    <cellStyle name="Note 2 8 4 6" xfId="47476"/>
    <cellStyle name="Note 2 8 4 7" xfId="47477"/>
    <cellStyle name="Note 2 8 4 8" xfId="47478"/>
    <cellStyle name="Note 2 8 4 9" xfId="47479"/>
    <cellStyle name="Note 2 8 5" xfId="47480"/>
    <cellStyle name="Note 2 8 6" xfId="47481"/>
    <cellStyle name="Note 2 8 7" xfId="47482"/>
    <cellStyle name="Note 2 8 8" xfId="47483"/>
    <cellStyle name="Note 2 8 9" xfId="47484"/>
    <cellStyle name="Note 2 9" xfId="47485"/>
    <cellStyle name="Note 2 9 10" xfId="47486"/>
    <cellStyle name="Note 2 9 11" xfId="47487"/>
    <cellStyle name="Note 2 9 12" xfId="47488"/>
    <cellStyle name="Note 2 9 13" xfId="47489"/>
    <cellStyle name="Note 2 9 2" xfId="47490"/>
    <cellStyle name="Note 2 9 2 10" xfId="47491"/>
    <cellStyle name="Note 2 9 2 11" xfId="47492"/>
    <cellStyle name="Note 2 9 2 12" xfId="47493"/>
    <cellStyle name="Note 2 9 2 2" xfId="47494"/>
    <cellStyle name="Note 2 9 2 2 10" xfId="47495"/>
    <cellStyle name="Note 2 9 2 2 11" xfId="47496"/>
    <cellStyle name="Note 2 9 2 2 2" xfId="47497"/>
    <cellStyle name="Note 2 9 2 2 2 10" xfId="47498"/>
    <cellStyle name="Note 2 9 2 2 2 11" xfId="47499"/>
    <cellStyle name="Note 2 9 2 2 2 2" xfId="47500"/>
    <cellStyle name="Note 2 9 2 2 2 3" xfId="47501"/>
    <cellStyle name="Note 2 9 2 2 2 4" xfId="47502"/>
    <cellStyle name="Note 2 9 2 2 2 5" xfId="47503"/>
    <cellStyle name="Note 2 9 2 2 2 6" xfId="47504"/>
    <cellStyle name="Note 2 9 2 2 2 7" xfId="47505"/>
    <cellStyle name="Note 2 9 2 2 2 8" xfId="47506"/>
    <cellStyle name="Note 2 9 2 2 2 9" xfId="47507"/>
    <cellStyle name="Note 2 9 2 2 3" xfId="47508"/>
    <cellStyle name="Note 2 9 2 2 4" xfId="47509"/>
    <cellStyle name="Note 2 9 2 2 5" xfId="47510"/>
    <cellStyle name="Note 2 9 2 2 6" xfId="47511"/>
    <cellStyle name="Note 2 9 2 2 7" xfId="47512"/>
    <cellStyle name="Note 2 9 2 2 8" xfId="47513"/>
    <cellStyle name="Note 2 9 2 2 9" xfId="47514"/>
    <cellStyle name="Note 2 9 2 3" xfId="47515"/>
    <cellStyle name="Note 2 9 2 3 10" xfId="47516"/>
    <cellStyle name="Note 2 9 2 3 11" xfId="47517"/>
    <cellStyle name="Note 2 9 2 3 2" xfId="47518"/>
    <cellStyle name="Note 2 9 2 3 3" xfId="47519"/>
    <cellStyle name="Note 2 9 2 3 4" xfId="47520"/>
    <cellStyle name="Note 2 9 2 3 5" xfId="47521"/>
    <cellStyle name="Note 2 9 2 3 6" xfId="47522"/>
    <cellStyle name="Note 2 9 2 3 7" xfId="47523"/>
    <cellStyle name="Note 2 9 2 3 8" xfId="47524"/>
    <cellStyle name="Note 2 9 2 3 9" xfId="47525"/>
    <cellStyle name="Note 2 9 2 4" xfId="47526"/>
    <cellStyle name="Note 2 9 2 5" xfId="47527"/>
    <cellStyle name="Note 2 9 2 6" xfId="47528"/>
    <cellStyle name="Note 2 9 2 7" xfId="47529"/>
    <cellStyle name="Note 2 9 2 8" xfId="47530"/>
    <cellStyle name="Note 2 9 2 9" xfId="47531"/>
    <cellStyle name="Note 2 9 3" xfId="47532"/>
    <cellStyle name="Note 2 9 3 10" xfId="47533"/>
    <cellStyle name="Note 2 9 3 11" xfId="47534"/>
    <cellStyle name="Note 2 9 3 2" xfId="47535"/>
    <cellStyle name="Note 2 9 3 2 10" xfId="47536"/>
    <cellStyle name="Note 2 9 3 2 11" xfId="47537"/>
    <cellStyle name="Note 2 9 3 2 2" xfId="47538"/>
    <cellStyle name="Note 2 9 3 2 3" xfId="47539"/>
    <cellStyle name="Note 2 9 3 2 4" xfId="47540"/>
    <cellStyle name="Note 2 9 3 2 5" xfId="47541"/>
    <cellStyle name="Note 2 9 3 2 6" xfId="47542"/>
    <cellStyle name="Note 2 9 3 2 7" xfId="47543"/>
    <cellStyle name="Note 2 9 3 2 8" xfId="47544"/>
    <cellStyle name="Note 2 9 3 2 9" xfId="47545"/>
    <cellStyle name="Note 2 9 3 3" xfId="47546"/>
    <cellStyle name="Note 2 9 3 4" xfId="47547"/>
    <cellStyle name="Note 2 9 3 5" xfId="47548"/>
    <cellStyle name="Note 2 9 3 6" xfId="47549"/>
    <cellStyle name="Note 2 9 3 7" xfId="47550"/>
    <cellStyle name="Note 2 9 3 8" xfId="47551"/>
    <cellStyle name="Note 2 9 3 9" xfId="47552"/>
    <cellStyle name="Note 2 9 4" xfId="47553"/>
    <cellStyle name="Note 2 9 4 10" xfId="47554"/>
    <cellStyle name="Note 2 9 4 11" xfId="47555"/>
    <cellStyle name="Note 2 9 4 2" xfId="47556"/>
    <cellStyle name="Note 2 9 4 3" xfId="47557"/>
    <cellStyle name="Note 2 9 4 4" xfId="47558"/>
    <cellStyle name="Note 2 9 4 5" xfId="47559"/>
    <cellStyle name="Note 2 9 4 6" xfId="47560"/>
    <cellStyle name="Note 2 9 4 7" xfId="47561"/>
    <cellStyle name="Note 2 9 4 8" xfId="47562"/>
    <cellStyle name="Note 2 9 4 9" xfId="47563"/>
    <cellStyle name="Note 2 9 5" xfId="47564"/>
    <cellStyle name="Note 2 9 6" xfId="47565"/>
    <cellStyle name="Note 2 9 7" xfId="47566"/>
    <cellStyle name="Note 2 9 8" xfId="47567"/>
    <cellStyle name="Note 2 9 9" xfId="47568"/>
    <cellStyle name="Note 3" xfId="47569"/>
    <cellStyle name="Note 3 10" xfId="47570"/>
    <cellStyle name="Note 3 10 10" xfId="47571"/>
    <cellStyle name="Note 3 10 11" xfId="47572"/>
    <cellStyle name="Note 3 10 2" xfId="47573"/>
    <cellStyle name="Note 3 10 3" xfId="47574"/>
    <cellStyle name="Note 3 10 4" xfId="47575"/>
    <cellStyle name="Note 3 10 5" xfId="47576"/>
    <cellStyle name="Note 3 10 6" xfId="47577"/>
    <cellStyle name="Note 3 10 7" xfId="47578"/>
    <cellStyle name="Note 3 10 8" xfId="47579"/>
    <cellStyle name="Note 3 10 9" xfId="47580"/>
    <cellStyle name="Note 3 11" xfId="47581"/>
    <cellStyle name="Note 3 12" xfId="47582"/>
    <cellStyle name="Note 3 2" xfId="47583"/>
    <cellStyle name="Note 3 2 10" xfId="47584"/>
    <cellStyle name="Note 3 2 11" xfId="47585"/>
    <cellStyle name="Note 3 2 12" xfId="47586"/>
    <cellStyle name="Note 3 2 13" xfId="47587"/>
    <cellStyle name="Note 3 2 2" xfId="47588"/>
    <cellStyle name="Note 3 2 2 10" xfId="47589"/>
    <cellStyle name="Note 3 2 2 11" xfId="47590"/>
    <cellStyle name="Note 3 2 2 12" xfId="47591"/>
    <cellStyle name="Note 3 2 2 2" xfId="47592"/>
    <cellStyle name="Note 3 2 2 2 10" xfId="47593"/>
    <cellStyle name="Note 3 2 2 2 11" xfId="47594"/>
    <cellStyle name="Note 3 2 2 2 2" xfId="47595"/>
    <cellStyle name="Note 3 2 2 2 2 10" xfId="47596"/>
    <cellStyle name="Note 3 2 2 2 2 11" xfId="47597"/>
    <cellStyle name="Note 3 2 2 2 2 2" xfId="47598"/>
    <cellStyle name="Note 3 2 2 2 2 3" xfId="47599"/>
    <cellStyle name="Note 3 2 2 2 2 4" xfId="47600"/>
    <cellStyle name="Note 3 2 2 2 2 5" xfId="47601"/>
    <cellStyle name="Note 3 2 2 2 2 6" xfId="47602"/>
    <cellStyle name="Note 3 2 2 2 2 7" xfId="47603"/>
    <cellStyle name="Note 3 2 2 2 2 8" xfId="47604"/>
    <cellStyle name="Note 3 2 2 2 2 9" xfId="47605"/>
    <cellStyle name="Note 3 2 2 2 3" xfId="47606"/>
    <cellStyle name="Note 3 2 2 2 4" xfId="47607"/>
    <cellStyle name="Note 3 2 2 2 5" xfId="47608"/>
    <cellStyle name="Note 3 2 2 2 6" xfId="47609"/>
    <cellStyle name="Note 3 2 2 2 7" xfId="47610"/>
    <cellStyle name="Note 3 2 2 2 8" xfId="47611"/>
    <cellStyle name="Note 3 2 2 2 9" xfId="47612"/>
    <cellStyle name="Note 3 2 2 3" xfId="47613"/>
    <cellStyle name="Note 3 2 2 3 10" xfId="47614"/>
    <cellStyle name="Note 3 2 2 3 11" xfId="47615"/>
    <cellStyle name="Note 3 2 2 3 2" xfId="47616"/>
    <cellStyle name="Note 3 2 2 3 3" xfId="47617"/>
    <cellStyle name="Note 3 2 2 3 4" xfId="47618"/>
    <cellStyle name="Note 3 2 2 3 5" xfId="47619"/>
    <cellStyle name="Note 3 2 2 3 6" xfId="47620"/>
    <cellStyle name="Note 3 2 2 3 7" xfId="47621"/>
    <cellStyle name="Note 3 2 2 3 8" xfId="47622"/>
    <cellStyle name="Note 3 2 2 3 9" xfId="47623"/>
    <cellStyle name="Note 3 2 2 4" xfId="47624"/>
    <cellStyle name="Note 3 2 2 5" xfId="47625"/>
    <cellStyle name="Note 3 2 2 6" xfId="47626"/>
    <cellStyle name="Note 3 2 2 7" xfId="47627"/>
    <cellStyle name="Note 3 2 2 8" xfId="47628"/>
    <cellStyle name="Note 3 2 2 9" xfId="47629"/>
    <cellStyle name="Note 3 2 3" xfId="47630"/>
    <cellStyle name="Note 3 2 3 10" xfId="47631"/>
    <cellStyle name="Note 3 2 3 11" xfId="47632"/>
    <cellStyle name="Note 3 2 3 2" xfId="47633"/>
    <cellStyle name="Note 3 2 3 2 10" xfId="47634"/>
    <cellStyle name="Note 3 2 3 2 11" xfId="47635"/>
    <cellStyle name="Note 3 2 3 2 2" xfId="47636"/>
    <cellStyle name="Note 3 2 3 2 3" xfId="47637"/>
    <cellStyle name="Note 3 2 3 2 4" xfId="47638"/>
    <cellStyle name="Note 3 2 3 2 5" xfId="47639"/>
    <cellStyle name="Note 3 2 3 2 6" xfId="47640"/>
    <cellStyle name="Note 3 2 3 2 7" xfId="47641"/>
    <cellStyle name="Note 3 2 3 2 8" xfId="47642"/>
    <cellStyle name="Note 3 2 3 2 9" xfId="47643"/>
    <cellStyle name="Note 3 2 3 3" xfId="47644"/>
    <cellStyle name="Note 3 2 3 4" xfId="47645"/>
    <cellStyle name="Note 3 2 3 5" xfId="47646"/>
    <cellStyle name="Note 3 2 3 6" xfId="47647"/>
    <cellStyle name="Note 3 2 3 7" xfId="47648"/>
    <cellStyle name="Note 3 2 3 8" xfId="47649"/>
    <cellStyle name="Note 3 2 3 9" xfId="47650"/>
    <cellStyle name="Note 3 2 4" xfId="47651"/>
    <cellStyle name="Note 3 2 4 10" xfId="47652"/>
    <cellStyle name="Note 3 2 4 11" xfId="47653"/>
    <cellStyle name="Note 3 2 4 2" xfId="47654"/>
    <cellStyle name="Note 3 2 4 3" xfId="47655"/>
    <cellStyle name="Note 3 2 4 4" xfId="47656"/>
    <cellStyle name="Note 3 2 4 5" xfId="47657"/>
    <cellStyle name="Note 3 2 4 6" xfId="47658"/>
    <cellStyle name="Note 3 2 4 7" xfId="47659"/>
    <cellStyle name="Note 3 2 4 8" xfId="47660"/>
    <cellStyle name="Note 3 2 4 9" xfId="47661"/>
    <cellStyle name="Note 3 2 5" xfId="47662"/>
    <cellStyle name="Note 3 2 6" xfId="47663"/>
    <cellStyle name="Note 3 2 7" xfId="47664"/>
    <cellStyle name="Note 3 2 8" xfId="47665"/>
    <cellStyle name="Note 3 2 9" xfId="47666"/>
    <cellStyle name="Note 3 3" xfId="47667"/>
    <cellStyle name="Note 3 3 10" xfId="47668"/>
    <cellStyle name="Note 3 3 11" xfId="47669"/>
    <cellStyle name="Note 3 3 12" xfId="47670"/>
    <cellStyle name="Note 3 3 13" xfId="47671"/>
    <cellStyle name="Note 3 3 2" xfId="47672"/>
    <cellStyle name="Note 3 3 2 10" xfId="47673"/>
    <cellStyle name="Note 3 3 2 11" xfId="47674"/>
    <cellStyle name="Note 3 3 2 12" xfId="47675"/>
    <cellStyle name="Note 3 3 2 2" xfId="47676"/>
    <cellStyle name="Note 3 3 2 2 10" xfId="47677"/>
    <cellStyle name="Note 3 3 2 2 11" xfId="47678"/>
    <cellStyle name="Note 3 3 2 2 2" xfId="47679"/>
    <cellStyle name="Note 3 3 2 2 2 10" xfId="47680"/>
    <cellStyle name="Note 3 3 2 2 2 11" xfId="47681"/>
    <cellStyle name="Note 3 3 2 2 2 2" xfId="47682"/>
    <cellStyle name="Note 3 3 2 2 2 3" xfId="47683"/>
    <cellStyle name="Note 3 3 2 2 2 4" xfId="47684"/>
    <cellStyle name="Note 3 3 2 2 2 5" xfId="47685"/>
    <cellStyle name="Note 3 3 2 2 2 6" xfId="47686"/>
    <cellStyle name="Note 3 3 2 2 2 7" xfId="47687"/>
    <cellStyle name="Note 3 3 2 2 2 8" xfId="47688"/>
    <cellStyle name="Note 3 3 2 2 2 9" xfId="47689"/>
    <cellStyle name="Note 3 3 2 2 3" xfId="47690"/>
    <cellStyle name="Note 3 3 2 2 4" xfId="47691"/>
    <cellStyle name="Note 3 3 2 2 5" xfId="47692"/>
    <cellStyle name="Note 3 3 2 2 6" xfId="47693"/>
    <cellStyle name="Note 3 3 2 2 7" xfId="47694"/>
    <cellStyle name="Note 3 3 2 2 8" xfId="47695"/>
    <cellStyle name="Note 3 3 2 2 9" xfId="47696"/>
    <cellStyle name="Note 3 3 2 3" xfId="47697"/>
    <cellStyle name="Note 3 3 2 3 10" xfId="47698"/>
    <cellStyle name="Note 3 3 2 3 11" xfId="47699"/>
    <cellStyle name="Note 3 3 2 3 2" xfId="47700"/>
    <cellStyle name="Note 3 3 2 3 3" xfId="47701"/>
    <cellStyle name="Note 3 3 2 3 4" xfId="47702"/>
    <cellStyle name="Note 3 3 2 3 5" xfId="47703"/>
    <cellStyle name="Note 3 3 2 3 6" xfId="47704"/>
    <cellStyle name="Note 3 3 2 3 7" xfId="47705"/>
    <cellStyle name="Note 3 3 2 3 8" xfId="47706"/>
    <cellStyle name="Note 3 3 2 3 9" xfId="47707"/>
    <cellStyle name="Note 3 3 2 4" xfId="47708"/>
    <cellStyle name="Note 3 3 2 5" xfId="47709"/>
    <cellStyle name="Note 3 3 2 6" xfId="47710"/>
    <cellStyle name="Note 3 3 2 7" xfId="47711"/>
    <cellStyle name="Note 3 3 2 8" xfId="47712"/>
    <cellStyle name="Note 3 3 2 9" xfId="47713"/>
    <cellStyle name="Note 3 3 3" xfId="47714"/>
    <cellStyle name="Note 3 3 3 10" xfId="47715"/>
    <cellStyle name="Note 3 3 3 11" xfId="47716"/>
    <cellStyle name="Note 3 3 3 2" xfId="47717"/>
    <cellStyle name="Note 3 3 3 2 10" xfId="47718"/>
    <cellStyle name="Note 3 3 3 2 11" xfId="47719"/>
    <cellStyle name="Note 3 3 3 2 2" xfId="47720"/>
    <cellStyle name="Note 3 3 3 2 3" xfId="47721"/>
    <cellStyle name="Note 3 3 3 2 4" xfId="47722"/>
    <cellStyle name="Note 3 3 3 2 5" xfId="47723"/>
    <cellStyle name="Note 3 3 3 2 6" xfId="47724"/>
    <cellStyle name="Note 3 3 3 2 7" xfId="47725"/>
    <cellStyle name="Note 3 3 3 2 8" xfId="47726"/>
    <cellStyle name="Note 3 3 3 2 9" xfId="47727"/>
    <cellStyle name="Note 3 3 3 3" xfId="47728"/>
    <cellStyle name="Note 3 3 3 4" xfId="47729"/>
    <cellStyle name="Note 3 3 3 5" xfId="47730"/>
    <cellStyle name="Note 3 3 3 6" xfId="47731"/>
    <cellStyle name="Note 3 3 3 7" xfId="47732"/>
    <cellStyle name="Note 3 3 3 8" xfId="47733"/>
    <cellStyle name="Note 3 3 3 9" xfId="47734"/>
    <cellStyle name="Note 3 3 4" xfId="47735"/>
    <cellStyle name="Note 3 3 4 10" xfId="47736"/>
    <cellStyle name="Note 3 3 4 11" xfId="47737"/>
    <cellStyle name="Note 3 3 4 2" xfId="47738"/>
    <cellStyle name="Note 3 3 4 3" xfId="47739"/>
    <cellStyle name="Note 3 3 4 4" xfId="47740"/>
    <cellStyle name="Note 3 3 4 5" xfId="47741"/>
    <cellStyle name="Note 3 3 4 6" xfId="47742"/>
    <cellStyle name="Note 3 3 4 7" xfId="47743"/>
    <cellStyle name="Note 3 3 4 8" xfId="47744"/>
    <cellStyle name="Note 3 3 4 9" xfId="47745"/>
    <cellStyle name="Note 3 3 5" xfId="47746"/>
    <cellStyle name="Note 3 3 6" xfId="47747"/>
    <cellStyle name="Note 3 3 7" xfId="47748"/>
    <cellStyle name="Note 3 3 8" xfId="47749"/>
    <cellStyle name="Note 3 3 9" xfId="47750"/>
    <cellStyle name="Note 3 4" xfId="47751"/>
    <cellStyle name="Note 3 4 10" xfId="47752"/>
    <cellStyle name="Note 3 4 11" xfId="47753"/>
    <cellStyle name="Note 3 4 12" xfId="47754"/>
    <cellStyle name="Note 3 4 13" xfId="47755"/>
    <cellStyle name="Note 3 4 2" xfId="47756"/>
    <cellStyle name="Note 3 4 2 10" xfId="47757"/>
    <cellStyle name="Note 3 4 2 11" xfId="47758"/>
    <cellStyle name="Note 3 4 2 12" xfId="47759"/>
    <cellStyle name="Note 3 4 2 2" xfId="47760"/>
    <cellStyle name="Note 3 4 2 2 10" xfId="47761"/>
    <cellStyle name="Note 3 4 2 2 11" xfId="47762"/>
    <cellStyle name="Note 3 4 2 2 2" xfId="47763"/>
    <cellStyle name="Note 3 4 2 2 2 10" xfId="47764"/>
    <cellStyle name="Note 3 4 2 2 2 11" xfId="47765"/>
    <cellStyle name="Note 3 4 2 2 2 2" xfId="47766"/>
    <cellStyle name="Note 3 4 2 2 2 3" xfId="47767"/>
    <cellStyle name="Note 3 4 2 2 2 4" xfId="47768"/>
    <cellStyle name="Note 3 4 2 2 2 5" xfId="47769"/>
    <cellStyle name="Note 3 4 2 2 2 6" xfId="47770"/>
    <cellStyle name="Note 3 4 2 2 2 7" xfId="47771"/>
    <cellStyle name="Note 3 4 2 2 2 8" xfId="47772"/>
    <cellStyle name="Note 3 4 2 2 2 9" xfId="47773"/>
    <cellStyle name="Note 3 4 2 2 3" xfId="47774"/>
    <cellStyle name="Note 3 4 2 2 4" xfId="47775"/>
    <cellStyle name="Note 3 4 2 2 5" xfId="47776"/>
    <cellStyle name="Note 3 4 2 2 6" xfId="47777"/>
    <cellStyle name="Note 3 4 2 2 7" xfId="47778"/>
    <cellStyle name="Note 3 4 2 2 8" xfId="47779"/>
    <cellStyle name="Note 3 4 2 2 9" xfId="47780"/>
    <cellStyle name="Note 3 4 2 3" xfId="47781"/>
    <cellStyle name="Note 3 4 2 3 10" xfId="47782"/>
    <cellStyle name="Note 3 4 2 3 11" xfId="47783"/>
    <cellStyle name="Note 3 4 2 3 2" xfId="47784"/>
    <cellStyle name="Note 3 4 2 3 3" xfId="47785"/>
    <cellStyle name="Note 3 4 2 3 4" xfId="47786"/>
    <cellStyle name="Note 3 4 2 3 5" xfId="47787"/>
    <cellStyle name="Note 3 4 2 3 6" xfId="47788"/>
    <cellStyle name="Note 3 4 2 3 7" xfId="47789"/>
    <cellStyle name="Note 3 4 2 3 8" xfId="47790"/>
    <cellStyle name="Note 3 4 2 3 9" xfId="47791"/>
    <cellStyle name="Note 3 4 2 4" xfId="47792"/>
    <cellStyle name="Note 3 4 2 5" xfId="47793"/>
    <cellStyle name="Note 3 4 2 6" xfId="47794"/>
    <cellStyle name="Note 3 4 2 7" xfId="47795"/>
    <cellStyle name="Note 3 4 2 8" xfId="47796"/>
    <cellStyle name="Note 3 4 2 9" xfId="47797"/>
    <cellStyle name="Note 3 4 3" xfId="47798"/>
    <cellStyle name="Note 3 4 3 10" xfId="47799"/>
    <cellStyle name="Note 3 4 3 11" xfId="47800"/>
    <cellStyle name="Note 3 4 3 2" xfId="47801"/>
    <cellStyle name="Note 3 4 3 2 10" xfId="47802"/>
    <cellStyle name="Note 3 4 3 2 11" xfId="47803"/>
    <cellStyle name="Note 3 4 3 2 2" xfId="47804"/>
    <cellStyle name="Note 3 4 3 2 3" xfId="47805"/>
    <cellStyle name="Note 3 4 3 2 4" xfId="47806"/>
    <cellStyle name="Note 3 4 3 2 5" xfId="47807"/>
    <cellStyle name="Note 3 4 3 2 6" xfId="47808"/>
    <cellStyle name="Note 3 4 3 2 7" xfId="47809"/>
    <cellStyle name="Note 3 4 3 2 8" xfId="47810"/>
    <cellStyle name="Note 3 4 3 2 9" xfId="47811"/>
    <cellStyle name="Note 3 4 3 3" xfId="47812"/>
    <cellStyle name="Note 3 4 3 4" xfId="47813"/>
    <cellStyle name="Note 3 4 3 5" xfId="47814"/>
    <cellStyle name="Note 3 4 3 6" xfId="47815"/>
    <cellStyle name="Note 3 4 3 7" xfId="47816"/>
    <cellStyle name="Note 3 4 3 8" xfId="47817"/>
    <cellStyle name="Note 3 4 3 9" xfId="47818"/>
    <cellStyle name="Note 3 4 4" xfId="47819"/>
    <cellStyle name="Note 3 4 4 10" xfId="47820"/>
    <cellStyle name="Note 3 4 4 11" xfId="47821"/>
    <cellStyle name="Note 3 4 4 2" xfId="47822"/>
    <cellStyle name="Note 3 4 4 3" xfId="47823"/>
    <cellStyle name="Note 3 4 4 4" xfId="47824"/>
    <cellStyle name="Note 3 4 4 5" xfId="47825"/>
    <cellStyle name="Note 3 4 4 6" xfId="47826"/>
    <cellStyle name="Note 3 4 4 7" xfId="47827"/>
    <cellStyle name="Note 3 4 4 8" xfId="47828"/>
    <cellStyle name="Note 3 4 4 9" xfId="47829"/>
    <cellStyle name="Note 3 4 5" xfId="47830"/>
    <cellStyle name="Note 3 4 6" xfId="47831"/>
    <cellStyle name="Note 3 4 7" xfId="47832"/>
    <cellStyle name="Note 3 4 8" xfId="47833"/>
    <cellStyle name="Note 3 4 9" xfId="47834"/>
    <cellStyle name="Note 3 5" xfId="47835"/>
    <cellStyle name="Note 3 5 10" xfId="47836"/>
    <cellStyle name="Note 3 5 11" xfId="47837"/>
    <cellStyle name="Note 3 5 12" xfId="47838"/>
    <cellStyle name="Note 3 5 13" xfId="47839"/>
    <cellStyle name="Note 3 5 2" xfId="47840"/>
    <cellStyle name="Note 3 5 2 10" xfId="47841"/>
    <cellStyle name="Note 3 5 2 11" xfId="47842"/>
    <cellStyle name="Note 3 5 2 12" xfId="47843"/>
    <cellStyle name="Note 3 5 2 2" xfId="47844"/>
    <cellStyle name="Note 3 5 2 2 10" xfId="47845"/>
    <cellStyle name="Note 3 5 2 2 11" xfId="47846"/>
    <cellStyle name="Note 3 5 2 2 2" xfId="47847"/>
    <cellStyle name="Note 3 5 2 2 2 10" xfId="47848"/>
    <cellStyle name="Note 3 5 2 2 2 11" xfId="47849"/>
    <cellStyle name="Note 3 5 2 2 2 2" xfId="47850"/>
    <cellStyle name="Note 3 5 2 2 2 3" xfId="47851"/>
    <cellStyle name="Note 3 5 2 2 2 4" xfId="47852"/>
    <cellStyle name="Note 3 5 2 2 2 5" xfId="47853"/>
    <cellStyle name="Note 3 5 2 2 2 6" xfId="47854"/>
    <cellStyle name="Note 3 5 2 2 2 7" xfId="47855"/>
    <cellStyle name="Note 3 5 2 2 2 8" xfId="47856"/>
    <cellStyle name="Note 3 5 2 2 2 9" xfId="47857"/>
    <cellStyle name="Note 3 5 2 2 3" xfId="47858"/>
    <cellStyle name="Note 3 5 2 2 4" xfId="47859"/>
    <cellStyle name="Note 3 5 2 2 5" xfId="47860"/>
    <cellStyle name="Note 3 5 2 2 6" xfId="47861"/>
    <cellStyle name="Note 3 5 2 2 7" xfId="47862"/>
    <cellStyle name="Note 3 5 2 2 8" xfId="47863"/>
    <cellStyle name="Note 3 5 2 2 9" xfId="47864"/>
    <cellStyle name="Note 3 5 2 3" xfId="47865"/>
    <cellStyle name="Note 3 5 2 3 10" xfId="47866"/>
    <cellStyle name="Note 3 5 2 3 11" xfId="47867"/>
    <cellStyle name="Note 3 5 2 3 2" xfId="47868"/>
    <cellStyle name="Note 3 5 2 3 3" xfId="47869"/>
    <cellStyle name="Note 3 5 2 3 4" xfId="47870"/>
    <cellStyle name="Note 3 5 2 3 5" xfId="47871"/>
    <cellStyle name="Note 3 5 2 3 6" xfId="47872"/>
    <cellStyle name="Note 3 5 2 3 7" xfId="47873"/>
    <cellStyle name="Note 3 5 2 3 8" xfId="47874"/>
    <cellStyle name="Note 3 5 2 3 9" xfId="47875"/>
    <cellStyle name="Note 3 5 2 4" xfId="47876"/>
    <cellStyle name="Note 3 5 2 5" xfId="47877"/>
    <cellStyle name="Note 3 5 2 6" xfId="47878"/>
    <cellStyle name="Note 3 5 2 7" xfId="47879"/>
    <cellStyle name="Note 3 5 2 8" xfId="47880"/>
    <cellStyle name="Note 3 5 2 9" xfId="47881"/>
    <cellStyle name="Note 3 5 3" xfId="47882"/>
    <cellStyle name="Note 3 5 3 10" xfId="47883"/>
    <cellStyle name="Note 3 5 3 11" xfId="47884"/>
    <cellStyle name="Note 3 5 3 2" xfId="47885"/>
    <cellStyle name="Note 3 5 3 2 10" xfId="47886"/>
    <cellStyle name="Note 3 5 3 2 11" xfId="47887"/>
    <cellStyle name="Note 3 5 3 2 2" xfId="47888"/>
    <cellStyle name="Note 3 5 3 2 3" xfId="47889"/>
    <cellStyle name="Note 3 5 3 2 4" xfId="47890"/>
    <cellStyle name="Note 3 5 3 2 5" xfId="47891"/>
    <cellStyle name="Note 3 5 3 2 6" xfId="47892"/>
    <cellStyle name="Note 3 5 3 2 7" xfId="47893"/>
    <cellStyle name="Note 3 5 3 2 8" xfId="47894"/>
    <cellStyle name="Note 3 5 3 2 9" xfId="47895"/>
    <cellStyle name="Note 3 5 3 3" xfId="47896"/>
    <cellStyle name="Note 3 5 3 4" xfId="47897"/>
    <cellStyle name="Note 3 5 3 5" xfId="47898"/>
    <cellStyle name="Note 3 5 3 6" xfId="47899"/>
    <cellStyle name="Note 3 5 3 7" xfId="47900"/>
    <cellStyle name="Note 3 5 3 8" xfId="47901"/>
    <cellStyle name="Note 3 5 3 9" xfId="47902"/>
    <cellStyle name="Note 3 5 4" xfId="47903"/>
    <cellStyle name="Note 3 5 4 10" xfId="47904"/>
    <cellStyle name="Note 3 5 4 11" xfId="47905"/>
    <cellStyle name="Note 3 5 4 2" xfId="47906"/>
    <cellStyle name="Note 3 5 4 3" xfId="47907"/>
    <cellStyle name="Note 3 5 4 4" xfId="47908"/>
    <cellStyle name="Note 3 5 4 5" xfId="47909"/>
    <cellStyle name="Note 3 5 4 6" xfId="47910"/>
    <cellStyle name="Note 3 5 4 7" xfId="47911"/>
    <cellStyle name="Note 3 5 4 8" xfId="47912"/>
    <cellStyle name="Note 3 5 4 9" xfId="47913"/>
    <cellStyle name="Note 3 5 5" xfId="47914"/>
    <cellStyle name="Note 3 5 6" xfId="47915"/>
    <cellStyle name="Note 3 5 7" xfId="47916"/>
    <cellStyle name="Note 3 5 8" xfId="47917"/>
    <cellStyle name="Note 3 5 9" xfId="47918"/>
    <cellStyle name="Note 3 6" xfId="47919"/>
    <cellStyle name="Note 3 6 10" xfId="47920"/>
    <cellStyle name="Note 3 6 11" xfId="47921"/>
    <cellStyle name="Note 3 6 12" xfId="47922"/>
    <cellStyle name="Note 3 6 13" xfId="47923"/>
    <cellStyle name="Note 3 6 2" xfId="47924"/>
    <cellStyle name="Note 3 6 2 10" xfId="47925"/>
    <cellStyle name="Note 3 6 2 11" xfId="47926"/>
    <cellStyle name="Note 3 6 2 12" xfId="47927"/>
    <cellStyle name="Note 3 6 2 2" xfId="47928"/>
    <cellStyle name="Note 3 6 2 2 10" xfId="47929"/>
    <cellStyle name="Note 3 6 2 2 11" xfId="47930"/>
    <cellStyle name="Note 3 6 2 2 2" xfId="47931"/>
    <cellStyle name="Note 3 6 2 2 2 10" xfId="47932"/>
    <cellStyle name="Note 3 6 2 2 2 11" xfId="47933"/>
    <cellStyle name="Note 3 6 2 2 2 2" xfId="47934"/>
    <cellStyle name="Note 3 6 2 2 2 3" xfId="47935"/>
    <cellStyle name="Note 3 6 2 2 2 4" xfId="47936"/>
    <cellStyle name="Note 3 6 2 2 2 5" xfId="47937"/>
    <cellStyle name="Note 3 6 2 2 2 6" xfId="47938"/>
    <cellStyle name="Note 3 6 2 2 2 7" xfId="47939"/>
    <cellStyle name="Note 3 6 2 2 2 8" xfId="47940"/>
    <cellStyle name="Note 3 6 2 2 2 9" xfId="47941"/>
    <cellStyle name="Note 3 6 2 2 3" xfId="47942"/>
    <cellStyle name="Note 3 6 2 2 4" xfId="47943"/>
    <cellStyle name="Note 3 6 2 2 5" xfId="47944"/>
    <cellStyle name="Note 3 6 2 2 6" xfId="47945"/>
    <cellStyle name="Note 3 6 2 2 7" xfId="47946"/>
    <cellStyle name="Note 3 6 2 2 8" xfId="47947"/>
    <cellStyle name="Note 3 6 2 2 9" xfId="47948"/>
    <cellStyle name="Note 3 6 2 3" xfId="47949"/>
    <cellStyle name="Note 3 6 2 3 10" xfId="47950"/>
    <cellStyle name="Note 3 6 2 3 11" xfId="47951"/>
    <cellStyle name="Note 3 6 2 3 2" xfId="47952"/>
    <cellStyle name="Note 3 6 2 3 3" xfId="47953"/>
    <cellStyle name="Note 3 6 2 3 4" xfId="47954"/>
    <cellStyle name="Note 3 6 2 3 5" xfId="47955"/>
    <cellStyle name="Note 3 6 2 3 6" xfId="47956"/>
    <cellStyle name="Note 3 6 2 3 7" xfId="47957"/>
    <cellStyle name="Note 3 6 2 3 8" xfId="47958"/>
    <cellStyle name="Note 3 6 2 3 9" xfId="47959"/>
    <cellStyle name="Note 3 6 2 4" xfId="47960"/>
    <cellStyle name="Note 3 6 2 5" xfId="47961"/>
    <cellStyle name="Note 3 6 2 6" xfId="47962"/>
    <cellStyle name="Note 3 6 2 7" xfId="47963"/>
    <cellStyle name="Note 3 6 2 8" xfId="47964"/>
    <cellStyle name="Note 3 6 2 9" xfId="47965"/>
    <cellStyle name="Note 3 6 3" xfId="47966"/>
    <cellStyle name="Note 3 6 3 10" xfId="47967"/>
    <cellStyle name="Note 3 6 3 11" xfId="47968"/>
    <cellStyle name="Note 3 6 3 2" xfId="47969"/>
    <cellStyle name="Note 3 6 3 2 10" xfId="47970"/>
    <cellStyle name="Note 3 6 3 2 11" xfId="47971"/>
    <cellStyle name="Note 3 6 3 2 2" xfId="47972"/>
    <cellStyle name="Note 3 6 3 2 3" xfId="47973"/>
    <cellStyle name="Note 3 6 3 2 4" xfId="47974"/>
    <cellStyle name="Note 3 6 3 2 5" xfId="47975"/>
    <cellStyle name="Note 3 6 3 2 6" xfId="47976"/>
    <cellStyle name="Note 3 6 3 2 7" xfId="47977"/>
    <cellStyle name="Note 3 6 3 2 8" xfId="47978"/>
    <cellStyle name="Note 3 6 3 2 9" xfId="47979"/>
    <cellStyle name="Note 3 6 3 3" xfId="47980"/>
    <cellStyle name="Note 3 6 3 4" xfId="47981"/>
    <cellStyle name="Note 3 6 3 5" xfId="47982"/>
    <cellStyle name="Note 3 6 3 6" xfId="47983"/>
    <cellStyle name="Note 3 6 3 7" xfId="47984"/>
    <cellStyle name="Note 3 6 3 8" xfId="47985"/>
    <cellStyle name="Note 3 6 3 9" xfId="47986"/>
    <cellStyle name="Note 3 6 4" xfId="47987"/>
    <cellStyle name="Note 3 6 4 10" xfId="47988"/>
    <cellStyle name="Note 3 6 4 11" xfId="47989"/>
    <cellStyle name="Note 3 6 4 2" xfId="47990"/>
    <cellStyle name="Note 3 6 4 3" xfId="47991"/>
    <cellStyle name="Note 3 6 4 4" xfId="47992"/>
    <cellStyle name="Note 3 6 4 5" xfId="47993"/>
    <cellStyle name="Note 3 6 4 6" xfId="47994"/>
    <cellStyle name="Note 3 6 4 7" xfId="47995"/>
    <cellStyle name="Note 3 6 4 8" xfId="47996"/>
    <cellStyle name="Note 3 6 4 9" xfId="47997"/>
    <cellStyle name="Note 3 6 5" xfId="47998"/>
    <cellStyle name="Note 3 6 6" xfId="47999"/>
    <cellStyle name="Note 3 6 7" xfId="48000"/>
    <cellStyle name="Note 3 6 8" xfId="48001"/>
    <cellStyle name="Note 3 6 9" xfId="48002"/>
    <cellStyle name="Note 3 7" xfId="48003"/>
    <cellStyle name="Note 3 7 10" xfId="48004"/>
    <cellStyle name="Note 3 7 11" xfId="48005"/>
    <cellStyle name="Note 3 7 12" xfId="48006"/>
    <cellStyle name="Note 3 7 13" xfId="48007"/>
    <cellStyle name="Note 3 7 2" xfId="48008"/>
    <cellStyle name="Note 3 7 2 10" xfId="48009"/>
    <cellStyle name="Note 3 7 2 11" xfId="48010"/>
    <cellStyle name="Note 3 7 2 12" xfId="48011"/>
    <cellStyle name="Note 3 7 2 2" xfId="48012"/>
    <cellStyle name="Note 3 7 2 2 10" xfId="48013"/>
    <cellStyle name="Note 3 7 2 2 11" xfId="48014"/>
    <cellStyle name="Note 3 7 2 2 2" xfId="48015"/>
    <cellStyle name="Note 3 7 2 2 2 10" xfId="48016"/>
    <cellStyle name="Note 3 7 2 2 2 11" xfId="48017"/>
    <cellStyle name="Note 3 7 2 2 2 2" xfId="48018"/>
    <cellStyle name="Note 3 7 2 2 2 3" xfId="48019"/>
    <cellStyle name="Note 3 7 2 2 2 4" xfId="48020"/>
    <cellStyle name="Note 3 7 2 2 2 5" xfId="48021"/>
    <cellStyle name="Note 3 7 2 2 2 6" xfId="48022"/>
    <cellStyle name="Note 3 7 2 2 2 7" xfId="48023"/>
    <cellStyle name="Note 3 7 2 2 2 8" xfId="48024"/>
    <cellStyle name="Note 3 7 2 2 2 9" xfId="48025"/>
    <cellStyle name="Note 3 7 2 2 3" xfId="48026"/>
    <cellStyle name="Note 3 7 2 2 4" xfId="48027"/>
    <cellStyle name="Note 3 7 2 2 5" xfId="48028"/>
    <cellStyle name="Note 3 7 2 2 6" xfId="48029"/>
    <cellStyle name="Note 3 7 2 2 7" xfId="48030"/>
    <cellStyle name="Note 3 7 2 2 8" xfId="48031"/>
    <cellStyle name="Note 3 7 2 2 9" xfId="48032"/>
    <cellStyle name="Note 3 7 2 3" xfId="48033"/>
    <cellStyle name="Note 3 7 2 3 10" xfId="48034"/>
    <cellStyle name="Note 3 7 2 3 11" xfId="48035"/>
    <cellStyle name="Note 3 7 2 3 2" xfId="48036"/>
    <cellStyle name="Note 3 7 2 3 3" xfId="48037"/>
    <cellStyle name="Note 3 7 2 3 4" xfId="48038"/>
    <cellStyle name="Note 3 7 2 3 5" xfId="48039"/>
    <cellStyle name="Note 3 7 2 3 6" xfId="48040"/>
    <cellStyle name="Note 3 7 2 3 7" xfId="48041"/>
    <cellStyle name="Note 3 7 2 3 8" xfId="48042"/>
    <cellStyle name="Note 3 7 2 3 9" xfId="48043"/>
    <cellStyle name="Note 3 7 2 4" xfId="48044"/>
    <cellStyle name="Note 3 7 2 5" xfId="48045"/>
    <cellStyle name="Note 3 7 2 6" xfId="48046"/>
    <cellStyle name="Note 3 7 2 7" xfId="48047"/>
    <cellStyle name="Note 3 7 2 8" xfId="48048"/>
    <cellStyle name="Note 3 7 2 9" xfId="48049"/>
    <cellStyle name="Note 3 7 3" xfId="48050"/>
    <cellStyle name="Note 3 7 3 10" xfId="48051"/>
    <cellStyle name="Note 3 7 3 11" xfId="48052"/>
    <cellStyle name="Note 3 7 3 2" xfId="48053"/>
    <cellStyle name="Note 3 7 3 2 10" xfId="48054"/>
    <cellStyle name="Note 3 7 3 2 11" xfId="48055"/>
    <cellStyle name="Note 3 7 3 2 2" xfId="48056"/>
    <cellStyle name="Note 3 7 3 2 3" xfId="48057"/>
    <cellStyle name="Note 3 7 3 2 4" xfId="48058"/>
    <cellStyle name="Note 3 7 3 2 5" xfId="48059"/>
    <cellStyle name="Note 3 7 3 2 6" xfId="48060"/>
    <cellStyle name="Note 3 7 3 2 7" xfId="48061"/>
    <cellStyle name="Note 3 7 3 2 8" xfId="48062"/>
    <cellStyle name="Note 3 7 3 2 9" xfId="48063"/>
    <cellStyle name="Note 3 7 3 3" xfId="48064"/>
    <cellStyle name="Note 3 7 3 4" xfId="48065"/>
    <cellStyle name="Note 3 7 3 5" xfId="48066"/>
    <cellStyle name="Note 3 7 3 6" xfId="48067"/>
    <cellStyle name="Note 3 7 3 7" xfId="48068"/>
    <cellStyle name="Note 3 7 3 8" xfId="48069"/>
    <cellStyle name="Note 3 7 3 9" xfId="48070"/>
    <cellStyle name="Note 3 7 4" xfId="48071"/>
    <cellStyle name="Note 3 7 4 10" xfId="48072"/>
    <cellStyle name="Note 3 7 4 11" xfId="48073"/>
    <cellStyle name="Note 3 7 4 2" xfId="48074"/>
    <cellStyle name="Note 3 7 4 3" xfId="48075"/>
    <cellStyle name="Note 3 7 4 4" xfId="48076"/>
    <cellStyle name="Note 3 7 4 5" xfId="48077"/>
    <cellStyle name="Note 3 7 4 6" xfId="48078"/>
    <cellStyle name="Note 3 7 4 7" xfId="48079"/>
    <cellStyle name="Note 3 7 4 8" xfId="48080"/>
    <cellStyle name="Note 3 7 4 9" xfId="48081"/>
    <cellStyle name="Note 3 7 5" xfId="48082"/>
    <cellStyle name="Note 3 7 6" xfId="48083"/>
    <cellStyle name="Note 3 7 7" xfId="48084"/>
    <cellStyle name="Note 3 7 8" xfId="48085"/>
    <cellStyle name="Note 3 7 9" xfId="48086"/>
    <cellStyle name="Note 3 8" xfId="48087"/>
    <cellStyle name="Note 3 8 10" xfId="48088"/>
    <cellStyle name="Note 3 8 11" xfId="48089"/>
    <cellStyle name="Note 3 8 12" xfId="48090"/>
    <cellStyle name="Note 3 8 13" xfId="48091"/>
    <cellStyle name="Note 3 8 2" xfId="48092"/>
    <cellStyle name="Note 3 8 2 10" xfId="48093"/>
    <cellStyle name="Note 3 8 2 11" xfId="48094"/>
    <cellStyle name="Note 3 8 2 12" xfId="48095"/>
    <cellStyle name="Note 3 8 2 2" xfId="48096"/>
    <cellStyle name="Note 3 8 2 2 10" xfId="48097"/>
    <cellStyle name="Note 3 8 2 2 11" xfId="48098"/>
    <cellStyle name="Note 3 8 2 2 2" xfId="48099"/>
    <cellStyle name="Note 3 8 2 2 2 10" xfId="48100"/>
    <cellStyle name="Note 3 8 2 2 2 11" xfId="48101"/>
    <cellStyle name="Note 3 8 2 2 2 2" xfId="48102"/>
    <cellStyle name="Note 3 8 2 2 2 3" xfId="48103"/>
    <cellStyle name="Note 3 8 2 2 2 4" xfId="48104"/>
    <cellStyle name="Note 3 8 2 2 2 5" xfId="48105"/>
    <cellStyle name="Note 3 8 2 2 2 6" xfId="48106"/>
    <cellStyle name="Note 3 8 2 2 2 7" xfId="48107"/>
    <cellStyle name="Note 3 8 2 2 2 8" xfId="48108"/>
    <cellStyle name="Note 3 8 2 2 2 9" xfId="48109"/>
    <cellStyle name="Note 3 8 2 2 3" xfId="48110"/>
    <cellStyle name="Note 3 8 2 2 4" xfId="48111"/>
    <cellStyle name="Note 3 8 2 2 5" xfId="48112"/>
    <cellStyle name="Note 3 8 2 2 6" xfId="48113"/>
    <cellStyle name="Note 3 8 2 2 7" xfId="48114"/>
    <cellStyle name="Note 3 8 2 2 8" xfId="48115"/>
    <cellStyle name="Note 3 8 2 2 9" xfId="48116"/>
    <cellStyle name="Note 3 8 2 3" xfId="48117"/>
    <cellStyle name="Note 3 8 2 3 10" xfId="48118"/>
    <cellStyle name="Note 3 8 2 3 11" xfId="48119"/>
    <cellStyle name="Note 3 8 2 3 2" xfId="48120"/>
    <cellStyle name="Note 3 8 2 3 3" xfId="48121"/>
    <cellStyle name="Note 3 8 2 3 4" xfId="48122"/>
    <cellStyle name="Note 3 8 2 3 5" xfId="48123"/>
    <cellStyle name="Note 3 8 2 3 6" xfId="48124"/>
    <cellStyle name="Note 3 8 2 3 7" xfId="48125"/>
    <cellStyle name="Note 3 8 2 3 8" xfId="48126"/>
    <cellStyle name="Note 3 8 2 3 9" xfId="48127"/>
    <cellStyle name="Note 3 8 2 4" xfId="48128"/>
    <cellStyle name="Note 3 8 2 5" xfId="48129"/>
    <cellStyle name="Note 3 8 2 6" xfId="48130"/>
    <cellStyle name="Note 3 8 2 7" xfId="48131"/>
    <cellStyle name="Note 3 8 2 8" xfId="48132"/>
    <cellStyle name="Note 3 8 2 9" xfId="48133"/>
    <cellStyle name="Note 3 8 3" xfId="48134"/>
    <cellStyle name="Note 3 8 3 10" xfId="48135"/>
    <cellStyle name="Note 3 8 3 11" xfId="48136"/>
    <cellStyle name="Note 3 8 3 2" xfId="48137"/>
    <cellStyle name="Note 3 8 3 2 10" xfId="48138"/>
    <cellStyle name="Note 3 8 3 2 11" xfId="48139"/>
    <cellStyle name="Note 3 8 3 2 2" xfId="48140"/>
    <cellStyle name="Note 3 8 3 2 3" xfId="48141"/>
    <cellStyle name="Note 3 8 3 2 4" xfId="48142"/>
    <cellStyle name="Note 3 8 3 2 5" xfId="48143"/>
    <cellStyle name="Note 3 8 3 2 6" xfId="48144"/>
    <cellStyle name="Note 3 8 3 2 7" xfId="48145"/>
    <cellStyle name="Note 3 8 3 2 8" xfId="48146"/>
    <cellStyle name="Note 3 8 3 2 9" xfId="48147"/>
    <cellStyle name="Note 3 8 3 3" xfId="48148"/>
    <cellStyle name="Note 3 8 3 4" xfId="48149"/>
    <cellStyle name="Note 3 8 3 5" xfId="48150"/>
    <cellStyle name="Note 3 8 3 6" xfId="48151"/>
    <cellStyle name="Note 3 8 3 7" xfId="48152"/>
    <cellStyle name="Note 3 8 3 8" xfId="48153"/>
    <cellStyle name="Note 3 8 3 9" xfId="48154"/>
    <cellStyle name="Note 3 8 4" xfId="48155"/>
    <cellStyle name="Note 3 8 4 10" xfId="48156"/>
    <cellStyle name="Note 3 8 4 11" xfId="48157"/>
    <cellStyle name="Note 3 8 4 2" xfId="48158"/>
    <cellStyle name="Note 3 8 4 3" xfId="48159"/>
    <cellStyle name="Note 3 8 4 4" xfId="48160"/>
    <cellStyle name="Note 3 8 4 5" xfId="48161"/>
    <cellStyle name="Note 3 8 4 6" xfId="48162"/>
    <cellStyle name="Note 3 8 4 7" xfId="48163"/>
    <cellStyle name="Note 3 8 4 8" xfId="48164"/>
    <cellStyle name="Note 3 8 4 9" xfId="48165"/>
    <cellStyle name="Note 3 8 5" xfId="48166"/>
    <cellStyle name="Note 3 8 6" xfId="48167"/>
    <cellStyle name="Note 3 8 7" xfId="48168"/>
    <cellStyle name="Note 3 8 8" xfId="48169"/>
    <cellStyle name="Note 3 8 9" xfId="48170"/>
    <cellStyle name="Note 3 9" xfId="48171"/>
    <cellStyle name="Note 3 9 10" xfId="48172"/>
    <cellStyle name="Note 3 9 11" xfId="48173"/>
    <cellStyle name="Note 3 9 12" xfId="48174"/>
    <cellStyle name="Note 3 9 2" xfId="48175"/>
    <cellStyle name="Note 3 9 2 10" xfId="48176"/>
    <cellStyle name="Note 3 9 2 11" xfId="48177"/>
    <cellStyle name="Note 3 9 2 2" xfId="48178"/>
    <cellStyle name="Note 3 9 2 2 10" xfId="48179"/>
    <cellStyle name="Note 3 9 2 2 11" xfId="48180"/>
    <cellStyle name="Note 3 9 2 2 2" xfId="48181"/>
    <cellStyle name="Note 3 9 2 2 3" xfId="48182"/>
    <cellStyle name="Note 3 9 2 2 4" xfId="48183"/>
    <cellStyle name="Note 3 9 2 2 5" xfId="48184"/>
    <cellStyle name="Note 3 9 2 2 6" xfId="48185"/>
    <cellStyle name="Note 3 9 2 2 7" xfId="48186"/>
    <cellStyle name="Note 3 9 2 2 8" xfId="48187"/>
    <cellStyle name="Note 3 9 2 2 9" xfId="48188"/>
    <cellStyle name="Note 3 9 2 3" xfId="48189"/>
    <cellStyle name="Note 3 9 2 4" xfId="48190"/>
    <cellStyle name="Note 3 9 2 5" xfId="48191"/>
    <cellStyle name="Note 3 9 2 6" xfId="48192"/>
    <cellStyle name="Note 3 9 2 7" xfId="48193"/>
    <cellStyle name="Note 3 9 2 8" xfId="48194"/>
    <cellStyle name="Note 3 9 2 9" xfId="48195"/>
    <cellStyle name="Note 3 9 3" xfId="48196"/>
    <cellStyle name="Note 3 9 3 10" xfId="48197"/>
    <cellStyle name="Note 3 9 3 11" xfId="48198"/>
    <cellStyle name="Note 3 9 3 2" xfId="48199"/>
    <cellStyle name="Note 3 9 3 3" xfId="48200"/>
    <cellStyle name="Note 3 9 3 4" xfId="48201"/>
    <cellStyle name="Note 3 9 3 5" xfId="48202"/>
    <cellStyle name="Note 3 9 3 6" xfId="48203"/>
    <cellStyle name="Note 3 9 3 7" xfId="48204"/>
    <cellStyle name="Note 3 9 3 8" xfId="48205"/>
    <cellStyle name="Note 3 9 3 9" xfId="48206"/>
    <cellStyle name="Note 3 9 4" xfId="48207"/>
    <cellStyle name="Note 3 9 5" xfId="48208"/>
    <cellStyle name="Note 3 9 6" xfId="48209"/>
    <cellStyle name="Note 3 9 7" xfId="48210"/>
    <cellStyle name="Note 3 9 8" xfId="48211"/>
    <cellStyle name="Note 3 9 9" xfId="48212"/>
    <cellStyle name="Note 4" xfId="48213"/>
    <cellStyle name="Note 4 10" xfId="48214"/>
    <cellStyle name="Note 4 10 10" xfId="48215"/>
    <cellStyle name="Note 4 10 11" xfId="48216"/>
    <cellStyle name="Note 4 10 2" xfId="48217"/>
    <cellStyle name="Note 4 10 3" xfId="48218"/>
    <cellStyle name="Note 4 10 4" xfId="48219"/>
    <cellStyle name="Note 4 10 5" xfId="48220"/>
    <cellStyle name="Note 4 10 6" xfId="48221"/>
    <cellStyle name="Note 4 10 7" xfId="48222"/>
    <cellStyle name="Note 4 10 8" xfId="48223"/>
    <cellStyle name="Note 4 10 9" xfId="48224"/>
    <cellStyle name="Note 4 11" xfId="48225"/>
    <cellStyle name="Note 4 12" xfId="48226"/>
    <cellStyle name="Note 4 2" xfId="48227"/>
    <cellStyle name="Note 4 2 10" xfId="48228"/>
    <cellStyle name="Note 4 2 11" xfId="48229"/>
    <cellStyle name="Note 4 2 12" xfId="48230"/>
    <cellStyle name="Note 4 2 13" xfId="48231"/>
    <cellStyle name="Note 4 2 2" xfId="48232"/>
    <cellStyle name="Note 4 2 2 10" xfId="48233"/>
    <cellStyle name="Note 4 2 2 11" xfId="48234"/>
    <cellStyle name="Note 4 2 2 12" xfId="48235"/>
    <cellStyle name="Note 4 2 2 2" xfId="48236"/>
    <cellStyle name="Note 4 2 2 2 10" xfId="48237"/>
    <cellStyle name="Note 4 2 2 2 11" xfId="48238"/>
    <cellStyle name="Note 4 2 2 2 2" xfId="48239"/>
    <cellStyle name="Note 4 2 2 2 2 10" xfId="48240"/>
    <cellStyle name="Note 4 2 2 2 2 11" xfId="48241"/>
    <cellStyle name="Note 4 2 2 2 2 2" xfId="48242"/>
    <cellStyle name="Note 4 2 2 2 2 3" xfId="48243"/>
    <cellStyle name="Note 4 2 2 2 2 4" xfId="48244"/>
    <cellStyle name="Note 4 2 2 2 2 5" xfId="48245"/>
    <cellStyle name="Note 4 2 2 2 2 6" xfId="48246"/>
    <cellStyle name="Note 4 2 2 2 2 7" xfId="48247"/>
    <cellStyle name="Note 4 2 2 2 2 8" xfId="48248"/>
    <cellStyle name="Note 4 2 2 2 2 9" xfId="48249"/>
    <cellStyle name="Note 4 2 2 2 3" xfId="48250"/>
    <cellStyle name="Note 4 2 2 2 4" xfId="48251"/>
    <cellStyle name="Note 4 2 2 2 5" xfId="48252"/>
    <cellStyle name="Note 4 2 2 2 6" xfId="48253"/>
    <cellStyle name="Note 4 2 2 2 7" xfId="48254"/>
    <cellStyle name="Note 4 2 2 2 8" xfId="48255"/>
    <cellStyle name="Note 4 2 2 2 9" xfId="48256"/>
    <cellStyle name="Note 4 2 2 3" xfId="48257"/>
    <cellStyle name="Note 4 2 2 3 10" xfId="48258"/>
    <cellStyle name="Note 4 2 2 3 11" xfId="48259"/>
    <cellStyle name="Note 4 2 2 3 2" xfId="48260"/>
    <cellStyle name="Note 4 2 2 3 3" xfId="48261"/>
    <cellStyle name="Note 4 2 2 3 4" xfId="48262"/>
    <cellStyle name="Note 4 2 2 3 5" xfId="48263"/>
    <cellStyle name="Note 4 2 2 3 6" xfId="48264"/>
    <cellStyle name="Note 4 2 2 3 7" xfId="48265"/>
    <cellStyle name="Note 4 2 2 3 8" xfId="48266"/>
    <cellStyle name="Note 4 2 2 3 9" xfId="48267"/>
    <cellStyle name="Note 4 2 2 4" xfId="48268"/>
    <cellStyle name="Note 4 2 2 5" xfId="48269"/>
    <cellStyle name="Note 4 2 2 6" xfId="48270"/>
    <cellStyle name="Note 4 2 2 7" xfId="48271"/>
    <cellStyle name="Note 4 2 2 8" xfId="48272"/>
    <cellStyle name="Note 4 2 2 9" xfId="48273"/>
    <cellStyle name="Note 4 2 3" xfId="48274"/>
    <cellStyle name="Note 4 2 3 10" xfId="48275"/>
    <cellStyle name="Note 4 2 3 11" xfId="48276"/>
    <cellStyle name="Note 4 2 3 2" xfId="48277"/>
    <cellStyle name="Note 4 2 3 2 10" xfId="48278"/>
    <cellStyle name="Note 4 2 3 2 11" xfId="48279"/>
    <cellStyle name="Note 4 2 3 2 2" xfId="48280"/>
    <cellStyle name="Note 4 2 3 2 3" xfId="48281"/>
    <cellStyle name="Note 4 2 3 2 4" xfId="48282"/>
    <cellStyle name="Note 4 2 3 2 5" xfId="48283"/>
    <cellStyle name="Note 4 2 3 2 6" xfId="48284"/>
    <cellStyle name="Note 4 2 3 2 7" xfId="48285"/>
    <cellStyle name="Note 4 2 3 2 8" xfId="48286"/>
    <cellStyle name="Note 4 2 3 2 9" xfId="48287"/>
    <cellStyle name="Note 4 2 3 3" xfId="48288"/>
    <cellStyle name="Note 4 2 3 4" xfId="48289"/>
    <cellStyle name="Note 4 2 3 5" xfId="48290"/>
    <cellStyle name="Note 4 2 3 6" xfId="48291"/>
    <cellStyle name="Note 4 2 3 7" xfId="48292"/>
    <cellStyle name="Note 4 2 3 8" xfId="48293"/>
    <cellStyle name="Note 4 2 3 9" xfId="48294"/>
    <cellStyle name="Note 4 2 4" xfId="48295"/>
    <cellStyle name="Note 4 2 4 10" xfId="48296"/>
    <cellStyle name="Note 4 2 4 11" xfId="48297"/>
    <cellStyle name="Note 4 2 4 2" xfId="48298"/>
    <cellStyle name="Note 4 2 4 3" xfId="48299"/>
    <cellStyle name="Note 4 2 4 4" xfId="48300"/>
    <cellStyle name="Note 4 2 4 5" xfId="48301"/>
    <cellStyle name="Note 4 2 4 6" xfId="48302"/>
    <cellStyle name="Note 4 2 4 7" xfId="48303"/>
    <cellStyle name="Note 4 2 4 8" xfId="48304"/>
    <cellStyle name="Note 4 2 4 9" xfId="48305"/>
    <cellStyle name="Note 4 2 5" xfId="48306"/>
    <cellStyle name="Note 4 2 6" xfId="48307"/>
    <cellStyle name="Note 4 2 7" xfId="48308"/>
    <cellStyle name="Note 4 2 8" xfId="48309"/>
    <cellStyle name="Note 4 2 9" xfId="48310"/>
    <cellStyle name="Note 4 3" xfId="48311"/>
    <cellStyle name="Note 4 3 10" xfId="48312"/>
    <cellStyle name="Note 4 3 11" xfId="48313"/>
    <cellStyle name="Note 4 3 12" xfId="48314"/>
    <cellStyle name="Note 4 3 13" xfId="48315"/>
    <cellStyle name="Note 4 3 2" xfId="48316"/>
    <cellStyle name="Note 4 3 2 10" xfId="48317"/>
    <cellStyle name="Note 4 3 2 11" xfId="48318"/>
    <cellStyle name="Note 4 3 2 12" xfId="48319"/>
    <cellStyle name="Note 4 3 2 2" xfId="48320"/>
    <cellStyle name="Note 4 3 2 2 10" xfId="48321"/>
    <cellStyle name="Note 4 3 2 2 11" xfId="48322"/>
    <cellStyle name="Note 4 3 2 2 2" xfId="48323"/>
    <cellStyle name="Note 4 3 2 2 2 10" xfId="48324"/>
    <cellStyle name="Note 4 3 2 2 2 11" xfId="48325"/>
    <cellStyle name="Note 4 3 2 2 2 2" xfId="48326"/>
    <cellStyle name="Note 4 3 2 2 2 3" xfId="48327"/>
    <cellStyle name="Note 4 3 2 2 2 4" xfId="48328"/>
    <cellStyle name="Note 4 3 2 2 2 5" xfId="48329"/>
    <cellStyle name="Note 4 3 2 2 2 6" xfId="48330"/>
    <cellStyle name="Note 4 3 2 2 2 7" xfId="48331"/>
    <cellStyle name="Note 4 3 2 2 2 8" xfId="48332"/>
    <cellStyle name="Note 4 3 2 2 2 9" xfId="48333"/>
    <cellStyle name="Note 4 3 2 2 3" xfId="48334"/>
    <cellStyle name="Note 4 3 2 2 4" xfId="48335"/>
    <cellStyle name="Note 4 3 2 2 5" xfId="48336"/>
    <cellStyle name="Note 4 3 2 2 6" xfId="48337"/>
    <cellStyle name="Note 4 3 2 2 7" xfId="48338"/>
    <cellStyle name="Note 4 3 2 2 8" xfId="48339"/>
    <cellStyle name="Note 4 3 2 2 9" xfId="48340"/>
    <cellStyle name="Note 4 3 2 3" xfId="48341"/>
    <cellStyle name="Note 4 3 2 3 10" xfId="48342"/>
    <cellStyle name="Note 4 3 2 3 11" xfId="48343"/>
    <cellStyle name="Note 4 3 2 3 2" xfId="48344"/>
    <cellStyle name="Note 4 3 2 3 3" xfId="48345"/>
    <cellStyle name="Note 4 3 2 3 4" xfId="48346"/>
    <cellStyle name="Note 4 3 2 3 5" xfId="48347"/>
    <cellStyle name="Note 4 3 2 3 6" xfId="48348"/>
    <cellStyle name="Note 4 3 2 3 7" xfId="48349"/>
    <cellStyle name="Note 4 3 2 3 8" xfId="48350"/>
    <cellStyle name="Note 4 3 2 3 9" xfId="48351"/>
    <cellStyle name="Note 4 3 2 4" xfId="48352"/>
    <cellStyle name="Note 4 3 2 5" xfId="48353"/>
    <cellStyle name="Note 4 3 2 6" xfId="48354"/>
    <cellStyle name="Note 4 3 2 7" xfId="48355"/>
    <cellStyle name="Note 4 3 2 8" xfId="48356"/>
    <cellStyle name="Note 4 3 2 9" xfId="48357"/>
    <cellStyle name="Note 4 3 3" xfId="48358"/>
    <cellStyle name="Note 4 3 3 10" xfId="48359"/>
    <cellStyle name="Note 4 3 3 11" xfId="48360"/>
    <cellStyle name="Note 4 3 3 2" xfId="48361"/>
    <cellStyle name="Note 4 3 3 2 10" xfId="48362"/>
    <cellStyle name="Note 4 3 3 2 11" xfId="48363"/>
    <cellStyle name="Note 4 3 3 2 2" xfId="48364"/>
    <cellStyle name="Note 4 3 3 2 3" xfId="48365"/>
    <cellStyle name="Note 4 3 3 2 4" xfId="48366"/>
    <cellStyle name="Note 4 3 3 2 5" xfId="48367"/>
    <cellStyle name="Note 4 3 3 2 6" xfId="48368"/>
    <cellStyle name="Note 4 3 3 2 7" xfId="48369"/>
    <cellStyle name="Note 4 3 3 2 8" xfId="48370"/>
    <cellStyle name="Note 4 3 3 2 9" xfId="48371"/>
    <cellStyle name="Note 4 3 3 3" xfId="48372"/>
    <cellStyle name="Note 4 3 3 4" xfId="48373"/>
    <cellStyle name="Note 4 3 3 5" xfId="48374"/>
    <cellStyle name="Note 4 3 3 6" xfId="48375"/>
    <cellStyle name="Note 4 3 3 7" xfId="48376"/>
    <cellStyle name="Note 4 3 3 8" xfId="48377"/>
    <cellStyle name="Note 4 3 3 9" xfId="48378"/>
    <cellStyle name="Note 4 3 4" xfId="48379"/>
    <cellStyle name="Note 4 3 4 10" xfId="48380"/>
    <cellStyle name="Note 4 3 4 11" xfId="48381"/>
    <cellStyle name="Note 4 3 4 2" xfId="48382"/>
    <cellStyle name="Note 4 3 4 3" xfId="48383"/>
    <cellStyle name="Note 4 3 4 4" xfId="48384"/>
    <cellStyle name="Note 4 3 4 5" xfId="48385"/>
    <cellStyle name="Note 4 3 4 6" xfId="48386"/>
    <cellStyle name="Note 4 3 4 7" xfId="48387"/>
    <cellStyle name="Note 4 3 4 8" xfId="48388"/>
    <cellStyle name="Note 4 3 4 9" xfId="48389"/>
    <cellStyle name="Note 4 3 5" xfId="48390"/>
    <cellStyle name="Note 4 3 6" xfId="48391"/>
    <cellStyle name="Note 4 3 7" xfId="48392"/>
    <cellStyle name="Note 4 3 8" xfId="48393"/>
    <cellStyle name="Note 4 3 9" xfId="48394"/>
    <cellStyle name="Note 4 4" xfId="48395"/>
    <cellStyle name="Note 4 4 10" xfId="48396"/>
    <cellStyle name="Note 4 4 11" xfId="48397"/>
    <cellStyle name="Note 4 4 12" xfId="48398"/>
    <cellStyle name="Note 4 4 13" xfId="48399"/>
    <cellStyle name="Note 4 4 2" xfId="48400"/>
    <cellStyle name="Note 4 4 2 10" xfId="48401"/>
    <cellStyle name="Note 4 4 2 11" xfId="48402"/>
    <cellStyle name="Note 4 4 2 12" xfId="48403"/>
    <cellStyle name="Note 4 4 2 2" xfId="48404"/>
    <cellStyle name="Note 4 4 2 2 10" xfId="48405"/>
    <cellStyle name="Note 4 4 2 2 11" xfId="48406"/>
    <cellStyle name="Note 4 4 2 2 2" xfId="48407"/>
    <cellStyle name="Note 4 4 2 2 2 10" xfId="48408"/>
    <cellStyle name="Note 4 4 2 2 2 11" xfId="48409"/>
    <cellStyle name="Note 4 4 2 2 2 2" xfId="48410"/>
    <cellStyle name="Note 4 4 2 2 2 3" xfId="48411"/>
    <cellStyle name="Note 4 4 2 2 2 4" xfId="48412"/>
    <cellStyle name="Note 4 4 2 2 2 5" xfId="48413"/>
    <cellStyle name="Note 4 4 2 2 2 6" xfId="48414"/>
    <cellStyle name="Note 4 4 2 2 2 7" xfId="48415"/>
    <cellStyle name="Note 4 4 2 2 2 8" xfId="48416"/>
    <cellStyle name="Note 4 4 2 2 2 9" xfId="48417"/>
    <cellStyle name="Note 4 4 2 2 3" xfId="48418"/>
    <cellStyle name="Note 4 4 2 2 4" xfId="48419"/>
    <cellStyle name="Note 4 4 2 2 5" xfId="48420"/>
    <cellStyle name="Note 4 4 2 2 6" xfId="48421"/>
    <cellStyle name="Note 4 4 2 2 7" xfId="48422"/>
    <cellStyle name="Note 4 4 2 2 8" xfId="48423"/>
    <cellStyle name="Note 4 4 2 2 9" xfId="48424"/>
    <cellStyle name="Note 4 4 2 3" xfId="48425"/>
    <cellStyle name="Note 4 4 2 3 10" xfId="48426"/>
    <cellStyle name="Note 4 4 2 3 11" xfId="48427"/>
    <cellStyle name="Note 4 4 2 3 2" xfId="48428"/>
    <cellStyle name="Note 4 4 2 3 3" xfId="48429"/>
    <cellStyle name="Note 4 4 2 3 4" xfId="48430"/>
    <cellStyle name="Note 4 4 2 3 5" xfId="48431"/>
    <cellStyle name="Note 4 4 2 3 6" xfId="48432"/>
    <cellStyle name="Note 4 4 2 3 7" xfId="48433"/>
    <cellStyle name="Note 4 4 2 3 8" xfId="48434"/>
    <cellStyle name="Note 4 4 2 3 9" xfId="48435"/>
    <cellStyle name="Note 4 4 2 4" xfId="48436"/>
    <cellStyle name="Note 4 4 2 5" xfId="48437"/>
    <cellStyle name="Note 4 4 2 6" xfId="48438"/>
    <cellStyle name="Note 4 4 2 7" xfId="48439"/>
    <cellStyle name="Note 4 4 2 8" xfId="48440"/>
    <cellStyle name="Note 4 4 2 9" xfId="48441"/>
    <cellStyle name="Note 4 4 3" xfId="48442"/>
    <cellStyle name="Note 4 4 3 10" xfId="48443"/>
    <cellStyle name="Note 4 4 3 11" xfId="48444"/>
    <cellStyle name="Note 4 4 3 2" xfId="48445"/>
    <cellStyle name="Note 4 4 3 2 10" xfId="48446"/>
    <cellStyle name="Note 4 4 3 2 11" xfId="48447"/>
    <cellStyle name="Note 4 4 3 2 2" xfId="48448"/>
    <cellStyle name="Note 4 4 3 2 3" xfId="48449"/>
    <cellStyle name="Note 4 4 3 2 4" xfId="48450"/>
    <cellStyle name="Note 4 4 3 2 5" xfId="48451"/>
    <cellStyle name="Note 4 4 3 2 6" xfId="48452"/>
    <cellStyle name="Note 4 4 3 2 7" xfId="48453"/>
    <cellStyle name="Note 4 4 3 2 8" xfId="48454"/>
    <cellStyle name="Note 4 4 3 2 9" xfId="48455"/>
    <cellStyle name="Note 4 4 3 3" xfId="48456"/>
    <cellStyle name="Note 4 4 3 4" xfId="48457"/>
    <cellStyle name="Note 4 4 3 5" xfId="48458"/>
    <cellStyle name="Note 4 4 3 6" xfId="48459"/>
    <cellStyle name="Note 4 4 3 7" xfId="48460"/>
    <cellStyle name="Note 4 4 3 8" xfId="48461"/>
    <cellStyle name="Note 4 4 3 9" xfId="48462"/>
    <cellStyle name="Note 4 4 4" xfId="48463"/>
    <cellStyle name="Note 4 4 4 10" xfId="48464"/>
    <cellStyle name="Note 4 4 4 11" xfId="48465"/>
    <cellStyle name="Note 4 4 4 2" xfId="48466"/>
    <cellStyle name="Note 4 4 4 3" xfId="48467"/>
    <cellStyle name="Note 4 4 4 4" xfId="48468"/>
    <cellStyle name="Note 4 4 4 5" xfId="48469"/>
    <cellStyle name="Note 4 4 4 6" xfId="48470"/>
    <cellStyle name="Note 4 4 4 7" xfId="48471"/>
    <cellStyle name="Note 4 4 4 8" xfId="48472"/>
    <cellStyle name="Note 4 4 4 9" xfId="48473"/>
    <cellStyle name="Note 4 4 5" xfId="48474"/>
    <cellStyle name="Note 4 4 6" xfId="48475"/>
    <cellStyle name="Note 4 4 7" xfId="48476"/>
    <cellStyle name="Note 4 4 8" xfId="48477"/>
    <cellStyle name="Note 4 4 9" xfId="48478"/>
    <cellStyle name="Note 4 5" xfId="48479"/>
    <cellStyle name="Note 4 5 10" xfId="48480"/>
    <cellStyle name="Note 4 5 11" xfId="48481"/>
    <cellStyle name="Note 4 5 12" xfId="48482"/>
    <cellStyle name="Note 4 5 13" xfId="48483"/>
    <cellStyle name="Note 4 5 2" xfId="48484"/>
    <cellStyle name="Note 4 5 2 10" xfId="48485"/>
    <cellStyle name="Note 4 5 2 11" xfId="48486"/>
    <cellStyle name="Note 4 5 2 12" xfId="48487"/>
    <cellStyle name="Note 4 5 2 2" xfId="48488"/>
    <cellStyle name="Note 4 5 2 2 10" xfId="48489"/>
    <cellStyle name="Note 4 5 2 2 11" xfId="48490"/>
    <cellStyle name="Note 4 5 2 2 2" xfId="48491"/>
    <cellStyle name="Note 4 5 2 2 2 10" xfId="48492"/>
    <cellStyle name="Note 4 5 2 2 2 11" xfId="48493"/>
    <cellStyle name="Note 4 5 2 2 2 2" xfId="48494"/>
    <cellStyle name="Note 4 5 2 2 2 3" xfId="48495"/>
    <cellStyle name="Note 4 5 2 2 2 4" xfId="48496"/>
    <cellStyle name="Note 4 5 2 2 2 5" xfId="48497"/>
    <cellStyle name="Note 4 5 2 2 2 6" xfId="48498"/>
    <cellStyle name="Note 4 5 2 2 2 7" xfId="48499"/>
    <cellStyle name="Note 4 5 2 2 2 8" xfId="48500"/>
    <cellStyle name="Note 4 5 2 2 2 9" xfId="48501"/>
    <cellStyle name="Note 4 5 2 2 3" xfId="48502"/>
    <cellStyle name="Note 4 5 2 2 4" xfId="48503"/>
    <cellStyle name="Note 4 5 2 2 5" xfId="48504"/>
    <cellStyle name="Note 4 5 2 2 6" xfId="48505"/>
    <cellStyle name="Note 4 5 2 2 7" xfId="48506"/>
    <cellStyle name="Note 4 5 2 2 8" xfId="48507"/>
    <cellStyle name="Note 4 5 2 2 9" xfId="48508"/>
    <cellStyle name="Note 4 5 2 3" xfId="48509"/>
    <cellStyle name="Note 4 5 2 3 10" xfId="48510"/>
    <cellStyle name="Note 4 5 2 3 11" xfId="48511"/>
    <cellStyle name="Note 4 5 2 3 2" xfId="48512"/>
    <cellStyle name="Note 4 5 2 3 3" xfId="48513"/>
    <cellStyle name="Note 4 5 2 3 4" xfId="48514"/>
    <cellStyle name="Note 4 5 2 3 5" xfId="48515"/>
    <cellStyle name="Note 4 5 2 3 6" xfId="48516"/>
    <cellStyle name="Note 4 5 2 3 7" xfId="48517"/>
    <cellStyle name="Note 4 5 2 3 8" xfId="48518"/>
    <cellStyle name="Note 4 5 2 3 9" xfId="48519"/>
    <cellStyle name="Note 4 5 2 4" xfId="48520"/>
    <cellStyle name="Note 4 5 2 5" xfId="48521"/>
    <cellStyle name="Note 4 5 2 6" xfId="48522"/>
    <cellStyle name="Note 4 5 2 7" xfId="48523"/>
    <cellStyle name="Note 4 5 2 8" xfId="48524"/>
    <cellStyle name="Note 4 5 2 9" xfId="48525"/>
    <cellStyle name="Note 4 5 3" xfId="48526"/>
    <cellStyle name="Note 4 5 3 10" xfId="48527"/>
    <cellStyle name="Note 4 5 3 11" xfId="48528"/>
    <cellStyle name="Note 4 5 3 2" xfId="48529"/>
    <cellStyle name="Note 4 5 3 2 10" xfId="48530"/>
    <cellStyle name="Note 4 5 3 2 11" xfId="48531"/>
    <cellStyle name="Note 4 5 3 2 2" xfId="48532"/>
    <cellStyle name="Note 4 5 3 2 3" xfId="48533"/>
    <cellStyle name="Note 4 5 3 2 4" xfId="48534"/>
    <cellStyle name="Note 4 5 3 2 5" xfId="48535"/>
    <cellStyle name="Note 4 5 3 2 6" xfId="48536"/>
    <cellStyle name="Note 4 5 3 2 7" xfId="48537"/>
    <cellStyle name="Note 4 5 3 2 8" xfId="48538"/>
    <cellStyle name="Note 4 5 3 2 9" xfId="48539"/>
    <cellStyle name="Note 4 5 3 3" xfId="48540"/>
    <cellStyle name="Note 4 5 3 4" xfId="48541"/>
    <cellStyle name="Note 4 5 3 5" xfId="48542"/>
    <cellStyle name="Note 4 5 3 6" xfId="48543"/>
    <cellStyle name="Note 4 5 3 7" xfId="48544"/>
    <cellStyle name="Note 4 5 3 8" xfId="48545"/>
    <cellStyle name="Note 4 5 3 9" xfId="48546"/>
    <cellStyle name="Note 4 5 4" xfId="48547"/>
    <cellStyle name="Note 4 5 4 10" xfId="48548"/>
    <cellStyle name="Note 4 5 4 11" xfId="48549"/>
    <cellStyle name="Note 4 5 4 2" xfId="48550"/>
    <cellStyle name="Note 4 5 4 3" xfId="48551"/>
    <cellStyle name="Note 4 5 4 4" xfId="48552"/>
    <cellStyle name="Note 4 5 4 5" xfId="48553"/>
    <cellStyle name="Note 4 5 4 6" xfId="48554"/>
    <cellStyle name="Note 4 5 4 7" xfId="48555"/>
    <cellStyle name="Note 4 5 4 8" xfId="48556"/>
    <cellStyle name="Note 4 5 4 9" xfId="48557"/>
    <cellStyle name="Note 4 5 5" xfId="48558"/>
    <cellStyle name="Note 4 5 6" xfId="48559"/>
    <cellStyle name="Note 4 5 7" xfId="48560"/>
    <cellStyle name="Note 4 5 8" xfId="48561"/>
    <cellStyle name="Note 4 5 9" xfId="48562"/>
    <cellStyle name="Note 4 6" xfId="48563"/>
    <cellStyle name="Note 4 6 10" xfId="48564"/>
    <cellStyle name="Note 4 6 11" xfId="48565"/>
    <cellStyle name="Note 4 6 12" xfId="48566"/>
    <cellStyle name="Note 4 6 13" xfId="48567"/>
    <cellStyle name="Note 4 6 2" xfId="48568"/>
    <cellStyle name="Note 4 6 2 10" xfId="48569"/>
    <cellStyle name="Note 4 6 2 11" xfId="48570"/>
    <cellStyle name="Note 4 6 2 12" xfId="48571"/>
    <cellStyle name="Note 4 6 2 2" xfId="48572"/>
    <cellStyle name="Note 4 6 2 2 10" xfId="48573"/>
    <cellStyle name="Note 4 6 2 2 11" xfId="48574"/>
    <cellStyle name="Note 4 6 2 2 2" xfId="48575"/>
    <cellStyle name="Note 4 6 2 2 2 10" xfId="48576"/>
    <cellStyle name="Note 4 6 2 2 2 11" xfId="48577"/>
    <cellStyle name="Note 4 6 2 2 2 2" xfId="48578"/>
    <cellStyle name="Note 4 6 2 2 2 3" xfId="48579"/>
    <cellStyle name="Note 4 6 2 2 2 4" xfId="48580"/>
    <cellStyle name="Note 4 6 2 2 2 5" xfId="48581"/>
    <cellStyle name="Note 4 6 2 2 2 6" xfId="48582"/>
    <cellStyle name="Note 4 6 2 2 2 7" xfId="48583"/>
    <cellStyle name="Note 4 6 2 2 2 8" xfId="48584"/>
    <cellStyle name="Note 4 6 2 2 2 9" xfId="48585"/>
    <cellStyle name="Note 4 6 2 2 3" xfId="48586"/>
    <cellStyle name="Note 4 6 2 2 4" xfId="48587"/>
    <cellStyle name="Note 4 6 2 2 5" xfId="48588"/>
    <cellStyle name="Note 4 6 2 2 6" xfId="48589"/>
    <cellStyle name="Note 4 6 2 2 7" xfId="48590"/>
    <cellStyle name="Note 4 6 2 2 8" xfId="48591"/>
    <cellStyle name="Note 4 6 2 2 9" xfId="48592"/>
    <cellStyle name="Note 4 6 2 3" xfId="48593"/>
    <cellStyle name="Note 4 6 2 3 10" xfId="48594"/>
    <cellStyle name="Note 4 6 2 3 11" xfId="48595"/>
    <cellStyle name="Note 4 6 2 3 2" xfId="48596"/>
    <cellStyle name="Note 4 6 2 3 3" xfId="48597"/>
    <cellStyle name="Note 4 6 2 3 4" xfId="48598"/>
    <cellStyle name="Note 4 6 2 3 5" xfId="48599"/>
    <cellStyle name="Note 4 6 2 3 6" xfId="48600"/>
    <cellStyle name="Note 4 6 2 3 7" xfId="48601"/>
    <cellStyle name="Note 4 6 2 3 8" xfId="48602"/>
    <cellStyle name="Note 4 6 2 3 9" xfId="48603"/>
    <cellStyle name="Note 4 6 2 4" xfId="48604"/>
    <cellStyle name="Note 4 6 2 5" xfId="48605"/>
    <cellStyle name="Note 4 6 2 6" xfId="48606"/>
    <cellStyle name="Note 4 6 2 7" xfId="48607"/>
    <cellStyle name="Note 4 6 2 8" xfId="48608"/>
    <cellStyle name="Note 4 6 2 9" xfId="48609"/>
    <cellStyle name="Note 4 6 3" xfId="48610"/>
    <cellStyle name="Note 4 6 3 10" xfId="48611"/>
    <cellStyle name="Note 4 6 3 11" xfId="48612"/>
    <cellStyle name="Note 4 6 3 2" xfId="48613"/>
    <cellStyle name="Note 4 6 3 2 10" xfId="48614"/>
    <cellStyle name="Note 4 6 3 2 11" xfId="48615"/>
    <cellStyle name="Note 4 6 3 2 2" xfId="48616"/>
    <cellStyle name="Note 4 6 3 2 3" xfId="48617"/>
    <cellStyle name="Note 4 6 3 2 4" xfId="48618"/>
    <cellStyle name="Note 4 6 3 2 5" xfId="48619"/>
    <cellStyle name="Note 4 6 3 2 6" xfId="48620"/>
    <cellStyle name="Note 4 6 3 2 7" xfId="48621"/>
    <cellStyle name="Note 4 6 3 2 8" xfId="48622"/>
    <cellStyle name="Note 4 6 3 2 9" xfId="48623"/>
    <cellStyle name="Note 4 6 3 3" xfId="48624"/>
    <cellStyle name="Note 4 6 3 4" xfId="48625"/>
    <cellStyle name="Note 4 6 3 5" xfId="48626"/>
    <cellStyle name="Note 4 6 3 6" xfId="48627"/>
    <cellStyle name="Note 4 6 3 7" xfId="48628"/>
    <cellStyle name="Note 4 6 3 8" xfId="48629"/>
    <cellStyle name="Note 4 6 3 9" xfId="48630"/>
    <cellStyle name="Note 4 6 4" xfId="48631"/>
    <cellStyle name="Note 4 6 4 10" xfId="48632"/>
    <cellStyle name="Note 4 6 4 11" xfId="48633"/>
    <cellStyle name="Note 4 6 4 2" xfId="48634"/>
    <cellStyle name="Note 4 6 4 3" xfId="48635"/>
    <cellStyle name="Note 4 6 4 4" xfId="48636"/>
    <cellStyle name="Note 4 6 4 5" xfId="48637"/>
    <cellStyle name="Note 4 6 4 6" xfId="48638"/>
    <cellStyle name="Note 4 6 4 7" xfId="48639"/>
    <cellStyle name="Note 4 6 4 8" xfId="48640"/>
    <cellStyle name="Note 4 6 4 9" xfId="48641"/>
    <cellStyle name="Note 4 6 5" xfId="48642"/>
    <cellStyle name="Note 4 6 6" xfId="48643"/>
    <cellStyle name="Note 4 6 7" xfId="48644"/>
    <cellStyle name="Note 4 6 8" xfId="48645"/>
    <cellStyle name="Note 4 6 9" xfId="48646"/>
    <cellStyle name="Note 4 7" xfId="48647"/>
    <cellStyle name="Note 4 7 10" xfId="48648"/>
    <cellStyle name="Note 4 7 11" xfId="48649"/>
    <cellStyle name="Note 4 7 12" xfId="48650"/>
    <cellStyle name="Note 4 7 13" xfId="48651"/>
    <cellStyle name="Note 4 7 2" xfId="48652"/>
    <cellStyle name="Note 4 7 2 10" xfId="48653"/>
    <cellStyle name="Note 4 7 2 11" xfId="48654"/>
    <cellStyle name="Note 4 7 2 12" xfId="48655"/>
    <cellStyle name="Note 4 7 2 2" xfId="48656"/>
    <cellStyle name="Note 4 7 2 2 10" xfId="48657"/>
    <cellStyle name="Note 4 7 2 2 11" xfId="48658"/>
    <cellStyle name="Note 4 7 2 2 2" xfId="48659"/>
    <cellStyle name="Note 4 7 2 2 2 10" xfId="48660"/>
    <cellStyle name="Note 4 7 2 2 2 11" xfId="48661"/>
    <cellStyle name="Note 4 7 2 2 2 2" xfId="48662"/>
    <cellStyle name="Note 4 7 2 2 2 3" xfId="48663"/>
    <cellStyle name="Note 4 7 2 2 2 4" xfId="48664"/>
    <cellStyle name="Note 4 7 2 2 2 5" xfId="48665"/>
    <cellStyle name="Note 4 7 2 2 2 6" xfId="48666"/>
    <cellStyle name="Note 4 7 2 2 2 7" xfId="48667"/>
    <cellStyle name="Note 4 7 2 2 2 8" xfId="48668"/>
    <cellStyle name="Note 4 7 2 2 2 9" xfId="48669"/>
    <cellStyle name="Note 4 7 2 2 3" xfId="48670"/>
    <cellStyle name="Note 4 7 2 2 4" xfId="48671"/>
    <cellStyle name="Note 4 7 2 2 5" xfId="48672"/>
    <cellStyle name="Note 4 7 2 2 6" xfId="48673"/>
    <cellStyle name="Note 4 7 2 2 7" xfId="48674"/>
    <cellStyle name="Note 4 7 2 2 8" xfId="48675"/>
    <cellStyle name="Note 4 7 2 2 9" xfId="48676"/>
    <cellStyle name="Note 4 7 2 3" xfId="48677"/>
    <cellStyle name="Note 4 7 2 3 10" xfId="48678"/>
    <cellStyle name="Note 4 7 2 3 11" xfId="48679"/>
    <cellStyle name="Note 4 7 2 3 2" xfId="48680"/>
    <cellStyle name="Note 4 7 2 3 3" xfId="48681"/>
    <cellStyle name="Note 4 7 2 3 4" xfId="48682"/>
    <cellStyle name="Note 4 7 2 3 5" xfId="48683"/>
    <cellStyle name="Note 4 7 2 3 6" xfId="48684"/>
    <cellStyle name="Note 4 7 2 3 7" xfId="48685"/>
    <cellStyle name="Note 4 7 2 3 8" xfId="48686"/>
    <cellStyle name="Note 4 7 2 3 9" xfId="48687"/>
    <cellStyle name="Note 4 7 2 4" xfId="48688"/>
    <cellStyle name="Note 4 7 2 5" xfId="48689"/>
    <cellStyle name="Note 4 7 2 6" xfId="48690"/>
    <cellStyle name="Note 4 7 2 7" xfId="48691"/>
    <cellStyle name="Note 4 7 2 8" xfId="48692"/>
    <cellStyle name="Note 4 7 2 9" xfId="48693"/>
    <cellStyle name="Note 4 7 3" xfId="48694"/>
    <cellStyle name="Note 4 7 3 10" xfId="48695"/>
    <cellStyle name="Note 4 7 3 11" xfId="48696"/>
    <cellStyle name="Note 4 7 3 2" xfId="48697"/>
    <cellStyle name="Note 4 7 3 2 10" xfId="48698"/>
    <cellStyle name="Note 4 7 3 2 11" xfId="48699"/>
    <cellStyle name="Note 4 7 3 2 2" xfId="48700"/>
    <cellStyle name="Note 4 7 3 2 3" xfId="48701"/>
    <cellStyle name="Note 4 7 3 2 4" xfId="48702"/>
    <cellStyle name="Note 4 7 3 2 5" xfId="48703"/>
    <cellStyle name="Note 4 7 3 2 6" xfId="48704"/>
    <cellStyle name="Note 4 7 3 2 7" xfId="48705"/>
    <cellStyle name="Note 4 7 3 2 8" xfId="48706"/>
    <cellStyle name="Note 4 7 3 2 9" xfId="48707"/>
    <cellStyle name="Note 4 7 3 3" xfId="48708"/>
    <cellStyle name="Note 4 7 3 4" xfId="48709"/>
    <cellStyle name="Note 4 7 3 5" xfId="48710"/>
    <cellStyle name="Note 4 7 3 6" xfId="48711"/>
    <cellStyle name="Note 4 7 3 7" xfId="48712"/>
    <cellStyle name="Note 4 7 3 8" xfId="48713"/>
    <cellStyle name="Note 4 7 3 9" xfId="48714"/>
    <cellStyle name="Note 4 7 4" xfId="48715"/>
    <cellStyle name="Note 4 7 4 10" xfId="48716"/>
    <cellStyle name="Note 4 7 4 11" xfId="48717"/>
    <cellStyle name="Note 4 7 4 2" xfId="48718"/>
    <cellStyle name="Note 4 7 4 3" xfId="48719"/>
    <cellStyle name="Note 4 7 4 4" xfId="48720"/>
    <cellStyle name="Note 4 7 4 5" xfId="48721"/>
    <cellStyle name="Note 4 7 4 6" xfId="48722"/>
    <cellStyle name="Note 4 7 4 7" xfId="48723"/>
    <cellStyle name="Note 4 7 4 8" xfId="48724"/>
    <cellStyle name="Note 4 7 4 9" xfId="48725"/>
    <cellStyle name="Note 4 7 5" xfId="48726"/>
    <cellStyle name="Note 4 7 6" xfId="48727"/>
    <cellStyle name="Note 4 7 7" xfId="48728"/>
    <cellStyle name="Note 4 7 8" xfId="48729"/>
    <cellStyle name="Note 4 7 9" xfId="48730"/>
    <cellStyle name="Note 4 8" xfId="48731"/>
    <cellStyle name="Note 4 8 10" xfId="48732"/>
    <cellStyle name="Note 4 8 11" xfId="48733"/>
    <cellStyle name="Note 4 8 12" xfId="48734"/>
    <cellStyle name="Note 4 8 13" xfId="48735"/>
    <cellStyle name="Note 4 8 2" xfId="48736"/>
    <cellStyle name="Note 4 8 2 10" xfId="48737"/>
    <cellStyle name="Note 4 8 2 11" xfId="48738"/>
    <cellStyle name="Note 4 8 2 12" xfId="48739"/>
    <cellStyle name="Note 4 8 2 2" xfId="48740"/>
    <cellStyle name="Note 4 8 2 2 10" xfId="48741"/>
    <cellStyle name="Note 4 8 2 2 11" xfId="48742"/>
    <cellStyle name="Note 4 8 2 2 2" xfId="48743"/>
    <cellStyle name="Note 4 8 2 2 2 10" xfId="48744"/>
    <cellStyle name="Note 4 8 2 2 2 11" xfId="48745"/>
    <cellStyle name="Note 4 8 2 2 2 2" xfId="48746"/>
    <cellStyle name="Note 4 8 2 2 2 3" xfId="48747"/>
    <cellStyle name="Note 4 8 2 2 2 4" xfId="48748"/>
    <cellStyle name="Note 4 8 2 2 2 5" xfId="48749"/>
    <cellStyle name="Note 4 8 2 2 2 6" xfId="48750"/>
    <cellStyle name="Note 4 8 2 2 2 7" xfId="48751"/>
    <cellStyle name="Note 4 8 2 2 2 8" xfId="48752"/>
    <cellStyle name="Note 4 8 2 2 2 9" xfId="48753"/>
    <cellStyle name="Note 4 8 2 2 3" xfId="48754"/>
    <cellStyle name="Note 4 8 2 2 4" xfId="48755"/>
    <cellStyle name="Note 4 8 2 2 5" xfId="48756"/>
    <cellStyle name="Note 4 8 2 2 6" xfId="48757"/>
    <cellStyle name="Note 4 8 2 2 7" xfId="48758"/>
    <cellStyle name="Note 4 8 2 2 8" xfId="48759"/>
    <cellStyle name="Note 4 8 2 2 9" xfId="48760"/>
    <cellStyle name="Note 4 8 2 3" xfId="48761"/>
    <cellStyle name="Note 4 8 2 3 10" xfId="48762"/>
    <cellStyle name="Note 4 8 2 3 11" xfId="48763"/>
    <cellStyle name="Note 4 8 2 3 2" xfId="48764"/>
    <cellStyle name="Note 4 8 2 3 3" xfId="48765"/>
    <cellStyle name="Note 4 8 2 3 4" xfId="48766"/>
    <cellStyle name="Note 4 8 2 3 5" xfId="48767"/>
    <cellStyle name="Note 4 8 2 3 6" xfId="48768"/>
    <cellStyle name="Note 4 8 2 3 7" xfId="48769"/>
    <cellStyle name="Note 4 8 2 3 8" xfId="48770"/>
    <cellStyle name="Note 4 8 2 3 9" xfId="48771"/>
    <cellStyle name="Note 4 8 2 4" xfId="48772"/>
    <cellStyle name="Note 4 8 2 5" xfId="48773"/>
    <cellStyle name="Note 4 8 2 6" xfId="48774"/>
    <cellStyle name="Note 4 8 2 7" xfId="48775"/>
    <cellStyle name="Note 4 8 2 8" xfId="48776"/>
    <cellStyle name="Note 4 8 2 9" xfId="48777"/>
    <cellStyle name="Note 4 8 3" xfId="48778"/>
    <cellStyle name="Note 4 8 3 10" xfId="48779"/>
    <cellStyle name="Note 4 8 3 11" xfId="48780"/>
    <cellStyle name="Note 4 8 3 2" xfId="48781"/>
    <cellStyle name="Note 4 8 3 2 10" xfId="48782"/>
    <cellStyle name="Note 4 8 3 2 11" xfId="48783"/>
    <cellStyle name="Note 4 8 3 2 2" xfId="48784"/>
    <cellStyle name="Note 4 8 3 2 3" xfId="48785"/>
    <cellStyle name="Note 4 8 3 2 4" xfId="48786"/>
    <cellStyle name="Note 4 8 3 2 5" xfId="48787"/>
    <cellStyle name="Note 4 8 3 2 6" xfId="48788"/>
    <cellStyle name="Note 4 8 3 2 7" xfId="48789"/>
    <cellStyle name="Note 4 8 3 2 8" xfId="48790"/>
    <cellStyle name="Note 4 8 3 2 9" xfId="48791"/>
    <cellStyle name="Note 4 8 3 3" xfId="48792"/>
    <cellStyle name="Note 4 8 3 4" xfId="48793"/>
    <cellStyle name="Note 4 8 3 5" xfId="48794"/>
    <cellStyle name="Note 4 8 3 6" xfId="48795"/>
    <cellStyle name="Note 4 8 3 7" xfId="48796"/>
    <cellStyle name="Note 4 8 3 8" xfId="48797"/>
    <cellStyle name="Note 4 8 3 9" xfId="48798"/>
    <cellStyle name="Note 4 8 4" xfId="48799"/>
    <cellStyle name="Note 4 8 4 10" xfId="48800"/>
    <cellStyle name="Note 4 8 4 11" xfId="48801"/>
    <cellStyle name="Note 4 8 4 2" xfId="48802"/>
    <cellStyle name="Note 4 8 4 3" xfId="48803"/>
    <cellStyle name="Note 4 8 4 4" xfId="48804"/>
    <cellStyle name="Note 4 8 4 5" xfId="48805"/>
    <cellStyle name="Note 4 8 4 6" xfId="48806"/>
    <cellStyle name="Note 4 8 4 7" xfId="48807"/>
    <cellStyle name="Note 4 8 4 8" xfId="48808"/>
    <cellStyle name="Note 4 8 4 9" xfId="48809"/>
    <cellStyle name="Note 4 8 5" xfId="48810"/>
    <cellStyle name="Note 4 8 6" xfId="48811"/>
    <cellStyle name="Note 4 8 7" xfId="48812"/>
    <cellStyle name="Note 4 8 8" xfId="48813"/>
    <cellStyle name="Note 4 8 9" xfId="48814"/>
    <cellStyle name="Note 4 9" xfId="48815"/>
    <cellStyle name="Note 4 9 10" xfId="48816"/>
    <cellStyle name="Note 4 9 11" xfId="48817"/>
    <cellStyle name="Note 4 9 12" xfId="48818"/>
    <cellStyle name="Note 4 9 2" xfId="48819"/>
    <cellStyle name="Note 4 9 2 10" xfId="48820"/>
    <cellStyle name="Note 4 9 2 11" xfId="48821"/>
    <cellStyle name="Note 4 9 2 2" xfId="48822"/>
    <cellStyle name="Note 4 9 2 2 10" xfId="48823"/>
    <cellStyle name="Note 4 9 2 2 11" xfId="48824"/>
    <cellStyle name="Note 4 9 2 2 2" xfId="48825"/>
    <cellStyle name="Note 4 9 2 2 3" xfId="48826"/>
    <cellStyle name="Note 4 9 2 2 4" xfId="48827"/>
    <cellStyle name="Note 4 9 2 2 5" xfId="48828"/>
    <cellStyle name="Note 4 9 2 2 6" xfId="48829"/>
    <cellStyle name="Note 4 9 2 2 7" xfId="48830"/>
    <cellStyle name="Note 4 9 2 2 8" xfId="48831"/>
    <cellStyle name="Note 4 9 2 2 9" xfId="48832"/>
    <cellStyle name="Note 4 9 2 3" xfId="48833"/>
    <cellStyle name="Note 4 9 2 4" xfId="48834"/>
    <cellStyle name="Note 4 9 2 5" xfId="48835"/>
    <cellStyle name="Note 4 9 2 6" xfId="48836"/>
    <cellStyle name="Note 4 9 2 7" xfId="48837"/>
    <cellStyle name="Note 4 9 2 8" xfId="48838"/>
    <cellStyle name="Note 4 9 2 9" xfId="48839"/>
    <cellStyle name="Note 4 9 3" xfId="48840"/>
    <cellStyle name="Note 4 9 3 10" xfId="48841"/>
    <cellStyle name="Note 4 9 3 11" xfId="48842"/>
    <cellStyle name="Note 4 9 3 2" xfId="48843"/>
    <cellStyle name="Note 4 9 3 3" xfId="48844"/>
    <cellStyle name="Note 4 9 3 4" xfId="48845"/>
    <cellStyle name="Note 4 9 3 5" xfId="48846"/>
    <cellStyle name="Note 4 9 3 6" xfId="48847"/>
    <cellStyle name="Note 4 9 3 7" xfId="48848"/>
    <cellStyle name="Note 4 9 3 8" xfId="48849"/>
    <cellStyle name="Note 4 9 3 9" xfId="48850"/>
    <cellStyle name="Note 4 9 4" xfId="48851"/>
    <cellStyle name="Note 4 9 5" xfId="48852"/>
    <cellStyle name="Note 4 9 6" xfId="48853"/>
    <cellStyle name="Note 4 9 7" xfId="48854"/>
    <cellStyle name="Note 4 9 8" xfId="48855"/>
    <cellStyle name="Note 4 9 9" xfId="48856"/>
    <cellStyle name="Note 5" xfId="48857"/>
    <cellStyle name="Note 5 10" xfId="48858"/>
    <cellStyle name="Note 5 11" xfId="48859"/>
    <cellStyle name="Note 5 12" xfId="48860"/>
    <cellStyle name="Note 5 13" xfId="48861"/>
    <cellStyle name="Note 5 14" xfId="48862"/>
    <cellStyle name="Note 5 2" xfId="48863"/>
    <cellStyle name="Note 5 2 10" xfId="48864"/>
    <cellStyle name="Note 5 2 11" xfId="48865"/>
    <cellStyle name="Note 5 2 12" xfId="48866"/>
    <cellStyle name="Note 5 2 13" xfId="48867"/>
    <cellStyle name="Note 5 2 2" xfId="48868"/>
    <cellStyle name="Note 5 2 2 10" xfId="48869"/>
    <cellStyle name="Note 5 2 2 11" xfId="48870"/>
    <cellStyle name="Note 5 2 2 12" xfId="48871"/>
    <cellStyle name="Note 5 2 2 2" xfId="48872"/>
    <cellStyle name="Note 5 2 2 2 10" xfId="48873"/>
    <cellStyle name="Note 5 2 2 2 11" xfId="48874"/>
    <cellStyle name="Note 5 2 2 2 2" xfId="48875"/>
    <cellStyle name="Note 5 2 2 2 2 10" xfId="48876"/>
    <cellStyle name="Note 5 2 2 2 2 11" xfId="48877"/>
    <cellStyle name="Note 5 2 2 2 2 2" xfId="48878"/>
    <cellStyle name="Note 5 2 2 2 2 3" xfId="48879"/>
    <cellStyle name="Note 5 2 2 2 2 4" xfId="48880"/>
    <cellStyle name="Note 5 2 2 2 2 5" xfId="48881"/>
    <cellStyle name="Note 5 2 2 2 2 6" xfId="48882"/>
    <cellStyle name="Note 5 2 2 2 2 7" xfId="48883"/>
    <cellStyle name="Note 5 2 2 2 2 8" xfId="48884"/>
    <cellStyle name="Note 5 2 2 2 2 9" xfId="48885"/>
    <cellStyle name="Note 5 2 2 2 3" xfId="48886"/>
    <cellStyle name="Note 5 2 2 2 4" xfId="48887"/>
    <cellStyle name="Note 5 2 2 2 5" xfId="48888"/>
    <cellStyle name="Note 5 2 2 2 6" xfId="48889"/>
    <cellStyle name="Note 5 2 2 2 7" xfId="48890"/>
    <cellStyle name="Note 5 2 2 2 8" xfId="48891"/>
    <cellStyle name="Note 5 2 2 2 9" xfId="48892"/>
    <cellStyle name="Note 5 2 2 3" xfId="48893"/>
    <cellStyle name="Note 5 2 2 3 10" xfId="48894"/>
    <cellStyle name="Note 5 2 2 3 11" xfId="48895"/>
    <cellStyle name="Note 5 2 2 3 2" xfId="48896"/>
    <cellStyle name="Note 5 2 2 3 3" xfId="48897"/>
    <cellStyle name="Note 5 2 2 3 4" xfId="48898"/>
    <cellStyle name="Note 5 2 2 3 5" xfId="48899"/>
    <cellStyle name="Note 5 2 2 3 6" xfId="48900"/>
    <cellStyle name="Note 5 2 2 3 7" xfId="48901"/>
    <cellStyle name="Note 5 2 2 3 8" xfId="48902"/>
    <cellStyle name="Note 5 2 2 3 9" xfId="48903"/>
    <cellStyle name="Note 5 2 2 4" xfId="48904"/>
    <cellStyle name="Note 5 2 2 5" xfId="48905"/>
    <cellStyle name="Note 5 2 2 6" xfId="48906"/>
    <cellStyle name="Note 5 2 2 7" xfId="48907"/>
    <cellStyle name="Note 5 2 2 8" xfId="48908"/>
    <cellStyle name="Note 5 2 2 9" xfId="48909"/>
    <cellStyle name="Note 5 2 3" xfId="48910"/>
    <cellStyle name="Note 5 2 3 10" xfId="48911"/>
    <cellStyle name="Note 5 2 3 11" xfId="48912"/>
    <cellStyle name="Note 5 2 3 2" xfId="48913"/>
    <cellStyle name="Note 5 2 3 2 10" xfId="48914"/>
    <cellStyle name="Note 5 2 3 2 11" xfId="48915"/>
    <cellStyle name="Note 5 2 3 2 2" xfId="48916"/>
    <cellStyle name="Note 5 2 3 2 3" xfId="48917"/>
    <cellStyle name="Note 5 2 3 2 4" xfId="48918"/>
    <cellStyle name="Note 5 2 3 2 5" xfId="48919"/>
    <cellStyle name="Note 5 2 3 2 6" xfId="48920"/>
    <cellStyle name="Note 5 2 3 2 7" xfId="48921"/>
    <cellStyle name="Note 5 2 3 2 8" xfId="48922"/>
    <cellStyle name="Note 5 2 3 2 9" xfId="48923"/>
    <cellStyle name="Note 5 2 3 3" xfId="48924"/>
    <cellStyle name="Note 5 2 3 4" xfId="48925"/>
    <cellStyle name="Note 5 2 3 5" xfId="48926"/>
    <cellStyle name="Note 5 2 3 6" xfId="48927"/>
    <cellStyle name="Note 5 2 3 7" xfId="48928"/>
    <cellStyle name="Note 5 2 3 8" xfId="48929"/>
    <cellStyle name="Note 5 2 3 9" xfId="48930"/>
    <cellStyle name="Note 5 2 4" xfId="48931"/>
    <cellStyle name="Note 5 2 4 10" xfId="48932"/>
    <cellStyle name="Note 5 2 4 11" xfId="48933"/>
    <cellStyle name="Note 5 2 4 2" xfId="48934"/>
    <cellStyle name="Note 5 2 4 3" xfId="48935"/>
    <cellStyle name="Note 5 2 4 4" xfId="48936"/>
    <cellStyle name="Note 5 2 4 5" xfId="48937"/>
    <cellStyle name="Note 5 2 4 6" xfId="48938"/>
    <cellStyle name="Note 5 2 4 7" xfId="48939"/>
    <cellStyle name="Note 5 2 4 8" xfId="48940"/>
    <cellStyle name="Note 5 2 4 9" xfId="48941"/>
    <cellStyle name="Note 5 2 5" xfId="48942"/>
    <cellStyle name="Note 5 2 6" xfId="48943"/>
    <cellStyle name="Note 5 2 7" xfId="48944"/>
    <cellStyle name="Note 5 2 8" xfId="48945"/>
    <cellStyle name="Note 5 2 9" xfId="48946"/>
    <cellStyle name="Note 5 3" xfId="48947"/>
    <cellStyle name="Note 5 3 10" xfId="48948"/>
    <cellStyle name="Note 5 3 11" xfId="48949"/>
    <cellStyle name="Note 5 3 12" xfId="48950"/>
    <cellStyle name="Note 5 3 2" xfId="48951"/>
    <cellStyle name="Note 5 3 2 10" xfId="48952"/>
    <cellStyle name="Note 5 3 2 11" xfId="48953"/>
    <cellStyle name="Note 5 3 2 2" xfId="48954"/>
    <cellStyle name="Note 5 3 2 2 10" xfId="48955"/>
    <cellStyle name="Note 5 3 2 2 11" xfId="48956"/>
    <cellStyle name="Note 5 3 2 2 2" xfId="48957"/>
    <cellStyle name="Note 5 3 2 2 3" xfId="48958"/>
    <cellStyle name="Note 5 3 2 2 4" xfId="48959"/>
    <cellStyle name="Note 5 3 2 2 5" xfId="48960"/>
    <cellStyle name="Note 5 3 2 2 6" xfId="48961"/>
    <cellStyle name="Note 5 3 2 2 7" xfId="48962"/>
    <cellStyle name="Note 5 3 2 2 8" xfId="48963"/>
    <cellStyle name="Note 5 3 2 2 9" xfId="48964"/>
    <cellStyle name="Note 5 3 2 3" xfId="48965"/>
    <cellStyle name="Note 5 3 2 4" xfId="48966"/>
    <cellStyle name="Note 5 3 2 5" xfId="48967"/>
    <cellStyle name="Note 5 3 2 6" xfId="48968"/>
    <cellStyle name="Note 5 3 2 7" xfId="48969"/>
    <cellStyle name="Note 5 3 2 8" xfId="48970"/>
    <cellStyle name="Note 5 3 2 9" xfId="48971"/>
    <cellStyle name="Note 5 3 3" xfId="48972"/>
    <cellStyle name="Note 5 3 3 10" xfId="48973"/>
    <cellStyle name="Note 5 3 3 11" xfId="48974"/>
    <cellStyle name="Note 5 3 3 2" xfId="48975"/>
    <cellStyle name="Note 5 3 3 3" xfId="48976"/>
    <cellStyle name="Note 5 3 3 4" xfId="48977"/>
    <cellStyle name="Note 5 3 3 5" xfId="48978"/>
    <cellStyle name="Note 5 3 3 6" xfId="48979"/>
    <cellStyle name="Note 5 3 3 7" xfId="48980"/>
    <cellStyle name="Note 5 3 3 8" xfId="48981"/>
    <cellStyle name="Note 5 3 3 9" xfId="48982"/>
    <cellStyle name="Note 5 3 4" xfId="48983"/>
    <cellStyle name="Note 5 3 5" xfId="48984"/>
    <cellStyle name="Note 5 3 6" xfId="48985"/>
    <cellStyle name="Note 5 3 7" xfId="48986"/>
    <cellStyle name="Note 5 3 8" xfId="48987"/>
    <cellStyle name="Note 5 3 9" xfId="48988"/>
    <cellStyle name="Note 5 4" xfId="48989"/>
    <cellStyle name="Note 5 4 10" xfId="48990"/>
    <cellStyle name="Note 5 4 11" xfId="48991"/>
    <cellStyle name="Note 5 4 2" xfId="48992"/>
    <cellStyle name="Note 5 4 2 10" xfId="48993"/>
    <cellStyle name="Note 5 4 2 11" xfId="48994"/>
    <cellStyle name="Note 5 4 2 2" xfId="48995"/>
    <cellStyle name="Note 5 4 2 3" xfId="48996"/>
    <cellStyle name="Note 5 4 2 4" xfId="48997"/>
    <cellStyle name="Note 5 4 2 5" xfId="48998"/>
    <cellStyle name="Note 5 4 2 6" xfId="48999"/>
    <cellStyle name="Note 5 4 2 7" xfId="49000"/>
    <cellStyle name="Note 5 4 2 8" xfId="49001"/>
    <cellStyle name="Note 5 4 2 9" xfId="49002"/>
    <cellStyle name="Note 5 4 3" xfId="49003"/>
    <cellStyle name="Note 5 4 4" xfId="49004"/>
    <cellStyle name="Note 5 4 5" xfId="49005"/>
    <cellStyle name="Note 5 4 6" xfId="49006"/>
    <cellStyle name="Note 5 4 7" xfId="49007"/>
    <cellStyle name="Note 5 4 8" xfId="49008"/>
    <cellStyle name="Note 5 4 9" xfId="49009"/>
    <cellStyle name="Note 5 5" xfId="49010"/>
    <cellStyle name="Note 5 5 10" xfId="49011"/>
    <cellStyle name="Note 5 5 11" xfId="49012"/>
    <cellStyle name="Note 5 5 2" xfId="49013"/>
    <cellStyle name="Note 5 5 3" xfId="49014"/>
    <cellStyle name="Note 5 5 4" xfId="49015"/>
    <cellStyle name="Note 5 5 5" xfId="49016"/>
    <cellStyle name="Note 5 5 6" xfId="49017"/>
    <cellStyle name="Note 5 5 7" xfId="49018"/>
    <cellStyle name="Note 5 5 8" xfId="49019"/>
    <cellStyle name="Note 5 5 9" xfId="49020"/>
    <cellStyle name="Note 5 6" xfId="49021"/>
    <cellStyle name="Note 5 7" xfId="49022"/>
    <cellStyle name="Note 5 8" xfId="49023"/>
    <cellStyle name="Note 5 9" xfId="49024"/>
    <cellStyle name="Note 6" xfId="49025"/>
    <cellStyle name="Note 6 10" xfId="49026"/>
    <cellStyle name="Note 6 11" xfId="49027"/>
    <cellStyle name="Note 6 12" xfId="49028"/>
    <cellStyle name="Note 6 13" xfId="49029"/>
    <cellStyle name="Note 6 2" xfId="49030"/>
    <cellStyle name="Note 6 2 10" xfId="49031"/>
    <cellStyle name="Note 6 2 11" xfId="49032"/>
    <cellStyle name="Note 6 2 12" xfId="49033"/>
    <cellStyle name="Note 6 2 2" xfId="49034"/>
    <cellStyle name="Note 6 2 2 10" xfId="49035"/>
    <cellStyle name="Note 6 2 2 11" xfId="49036"/>
    <cellStyle name="Note 6 2 2 2" xfId="49037"/>
    <cellStyle name="Note 6 2 2 2 10" xfId="49038"/>
    <cellStyle name="Note 6 2 2 2 11" xfId="49039"/>
    <cellStyle name="Note 6 2 2 2 2" xfId="49040"/>
    <cellStyle name="Note 6 2 2 2 3" xfId="49041"/>
    <cellStyle name="Note 6 2 2 2 4" xfId="49042"/>
    <cellStyle name="Note 6 2 2 2 5" xfId="49043"/>
    <cellStyle name="Note 6 2 2 2 6" xfId="49044"/>
    <cellStyle name="Note 6 2 2 2 7" xfId="49045"/>
    <cellStyle name="Note 6 2 2 2 8" xfId="49046"/>
    <cellStyle name="Note 6 2 2 2 9" xfId="49047"/>
    <cellStyle name="Note 6 2 2 3" xfId="49048"/>
    <cellStyle name="Note 6 2 2 4" xfId="49049"/>
    <cellStyle name="Note 6 2 2 5" xfId="49050"/>
    <cellStyle name="Note 6 2 2 6" xfId="49051"/>
    <cellStyle name="Note 6 2 2 7" xfId="49052"/>
    <cellStyle name="Note 6 2 2 8" xfId="49053"/>
    <cellStyle name="Note 6 2 2 9" xfId="49054"/>
    <cellStyle name="Note 6 2 3" xfId="49055"/>
    <cellStyle name="Note 6 2 3 10" xfId="49056"/>
    <cellStyle name="Note 6 2 3 11" xfId="49057"/>
    <cellStyle name="Note 6 2 3 2" xfId="49058"/>
    <cellStyle name="Note 6 2 3 3" xfId="49059"/>
    <cellStyle name="Note 6 2 3 4" xfId="49060"/>
    <cellStyle name="Note 6 2 3 5" xfId="49061"/>
    <cellStyle name="Note 6 2 3 6" xfId="49062"/>
    <cellStyle name="Note 6 2 3 7" xfId="49063"/>
    <cellStyle name="Note 6 2 3 8" xfId="49064"/>
    <cellStyle name="Note 6 2 3 9" xfId="49065"/>
    <cellStyle name="Note 6 2 4" xfId="49066"/>
    <cellStyle name="Note 6 2 5" xfId="49067"/>
    <cellStyle name="Note 6 2 6" xfId="49068"/>
    <cellStyle name="Note 6 2 7" xfId="49069"/>
    <cellStyle name="Note 6 2 8" xfId="49070"/>
    <cellStyle name="Note 6 2 9" xfId="49071"/>
    <cellStyle name="Note 6 3" xfId="49072"/>
    <cellStyle name="Note 6 3 10" xfId="49073"/>
    <cellStyle name="Note 6 3 11" xfId="49074"/>
    <cellStyle name="Note 6 3 2" xfId="49075"/>
    <cellStyle name="Note 6 3 2 10" xfId="49076"/>
    <cellStyle name="Note 6 3 2 11" xfId="49077"/>
    <cellStyle name="Note 6 3 2 2" xfId="49078"/>
    <cellStyle name="Note 6 3 2 3" xfId="49079"/>
    <cellStyle name="Note 6 3 2 4" xfId="49080"/>
    <cellStyle name="Note 6 3 2 5" xfId="49081"/>
    <cellStyle name="Note 6 3 2 6" xfId="49082"/>
    <cellStyle name="Note 6 3 2 7" xfId="49083"/>
    <cellStyle name="Note 6 3 2 8" xfId="49084"/>
    <cellStyle name="Note 6 3 2 9" xfId="49085"/>
    <cellStyle name="Note 6 3 3" xfId="49086"/>
    <cellStyle name="Note 6 3 4" xfId="49087"/>
    <cellStyle name="Note 6 3 5" xfId="49088"/>
    <cellStyle name="Note 6 3 6" xfId="49089"/>
    <cellStyle name="Note 6 3 7" xfId="49090"/>
    <cellStyle name="Note 6 3 8" xfId="49091"/>
    <cellStyle name="Note 6 3 9" xfId="49092"/>
    <cellStyle name="Note 6 4" xfId="49093"/>
    <cellStyle name="Note 6 4 10" xfId="49094"/>
    <cellStyle name="Note 6 4 11" xfId="49095"/>
    <cellStyle name="Note 6 4 2" xfId="49096"/>
    <cellStyle name="Note 6 4 3" xfId="49097"/>
    <cellStyle name="Note 6 4 4" xfId="49098"/>
    <cellStyle name="Note 6 4 5" xfId="49099"/>
    <cellStyle name="Note 6 4 6" xfId="49100"/>
    <cellStyle name="Note 6 4 7" xfId="49101"/>
    <cellStyle name="Note 6 4 8" xfId="49102"/>
    <cellStyle name="Note 6 4 9" xfId="49103"/>
    <cellStyle name="Note 6 5" xfId="49104"/>
    <cellStyle name="Note 6 6" xfId="49105"/>
    <cellStyle name="Note 6 7" xfId="49106"/>
    <cellStyle name="Note 6 8" xfId="49107"/>
    <cellStyle name="Note 6 9" xfId="49108"/>
    <cellStyle name="Note 7" xfId="49109"/>
    <cellStyle name="Note 7 10" xfId="49110"/>
    <cellStyle name="Note 7 11" xfId="49111"/>
    <cellStyle name="Note 7 12" xfId="49112"/>
    <cellStyle name="Note 7 13" xfId="49113"/>
    <cellStyle name="Note 7 2" xfId="49114"/>
    <cellStyle name="Note 7 2 10" xfId="49115"/>
    <cellStyle name="Note 7 2 11" xfId="49116"/>
    <cellStyle name="Note 7 2 12" xfId="49117"/>
    <cellStyle name="Note 7 2 2" xfId="49118"/>
    <cellStyle name="Note 7 2 2 10" xfId="49119"/>
    <cellStyle name="Note 7 2 2 11" xfId="49120"/>
    <cellStyle name="Note 7 2 2 2" xfId="49121"/>
    <cellStyle name="Note 7 2 2 2 10" xfId="49122"/>
    <cellStyle name="Note 7 2 2 2 11" xfId="49123"/>
    <cellStyle name="Note 7 2 2 2 2" xfId="49124"/>
    <cellStyle name="Note 7 2 2 2 3" xfId="49125"/>
    <cellStyle name="Note 7 2 2 2 4" xfId="49126"/>
    <cellStyle name="Note 7 2 2 2 5" xfId="49127"/>
    <cellStyle name="Note 7 2 2 2 6" xfId="49128"/>
    <cellStyle name="Note 7 2 2 2 7" xfId="49129"/>
    <cellStyle name="Note 7 2 2 2 8" xfId="49130"/>
    <cellStyle name="Note 7 2 2 2 9" xfId="49131"/>
    <cellStyle name="Note 7 2 2 3" xfId="49132"/>
    <cellStyle name="Note 7 2 2 4" xfId="49133"/>
    <cellStyle name="Note 7 2 2 5" xfId="49134"/>
    <cellStyle name="Note 7 2 2 6" xfId="49135"/>
    <cellStyle name="Note 7 2 2 7" xfId="49136"/>
    <cellStyle name="Note 7 2 2 8" xfId="49137"/>
    <cellStyle name="Note 7 2 2 9" xfId="49138"/>
    <cellStyle name="Note 7 2 3" xfId="49139"/>
    <cellStyle name="Note 7 2 3 10" xfId="49140"/>
    <cellStyle name="Note 7 2 3 11" xfId="49141"/>
    <cellStyle name="Note 7 2 3 2" xfId="49142"/>
    <cellStyle name="Note 7 2 3 3" xfId="49143"/>
    <cellStyle name="Note 7 2 3 4" xfId="49144"/>
    <cellStyle name="Note 7 2 3 5" xfId="49145"/>
    <cellStyle name="Note 7 2 3 6" xfId="49146"/>
    <cellStyle name="Note 7 2 3 7" xfId="49147"/>
    <cellStyle name="Note 7 2 3 8" xfId="49148"/>
    <cellStyle name="Note 7 2 3 9" xfId="49149"/>
    <cellStyle name="Note 7 2 4" xfId="49150"/>
    <cellStyle name="Note 7 2 5" xfId="49151"/>
    <cellStyle name="Note 7 2 6" xfId="49152"/>
    <cellStyle name="Note 7 2 7" xfId="49153"/>
    <cellStyle name="Note 7 2 8" xfId="49154"/>
    <cellStyle name="Note 7 2 9" xfId="49155"/>
    <cellStyle name="Note 7 3" xfId="49156"/>
    <cellStyle name="Note 7 3 10" xfId="49157"/>
    <cellStyle name="Note 7 3 11" xfId="49158"/>
    <cellStyle name="Note 7 3 2" xfId="49159"/>
    <cellStyle name="Note 7 3 2 10" xfId="49160"/>
    <cellStyle name="Note 7 3 2 11" xfId="49161"/>
    <cellStyle name="Note 7 3 2 2" xfId="49162"/>
    <cellStyle name="Note 7 3 2 3" xfId="49163"/>
    <cellStyle name="Note 7 3 2 4" xfId="49164"/>
    <cellStyle name="Note 7 3 2 5" xfId="49165"/>
    <cellStyle name="Note 7 3 2 6" xfId="49166"/>
    <cellStyle name="Note 7 3 2 7" xfId="49167"/>
    <cellStyle name="Note 7 3 2 8" xfId="49168"/>
    <cellStyle name="Note 7 3 2 9" xfId="49169"/>
    <cellStyle name="Note 7 3 3" xfId="49170"/>
    <cellStyle name="Note 7 3 4" xfId="49171"/>
    <cellStyle name="Note 7 3 5" xfId="49172"/>
    <cellStyle name="Note 7 3 6" xfId="49173"/>
    <cellStyle name="Note 7 3 7" xfId="49174"/>
    <cellStyle name="Note 7 3 8" xfId="49175"/>
    <cellStyle name="Note 7 3 9" xfId="49176"/>
    <cellStyle name="Note 7 4" xfId="49177"/>
    <cellStyle name="Note 7 4 10" xfId="49178"/>
    <cellStyle name="Note 7 4 11" xfId="49179"/>
    <cellStyle name="Note 7 4 2" xfId="49180"/>
    <cellStyle name="Note 7 4 3" xfId="49181"/>
    <cellStyle name="Note 7 4 4" xfId="49182"/>
    <cellStyle name="Note 7 4 5" xfId="49183"/>
    <cellStyle name="Note 7 4 6" xfId="49184"/>
    <cellStyle name="Note 7 4 7" xfId="49185"/>
    <cellStyle name="Note 7 4 8" xfId="49186"/>
    <cellStyle name="Note 7 4 9" xfId="49187"/>
    <cellStyle name="Note 7 5" xfId="49188"/>
    <cellStyle name="Note 7 6" xfId="49189"/>
    <cellStyle name="Note 7 7" xfId="49190"/>
    <cellStyle name="Note 7 8" xfId="49191"/>
    <cellStyle name="Note 7 9" xfId="49192"/>
    <cellStyle name="Note 8" xfId="49193"/>
    <cellStyle name="Note 8 10" xfId="49194"/>
    <cellStyle name="Note 8 11" xfId="49195"/>
    <cellStyle name="Note 8 12" xfId="49196"/>
    <cellStyle name="Note 8 13" xfId="49197"/>
    <cellStyle name="Note 8 2" xfId="49198"/>
    <cellStyle name="Note 8 2 10" xfId="49199"/>
    <cellStyle name="Note 8 2 11" xfId="49200"/>
    <cellStyle name="Note 8 2 12" xfId="49201"/>
    <cellStyle name="Note 8 2 2" xfId="49202"/>
    <cellStyle name="Note 8 2 2 10" xfId="49203"/>
    <cellStyle name="Note 8 2 2 11" xfId="49204"/>
    <cellStyle name="Note 8 2 2 2" xfId="49205"/>
    <cellStyle name="Note 8 2 2 2 10" xfId="49206"/>
    <cellStyle name="Note 8 2 2 2 11" xfId="49207"/>
    <cellStyle name="Note 8 2 2 2 2" xfId="49208"/>
    <cellStyle name="Note 8 2 2 2 3" xfId="49209"/>
    <cellStyle name="Note 8 2 2 2 4" xfId="49210"/>
    <cellStyle name="Note 8 2 2 2 5" xfId="49211"/>
    <cellStyle name="Note 8 2 2 2 6" xfId="49212"/>
    <cellStyle name="Note 8 2 2 2 7" xfId="49213"/>
    <cellStyle name="Note 8 2 2 2 8" xfId="49214"/>
    <cellStyle name="Note 8 2 2 2 9" xfId="49215"/>
    <cellStyle name="Note 8 2 2 3" xfId="49216"/>
    <cellStyle name="Note 8 2 2 4" xfId="49217"/>
    <cellStyle name="Note 8 2 2 5" xfId="49218"/>
    <cellStyle name="Note 8 2 2 6" xfId="49219"/>
    <cellStyle name="Note 8 2 2 7" xfId="49220"/>
    <cellStyle name="Note 8 2 2 8" xfId="49221"/>
    <cellStyle name="Note 8 2 2 9" xfId="49222"/>
    <cellStyle name="Note 8 2 3" xfId="49223"/>
    <cellStyle name="Note 8 2 3 10" xfId="49224"/>
    <cellStyle name="Note 8 2 3 11" xfId="49225"/>
    <cellStyle name="Note 8 2 3 2" xfId="49226"/>
    <cellStyle name="Note 8 2 3 3" xfId="49227"/>
    <cellStyle name="Note 8 2 3 4" xfId="49228"/>
    <cellStyle name="Note 8 2 3 5" xfId="49229"/>
    <cellStyle name="Note 8 2 3 6" xfId="49230"/>
    <cellStyle name="Note 8 2 3 7" xfId="49231"/>
    <cellStyle name="Note 8 2 3 8" xfId="49232"/>
    <cellStyle name="Note 8 2 3 9" xfId="49233"/>
    <cellStyle name="Note 8 2 4" xfId="49234"/>
    <cellStyle name="Note 8 2 5" xfId="49235"/>
    <cellStyle name="Note 8 2 6" xfId="49236"/>
    <cellStyle name="Note 8 2 7" xfId="49237"/>
    <cellStyle name="Note 8 2 8" xfId="49238"/>
    <cellStyle name="Note 8 2 9" xfId="49239"/>
    <cellStyle name="Note 8 3" xfId="49240"/>
    <cellStyle name="Note 8 3 10" xfId="49241"/>
    <cellStyle name="Note 8 3 11" xfId="49242"/>
    <cellStyle name="Note 8 3 2" xfId="49243"/>
    <cellStyle name="Note 8 3 2 10" xfId="49244"/>
    <cellStyle name="Note 8 3 2 11" xfId="49245"/>
    <cellStyle name="Note 8 3 2 2" xfId="49246"/>
    <cellStyle name="Note 8 3 2 3" xfId="49247"/>
    <cellStyle name="Note 8 3 2 4" xfId="49248"/>
    <cellStyle name="Note 8 3 2 5" xfId="49249"/>
    <cellStyle name="Note 8 3 2 6" xfId="49250"/>
    <cellStyle name="Note 8 3 2 7" xfId="49251"/>
    <cellStyle name="Note 8 3 2 8" xfId="49252"/>
    <cellStyle name="Note 8 3 2 9" xfId="49253"/>
    <cellStyle name="Note 8 3 3" xfId="49254"/>
    <cellStyle name="Note 8 3 4" xfId="49255"/>
    <cellStyle name="Note 8 3 5" xfId="49256"/>
    <cellStyle name="Note 8 3 6" xfId="49257"/>
    <cellStyle name="Note 8 3 7" xfId="49258"/>
    <cellStyle name="Note 8 3 8" xfId="49259"/>
    <cellStyle name="Note 8 3 9" xfId="49260"/>
    <cellStyle name="Note 8 4" xfId="49261"/>
    <cellStyle name="Note 8 4 10" xfId="49262"/>
    <cellStyle name="Note 8 4 11" xfId="49263"/>
    <cellStyle name="Note 8 4 2" xfId="49264"/>
    <cellStyle name="Note 8 4 3" xfId="49265"/>
    <cellStyle name="Note 8 4 4" xfId="49266"/>
    <cellStyle name="Note 8 4 5" xfId="49267"/>
    <cellStyle name="Note 8 4 6" xfId="49268"/>
    <cellStyle name="Note 8 4 7" xfId="49269"/>
    <cellStyle name="Note 8 4 8" xfId="49270"/>
    <cellStyle name="Note 8 4 9" xfId="49271"/>
    <cellStyle name="Note 8 5" xfId="49272"/>
    <cellStyle name="Note 8 6" xfId="49273"/>
    <cellStyle name="Note 8 7" xfId="49274"/>
    <cellStyle name="Note 8 8" xfId="49275"/>
    <cellStyle name="Note 8 9" xfId="49276"/>
    <cellStyle name="Note 9" xfId="49277"/>
    <cellStyle name="Note 9 10" xfId="49278"/>
    <cellStyle name="Note 9 11" xfId="49279"/>
    <cellStyle name="Note 9 12" xfId="49280"/>
    <cellStyle name="Note 9 13" xfId="49281"/>
    <cellStyle name="Note 9 2" xfId="49282"/>
    <cellStyle name="Note 9 2 10" xfId="49283"/>
    <cellStyle name="Note 9 2 11" xfId="49284"/>
    <cellStyle name="Note 9 2 12" xfId="49285"/>
    <cellStyle name="Note 9 2 2" xfId="49286"/>
    <cellStyle name="Note 9 2 2 10" xfId="49287"/>
    <cellStyle name="Note 9 2 2 11" xfId="49288"/>
    <cellStyle name="Note 9 2 2 2" xfId="49289"/>
    <cellStyle name="Note 9 2 2 2 10" xfId="49290"/>
    <cellStyle name="Note 9 2 2 2 11" xfId="49291"/>
    <cellStyle name="Note 9 2 2 2 2" xfId="49292"/>
    <cellStyle name="Note 9 2 2 2 3" xfId="49293"/>
    <cellStyle name="Note 9 2 2 2 4" xfId="49294"/>
    <cellStyle name="Note 9 2 2 2 5" xfId="49295"/>
    <cellStyle name="Note 9 2 2 2 6" xfId="49296"/>
    <cellStyle name="Note 9 2 2 2 7" xfId="49297"/>
    <cellStyle name="Note 9 2 2 2 8" xfId="49298"/>
    <cellStyle name="Note 9 2 2 2 9" xfId="49299"/>
    <cellStyle name="Note 9 2 2 3" xfId="49300"/>
    <cellStyle name="Note 9 2 2 4" xfId="49301"/>
    <cellStyle name="Note 9 2 2 5" xfId="49302"/>
    <cellStyle name="Note 9 2 2 6" xfId="49303"/>
    <cellStyle name="Note 9 2 2 7" xfId="49304"/>
    <cellStyle name="Note 9 2 2 8" xfId="49305"/>
    <cellStyle name="Note 9 2 2 9" xfId="49306"/>
    <cellStyle name="Note 9 2 3" xfId="49307"/>
    <cellStyle name="Note 9 2 3 10" xfId="49308"/>
    <cellStyle name="Note 9 2 3 11" xfId="49309"/>
    <cellStyle name="Note 9 2 3 2" xfId="49310"/>
    <cellStyle name="Note 9 2 3 3" xfId="49311"/>
    <cellStyle name="Note 9 2 3 4" xfId="49312"/>
    <cellStyle name="Note 9 2 3 5" xfId="49313"/>
    <cellStyle name="Note 9 2 3 6" xfId="49314"/>
    <cellStyle name="Note 9 2 3 7" xfId="49315"/>
    <cellStyle name="Note 9 2 3 8" xfId="49316"/>
    <cellStyle name="Note 9 2 3 9" xfId="49317"/>
    <cellStyle name="Note 9 2 4" xfId="49318"/>
    <cellStyle name="Note 9 2 5" xfId="49319"/>
    <cellStyle name="Note 9 2 6" xfId="49320"/>
    <cellStyle name="Note 9 2 7" xfId="49321"/>
    <cellStyle name="Note 9 2 8" xfId="49322"/>
    <cellStyle name="Note 9 2 9" xfId="49323"/>
    <cellStyle name="Note 9 3" xfId="49324"/>
    <cellStyle name="Note 9 3 10" xfId="49325"/>
    <cellStyle name="Note 9 3 11" xfId="49326"/>
    <cellStyle name="Note 9 3 2" xfId="49327"/>
    <cellStyle name="Note 9 3 2 10" xfId="49328"/>
    <cellStyle name="Note 9 3 2 11" xfId="49329"/>
    <cellStyle name="Note 9 3 2 2" xfId="49330"/>
    <cellStyle name="Note 9 3 2 3" xfId="49331"/>
    <cellStyle name="Note 9 3 2 4" xfId="49332"/>
    <cellStyle name="Note 9 3 2 5" xfId="49333"/>
    <cellStyle name="Note 9 3 2 6" xfId="49334"/>
    <cellStyle name="Note 9 3 2 7" xfId="49335"/>
    <cellStyle name="Note 9 3 2 8" xfId="49336"/>
    <cellStyle name="Note 9 3 2 9" xfId="49337"/>
    <cellStyle name="Note 9 3 3" xfId="49338"/>
    <cellStyle name="Note 9 3 4" xfId="49339"/>
    <cellStyle name="Note 9 3 5" xfId="49340"/>
    <cellStyle name="Note 9 3 6" xfId="49341"/>
    <cellStyle name="Note 9 3 7" xfId="49342"/>
    <cellStyle name="Note 9 3 8" xfId="49343"/>
    <cellStyle name="Note 9 3 9" xfId="49344"/>
    <cellStyle name="Note 9 4" xfId="49345"/>
    <cellStyle name="Note 9 4 10" xfId="49346"/>
    <cellStyle name="Note 9 4 11" xfId="49347"/>
    <cellStyle name="Note 9 4 2" xfId="49348"/>
    <cellStyle name="Note 9 4 3" xfId="49349"/>
    <cellStyle name="Note 9 4 4" xfId="49350"/>
    <cellStyle name="Note 9 4 5" xfId="49351"/>
    <cellStyle name="Note 9 4 6" xfId="49352"/>
    <cellStyle name="Note 9 4 7" xfId="49353"/>
    <cellStyle name="Note 9 4 8" xfId="49354"/>
    <cellStyle name="Note 9 4 9" xfId="49355"/>
    <cellStyle name="Note 9 5" xfId="49356"/>
    <cellStyle name="Note 9 6" xfId="49357"/>
    <cellStyle name="Note 9 7" xfId="49358"/>
    <cellStyle name="Note 9 8" xfId="49359"/>
    <cellStyle name="Note 9 9" xfId="49360"/>
    <cellStyle name="Number" xfId="58841"/>
    <cellStyle name="Number [0000]" xfId="58842"/>
    <cellStyle name="Number." xfId="49361"/>
    <cellStyle name="Number. 2" xfId="49362"/>
    <cellStyle name="Number[0]" xfId="58843"/>
    <cellStyle name="Number[00]" xfId="58844"/>
    <cellStyle name="Output 10" xfId="49363"/>
    <cellStyle name="Output 10 10" xfId="49364"/>
    <cellStyle name="Output 10 11" xfId="49365"/>
    <cellStyle name="Output 10 12" xfId="49366"/>
    <cellStyle name="Output 10 13" xfId="49367"/>
    <cellStyle name="Output 10 2" xfId="49368"/>
    <cellStyle name="Output 10 2 10" xfId="49369"/>
    <cellStyle name="Output 10 2 11" xfId="49370"/>
    <cellStyle name="Output 10 2 12" xfId="49371"/>
    <cellStyle name="Output 10 2 2" xfId="49372"/>
    <cellStyle name="Output 10 2 2 10" xfId="49373"/>
    <cellStyle name="Output 10 2 2 11" xfId="49374"/>
    <cellStyle name="Output 10 2 2 2" xfId="49375"/>
    <cellStyle name="Output 10 2 2 2 10" xfId="49376"/>
    <cellStyle name="Output 10 2 2 2 11" xfId="49377"/>
    <cellStyle name="Output 10 2 2 2 2" xfId="49378"/>
    <cellStyle name="Output 10 2 2 2 3" xfId="49379"/>
    <cellStyle name="Output 10 2 2 2 4" xfId="49380"/>
    <cellStyle name="Output 10 2 2 2 5" xfId="49381"/>
    <cellStyle name="Output 10 2 2 2 6" xfId="49382"/>
    <cellStyle name="Output 10 2 2 2 7" xfId="49383"/>
    <cellStyle name="Output 10 2 2 2 8" xfId="49384"/>
    <cellStyle name="Output 10 2 2 2 9" xfId="49385"/>
    <cellStyle name="Output 10 2 2 3" xfId="49386"/>
    <cellStyle name="Output 10 2 2 4" xfId="49387"/>
    <cellStyle name="Output 10 2 2 5" xfId="49388"/>
    <cellStyle name="Output 10 2 2 6" xfId="49389"/>
    <cellStyle name="Output 10 2 2 7" xfId="49390"/>
    <cellStyle name="Output 10 2 2 8" xfId="49391"/>
    <cellStyle name="Output 10 2 2 9" xfId="49392"/>
    <cellStyle name="Output 10 2 3" xfId="49393"/>
    <cellStyle name="Output 10 2 3 10" xfId="49394"/>
    <cellStyle name="Output 10 2 3 11" xfId="49395"/>
    <cellStyle name="Output 10 2 3 2" xfId="49396"/>
    <cellStyle name="Output 10 2 3 3" xfId="49397"/>
    <cellStyle name="Output 10 2 3 4" xfId="49398"/>
    <cellStyle name="Output 10 2 3 5" xfId="49399"/>
    <cellStyle name="Output 10 2 3 6" xfId="49400"/>
    <cellStyle name="Output 10 2 3 7" xfId="49401"/>
    <cellStyle name="Output 10 2 3 8" xfId="49402"/>
    <cellStyle name="Output 10 2 3 9" xfId="49403"/>
    <cellStyle name="Output 10 2 4" xfId="49404"/>
    <cellStyle name="Output 10 2 5" xfId="49405"/>
    <cellStyle name="Output 10 2 6" xfId="49406"/>
    <cellStyle name="Output 10 2 7" xfId="49407"/>
    <cellStyle name="Output 10 2 8" xfId="49408"/>
    <cellStyle name="Output 10 2 9" xfId="49409"/>
    <cellStyle name="Output 10 3" xfId="49410"/>
    <cellStyle name="Output 10 3 10" xfId="49411"/>
    <cellStyle name="Output 10 3 11" xfId="49412"/>
    <cellStyle name="Output 10 3 2" xfId="49413"/>
    <cellStyle name="Output 10 3 2 10" xfId="49414"/>
    <cellStyle name="Output 10 3 2 11" xfId="49415"/>
    <cellStyle name="Output 10 3 2 2" xfId="49416"/>
    <cellStyle name="Output 10 3 2 3" xfId="49417"/>
    <cellStyle name="Output 10 3 2 4" xfId="49418"/>
    <cellStyle name="Output 10 3 2 5" xfId="49419"/>
    <cellStyle name="Output 10 3 2 6" xfId="49420"/>
    <cellStyle name="Output 10 3 2 7" xfId="49421"/>
    <cellStyle name="Output 10 3 2 8" xfId="49422"/>
    <cellStyle name="Output 10 3 2 9" xfId="49423"/>
    <cellStyle name="Output 10 3 3" xfId="49424"/>
    <cellStyle name="Output 10 3 4" xfId="49425"/>
    <cellStyle name="Output 10 3 5" xfId="49426"/>
    <cellStyle name="Output 10 3 6" xfId="49427"/>
    <cellStyle name="Output 10 3 7" xfId="49428"/>
    <cellStyle name="Output 10 3 8" xfId="49429"/>
    <cellStyle name="Output 10 3 9" xfId="49430"/>
    <cellStyle name="Output 10 4" xfId="49431"/>
    <cellStyle name="Output 10 4 10" xfId="49432"/>
    <cellStyle name="Output 10 4 11" xfId="49433"/>
    <cellStyle name="Output 10 4 2" xfId="49434"/>
    <cellStyle name="Output 10 4 3" xfId="49435"/>
    <cellStyle name="Output 10 4 4" xfId="49436"/>
    <cellStyle name="Output 10 4 5" xfId="49437"/>
    <cellStyle name="Output 10 4 6" xfId="49438"/>
    <cellStyle name="Output 10 4 7" xfId="49439"/>
    <cellStyle name="Output 10 4 8" xfId="49440"/>
    <cellStyle name="Output 10 4 9" xfId="49441"/>
    <cellStyle name="Output 10 5" xfId="49442"/>
    <cellStyle name="Output 10 6" xfId="49443"/>
    <cellStyle name="Output 10 7" xfId="49444"/>
    <cellStyle name="Output 10 8" xfId="49445"/>
    <cellStyle name="Output 10 9" xfId="49446"/>
    <cellStyle name="Output 11" xfId="49447"/>
    <cellStyle name="Output 11 10" xfId="49448"/>
    <cellStyle name="Output 11 11" xfId="49449"/>
    <cellStyle name="Output 11 12" xfId="49450"/>
    <cellStyle name="Output 11 13" xfId="49451"/>
    <cellStyle name="Output 11 2" xfId="49452"/>
    <cellStyle name="Output 11 2 10" xfId="49453"/>
    <cellStyle name="Output 11 2 11" xfId="49454"/>
    <cellStyle name="Output 11 2 12" xfId="49455"/>
    <cellStyle name="Output 11 2 2" xfId="49456"/>
    <cellStyle name="Output 11 2 2 10" xfId="49457"/>
    <cellStyle name="Output 11 2 2 11" xfId="49458"/>
    <cellStyle name="Output 11 2 2 2" xfId="49459"/>
    <cellStyle name="Output 11 2 2 2 10" xfId="49460"/>
    <cellStyle name="Output 11 2 2 2 11" xfId="49461"/>
    <cellStyle name="Output 11 2 2 2 2" xfId="49462"/>
    <cellStyle name="Output 11 2 2 2 3" xfId="49463"/>
    <cellStyle name="Output 11 2 2 2 4" xfId="49464"/>
    <cellStyle name="Output 11 2 2 2 5" xfId="49465"/>
    <cellStyle name="Output 11 2 2 2 6" xfId="49466"/>
    <cellStyle name="Output 11 2 2 2 7" xfId="49467"/>
    <cellStyle name="Output 11 2 2 2 8" xfId="49468"/>
    <cellStyle name="Output 11 2 2 2 9" xfId="49469"/>
    <cellStyle name="Output 11 2 2 3" xfId="49470"/>
    <cellStyle name="Output 11 2 2 4" xfId="49471"/>
    <cellStyle name="Output 11 2 2 5" xfId="49472"/>
    <cellStyle name="Output 11 2 2 6" xfId="49473"/>
    <cellStyle name="Output 11 2 2 7" xfId="49474"/>
    <cellStyle name="Output 11 2 2 8" xfId="49475"/>
    <cellStyle name="Output 11 2 2 9" xfId="49476"/>
    <cellStyle name="Output 11 2 3" xfId="49477"/>
    <cellStyle name="Output 11 2 3 10" xfId="49478"/>
    <cellStyle name="Output 11 2 3 11" xfId="49479"/>
    <cellStyle name="Output 11 2 3 2" xfId="49480"/>
    <cellStyle name="Output 11 2 3 3" xfId="49481"/>
    <cellStyle name="Output 11 2 3 4" xfId="49482"/>
    <cellStyle name="Output 11 2 3 5" xfId="49483"/>
    <cellStyle name="Output 11 2 3 6" xfId="49484"/>
    <cellStyle name="Output 11 2 3 7" xfId="49485"/>
    <cellStyle name="Output 11 2 3 8" xfId="49486"/>
    <cellStyle name="Output 11 2 3 9" xfId="49487"/>
    <cellStyle name="Output 11 2 4" xfId="49488"/>
    <cellStyle name="Output 11 2 5" xfId="49489"/>
    <cellStyle name="Output 11 2 6" xfId="49490"/>
    <cellStyle name="Output 11 2 7" xfId="49491"/>
    <cellStyle name="Output 11 2 8" xfId="49492"/>
    <cellStyle name="Output 11 2 9" xfId="49493"/>
    <cellStyle name="Output 11 3" xfId="49494"/>
    <cellStyle name="Output 11 3 10" xfId="49495"/>
    <cellStyle name="Output 11 3 11" xfId="49496"/>
    <cellStyle name="Output 11 3 2" xfId="49497"/>
    <cellStyle name="Output 11 3 2 10" xfId="49498"/>
    <cellStyle name="Output 11 3 2 11" xfId="49499"/>
    <cellStyle name="Output 11 3 2 2" xfId="49500"/>
    <cellStyle name="Output 11 3 2 3" xfId="49501"/>
    <cellStyle name="Output 11 3 2 4" xfId="49502"/>
    <cellStyle name="Output 11 3 2 5" xfId="49503"/>
    <cellStyle name="Output 11 3 2 6" xfId="49504"/>
    <cellStyle name="Output 11 3 2 7" xfId="49505"/>
    <cellStyle name="Output 11 3 2 8" xfId="49506"/>
    <cellStyle name="Output 11 3 2 9" xfId="49507"/>
    <cellStyle name="Output 11 3 3" xfId="49508"/>
    <cellStyle name="Output 11 3 4" xfId="49509"/>
    <cellStyle name="Output 11 3 5" xfId="49510"/>
    <cellStyle name="Output 11 3 6" xfId="49511"/>
    <cellStyle name="Output 11 3 7" xfId="49512"/>
    <cellStyle name="Output 11 3 8" xfId="49513"/>
    <cellStyle name="Output 11 3 9" xfId="49514"/>
    <cellStyle name="Output 11 4" xfId="49515"/>
    <cellStyle name="Output 11 4 10" xfId="49516"/>
    <cellStyle name="Output 11 4 11" xfId="49517"/>
    <cellStyle name="Output 11 4 2" xfId="49518"/>
    <cellStyle name="Output 11 4 3" xfId="49519"/>
    <cellStyle name="Output 11 4 4" xfId="49520"/>
    <cellStyle name="Output 11 4 5" xfId="49521"/>
    <cellStyle name="Output 11 4 6" xfId="49522"/>
    <cellStyle name="Output 11 4 7" xfId="49523"/>
    <cellStyle name="Output 11 4 8" xfId="49524"/>
    <cellStyle name="Output 11 4 9" xfId="49525"/>
    <cellStyle name="Output 11 5" xfId="49526"/>
    <cellStyle name="Output 11 6" xfId="49527"/>
    <cellStyle name="Output 11 7" xfId="49528"/>
    <cellStyle name="Output 11 8" xfId="49529"/>
    <cellStyle name="Output 11 9" xfId="49530"/>
    <cellStyle name="Output 12" xfId="49531"/>
    <cellStyle name="Output 12 10" xfId="49532"/>
    <cellStyle name="Output 12 11" xfId="49533"/>
    <cellStyle name="Output 12 12" xfId="49534"/>
    <cellStyle name="Output 12 2" xfId="49535"/>
    <cellStyle name="Output 12 2 10" xfId="49536"/>
    <cellStyle name="Output 12 2 11" xfId="49537"/>
    <cellStyle name="Output 12 2 2" xfId="49538"/>
    <cellStyle name="Output 12 2 2 10" xfId="49539"/>
    <cellStyle name="Output 12 2 2 11" xfId="49540"/>
    <cellStyle name="Output 12 2 2 2" xfId="49541"/>
    <cellStyle name="Output 12 2 2 3" xfId="49542"/>
    <cellStyle name="Output 12 2 2 4" xfId="49543"/>
    <cellStyle name="Output 12 2 2 5" xfId="49544"/>
    <cellStyle name="Output 12 2 2 6" xfId="49545"/>
    <cellStyle name="Output 12 2 2 7" xfId="49546"/>
    <cellStyle name="Output 12 2 2 8" xfId="49547"/>
    <cellStyle name="Output 12 2 2 9" xfId="49548"/>
    <cellStyle name="Output 12 2 3" xfId="49549"/>
    <cellStyle name="Output 12 2 4" xfId="49550"/>
    <cellStyle name="Output 12 2 5" xfId="49551"/>
    <cellStyle name="Output 12 2 6" xfId="49552"/>
    <cellStyle name="Output 12 2 7" xfId="49553"/>
    <cellStyle name="Output 12 2 8" xfId="49554"/>
    <cellStyle name="Output 12 2 9" xfId="49555"/>
    <cellStyle name="Output 12 3" xfId="49556"/>
    <cellStyle name="Output 12 3 10" xfId="49557"/>
    <cellStyle name="Output 12 3 11" xfId="49558"/>
    <cellStyle name="Output 12 3 2" xfId="49559"/>
    <cellStyle name="Output 12 3 3" xfId="49560"/>
    <cellStyle name="Output 12 3 4" xfId="49561"/>
    <cellStyle name="Output 12 3 5" xfId="49562"/>
    <cellStyle name="Output 12 3 6" xfId="49563"/>
    <cellStyle name="Output 12 3 7" xfId="49564"/>
    <cellStyle name="Output 12 3 8" xfId="49565"/>
    <cellStyle name="Output 12 3 9" xfId="49566"/>
    <cellStyle name="Output 12 4" xfId="49567"/>
    <cellStyle name="Output 12 5" xfId="49568"/>
    <cellStyle name="Output 12 6" xfId="49569"/>
    <cellStyle name="Output 12 7" xfId="49570"/>
    <cellStyle name="Output 12 8" xfId="49571"/>
    <cellStyle name="Output 12 9" xfId="49572"/>
    <cellStyle name="Output 13" xfId="49573"/>
    <cellStyle name="Output 13 10" xfId="49574"/>
    <cellStyle name="Output 13 11" xfId="49575"/>
    <cellStyle name="Output 13 12" xfId="49576"/>
    <cellStyle name="Output 13 2" xfId="49577"/>
    <cellStyle name="Output 13 2 10" xfId="49578"/>
    <cellStyle name="Output 13 2 11" xfId="49579"/>
    <cellStyle name="Output 13 2 2" xfId="49580"/>
    <cellStyle name="Output 13 2 2 10" xfId="49581"/>
    <cellStyle name="Output 13 2 2 11" xfId="49582"/>
    <cellStyle name="Output 13 2 2 2" xfId="49583"/>
    <cellStyle name="Output 13 2 2 3" xfId="49584"/>
    <cellStyle name="Output 13 2 2 4" xfId="49585"/>
    <cellStyle name="Output 13 2 2 5" xfId="49586"/>
    <cellStyle name="Output 13 2 2 6" xfId="49587"/>
    <cellStyle name="Output 13 2 2 7" xfId="49588"/>
    <cellStyle name="Output 13 2 2 8" xfId="49589"/>
    <cellStyle name="Output 13 2 2 9" xfId="49590"/>
    <cellStyle name="Output 13 2 3" xfId="49591"/>
    <cellStyle name="Output 13 2 4" xfId="49592"/>
    <cellStyle name="Output 13 2 5" xfId="49593"/>
    <cellStyle name="Output 13 2 6" xfId="49594"/>
    <cellStyle name="Output 13 2 7" xfId="49595"/>
    <cellStyle name="Output 13 2 8" xfId="49596"/>
    <cellStyle name="Output 13 2 9" xfId="49597"/>
    <cellStyle name="Output 13 3" xfId="49598"/>
    <cellStyle name="Output 13 3 10" xfId="49599"/>
    <cellStyle name="Output 13 3 11" xfId="49600"/>
    <cellStyle name="Output 13 3 2" xfId="49601"/>
    <cellStyle name="Output 13 3 3" xfId="49602"/>
    <cellStyle name="Output 13 3 4" xfId="49603"/>
    <cellStyle name="Output 13 3 5" xfId="49604"/>
    <cellStyle name="Output 13 3 6" xfId="49605"/>
    <cellStyle name="Output 13 3 7" xfId="49606"/>
    <cellStyle name="Output 13 3 8" xfId="49607"/>
    <cellStyle name="Output 13 3 9" xfId="49608"/>
    <cellStyle name="Output 13 4" xfId="49609"/>
    <cellStyle name="Output 13 5" xfId="49610"/>
    <cellStyle name="Output 13 6" xfId="49611"/>
    <cellStyle name="Output 13 7" xfId="49612"/>
    <cellStyle name="Output 13 8" xfId="49613"/>
    <cellStyle name="Output 13 9" xfId="49614"/>
    <cellStyle name="Output 14" xfId="49615"/>
    <cellStyle name="Output 14 10" xfId="49616"/>
    <cellStyle name="Output 14 11" xfId="49617"/>
    <cellStyle name="Output 14 2" xfId="49618"/>
    <cellStyle name="Output 14 3" xfId="49619"/>
    <cellStyle name="Output 14 4" xfId="49620"/>
    <cellStyle name="Output 14 5" xfId="49621"/>
    <cellStyle name="Output 14 6" xfId="49622"/>
    <cellStyle name="Output 14 7" xfId="49623"/>
    <cellStyle name="Output 14 8" xfId="49624"/>
    <cellStyle name="Output 14 9" xfId="49625"/>
    <cellStyle name="Output 15" xfId="49626"/>
    <cellStyle name="Output 16" xfId="49627"/>
    <cellStyle name="Output 2" xfId="49628"/>
    <cellStyle name="Output 2 10" xfId="49629"/>
    <cellStyle name="Output 2 10 10" xfId="49630"/>
    <cellStyle name="Output 2 10 11" xfId="49631"/>
    <cellStyle name="Output 2 10 2" xfId="49632"/>
    <cellStyle name="Output 2 10 3" xfId="49633"/>
    <cellStyle name="Output 2 10 4" xfId="49634"/>
    <cellStyle name="Output 2 10 5" xfId="49635"/>
    <cellStyle name="Output 2 10 6" xfId="49636"/>
    <cellStyle name="Output 2 10 7" xfId="49637"/>
    <cellStyle name="Output 2 10 8" xfId="49638"/>
    <cellStyle name="Output 2 10 9" xfId="49639"/>
    <cellStyle name="Output 2 11" xfId="49640"/>
    <cellStyle name="Output 2 12" xfId="49641"/>
    <cellStyle name="Output 2 2" xfId="49642"/>
    <cellStyle name="Output 2 2 10" xfId="49643"/>
    <cellStyle name="Output 2 2 11" xfId="49644"/>
    <cellStyle name="Output 2 2 12" xfId="49645"/>
    <cellStyle name="Output 2 2 13" xfId="49646"/>
    <cellStyle name="Output 2 2 2" xfId="49647"/>
    <cellStyle name="Output 2 2 2 10" xfId="49648"/>
    <cellStyle name="Output 2 2 2 11" xfId="49649"/>
    <cellStyle name="Output 2 2 2 12" xfId="49650"/>
    <cellStyle name="Output 2 2 2 2" xfId="49651"/>
    <cellStyle name="Output 2 2 2 2 10" xfId="49652"/>
    <cellStyle name="Output 2 2 2 2 11" xfId="49653"/>
    <cellStyle name="Output 2 2 2 2 2" xfId="49654"/>
    <cellStyle name="Output 2 2 2 2 2 10" xfId="49655"/>
    <cellStyle name="Output 2 2 2 2 2 11" xfId="49656"/>
    <cellStyle name="Output 2 2 2 2 2 2" xfId="49657"/>
    <cellStyle name="Output 2 2 2 2 2 3" xfId="49658"/>
    <cellStyle name="Output 2 2 2 2 2 4" xfId="49659"/>
    <cellStyle name="Output 2 2 2 2 2 5" xfId="49660"/>
    <cellStyle name="Output 2 2 2 2 2 6" xfId="49661"/>
    <cellStyle name="Output 2 2 2 2 2 7" xfId="49662"/>
    <cellStyle name="Output 2 2 2 2 2 8" xfId="49663"/>
    <cellStyle name="Output 2 2 2 2 2 9" xfId="49664"/>
    <cellStyle name="Output 2 2 2 2 3" xfId="49665"/>
    <cellStyle name="Output 2 2 2 2 4" xfId="49666"/>
    <cellStyle name="Output 2 2 2 2 5" xfId="49667"/>
    <cellStyle name="Output 2 2 2 2 6" xfId="49668"/>
    <cellStyle name="Output 2 2 2 2 7" xfId="49669"/>
    <cellStyle name="Output 2 2 2 2 8" xfId="49670"/>
    <cellStyle name="Output 2 2 2 2 9" xfId="49671"/>
    <cellStyle name="Output 2 2 2 3" xfId="49672"/>
    <cellStyle name="Output 2 2 2 3 10" xfId="49673"/>
    <cellStyle name="Output 2 2 2 3 11" xfId="49674"/>
    <cellStyle name="Output 2 2 2 3 2" xfId="49675"/>
    <cellStyle name="Output 2 2 2 3 3" xfId="49676"/>
    <cellStyle name="Output 2 2 2 3 4" xfId="49677"/>
    <cellStyle name="Output 2 2 2 3 5" xfId="49678"/>
    <cellStyle name="Output 2 2 2 3 6" xfId="49679"/>
    <cellStyle name="Output 2 2 2 3 7" xfId="49680"/>
    <cellStyle name="Output 2 2 2 3 8" xfId="49681"/>
    <cellStyle name="Output 2 2 2 3 9" xfId="49682"/>
    <cellStyle name="Output 2 2 2 4" xfId="49683"/>
    <cellStyle name="Output 2 2 2 5" xfId="49684"/>
    <cellStyle name="Output 2 2 2 6" xfId="49685"/>
    <cellStyle name="Output 2 2 2 7" xfId="49686"/>
    <cellStyle name="Output 2 2 2 8" xfId="49687"/>
    <cellStyle name="Output 2 2 2 9" xfId="49688"/>
    <cellStyle name="Output 2 2 3" xfId="49689"/>
    <cellStyle name="Output 2 2 3 10" xfId="49690"/>
    <cellStyle name="Output 2 2 3 11" xfId="49691"/>
    <cellStyle name="Output 2 2 3 2" xfId="49692"/>
    <cellStyle name="Output 2 2 3 2 10" xfId="49693"/>
    <cellStyle name="Output 2 2 3 2 11" xfId="49694"/>
    <cellStyle name="Output 2 2 3 2 2" xfId="49695"/>
    <cellStyle name="Output 2 2 3 2 3" xfId="49696"/>
    <cellStyle name="Output 2 2 3 2 4" xfId="49697"/>
    <cellStyle name="Output 2 2 3 2 5" xfId="49698"/>
    <cellStyle name="Output 2 2 3 2 6" xfId="49699"/>
    <cellStyle name="Output 2 2 3 2 7" xfId="49700"/>
    <cellStyle name="Output 2 2 3 2 8" xfId="49701"/>
    <cellStyle name="Output 2 2 3 2 9" xfId="49702"/>
    <cellStyle name="Output 2 2 3 3" xfId="49703"/>
    <cellStyle name="Output 2 2 3 4" xfId="49704"/>
    <cellStyle name="Output 2 2 3 5" xfId="49705"/>
    <cellStyle name="Output 2 2 3 6" xfId="49706"/>
    <cellStyle name="Output 2 2 3 7" xfId="49707"/>
    <cellStyle name="Output 2 2 3 8" xfId="49708"/>
    <cellStyle name="Output 2 2 3 9" xfId="49709"/>
    <cellStyle name="Output 2 2 4" xfId="49710"/>
    <cellStyle name="Output 2 2 4 10" xfId="49711"/>
    <cellStyle name="Output 2 2 4 11" xfId="49712"/>
    <cellStyle name="Output 2 2 4 2" xfId="49713"/>
    <cellStyle name="Output 2 2 4 3" xfId="49714"/>
    <cellStyle name="Output 2 2 4 4" xfId="49715"/>
    <cellStyle name="Output 2 2 4 5" xfId="49716"/>
    <cellStyle name="Output 2 2 4 6" xfId="49717"/>
    <cellStyle name="Output 2 2 4 7" xfId="49718"/>
    <cellStyle name="Output 2 2 4 8" xfId="49719"/>
    <cellStyle name="Output 2 2 4 9" xfId="49720"/>
    <cellStyle name="Output 2 2 5" xfId="49721"/>
    <cellStyle name="Output 2 2 6" xfId="49722"/>
    <cellStyle name="Output 2 2 7" xfId="49723"/>
    <cellStyle name="Output 2 2 8" xfId="49724"/>
    <cellStyle name="Output 2 2 9" xfId="49725"/>
    <cellStyle name="Output 2 3" xfId="49726"/>
    <cellStyle name="Output 2 3 10" xfId="49727"/>
    <cellStyle name="Output 2 3 11" xfId="49728"/>
    <cellStyle name="Output 2 3 12" xfId="49729"/>
    <cellStyle name="Output 2 3 13" xfId="49730"/>
    <cellStyle name="Output 2 3 2" xfId="49731"/>
    <cellStyle name="Output 2 3 2 10" xfId="49732"/>
    <cellStyle name="Output 2 3 2 11" xfId="49733"/>
    <cellStyle name="Output 2 3 2 12" xfId="49734"/>
    <cellStyle name="Output 2 3 2 2" xfId="49735"/>
    <cellStyle name="Output 2 3 2 2 10" xfId="49736"/>
    <cellStyle name="Output 2 3 2 2 11" xfId="49737"/>
    <cellStyle name="Output 2 3 2 2 2" xfId="49738"/>
    <cellStyle name="Output 2 3 2 2 2 10" xfId="49739"/>
    <cellStyle name="Output 2 3 2 2 2 11" xfId="49740"/>
    <cellStyle name="Output 2 3 2 2 2 2" xfId="49741"/>
    <cellStyle name="Output 2 3 2 2 2 3" xfId="49742"/>
    <cellStyle name="Output 2 3 2 2 2 4" xfId="49743"/>
    <cellStyle name="Output 2 3 2 2 2 5" xfId="49744"/>
    <cellStyle name="Output 2 3 2 2 2 6" xfId="49745"/>
    <cellStyle name="Output 2 3 2 2 2 7" xfId="49746"/>
    <cellStyle name="Output 2 3 2 2 2 8" xfId="49747"/>
    <cellStyle name="Output 2 3 2 2 2 9" xfId="49748"/>
    <cellStyle name="Output 2 3 2 2 3" xfId="49749"/>
    <cellStyle name="Output 2 3 2 2 4" xfId="49750"/>
    <cellStyle name="Output 2 3 2 2 5" xfId="49751"/>
    <cellStyle name="Output 2 3 2 2 6" xfId="49752"/>
    <cellStyle name="Output 2 3 2 2 7" xfId="49753"/>
    <cellStyle name="Output 2 3 2 2 8" xfId="49754"/>
    <cellStyle name="Output 2 3 2 2 9" xfId="49755"/>
    <cellStyle name="Output 2 3 2 3" xfId="49756"/>
    <cellStyle name="Output 2 3 2 3 10" xfId="49757"/>
    <cellStyle name="Output 2 3 2 3 11" xfId="49758"/>
    <cellStyle name="Output 2 3 2 3 2" xfId="49759"/>
    <cellStyle name="Output 2 3 2 3 3" xfId="49760"/>
    <cellStyle name="Output 2 3 2 3 4" xfId="49761"/>
    <cellStyle name="Output 2 3 2 3 5" xfId="49762"/>
    <cellStyle name="Output 2 3 2 3 6" xfId="49763"/>
    <cellStyle name="Output 2 3 2 3 7" xfId="49764"/>
    <cellStyle name="Output 2 3 2 3 8" xfId="49765"/>
    <cellStyle name="Output 2 3 2 3 9" xfId="49766"/>
    <cellStyle name="Output 2 3 2 4" xfId="49767"/>
    <cellStyle name="Output 2 3 2 5" xfId="49768"/>
    <cellStyle name="Output 2 3 2 6" xfId="49769"/>
    <cellStyle name="Output 2 3 2 7" xfId="49770"/>
    <cellStyle name="Output 2 3 2 8" xfId="49771"/>
    <cellStyle name="Output 2 3 2 9" xfId="49772"/>
    <cellStyle name="Output 2 3 3" xfId="49773"/>
    <cellStyle name="Output 2 3 3 10" xfId="49774"/>
    <cellStyle name="Output 2 3 3 11" xfId="49775"/>
    <cellStyle name="Output 2 3 3 2" xfId="49776"/>
    <cellStyle name="Output 2 3 3 2 10" xfId="49777"/>
    <cellStyle name="Output 2 3 3 2 11" xfId="49778"/>
    <cellStyle name="Output 2 3 3 2 2" xfId="49779"/>
    <cellStyle name="Output 2 3 3 2 3" xfId="49780"/>
    <cellStyle name="Output 2 3 3 2 4" xfId="49781"/>
    <cellStyle name="Output 2 3 3 2 5" xfId="49782"/>
    <cellStyle name="Output 2 3 3 2 6" xfId="49783"/>
    <cellStyle name="Output 2 3 3 2 7" xfId="49784"/>
    <cellStyle name="Output 2 3 3 2 8" xfId="49785"/>
    <cellStyle name="Output 2 3 3 2 9" xfId="49786"/>
    <cellStyle name="Output 2 3 3 3" xfId="49787"/>
    <cellStyle name="Output 2 3 3 4" xfId="49788"/>
    <cellStyle name="Output 2 3 3 5" xfId="49789"/>
    <cellStyle name="Output 2 3 3 6" xfId="49790"/>
    <cellStyle name="Output 2 3 3 7" xfId="49791"/>
    <cellStyle name="Output 2 3 3 8" xfId="49792"/>
    <cellStyle name="Output 2 3 3 9" xfId="49793"/>
    <cellStyle name="Output 2 3 4" xfId="49794"/>
    <cellStyle name="Output 2 3 4 10" xfId="49795"/>
    <cellStyle name="Output 2 3 4 11" xfId="49796"/>
    <cellStyle name="Output 2 3 4 2" xfId="49797"/>
    <cellStyle name="Output 2 3 4 3" xfId="49798"/>
    <cellStyle name="Output 2 3 4 4" xfId="49799"/>
    <cellStyle name="Output 2 3 4 5" xfId="49800"/>
    <cellStyle name="Output 2 3 4 6" xfId="49801"/>
    <cellStyle name="Output 2 3 4 7" xfId="49802"/>
    <cellStyle name="Output 2 3 4 8" xfId="49803"/>
    <cellStyle name="Output 2 3 4 9" xfId="49804"/>
    <cellStyle name="Output 2 3 5" xfId="49805"/>
    <cellStyle name="Output 2 3 6" xfId="49806"/>
    <cellStyle name="Output 2 3 7" xfId="49807"/>
    <cellStyle name="Output 2 3 8" xfId="49808"/>
    <cellStyle name="Output 2 3 9" xfId="49809"/>
    <cellStyle name="Output 2 4" xfId="49810"/>
    <cellStyle name="Output 2 4 10" xfId="49811"/>
    <cellStyle name="Output 2 4 11" xfId="49812"/>
    <cellStyle name="Output 2 4 12" xfId="49813"/>
    <cellStyle name="Output 2 4 13" xfId="49814"/>
    <cellStyle name="Output 2 4 2" xfId="49815"/>
    <cellStyle name="Output 2 4 2 10" xfId="49816"/>
    <cellStyle name="Output 2 4 2 11" xfId="49817"/>
    <cellStyle name="Output 2 4 2 12" xfId="49818"/>
    <cellStyle name="Output 2 4 2 2" xfId="49819"/>
    <cellStyle name="Output 2 4 2 2 10" xfId="49820"/>
    <cellStyle name="Output 2 4 2 2 11" xfId="49821"/>
    <cellStyle name="Output 2 4 2 2 2" xfId="49822"/>
    <cellStyle name="Output 2 4 2 2 2 10" xfId="49823"/>
    <cellStyle name="Output 2 4 2 2 2 11" xfId="49824"/>
    <cellStyle name="Output 2 4 2 2 2 2" xfId="49825"/>
    <cellStyle name="Output 2 4 2 2 2 3" xfId="49826"/>
    <cellStyle name="Output 2 4 2 2 2 4" xfId="49827"/>
    <cellStyle name="Output 2 4 2 2 2 5" xfId="49828"/>
    <cellStyle name="Output 2 4 2 2 2 6" xfId="49829"/>
    <cellStyle name="Output 2 4 2 2 2 7" xfId="49830"/>
    <cellStyle name="Output 2 4 2 2 2 8" xfId="49831"/>
    <cellStyle name="Output 2 4 2 2 2 9" xfId="49832"/>
    <cellStyle name="Output 2 4 2 2 3" xfId="49833"/>
    <cellStyle name="Output 2 4 2 2 4" xfId="49834"/>
    <cellStyle name="Output 2 4 2 2 5" xfId="49835"/>
    <cellStyle name="Output 2 4 2 2 6" xfId="49836"/>
    <cellStyle name="Output 2 4 2 2 7" xfId="49837"/>
    <cellStyle name="Output 2 4 2 2 8" xfId="49838"/>
    <cellStyle name="Output 2 4 2 2 9" xfId="49839"/>
    <cellStyle name="Output 2 4 2 3" xfId="49840"/>
    <cellStyle name="Output 2 4 2 3 10" xfId="49841"/>
    <cellStyle name="Output 2 4 2 3 11" xfId="49842"/>
    <cellStyle name="Output 2 4 2 3 2" xfId="49843"/>
    <cellStyle name="Output 2 4 2 3 3" xfId="49844"/>
    <cellStyle name="Output 2 4 2 3 4" xfId="49845"/>
    <cellStyle name="Output 2 4 2 3 5" xfId="49846"/>
    <cellStyle name="Output 2 4 2 3 6" xfId="49847"/>
    <cellStyle name="Output 2 4 2 3 7" xfId="49848"/>
    <cellStyle name="Output 2 4 2 3 8" xfId="49849"/>
    <cellStyle name="Output 2 4 2 3 9" xfId="49850"/>
    <cellStyle name="Output 2 4 2 4" xfId="49851"/>
    <cellStyle name="Output 2 4 2 5" xfId="49852"/>
    <cellStyle name="Output 2 4 2 6" xfId="49853"/>
    <cellStyle name="Output 2 4 2 7" xfId="49854"/>
    <cellStyle name="Output 2 4 2 8" xfId="49855"/>
    <cellStyle name="Output 2 4 2 9" xfId="49856"/>
    <cellStyle name="Output 2 4 3" xfId="49857"/>
    <cellStyle name="Output 2 4 3 10" xfId="49858"/>
    <cellStyle name="Output 2 4 3 11" xfId="49859"/>
    <cellStyle name="Output 2 4 3 2" xfId="49860"/>
    <cellStyle name="Output 2 4 3 2 10" xfId="49861"/>
    <cellStyle name="Output 2 4 3 2 11" xfId="49862"/>
    <cellStyle name="Output 2 4 3 2 2" xfId="49863"/>
    <cellStyle name="Output 2 4 3 2 3" xfId="49864"/>
    <cellStyle name="Output 2 4 3 2 4" xfId="49865"/>
    <cellStyle name="Output 2 4 3 2 5" xfId="49866"/>
    <cellStyle name="Output 2 4 3 2 6" xfId="49867"/>
    <cellStyle name="Output 2 4 3 2 7" xfId="49868"/>
    <cellStyle name="Output 2 4 3 2 8" xfId="49869"/>
    <cellStyle name="Output 2 4 3 2 9" xfId="49870"/>
    <cellStyle name="Output 2 4 3 3" xfId="49871"/>
    <cellStyle name="Output 2 4 3 4" xfId="49872"/>
    <cellStyle name="Output 2 4 3 5" xfId="49873"/>
    <cellStyle name="Output 2 4 3 6" xfId="49874"/>
    <cellStyle name="Output 2 4 3 7" xfId="49875"/>
    <cellStyle name="Output 2 4 3 8" xfId="49876"/>
    <cellStyle name="Output 2 4 3 9" xfId="49877"/>
    <cellStyle name="Output 2 4 4" xfId="49878"/>
    <cellStyle name="Output 2 4 4 10" xfId="49879"/>
    <cellStyle name="Output 2 4 4 11" xfId="49880"/>
    <cellStyle name="Output 2 4 4 2" xfId="49881"/>
    <cellStyle name="Output 2 4 4 3" xfId="49882"/>
    <cellStyle name="Output 2 4 4 4" xfId="49883"/>
    <cellStyle name="Output 2 4 4 5" xfId="49884"/>
    <cellStyle name="Output 2 4 4 6" xfId="49885"/>
    <cellStyle name="Output 2 4 4 7" xfId="49886"/>
    <cellStyle name="Output 2 4 4 8" xfId="49887"/>
    <cellStyle name="Output 2 4 4 9" xfId="49888"/>
    <cellStyle name="Output 2 4 5" xfId="49889"/>
    <cellStyle name="Output 2 4 6" xfId="49890"/>
    <cellStyle name="Output 2 4 7" xfId="49891"/>
    <cellStyle name="Output 2 4 8" xfId="49892"/>
    <cellStyle name="Output 2 4 9" xfId="49893"/>
    <cellStyle name="Output 2 5" xfId="49894"/>
    <cellStyle name="Output 2 5 10" xfId="49895"/>
    <cellStyle name="Output 2 5 11" xfId="49896"/>
    <cellStyle name="Output 2 5 12" xfId="49897"/>
    <cellStyle name="Output 2 5 13" xfId="49898"/>
    <cellStyle name="Output 2 5 2" xfId="49899"/>
    <cellStyle name="Output 2 5 2 10" xfId="49900"/>
    <cellStyle name="Output 2 5 2 11" xfId="49901"/>
    <cellStyle name="Output 2 5 2 12" xfId="49902"/>
    <cellStyle name="Output 2 5 2 2" xfId="49903"/>
    <cellStyle name="Output 2 5 2 2 10" xfId="49904"/>
    <cellStyle name="Output 2 5 2 2 11" xfId="49905"/>
    <cellStyle name="Output 2 5 2 2 2" xfId="49906"/>
    <cellStyle name="Output 2 5 2 2 2 10" xfId="49907"/>
    <cellStyle name="Output 2 5 2 2 2 11" xfId="49908"/>
    <cellStyle name="Output 2 5 2 2 2 2" xfId="49909"/>
    <cellStyle name="Output 2 5 2 2 2 3" xfId="49910"/>
    <cellStyle name="Output 2 5 2 2 2 4" xfId="49911"/>
    <cellStyle name="Output 2 5 2 2 2 5" xfId="49912"/>
    <cellStyle name="Output 2 5 2 2 2 6" xfId="49913"/>
    <cellStyle name="Output 2 5 2 2 2 7" xfId="49914"/>
    <cellStyle name="Output 2 5 2 2 2 8" xfId="49915"/>
    <cellStyle name="Output 2 5 2 2 2 9" xfId="49916"/>
    <cellStyle name="Output 2 5 2 2 3" xfId="49917"/>
    <cellStyle name="Output 2 5 2 2 4" xfId="49918"/>
    <cellStyle name="Output 2 5 2 2 5" xfId="49919"/>
    <cellStyle name="Output 2 5 2 2 6" xfId="49920"/>
    <cellStyle name="Output 2 5 2 2 7" xfId="49921"/>
    <cellStyle name="Output 2 5 2 2 8" xfId="49922"/>
    <cellStyle name="Output 2 5 2 2 9" xfId="49923"/>
    <cellStyle name="Output 2 5 2 3" xfId="49924"/>
    <cellStyle name="Output 2 5 2 3 10" xfId="49925"/>
    <cellStyle name="Output 2 5 2 3 11" xfId="49926"/>
    <cellStyle name="Output 2 5 2 3 2" xfId="49927"/>
    <cellStyle name="Output 2 5 2 3 3" xfId="49928"/>
    <cellStyle name="Output 2 5 2 3 4" xfId="49929"/>
    <cellStyle name="Output 2 5 2 3 5" xfId="49930"/>
    <cellStyle name="Output 2 5 2 3 6" xfId="49931"/>
    <cellStyle name="Output 2 5 2 3 7" xfId="49932"/>
    <cellStyle name="Output 2 5 2 3 8" xfId="49933"/>
    <cellStyle name="Output 2 5 2 3 9" xfId="49934"/>
    <cellStyle name="Output 2 5 2 4" xfId="49935"/>
    <cellStyle name="Output 2 5 2 5" xfId="49936"/>
    <cellStyle name="Output 2 5 2 6" xfId="49937"/>
    <cellStyle name="Output 2 5 2 7" xfId="49938"/>
    <cellStyle name="Output 2 5 2 8" xfId="49939"/>
    <cellStyle name="Output 2 5 2 9" xfId="49940"/>
    <cellStyle name="Output 2 5 3" xfId="49941"/>
    <cellStyle name="Output 2 5 3 10" xfId="49942"/>
    <cellStyle name="Output 2 5 3 11" xfId="49943"/>
    <cellStyle name="Output 2 5 3 2" xfId="49944"/>
    <cellStyle name="Output 2 5 3 2 10" xfId="49945"/>
    <cellStyle name="Output 2 5 3 2 11" xfId="49946"/>
    <cellStyle name="Output 2 5 3 2 2" xfId="49947"/>
    <cellStyle name="Output 2 5 3 2 3" xfId="49948"/>
    <cellStyle name="Output 2 5 3 2 4" xfId="49949"/>
    <cellStyle name="Output 2 5 3 2 5" xfId="49950"/>
    <cellStyle name="Output 2 5 3 2 6" xfId="49951"/>
    <cellStyle name="Output 2 5 3 2 7" xfId="49952"/>
    <cellStyle name="Output 2 5 3 2 8" xfId="49953"/>
    <cellStyle name="Output 2 5 3 2 9" xfId="49954"/>
    <cellStyle name="Output 2 5 3 3" xfId="49955"/>
    <cellStyle name="Output 2 5 3 4" xfId="49956"/>
    <cellStyle name="Output 2 5 3 5" xfId="49957"/>
    <cellStyle name="Output 2 5 3 6" xfId="49958"/>
    <cellStyle name="Output 2 5 3 7" xfId="49959"/>
    <cellStyle name="Output 2 5 3 8" xfId="49960"/>
    <cellStyle name="Output 2 5 3 9" xfId="49961"/>
    <cellStyle name="Output 2 5 4" xfId="49962"/>
    <cellStyle name="Output 2 5 4 10" xfId="49963"/>
    <cellStyle name="Output 2 5 4 11" xfId="49964"/>
    <cellStyle name="Output 2 5 4 2" xfId="49965"/>
    <cellStyle name="Output 2 5 4 3" xfId="49966"/>
    <cellStyle name="Output 2 5 4 4" xfId="49967"/>
    <cellStyle name="Output 2 5 4 5" xfId="49968"/>
    <cellStyle name="Output 2 5 4 6" xfId="49969"/>
    <cellStyle name="Output 2 5 4 7" xfId="49970"/>
    <cellStyle name="Output 2 5 4 8" xfId="49971"/>
    <cellStyle name="Output 2 5 4 9" xfId="49972"/>
    <cellStyle name="Output 2 5 5" xfId="49973"/>
    <cellStyle name="Output 2 5 6" xfId="49974"/>
    <cellStyle name="Output 2 5 7" xfId="49975"/>
    <cellStyle name="Output 2 5 8" xfId="49976"/>
    <cellStyle name="Output 2 5 9" xfId="49977"/>
    <cellStyle name="Output 2 6" xfId="49978"/>
    <cellStyle name="Output 2 6 10" xfId="49979"/>
    <cellStyle name="Output 2 6 11" xfId="49980"/>
    <cellStyle name="Output 2 6 12" xfId="49981"/>
    <cellStyle name="Output 2 6 13" xfId="49982"/>
    <cellStyle name="Output 2 6 2" xfId="49983"/>
    <cellStyle name="Output 2 6 2 10" xfId="49984"/>
    <cellStyle name="Output 2 6 2 11" xfId="49985"/>
    <cellStyle name="Output 2 6 2 12" xfId="49986"/>
    <cellStyle name="Output 2 6 2 2" xfId="49987"/>
    <cellStyle name="Output 2 6 2 2 10" xfId="49988"/>
    <cellStyle name="Output 2 6 2 2 11" xfId="49989"/>
    <cellStyle name="Output 2 6 2 2 2" xfId="49990"/>
    <cellStyle name="Output 2 6 2 2 2 10" xfId="49991"/>
    <cellStyle name="Output 2 6 2 2 2 11" xfId="49992"/>
    <cellStyle name="Output 2 6 2 2 2 2" xfId="49993"/>
    <cellStyle name="Output 2 6 2 2 2 3" xfId="49994"/>
    <cellStyle name="Output 2 6 2 2 2 4" xfId="49995"/>
    <cellStyle name="Output 2 6 2 2 2 5" xfId="49996"/>
    <cellStyle name="Output 2 6 2 2 2 6" xfId="49997"/>
    <cellStyle name="Output 2 6 2 2 2 7" xfId="49998"/>
    <cellStyle name="Output 2 6 2 2 2 8" xfId="49999"/>
    <cellStyle name="Output 2 6 2 2 2 9" xfId="50000"/>
    <cellStyle name="Output 2 6 2 2 3" xfId="50001"/>
    <cellStyle name="Output 2 6 2 2 4" xfId="50002"/>
    <cellStyle name="Output 2 6 2 2 5" xfId="50003"/>
    <cellStyle name="Output 2 6 2 2 6" xfId="50004"/>
    <cellStyle name="Output 2 6 2 2 7" xfId="50005"/>
    <cellStyle name="Output 2 6 2 2 8" xfId="50006"/>
    <cellStyle name="Output 2 6 2 2 9" xfId="50007"/>
    <cellStyle name="Output 2 6 2 3" xfId="50008"/>
    <cellStyle name="Output 2 6 2 3 10" xfId="50009"/>
    <cellStyle name="Output 2 6 2 3 11" xfId="50010"/>
    <cellStyle name="Output 2 6 2 3 2" xfId="50011"/>
    <cellStyle name="Output 2 6 2 3 3" xfId="50012"/>
    <cellStyle name="Output 2 6 2 3 4" xfId="50013"/>
    <cellStyle name="Output 2 6 2 3 5" xfId="50014"/>
    <cellStyle name="Output 2 6 2 3 6" xfId="50015"/>
    <cellStyle name="Output 2 6 2 3 7" xfId="50016"/>
    <cellStyle name="Output 2 6 2 3 8" xfId="50017"/>
    <cellStyle name="Output 2 6 2 3 9" xfId="50018"/>
    <cellStyle name="Output 2 6 2 4" xfId="50019"/>
    <cellStyle name="Output 2 6 2 5" xfId="50020"/>
    <cellStyle name="Output 2 6 2 6" xfId="50021"/>
    <cellStyle name="Output 2 6 2 7" xfId="50022"/>
    <cellStyle name="Output 2 6 2 8" xfId="50023"/>
    <cellStyle name="Output 2 6 2 9" xfId="50024"/>
    <cellStyle name="Output 2 6 3" xfId="50025"/>
    <cellStyle name="Output 2 6 3 10" xfId="50026"/>
    <cellStyle name="Output 2 6 3 11" xfId="50027"/>
    <cellStyle name="Output 2 6 3 2" xfId="50028"/>
    <cellStyle name="Output 2 6 3 2 10" xfId="50029"/>
    <cellStyle name="Output 2 6 3 2 11" xfId="50030"/>
    <cellStyle name="Output 2 6 3 2 2" xfId="50031"/>
    <cellStyle name="Output 2 6 3 2 3" xfId="50032"/>
    <cellStyle name="Output 2 6 3 2 4" xfId="50033"/>
    <cellStyle name="Output 2 6 3 2 5" xfId="50034"/>
    <cellStyle name="Output 2 6 3 2 6" xfId="50035"/>
    <cellStyle name="Output 2 6 3 2 7" xfId="50036"/>
    <cellStyle name="Output 2 6 3 2 8" xfId="50037"/>
    <cellStyle name="Output 2 6 3 2 9" xfId="50038"/>
    <cellStyle name="Output 2 6 3 3" xfId="50039"/>
    <cellStyle name="Output 2 6 3 4" xfId="50040"/>
    <cellStyle name="Output 2 6 3 5" xfId="50041"/>
    <cellStyle name="Output 2 6 3 6" xfId="50042"/>
    <cellStyle name="Output 2 6 3 7" xfId="50043"/>
    <cellStyle name="Output 2 6 3 8" xfId="50044"/>
    <cellStyle name="Output 2 6 3 9" xfId="50045"/>
    <cellStyle name="Output 2 6 4" xfId="50046"/>
    <cellStyle name="Output 2 6 4 10" xfId="50047"/>
    <cellStyle name="Output 2 6 4 11" xfId="50048"/>
    <cellStyle name="Output 2 6 4 2" xfId="50049"/>
    <cellStyle name="Output 2 6 4 3" xfId="50050"/>
    <cellStyle name="Output 2 6 4 4" xfId="50051"/>
    <cellStyle name="Output 2 6 4 5" xfId="50052"/>
    <cellStyle name="Output 2 6 4 6" xfId="50053"/>
    <cellStyle name="Output 2 6 4 7" xfId="50054"/>
    <cellStyle name="Output 2 6 4 8" xfId="50055"/>
    <cellStyle name="Output 2 6 4 9" xfId="50056"/>
    <cellStyle name="Output 2 6 5" xfId="50057"/>
    <cellStyle name="Output 2 6 6" xfId="50058"/>
    <cellStyle name="Output 2 6 7" xfId="50059"/>
    <cellStyle name="Output 2 6 8" xfId="50060"/>
    <cellStyle name="Output 2 6 9" xfId="50061"/>
    <cellStyle name="Output 2 7" xfId="50062"/>
    <cellStyle name="Output 2 7 10" xfId="50063"/>
    <cellStyle name="Output 2 7 11" xfId="50064"/>
    <cellStyle name="Output 2 7 12" xfId="50065"/>
    <cellStyle name="Output 2 7 13" xfId="50066"/>
    <cellStyle name="Output 2 7 2" xfId="50067"/>
    <cellStyle name="Output 2 7 2 10" xfId="50068"/>
    <cellStyle name="Output 2 7 2 11" xfId="50069"/>
    <cellStyle name="Output 2 7 2 12" xfId="50070"/>
    <cellStyle name="Output 2 7 2 2" xfId="50071"/>
    <cellStyle name="Output 2 7 2 2 10" xfId="50072"/>
    <cellStyle name="Output 2 7 2 2 11" xfId="50073"/>
    <cellStyle name="Output 2 7 2 2 2" xfId="50074"/>
    <cellStyle name="Output 2 7 2 2 2 10" xfId="50075"/>
    <cellStyle name="Output 2 7 2 2 2 11" xfId="50076"/>
    <cellStyle name="Output 2 7 2 2 2 2" xfId="50077"/>
    <cellStyle name="Output 2 7 2 2 2 3" xfId="50078"/>
    <cellStyle name="Output 2 7 2 2 2 4" xfId="50079"/>
    <cellStyle name="Output 2 7 2 2 2 5" xfId="50080"/>
    <cellStyle name="Output 2 7 2 2 2 6" xfId="50081"/>
    <cellStyle name="Output 2 7 2 2 2 7" xfId="50082"/>
    <cellStyle name="Output 2 7 2 2 2 8" xfId="50083"/>
    <cellStyle name="Output 2 7 2 2 2 9" xfId="50084"/>
    <cellStyle name="Output 2 7 2 2 3" xfId="50085"/>
    <cellStyle name="Output 2 7 2 2 4" xfId="50086"/>
    <cellStyle name="Output 2 7 2 2 5" xfId="50087"/>
    <cellStyle name="Output 2 7 2 2 6" xfId="50088"/>
    <cellStyle name="Output 2 7 2 2 7" xfId="50089"/>
    <cellStyle name="Output 2 7 2 2 8" xfId="50090"/>
    <cellStyle name="Output 2 7 2 2 9" xfId="50091"/>
    <cellStyle name="Output 2 7 2 3" xfId="50092"/>
    <cellStyle name="Output 2 7 2 3 10" xfId="50093"/>
    <cellStyle name="Output 2 7 2 3 11" xfId="50094"/>
    <cellStyle name="Output 2 7 2 3 2" xfId="50095"/>
    <cellStyle name="Output 2 7 2 3 3" xfId="50096"/>
    <cellStyle name="Output 2 7 2 3 4" xfId="50097"/>
    <cellStyle name="Output 2 7 2 3 5" xfId="50098"/>
    <cellStyle name="Output 2 7 2 3 6" xfId="50099"/>
    <cellStyle name="Output 2 7 2 3 7" xfId="50100"/>
    <cellStyle name="Output 2 7 2 3 8" xfId="50101"/>
    <cellStyle name="Output 2 7 2 3 9" xfId="50102"/>
    <cellStyle name="Output 2 7 2 4" xfId="50103"/>
    <cellStyle name="Output 2 7 2 5" xfId="50104"/>
    <cellStyle name="Output 2 7 2 6" xfId="50105"/>
    <cellStyle name="Output 2 7 2 7" xfId="50106"/>
    <cellStyle name="Output 2 7 2 8" xfId="50107"/>
    <cellStyle name="Output 2 7 2 9" xfId="50108"/>
    <cellStyle name="Output 2 7 3" xfId="50109"/>
    <cellStyle name="Output 2 7 3 10" xfId="50110"/>
    <cellStyle name="Output 2 7 3 11" xfId="50111"/>
    <cellStyle name="Output 2 7 3 2" xfId="50112"/>
    <cellStyle name="Output 2 7 3 2 10" xfId="50113"/>
    <cellStyle name="Output 2 7 3 2 11" xfId="50114"/>
    <cellStyle name="Output 2 7 3 2 2" xfId="50115"/>
    <cellStyle name="Output 2 7 3 2 3" xfId="50116"/>
    <cellStyle name="Output 2 7 3 2 4" xfId="50117"/>
    <cellStyle name="Output 2 7 3 2 5" xfId="50118"/>
    <cellStyle name="Output 2 7 3 2 6" xfId="50119"/>
    <cellStyle name="Output 2 7 3 2 7" xfId="50120"/>
    <cellStyle name="Output 2 7 3 2 8" xfId="50121"/>
    <cellStyle name="Output 2 7 3 2 9" xfId="50122"/>
    <cellStyle name="Output 2 7 3 3" xfId="50123"/>
    <cellStyle name="Output 2 7 3 4" xfId="50124"/>
    <cellStyle name="Output 2 7 3 5" xfId="50125"/>
    <cellStyle name="Output 2 7 3 6" xfId="50126"/>
    <cellStyle name="Output 2 7 3 7" xfId="50127"/>
    <cellStyle name="Output 2 7 3 8" xfId="50128"/>
    <cellStyle name="Output 2 7 3 9" xfId="50129"/>
    <cellStyle name="Output 2 7 4" xfId="50130"/>
    <cellStyle name="Output 2 7 4 10" xfId="50131"/>
    <cellStyle name="Output 2 7 4 11" xfId="50132"/>
    <cellStyle name="Output 2 7 4 2" xfId="50133"/>
    <cellStyle name="Output 2 7 4 3" xfId="50134"/>
    <cellStyle name="Output 2 7 4 4" xfId="50135"/>
    <cellStyle name="Output 2 7 4 5" xfId="50136"/>
    <cellStyle name="Output 2 7 4 6" xfId="50137"/>
    <cellStyle name="Output 2 7 4 7" xfId="50138"/>
    <cellStyle name="Output 2 7 4 8" xfId="50139"/>
    <cellStyle name="Output 2 7 4 9" xfId="50140"/>
    <cellStyle name="Output 2 7 5" xfId="50141"/>
    <cellStyle name="Output 2 7 6" xfId="50142"/>
    <cellStyle name="Output 2 7 7" xfId="50143"/>
    <cellStyle name="Output 2 7 8" xfId="50144"/>
    <cellStyle name="Output 2 7 9" xfId="50145"/>
    <cellStyle name="Output 2 8" xfId="50146"/>
    <cellStyle name="Output 2 8 10" xfId="50147"/>
    <cellStyle name="Output 2 8 11" xfId="50148"/>
    <cellStyle name="Output 2 8 12" xfId="50149"/>
    <cellStyle name="Output 2 8 13" xfId="50150"/>
    <cellStyle name="Output 2 8 2" xfId="50151"/>
    <cellStyle name="Output 2 8 2 10" xfId="50152"/>
    <cellStyle name="Output 2 8 2 11" xfId="50153"/>
    <cellStyle name="Output 2 8 2 12" xfId="50154"/>
    <cellStyle name="Output 2 8 2 2" xfId="50155"/>
    <cellStyle name="Output 2 8 2 2 10" xfId="50156"/>
    <cellStyle name="Output 2 8 2 2 11" xfId="50157"/>
    <cellStyle name="Output 2 8 2 2 2" xfId="50158"/>
    <cellStyle name="Output 2 8 2 2 2 10" xfId="50159"/>
    <cellStyle name="Output 2 8 2 2 2 11" xfId="50160"/>
    <cellStyle name="Output 2 8 2 2 2 2" xfId="50161"/>
    <cellStyle name="Output 2 8 2 2 2 3" xfId="50162"/>
    <cellStyle name="Output 2 8 2 2 2 4" xfId="50163"/>
    <cellStyle name="Output 2 8 2 2 2 5" xfId="50164"/>
    <cellStyle name="Output 2 8 2 2 2 6" xfId="50165"/>
    <cellStyle name="Output 2 8 2 2 2 7" xfId="50166"/>
    <cellStyle name="Output 2 8 2 2 2 8" xfId="50167"/>
    <cellStyle name="Output 2 8 2 2 2 9" xfId="50168"/>
    <cellStyle name="Output 2 8 2 2 3" xfId="50169"/>
    <cellStyle name="Output 2 8 2 2 4" xfId="50170"/>
    <cellStyle name="Output 2 8 2 2 5" xfId="50171"/>
    <cellStyle name="Output 2 8 2 2 6" xfId="50172"/>
    <cellStyle name="Output 2 8 2 2 7" xfId="50173"/>
    <cellStyle name="Output 2 8 2 2 8" xfId="50174"/>
    <cellStyle name="Output 2 8 2 2 9" xfId="50175"/>
    <cellStyle name="Output 2 8 2 3" xfId="50176"/>
    <cellStyle name="Output 2 8 2 3 10" xfId="50177"/>
    <cellStyle name="Output 2 8 2 3 11" xfId="50178"/>
    <cellStyle name="Output 2 8 2 3 2" xfId="50179"/>
    <cellStyle name="Output 2 8 2 3 3" xfId="50180"/>
    <cellStyle name="Output 2 8 2 3 4" xfId="50181"/>
    <cellStyle name="Output 2 8 2 3 5" xfId="50182"/>
    <cellStyle name="Output 2 8 2 3 6" xfId="50183"/>
    <cellStyle name="Output 2 8 2 3 7" xfId="50184"/>
    <cellStyle name="Output 2 8 2 3 8" xfId="50185"/>
    <cellStyle name="Output 2 8 2 3 9" xfId="50186"/>
    <cellStyle name="Output 2 8 2 4" xfId="50187"/>
    <cellStyle name="Output 2 8 2 5" xfId="50188"/>
    <cellStyle name="Output 2 8 2 6" xfId="50189"/>
    <cellStyle name="Output 2 8 2 7" xfId="50190"/>
    <cellStyle name="Output 2 8 2 8" xfId="50191"/>
    <cellStyle name="Output 2 8 2 9" xfId="50192"/>
    <cellStyle name="Output 2 8 3" xfId="50193"/>
    <cellStyle name="Output 2 8 3 10" xfId="50194"/>
    <cellStyle name="Output 2 8 3 11" xfId="50195"/>
    <cellStyle name="Output 2 8 3 2" xfId="50196"/>
    <cellStyle name="Output 2 8 3 2 10" xfId="50197"/>
    <cellStyle name="Output 2 8 3 2 11" xfId="50198"/>
    <cellStyle name="Output 2 8 3 2 2" xfId="50199"/>
    <cellStyle name="Output 2 8 3 2 3" xfId="50200"/>
    <cellStyle name="Output 2 8 3 2 4" xfId="50201"/>
    <cellStyle name="Output 2 8 3 2 5" xfId="50202"/>
    <cellStyle name="Output 2 8 3 2 6" xfId="50203"/>
    <cellStyle name="Output 2 8 3 2 7" xfId="50204"/>
    <cellStyle name="Output 2 8 3 2 8" xfId="50205"/>
    <cellStyle name="Output 2 8 3 2 9" xfId="50206"/>
    <cellStyle name="Output 2 8 3 3" xfId="50207"/>
    <cellStyle name="Output 2 8 3 4" xfId="50208"/>
    <cellStyle name="Output 2 8 3 5" xfId="50209"/>
    <cellStyle name="Output 2 8 3 6" xfId="50210"/>
    <cellStyle name="Output 2 8 3 7" xfId="50211"/>
    <cellStyle name="Output 2 8 3 8" xfId="50212"/>
    <cellStyle name="Output 2 8 3 9" xfId="50213"/>
    <cellStyle name="Output 2 8 4" xfId="50214"/>
    <cellStyle name="Output 2 8 4 10" xfId="50215"/>
    <cellStyle name="Output 2 8 4 11" xfId="50216"/>
    <cellStyle name="Output 2 8 4 2" xfId="50217"/>
    <cellStyle name="Output 2 8 4 3" xfId="50218"/>
    <cellStyle name="Output 2 8 4 4" xfId="50219"/>
    <cellStyle name="Output 2 8 4 5" xfId="50220"/>
    <cellStyle name="Output 2 8 4 6" xfId="50221"/>
    <cellStyle name="Output 2 8 4 7" xfId="50222"/>
    <cellStyle name="Output 2 8 4 8" xfId="50223"/>
    <cellStyle name="Output 2 8 4 9" xfId="50224"/>
    <cellStyle name="Output 2 8 5" xfId="50225"/>
    <cellStyle name="Output 2 8 6" xfId="50226"/>
    <cellStyle name="Output 2 8 7" xfId="50227"/>
    <cellStyle name="Output 2 8 8" xfId="50228"/>
    <cellStyle name="Output 2 8 9" xfId="50229"/>
    <cellStyle name="Output 2 9" xfId="50230"/>
    <cellStyle name="Output 2 9 10" xfId="50231"/>
    <cellStyle name="Output 2 9 11" xfId="50232"/>
    <cellStyle name="Output 2 9 12" xfId="50233"/>
    <cellStyle name="Output 2 9 2" xfId="50234"/>
    <cellStyle name="Output 2 9 2 10" xfId="50235"/>
    <cellStyle name="Output 2 9 2 11" xfId="50236"/>
    <cellStyle name="Output 2 9 2 2" xfId="50237"/>
    <cellStyle name="Output 2 9 2 2 10" xfId="50238"/>
    <cellStyle name="Output 2 9 2 2 11" xfId="50239"/>
    <cellStyle name="Output 2 9 2 2 2" xfId="50240"/>
    <cellStyle name="Output 2 9 2 2 3" xfId="50241"/>
    <cellStyle name="Output 2 9 2 2 4" xfId="50242"/>
    <cellStyle name="Output 2 9 2 2 5" xfId="50243"/>
    <cellStyle name="Output 2 9 2 2 6" xfId="50244"/>
    <cellStyle name="Output 2 9 2 2 7" xfId="50245"/>
    <cellStyle name="Output 2 9 2 2 8" xfId="50246"/>
    <cellStyle name="Output 2 9 2 2 9" xfId="50247"/>
    <cellStyle name="Output 2 9 2 3" xfId="50248"/>
    <cellStyle name="Output 2 9 2 4" xfId="50249"/>
    <cellStyle name="Output 2 9 2 5" xfId="50250"/>
    <cellStyle name="Output 2 9 2 6" xfId="50251"/>
    <cellStyle name="Output 2 9 2 7" xfId="50252"/>
    <cellStyle name="Output 2 9 2 8" xfId="50253"/>
    <cellStyle name="Output 2 9 2 9" xfId="50254"/>
    <cellStyle name="Output 2 9 3" xfId="50255"/>
    <cellStyle name="Output 2 9 3 10" xfId="50256"/>
    <cellStyle name="Output 2 9 3 11" xfId="50257"/>
    <cellStyle name="Output 2 9 3 2" xfId="50258"/>
    <cellStyle name="Output 2 9 3 3" xfId="50259"/>
    <cellStyle name="Output 2 9 3 4" xfId="50260"/>
    <cellStyle name="Output 2 9 3 5" xfId="50261"/>
    <cellStyle name="Output 2 9 3 6" xfId="50262"/>
    <cellStyle name="Output 2 9 3 7" xfId="50263"/>
    <cellStyle name="Output 2 9 3 8" xfId="50264"/>
    <cellStyle name="Output 2 9 3 9" xfId="50265"/>
    <cellStyle name="Output 2 9 4" xfId="50266"/>
    <cellStyle name="Output 2 9 5" xfId="50267"/>
    <cellStyle name="Output 2 9 6" xfId="50268"/>
    <cellStyle name="Output 2 9 7" xfId="50269"/>
    <cellStyle name="Output 2 9 8" xfId="50270"/>
    <cellStyle name="Output 2 9 9" xfId="50271"/>
    <cellStyle name="Output 3" xfId="50272"/>
    <cellStyle name="Output 3 10" xfId="50273"/>
    <cellStyle name="Output 3 10 10" xfId="50274"/>
    <cellStyle name="Output 3 10 11" xfId="50275"/>
    <cellStyle name="Output 3 10 2" xfId="50276"/>
    <cellStyle name="Output 3 10 3" xfId="50277"/>
    <cellStyle name="Output 3 10 4" xfId="50278"/>
    <cellStyle name="Output 3 10 5" xfId="50279"/>
    <cellStyle name="Output 3 10 6" xfId="50280"/>
    <cellStyle name="Output 3 10 7" xfId="50281"/>
    <cellStyle name="Output 3 10 8" xfId="50282"/>
    <cellStyle name="Output 3 10 9" xfId="50283"/>
    <cellStyle name="Output 3 11" xfId="50284"/>
    <cellStyle name="Output 3 12" xfId="50285"/>
    <cellStyle name="Output 3 2" xfId="50286"/>
    <cellStyle name="Output 3 2 10" xfId="50287"/>
    <cellStyle name="Output 3 2 11" xfId="50288"/>
    <cellStyle name="Output 3 2 12" xfId="50289"/>
    <cellStyle name="Output 3 2 13" xfId="50290"/>
    <cellStyle name="Output 3 2 2" xfId="50291"/>
    <cellStyle name="Output 3 2 2 10" xfId="50292"/>
    <cellStyle name="Output 3 2 2 11" xfId="50293"/>
    <cellStyle name="Output 3 2 2 12" xfId="50294"/>
    <cellStyle name="Output 3 2 2 2" xfId="50295"/>
    <cellStyle name="Output 3 2 2 2 10" xfId="50296"/>
    <cellStyle name="Output 3 2 2 2 11" xfId="50297"/>
    <cellStyle name="Output 3 2 2 2 2" xfId="50298"/>
    <cellStyle name="Output 3 2 2 2 2 10" xfId="50299"/>
    <cellStyle name="Output 3 2 2 2 2 11" xfId="50300"/>
    <cellStyle name="Output 3 2 2 2 2 2" xfId="50301"/>
    <cellStyle name="Output 3 2 2 2 2 3" xfId="50302"/>
    <cellStyle name="Output 3 2 2 2 2 4" xfId="50303"/>
    <cellStyle name="Output 3 2 2 2 2 5" xfId="50304"/>
    <cellStyle name="Output 3 2 2 2 2 6" xfId="50305"/>
    <cellStyle name="Output 3 2 2 2 2 7" xfId="50306"/>
    <cellStyle name="Output 3 2 2 2 2 8" xfId="50307"/>
    <cellStyle name="Output 3 2 2 2 2 9" xfId="50308"/>
    <cellStyle name="Output 3 2 2 2 3" xfId="50309"/>
    <cellStyle name="Output 3 2 2 2 4" xfId="50310"/>
    <cellStyle name="Output 3 2 2 2 5" xfId="50311"/>
    <cellStyle name="Output 3 2 2 2 6" xfId="50312"/>
    <cellStyle name="Output 3 2 2 2 7" xfId="50313"/>
    <cellStyle name="Output 3 2 2 2 8" xfId="50314"/>
    <cellStyle name="Output 3 2 2 2 9" xfId="50315"/>
    <cellStyle name="Output 3 2 2 3" xfId="50316"/>
    <cellStyle name="Output 3 2 2 3 10" xfId="50317"/>
    <cellStyle name="Output 3 2 2 3 11" xfId="50318"/>
    <cellStyle name="Output 3 2 2 3 2" xfId="50319"/>
    <cellStyle name="Output 3 2 2 3 3" xfId="50320"/>
    <cellStyle name="Output 3 2 2 3 4" xfId="50321"/>
    <cellStyle name="Output 3 2 2 3 5" xfId="50322"/>
    <cellStyle name="Output 3 2 2 3 6" xfId="50323"/>
    <cellStyle name="Output 3 2 2 3 7" xfId="50324"/>
    <cellStyle name="Output 3 2 2 3 8" xfId="50325"/>
    <cellStyle name="Output 3 2 2 3 9" xfId="50326"/>
    <cellStyle name="Output 3 2 2 4" xfId="50327"/>
    <cellStyle name="Output 3 2 2 5" xfId="50328"/>
    <cellStyle name="Output 3 2 2 6" xfId="50329"/>
    <cellStyle name="Output 3 2 2 7" xfId="50330"/>
    <cellStyle name="Output 3 2 2 8" xfId="50331"/>
    <cellStyle name="Output 3 2 2 9" xfId="50332"/>
    <cellStyle name="Output 3 2 3" xfId="50333"/>
    <cellStyle name="Output 3 2 3 10" xfId="50334"/>
    <cellStyle name="Output 3 2 3 11" xfId="50335"/>
    <cellStyle name="Output 3 2 3 2" xfId="50336"/>
    <cellStyle name="Output 3 2 3 2 10" xfId="50337"/>
    <cellStyle name="Output 3 2 3 2 11" xfId="50338"/>
    <cellStyle name="Output 3 2 3 2 2" xfId="50339"/>
    <cellStyle name="Output 3 2 3 2 3" xfId="50340"/>
    <cellStyle name="Output 3 2 3 2 4" xfId="50341"/>
    <cellStyle name="Output 3 2 3 2 5" xfId="50342"/>
    <cellStyle name="Output 3 2 3 2 6" xfId="50343"/>
    <cellStyle name="Output 3 2 3 2 7" xfId="50344"/>
    <cellStyle name="Output 3 2 3 2 8" xfId="50345"/>
    <cellStyle name="Output 3 2 3 2 9" xfId="50346"/>
    <cellStyle name="Output 3 2 3 3" xfId="50347"/>
    <cellStyle name="Output 3 2 3 4" xfId="50348"/>
    <cellStyle name="Output 3 2 3 5" xfId="50349"/>
    <cellStyle name="Output 3 2 3 6" xfId="50350"/>
    <cellStyle name="Output 3 2 3 7" xfId="50351"/>
    <cellStyle name="Output 3 2 3 8" xfId="50352"/>
    <cellStyle name="Output 3 2 3 9" xfId="50353"/>
    <cellStyle name="Output 3 2 4" xfId="50354"/>
    <cellStyle name="Output 3 2 4 10" xfId="50355"/>
    <cellStyle name="Output 3 2 4 11" xfId="50356"/>
    <cellStyle name="Output 3 2 4 2" xfId="50357"/>
    <cellStyle name="Output 3 2 4 3" xfId="50358"/>
    <cellStyle name="Output 3 2 4 4" xfId="50359"/>
    <cellStyle name="Output 3 2 4 5" xfId="50360"/>
    <cellStyle name="Output 3 2 4 6" xfId="50361"/>
    <cellStyle name="Output 3 2 4 7" xfId="50362"/>
    <cellStyle name="Output 3 2 4 8" xfId="50363"/>
    <cellStyle name="Output 3 2 4 9" xfId="50364"/>
    <cellStyle name="Output 3 2 5" xfId="50365"/>
    <cellStyle name="Output 3 2 6" xfId="50366"/>
    <cellStyle name="Output 3 2 7" xfId="50367"/>
    <cellStyle name="Output 3 2 8" xfId="50368"/>
    <cellStyle name="Output 3 2 9" xfId="50369"/>
    <cellStyle name="Output 3 3" xfId="50370"/>
    <cellStyle name="Output 3 3 10" xfId="50371"/>
    <cellStyle name="Output 3 3 11" xfId="50372"/>
    <cellStyle name="Output 3 3 12" xfId="50373"/>
    <cellStyle name="Output 3 3 13" xfId="50374"/>
    <cellStyle name="Output 3 3 2" xfId="50375"/>
    <cellStyle name="Output 3 3 2 10" xfId="50376"/>
    <cellStyle name="Output 3 3 2 11" xfId="50377"/>
    <cellStyle name="Output 3 3 2 12" xfId="50378"/>
    <cellStyle name="Output 3 3 2 2" xfId="50379"/>
    <cellStyle name="Output 3 3 2 2 10" xfId="50380"/>
    <cellStyle name="Output 3 3 2 2 11" xfId="50381"/>
    <cellStyle name="Output 3 3 2 2 2" xfId="50382"/>
    <cellStyle name="Output 3 3 2 2 2 10" xfId="50383"/>
    <cellStyle name="Output 3 3 2 2 2 11" xfId="50384"/>
    <cellStyle name="Output 3 3 2 2 2 2" xfId="50385"/>
    <cellStyle name="Output 3 3 2 2 2 3" xfId="50386"/>
    <cellStyle name="Output 3 3 2 2 2 4" xfId="50387"/>
    <cellStyle name="Output 3 3 2 2 2 5" xfId="50388"/>
    <cellStyle name="Output 3 3 2 2 2 6" xfId="50389"/>
    <cellStyle name="Output 3 3 2 2 2 7" xfId="50390"/>
    <cellStyle name="Output 3 3 2 2 2 8" xfId="50391"/>
    <cellStyle name="Output 3 3 2 2 2 9" xfId="50392"/>
    <cellStyle name="Output 3 3 2 2 3" xfId="50393"/>
    <cellStyle name="Output 3 3 2 2 4" xfId="50394"/>
    <cellStyle name="Output 3 3 2 2 5" xfId="50395"/>
    <cellStyle name="Output 3 3 2 2 6" xfId="50396"/>
    <cellStyle name="Output 3 3 2 2 7" xfId="50397"/>
    <cellStyle name="Output 3 3 2 2 8" xfId="50398"/>
    <cellStyle name="Output 3 3 2 2 9" xfId="50399"/>
    <cellStyle name="Output 3 3 2 3" xfId="50400"/>
    <cellStyle name="Output 3 3 2 3 10" xfId="50401"/>
    <cellStyle name="Output 3 3 2 3 11" xfId="50402"/>
    <cellStyle name="Output 3 3 2 3 2" xfId="50403"/>
    <cellStyle name="Output 3 3 2 3 3" xfId="50404"/>
    <cellStyle name="Output 3 3 2 3 4" xfId="50405"/>
    <cellStyle name="Output 3 3 2 3 5" xfId="50406"/>
    <cellStyle name="Output 3 3 2 3 6" xfId="50407"/>
    <cellStyle name="Output 3 3 2 3 7" xfId="50408"/>
    <cellStyle name="Output 3 3 2 3 8" xfId="50409"/>
    <cellStyle name="Output 3 3 2 3 9" xfId="50410"/>
    <cellStyle name="Output 3 3 2 4" xfId="50411"/>
    <cellStyle name="Output 3 3 2 5" xfId="50412"/>
    <cellStyle name="Output 3 3 2 6" xfId="50413"/>
    <cellStyle name="Output 3 3 2 7" xfId="50414"/>
    <cellStyle name="Output 3 3 2 8" xfId="50415"/>
    <cellStyle name="Output 3 3 2 9" xfId="50416"/>
    <cellStyle name="Output 3 3 3" xfId="50417"/>
    <cellStyle name="Output 3 3 3 10" xfId="50418"/>
    <cellStyle name="Output 3 3 3 11" xfId="50419"/>
    <cellStyle name="Output 3 3 3 2" xfId="50420"/>
    <cellStyle name="Output 3 3 3 2 10" xfId="50421"/>
    <cellStyle name="Output 3 3 3 2 11" xfId="50422"/>
    <cellStyle name="Output 3 3 3 2 2" xfId="50423"/>
    <cellStyle name="Output 3 3 3 2 3" xfId="50424"/>
    <cellStyle name="Output 3 3 3 2 4" xfId="50425"/>
    <cellStyle name="Output 3 3 3 2 5" xfId="50426"/>
    <cellStyle name="Output 3 3 3 2 6" xfId="50427"/>
    <cellStyle name="Output 3 3 3 2 7" xfId="50428"/>
    <cellStyle name="Output 3 3 3 2 8" xfId="50429"/>
    <cellStyle name="Output 3 3 3 2 9" xfId="50430"/>
    <cellStyle name="Output 3 3 3 3" xfId="50431"/>
    <cellStyle name="Output 3 3 3 4" xfId="50432"/>
    <cellStyle name="Output 3 3 3 5" xfId="50433"/>
    <cellStyle name="Output 3 3 3 6" xfId="50434"/>
    <cellStyle name="Output 3 3 3 7" xfId="50435"/>
    <cellStyle name="Output 3 3 3 8" xfId="50436"/>
    <cellStyle name="Output 3 3 3 9" xfId="50437"/>
    <cellStyle name="Output 3 3 4" xfId="50438"/>
    <cellStyle name="Output 3 3 4 10" xfId="50439"/>
    <cellStyle name="Output 3 3 4 11" xfId="50440"/>
    <cellStyle name="Output 3 3 4 2" xfId="50441"/>
    <cellStyle name="Output 3 3 4 3" xfId="50442"/>
    <cellStyle name="Output 3 3 4 4" xfId="50443"/>
    <cellStyle name="Output 3 3 4 5" xfId="50444"/>
    <cellStyle name="Output 3 3 4 6" xfId="50445"/>
    <cellStyle name="Output 3 3 4 7" xfId="50446"/>
    <cellStyle name="Output 3 3 4 8" xfId="50447"/>
    <cellStyle name="Output 3 3 4 9" xfId="50448"/>
    <cellStyle name="Output 3 3 5" xfId="50449"/>
    <cellStyle name="Output 3 3 6" xfId="50450"/>
    <cellStyle name="Output 3 3 7" xfId="50451"/>
    <cellStyle name="Output 3 3 8" xfId="50452"/>
    <cellStyle name="Output 3 3 9" xfId="50453"/>
    <cellStyle name="Output 3 4" xfId="50454"/>
    <cellStyle name="Output 3 4 10" xfId="50455"/>
    <cellStyle name="Output 3 4 11" xfId="50456"/>
    <cellStyle name="Output 3 4 12" xfId="50457"/>
    <cellStyle name="Output 3 4 13" xfId="50458"/>
    <cellStyle name="Output 3 4 2" xfId="50459"/>
    <cellStyle name="Output 3 4 2 10" xfId="50460"/>
    <cellStyle name="Output 3 4 2 11" xfId="50461"/>
    <cellStyle name="Output 3 4 2 12" xfId="50462"/>
    <cellStyle name="Output 3 4 2 2" xfId="50463"/>
    <cellStyle name="Output 3 4 2 2 10" xfId="50464"/>
    <cellStyle name="Output 3 4 2 2 11" xfId="50465"/>
    <cellStyle name="Output 3 4 2 2 2" xfId="50466"/>
    <cellStyle name="Output 3 4 2 2 2 10" xfId="50467"/>
    <cellStyle name="Output 3 4 2 2 2 11" xfId="50468"/>
    <cellStyle name="Output 3 4 2 2 2 2" xfId="50469"/>
    <cellStyle name="Output 3 4 2 2 2 3" xfId="50470"/>
    <cellStyle name="Output 3 4 2 2 2 4" xfId="50471"/>
    <cellStyle name="Output 3 4 2 2 2 5" xfId="50472"/>
    <cellStyle name="Output 3 4 2 2 2 6" xfId="50473"/>
    <cellStyle name="Output 3 4 2 2 2 7" xfId="50474"/>
    <cellStyle name="Output 3 4 2 2 2 8" xfId="50475"/>
    <cellStyle name="Output 3 4 2 2 2 9" xfId="50476"/>
    <cellStyle name="Output 3 4 2 2 3" xfId="50477"/>
    <cellStyle name="Output 3 4 2 2 4" xfId="50478"/>
    <cellStyle name="Output 3 4 2 2 5" xfId="50479"/>
    <cellStyle name="Output 3 4 2 2 6" xfId="50480"/>
    <cellStyle name="Output 3 4 2 2 7" xfId="50481"/>
    <cellStyle name="Output 3 4 2 2 8" xfId="50482"/>
    <cellStyle name="Output 3 4 2 2 9" xfId="50483"/>
    <cellStyle name="Output 3 4 2 3" xfId="50484"/>
    <cellStyle name="Output 3 4 2 3 10" xfId="50485"/>
    <cellStyle name="Output 3 4 2 3 11" xfId="50486"/>
    <cellStyle name="Output 3 4 2 3 2" xfId="50487"/>
    <cellStyle name="Output 3 4 2 3 3" xfId="50488"/>
    <cellStyle name="Output 3 4 2 3 4" xfId="50489"/>
    <cellStyle name="Output 3 4 2 3 5" xfId="50490"/>
    <cellStyle name="Output 3 4 2 3 6" xfId="50491"/>
    <cellStyle name="Output 3 4 2 3 7" xfId="50492"/>
    <cellStyle name="Output 3 4 2 3 8" xfId="50493"/>
    <cellStyle name="Output 3 4 2 3 9" xfId="50494"/>
    <cellStyle name="Output 3 4 2 4" xfId="50495"/>
    <cellStyle name="Output 3 4 2 5" xfId="50496"/>
    <cellStyle name="Output 3 4 2 6" xfId="50497"/>
    <cellStyle name="Output 3 4 2 7" xfId="50498"/>
    <cellStyle name="Output 3 4 2 8" xfId="50499"/>
    <cellStyle name="Output 3 4 2 9" xfId="50500"/>
    <cellStyle name="Output 3 4 3" xfId="50501"/>
    <cellStyle name="Output 3 4 3 10" xfId="50502"/>
    <cellStyle name="Output 3 4 3 11" xfId="50503"/>
    <cellStyle name="Output 3 4 3 2" xfId="50504"/>
    <cellStyle name="Output 3 4 3 2 10" xfId="50505"/>
    <cellStyle name="Output 3 4 3 2 11" xfId="50506"/>
    <cellStyle name="Output 3 4 3 2 2" xfId="50507"/>
    <cellStyle name="Output 3 4 3 2 3" xfId="50508"/>
    <cellStyle name="Output 3 4 3 2 4" xfId="50509"/>
    <cellStyle name="Output 3 4 3 2 5" xfId="50510"/>
    <cellStyle name="Output 3 4 3 2 6" xfId="50511"/>
    <cellStyle name="Output 3 4 3 2 7" xfId="50512"/>
    <cellStyle name="Output 3 4 3 2 8" xfId="50513"/>
    <cellStyle name="Output 3 4 3 2 9" xfId="50514"/>
    <cellStyle name="Output 3 4 3 3" xfId="50515"/>
    <cellStyle name="Output 3 4 3 4" xfId="50516"/>
    <cellStyle name="Output 3 4 3 5" xfId="50517"/>
    <cellStyle name="Output 3 4 3 6" xfId="50518"/>
    <cellStyle name="Output 3 4 3 7" xfId="50519"/>
    <cellStyle name="Output 3 4 3 8" xfId="50520"/>
    <cellStyle name="Output 3 4 3 9" xfId="50521"/>
    <cellStyle name="Output 3 4 4" xfId="50522"/>
    <cellStyle name="Output 3 4 4 10" xfId="50523"/>
    <cellStyle name="Output 3 4 4 11" xfId="50524"/>
    <cellStyle name="Output 3 4 4 2" xfId="50525"/>
    <cellStyle name="Output 3 4 4 3" xfId="50526"/>
    <cellStyle name="Output 3 4 4 4" xfId="50527"/>
    <cellStyle name="Output 3 4 4 5" xfId="50528"/>
    <cellStyle name="Output 3 4 4 6" xfId="50529"/>
    <cellStyle name="Output 3 4 4 7" xfId="50530"/>
    <cellStyle name="Output 3 4 4 8" xfId="50531"/>
    <cellStyle name="Output 3 4 4 9" xfId="50532"/>
    <cellStyle name="Output 3 4 5" xfId="50533"/>
    <cellStyle name="Output 3 4 6" xfId="50534"/>
    <cellStyle name="Output 3 4 7" xfId="50535"/>
    <cellStyle name="Output 3 4 8" xfId="50536"/>
    <cellStyle name="Output 3 4 9" xfId="50537"/>
    <cellStyle name="Output 3 5" xfId="50538"/>
    <cellStyle name="Output 3 5 10" xfId="50539"/>
    <cellStyle name="Output 3 5 11" xfId="50540"/>
    <cellStyle name="Output 3 5 12" xfId="50541"/>
    <cellStyle name="Output 3 5 13" xfId="50542"/>
    <cellStyle name="Output 3 5 2" xfId="50543"/>
    <cellStyle name="Output 3 5 2 10" xfId="50544"/>
    <cellStyle name="Output 3 5 2 11" xfId="50545"/>
    <cellStyle name="Output 3 5 2 12" xfId="50546"/>
    <cellStyle name="Output 3 5 2 2" xfId="50547"/>
    <cellStyle name="Output 3 5 2 2 10" xfId="50548"/>
    <cellStyle name="Output 3 5 2 2 11" xfId="50549"/>
    <cellStyle name="Output 3 5 2 2 2" xfId="50550"/>
    <cellStyle name="Output 3 5 2 2 2 10" xfId="50551"/>
    <cellStyle name="Output 3 5 2 2 2 11" xfId="50552"/>
    <cellStyle name="Output 3 5 2 2 2 2" xfId="50553"/>
    <cellStyle name="Output 3 5 2 2 2 3" xfId="50554"/>
    <cellStyle name="Output 3 5 2 2 2 4" xfId="50555"/>
    <cellStyle name="Output 3 5 2 2 2 5" xfId="50556"/>
    <cellStyle name="Output 3 5 2 2 2 6" xfId="50557"/>
    <cellStyle name="Output 3 5 2 2 2 7" xfId="50558"/>
    <cellStyle name="Output 3 5 2 2 2 8" xfId="50559"/>
    <cellStyle name="Output 3 5 2 2 2 9" xfId="50560"/>
    <cellStyle name="Output 3 5 2 2 3" xfId="50561"/>
    <cellStyle name="Output 3 5 2 2 4" xfId="50562"/>
    <cellStyle name="Output 3 5 2 2 5" xfId="50563"/>
    <cellStyle name="Output 3 5 2 2 6" xfId="50564"/>
    <cellStyle name="Output 3 5 2 2 7" xfId="50565"/>
    <cellStyle name="Output 3 5 2 2 8" xfId="50566"/>
    <cellStyle name="Output 3 5 2 2 9" xfId="50567"/>
    <cellStyle name="Output 3 5 2 3" xfId="50568"/>
    <cellStyle name="Output 3 5 2 3 10" xfId="50569"/>
    <cellStyle name="Output 3 5 2 3 11" xfId="50570"/>
    <cellStyle name="Output 3 5 2 3 2" xfId="50571"/>
    <cellStyle name="Output 3 5 2 3 3" xfId="50572"/>
    <cellStyle name="Output 3 5 2 3 4" xfId="50573"/>
    <cellStyle name="Output 3 5 2 3 5" xfId="50574"/>
    <cellStyle name="Output 3 5 2 3 6" xfId="50575"/>
    <cellStyle name="Output 3 5 2 3 7" xfId="50576"/>
    <cellStyle name="Output 3 5 2 3 8" xfId="50577"/>
    <cellStyle name="Output 3 5 2 3 9" xfId="50578"/>
    <cellStyle name="Output 3 5 2 4" xfId="50579"/>
    <cellStyle name="Output 3 5 2 5" xfId="50580"/>
    <cellStyle name="Output 3 5 2 6" xfId="50581"/>
    <cellStyle name="Output 3 5 2 7" xfId="50582"/>
    <cellStyle name="Output 3 5 2 8" xfId="50583"/>
    <cellStyle name="Output 3 5 2 9" xfId="50584"/>
    <cellStyle name="Output 3 5 3" xfId="50585"/>
    <cellStyle name="Output 3 5 3 10" xfId="50586"/>
    <cellStyle name="Output 3 5 3 11" xfId="50587"/>
    <cellStyle name="Output 3 5 3 2" xfId="50588"/>
    <cellStyle name="Output 3 5 3 2 10" xfId="50589"/>
    <cellStyle name="Output 3 5 3 2 11" xfId="50590"/>
    <cellStyle name="Output 3 5 3 2 2" xfId="50591"/>
    <cellStyle name="Output 3 5 3 2 3" xfId="50592"/>
    <cellStyle name="Output 3 5 3 2 4" xfId="50593"/>
    <cellStyle name="Output 3 5 3 2 5" xfId="50594"/>
    <cellStyle name="Output 3 5 3 2 6" xfId="50595"/>
    <cellStyle name="Output 3 5 3 2 7" xfId="50596"/>
    <cellStyle name="Output 3 5 3 2 8" xfId="50597"/>
    <cellStyle name="Output 3 5 3 2 9" xfId="50598"/>
    <cellStyle name="Output 3 5 3 3" xfId="50599"/>
    <cellStyle name="Output 3 5 3 4" xfId="50600"/>
    <cellStyle name="Output 3 5 3 5" xfId="50601"/>
    <cellStyle name="Output 3 5 3 6" xfId="50602"/>
    <cellStyle name="Output 3 5 3 7" xfId="50603"/>
    <cellStyle name="Output 3 5 3 8" xfId="50604"/>
    <cellStyle name="Output 3 5 3 9" xfId="50605"/>
    <cellStyle name="Output 3 5 4" xfId="50606"/>
    <cellStyle name="Output 3 5 4 10" xfId="50607"/>
    <cellStyle name="Output 3 5 4 11" xfId="50608"/>
    <cellStyle name="Output 3 5 4 2" xfId="50609"/>
    <cellStyle name="Output 3 5 4 3" xfId="50610"/>
    <cellStyle name="Output 3 5 4 4" xfId="50611"/>
    <cellStyle name="Output 3 5 4 5" xfId="50612"/>
    <cellStyle name="Output 3 5 4 6" xfId="50613"/>
    <cellStyle name="Output 3 5 4 7" xfId="50614"/>
    <cellStyle name="Output 3 5 4 8" xfId="50615"/>
    <cellStyle name="Output 3 5 4 9" xfId="50616"/>
    <cellStyle name="Output 3 5 5" xfId="50617"/>
    <cellStyle name="Output 3 5 6" xfId="50618"/>
    <cellStyle name="Output 3 5 7" xfId="50619"/>
    <cellStyle name="Output 3 5 8" xfId="50620"/>
    <cellStyle name="Output 3 5 9" xfId="50621"/>
    <cellStyle name="Output 3 6" xfId="50622"/>
    <cellStyle name="Output 3 6 10" xfId="50623"/>
    <cellStyle name="Output 3 6 11" xfId="50624"/>
    <cellStyle name="Output 3 6 12" xfId="50625"/>
    <cellStyle name="Output 3 6 13" xfId="50626"/>
    <cellStyle name="Output 3 6 2" xfId="50627"/>
    <cellStyle name="Output 3 6 2 10" xfId="50628"/>
    <cellStyle name="Output 3 6 2 11" xfId="50629"/>
    <cellStyle name="Output 3 6 2 12" xfId="50630"/>
    <cellStyle name="Output 3 6 2 2" xfId="50631"/>
    <cellStyle name="Output 3 6 2 2 10" xfId="50632"/>
    <cellStyle name="Output 3 6 2 2 11" xfId="50633"/>
    <cellStyle name="Output 3 6 2 2 2" xfId="50634"/>
    <cellStyle name="Output 3 6 2 2 2 10" xfId="50635"/>
    <cellStyle name="Output 3 6 2 2 2 11" xfId="50636"/>
    <cellStyle name="Output 3 6 2 2 2 2" xfId="50637"/>
    <cellStyle name="Output 3 6 2 2 2 3" xfId="50638"/>
    <cellStyle name="Output 3 6 2 2 2 4" xfId="50639"/>
    <cellStyle name="Output 3 6 2 2 2 5" xfId="50640"/>
    <cellStyle name="Output 3 6 2 2 2 6" xfId="50641"/>
    <cellStyle name="Output 3 6 2 2 2 7" xfId="50642"/>
    <cellStyle name="Output 3 6 2 2 2 8" xfId="50643"/>
    <cellStyle name="Output 3 6 2 2 2 9" xfId="50644"/>
    <cellStyle name="Output 3 6 2 2 3" xfId="50645"/>
    <cellStyle name="Output 3 6 2 2 4" xfId="50646"/>
    <cellStyle name="Output 3 6 2 2 5" xfId="50647"/>
    <cellStyle name="Output 3 6 2 2 6" xfId="50648"/>
    <cellStyle name="Output 3 6 2 2 7" xfId="50649"/>
    <cellStyle name="Output 3 6 2 2 8" xfId="50650"/>
    <cellStyle name="Output 3 6 2 2 9" xfId="50651"/>
    <cellStyle name="Output 3 6 2 3" xfId="50652"/>
    <cellStyle name="Output 3 6 2 3 10" xfId="50653"/>
    <cellStyle name="Output 3 6 2 3 11" xfId="50654"/>
    <cellStyle name="Output 3 6 2 3 2" xfId="50655"/>
    <cellStyle name="Output 3 6 2 3 3" xfId="50656"/>
    <cellStyle name="Output 3 6 2 3 4" xfId="50657"/>
    <cellStyle name="Output 3 6 2 3 5" xfId="50658"/>
    <cellStyle name="Output 3 6 2 3 6" xfId="50659"/>
    <cellStyle name="Output 3 6 2 3 7" xfId="50660"/>
    <cellStyle name="Output 3 6 2 3 8" xfId="50661"/>
    <cellStyle name="Output 3 6 2 3 9" xfId="50662"/>
    <cellStyle name="Output 3 6 2 4" xfId="50663"/>
    <cellStyle name="Output 3 6 2 5" xfId="50664"/>
    <cellStyle name="Output 3 6 2 6" xfId="50665"/>
    <cellStyle name="Output 3 6 2 7" xfId="50666"/>
    <cellStyle name="Output 3 6 2 8" xfId="50667"/>
    <cellStyle name="Output 3 6 2 9" xfId="50668"/>
    <cellStyle name="Output 3 6 3" xfId="50669"/>
    <cellStyle name="Output 3 6 3 10" xfId="50670"/>
    <cellStyle name="Output 3 6 3 11" xfId="50671"/>
    <cellStyle name="Output 3 6 3 2" xfId="50672"/>
    <cellStyle name="Output 3 6 3 2 10" xfId="50673"/>
    <cellStyle name="Output 3 6 3 2 11" xfId="50674"/>
    <cellStyle name="Output 3 6 3 2 2" xfId="50675"/>
    <cellStyle name="Output 3 6 3 2 3" xfId="50676"/>
    <cellStyle name="Output 3 6 3 2 4" xfId="50677"/>
    <cellStyle name="Output 3 6 3 2 5" xfId="50678"/>
    <cellStyle name="Output 3 6 3 2 6" xfId="50679"/>
    <cellStyle name="Output 3 6 3 2 7" xfId="50680"/>
    <cellStyle name="Output 3 6 3 2 8" xfId="50681"/>
    <cellStyle name="Output 3 6 3 2 9" xfId="50682"/>
    <cellStyle name="Output 3 6 3 3" xfId="50683"/>
    <cellStyle name="Output 3 6 3 4" xfId="50684"/>
    <cellStyle name="Output 3 6 3 5" xfId="50685"/>
    <cellStyle name="Output 3 6 3 6" xfId="50686"/>
    <cellStyle name="Output 3 6 3 7" xfId="50687"/>
    <cellStyle name="Output 3 6 3 8" xfId="50688"/>
    <cellStyle name="Output 3 6 3 9" xfId="50689"/>
    <cellStyle name="Output 3 6 4" xfId="50690"/>
    <cellStyle name="Output 3 6 4 10" xfId="50691"/>
    <cellStyle name="Output 3 6 4 11" xfId="50692"/>
    <cellStyle name="Output 3 6 4 2" xfId="50693"/>
    <cellStyle name="Output 3 6 4 3" xfId="50694"/>
    <cellStyle name="Output 3 6 4 4" xfId="50695"/>
    <cellStyle name="Output 3 6 4 5" xfId="50696"/>
    <cellStyle name="Output 3 6 4 6" xfId="50697"/>
    <cellStyle name="Output 3 6 4 7" xfId="50698"/>
    <cellStyle name="Output 3 6 4 8" xfId="50699"/>
    <cellStyle name="Output 3 6 4 9" xfId="50700"/>
    <cellStyle name="Output 3 6 5" xfId="50701"/>
    <cellStyle name="Output 3 6 6" xfId="50702"/>
    <cellStyle name="Output 3 6 7" xfId="50703"/>
    <cellStyle name="Output 3 6 8" xfId="50704"/>
    <cellStyle name="Output 3 6 9" xfId="50705"/>
    <cellStyle name="Output 3 7" xfId="50706"/>
    <cellStyle name="Output 3 7 10" xfId="50707"/>
    <cellStyle name="Output 3 7 11" xfId="50708"/>
    <cellStyle name="Output 3 7 12" xfId="50709"/>
    <cellStyle name="Output 3 7 13" xfId="50710"/>
    <cellStyle name="Output 3 7 2" xfId="50711"/>
    <cellStyle name="Output 3 7 2 10" xfId="50712"/>
    <cellStyle name="Output 3 7 2 11" xfId="50713"/>
    <cellStyle name="Output 3 7 2 12" xfId="50714"/>
    <cellStyle name="Output 3 7 2 2" xfId="50715"/>
    <cellStyle name="Output 3 7 2 2 10" xfId="50716"/>
    <cellStyle name="Output 3 7 2 2 11" xfId="50717"/>
    <cellStyle name="Output 3 7 2 2 2" xfId="50718"/>
    <cellStyle name="Output 3 7 2 2 2 10" xfId="50719"/>
    <cellStyle name="Output 3 7 2 2 2 11" xfId="50720"/>
    <cellStyle name="Output 3 7 2 2 2 2" xfId="50721"/>
    <cellStyle name="Output 3 7 2 2 2 3" xfId="50722"/>
    <cellStyle name="Output 3 7 2 2 2 4" xfId="50723"/>
    <cellStyle name="Output 3 7 2 2 2 5" xfId="50724"/>
    <cellStyle name="Output 3 7 2 2 2 6" xfId="50725"/>
    <cellStyle name="Output 3 7 2 2 2 7" xfId="50726"/>
    <cellStyle name="Output 3 7 2 2 2 8" xfId="50727"/>
    <cellStyle name="Output 3 7 2 2 2 9" xfId="50728"/>
    <cellStyle name="Output 3 7 2 2 3" xfId="50729"/>
    <cellStyle name="Output 3 7 2 2 4" xfId="50730"/>
    <cellStyle name="Output 3 7 2 2 5" xfId="50731"/>
    <cellStyle name="Output 3 7 2 2 6" xfId="50732"/>
    <cellStyle name="Output 3 7 2 2 7" xfId="50733"/>
    <cellStyle name="Output 3 7 2 2 8" xfId="50734"/>
    <cellStyle name="Output 3 7 2 2 9" xfId="50735"/>
    <cellStyle name="Output 3 7 2 3" xfId="50736"/>
    <cellStyle name="Output 3 7 2 3 10" xfId="50737"/>
    <cellStyle name="Output 3 7 2 3 11" xfId="50738"/>
    <cellStyle name="Output 3 7 2 3 2" xfId="50739"/>
    <cellStyle name="Output 3 7 2 3 3" xfId="50740"/>
    <cellStyle name="Output 3 7 2 3 4" xfId="50741"/>
    <cellStyle name="Output 3 7 2 3 5" xfId="50742"/>
    <cellStyle name="Output 3 7 2 3 6" xfId="50743"/>
    <cellStyle name="Output 3 7 2 3 7" xfId="50744"/>
    <cellStyle name="Output 3 7 2 3 8" xfId="50745"/>
    <cellStyle name="Output 3 7 2 3 9" xfId="50746"/>
    <cellStyle name="Output 3 7 2 4" xfId="50747"/>
    <cellStyle name="Output 3 7 2 5" xfId="50748"/>
    <cellStyle name="Output 3 7 2 6" xfId="50749"/>
    <cellStyle name="Output 3 7 2 7" xfId="50750"/>
    <cellStyle name="Output 3 7 2 8" xfId="50751"/>
    <cellStyle name="Output 3 7 2 9" xfId="50752"/>
    <cellStyle name="Output 3 7 3" xfId="50753"/>
    <cellStyle name="Output 3 7 3 10" xfId="50754"/>
    <cellStyle name="Output 3 7 3 11" xfId="50755"/>
    <cellStyle name="Output 3 7 3 2" xfId="50756"/>
    <cellStyle name="Output 3 7 3 2 10" xfId="50757"/>
    <cellStyle name="Output 3 7 3 2 11" xfId="50758"/>
    <cellStyle name="Output 3 7 3 2 2" xfId="50759"/>
    <cellStyle name="Output 3 7 3 2 3" xfId="50760"/>
    <cellStyle name="Output 3 7 3 2 4" xfId="50761"/>
    <cellStyle name="Output 3 7 3 2 5" xfId="50762"/>
    <cellStyle name="Output 3 7 3 2 6" xfId="50763"/>
    <cellStyle name="Output 3 7 3 2 7" xfId="50764"/>
    <cellStyle name="Output 3 7 3 2 8" xfId="50765"/>
    <cellStyle name="Output 3 7 3 2 9" xfId="50766"/>
    <cellStyle name="Output 3 7 3 3" xfId="50767"/>
    <cellStyle name="Output 3 7 3 4" xfId="50768"/>
    <cellStyle name="Output 3 7 3 5" xfId="50769"/>
    <cellStyle name="Output 3 7 3 6" xfId="50770"/>
    <cellStyle name="Output 3 7 3 7" xfId="50771"/>
    <cellStyle name="Output 3 7 3 8" xfId="50772"/>
    <cellStyle name="Output 3 7 3 9" xfId="50773"/>
    <cellStyle name="Output 3 7 4" xfId="50774"/>
    <cellStyle name="Output 3 7 4 10" xfId="50775"/>
    <cellStyle name="Output 3 7 4 11" xfId="50776"/>
    <cellStyle name="Output 3 7 4 2" xfId="50777"/>
    <cellStyle name="Output 3 7 4 3" xfId="50778"/>
    <cellStyle name="Output 3 7 4 4" xfId="50779"/>
    <cellStyle name="Output 3 7 4 5" xfId="50780"/>
    <cellStyle name="Output 3 7 4 6" xfId="50781"/>
    <cellStyle name="Output 3 7 4 7" xfId="50782"/>
    <cellStyle name="Output 3 7 4 8" xfId="50783"/>
    <cellStyle name="Output 3 7 4 9" xfId="50784"/>
    <cellStyle name="Output 3 7 5" xfId="50785"/>
    <cellStyle name="Output 3 7 6" xfId="50786"/>
    <cellStyle name="Output 3 7 7" xfId="50787"/>
    <cellStyle name="Output 3 7 8" xfId="50788"/>
    <cellStyle name="Output 3 7 9" xfId="50789"/>
    <cellStyle name="Output 3 8" xfId="50790"/>
    <cellStyle name="Output 3 8 10" xfId="50791"/>
    <cellStyle name="Output 3 8 11" xfId="50792"/>
    <cellStyle name="Output 3 8 12" xfId="50793"/>
    <cellStyle name="Output 3 8 13" xfId="50794"/>
    <cellStyle name="Output 3 8 2" xfId="50795"/>
    <cellStyle name="Output 3 8 2 10" xfId="50796"/>
    <cellStyle name="Output 3 8 2 11" xfId="50797"/>
    <cellStyle name="Output 3 8 2 12" xfId="50798"/>
    <cellStyle name="Output 3 8 2 2" xfId="50799"/>
    <cellStyle name="Output 3 8 2 2 10" xfId="50800"/>
    <cellStyle name="Output 3 8 2 2 11" xfId="50801"/>
    <cellStyle name="Output 3 8 2 2 2" xfId="50802"/>
    <cellStyle name="Output 3 8 2 2 2 10" xfId="50803"/>
    <cellStyle name="Output 3 8 2 2 2 11" xfId="50804"/>
    <cellStyle name="Output 3 8 2 2 2 2" xfId="50805"/>
    <cellStyle name="Output 3 8 2 2 2 3" xfId="50806"/>
    <cellStyle name="Output 3 8 2 2 2 4" xfId="50807"/>
    <cellStyle name="Output 3 8 2 2 2 5" xfId="50808"/>
    <cellStyle name="Output 3 8 2 2 2 6" xfId="50809"/>
    <cellStyle name="Output 3 8 2 2 2 7" xfId="50810"/>
    <cellStyle name="Output 3 8 2 2 2 8" xfId="50811"/>
    <cellStyle name="Output 3 8 2 2 2 9" xfId="50812"/>
    <cellStyle name="Output 3 8 2 2 3" xfId="50813"/>
    <cellStyle name="Output 3 8 2 2 4" xfId="50814"/>
    <cellStyle name="Output 3 8 2 2 5" xfId="50815"/>
    <cellStyle name="Output 3 8 2 2 6" xfId="50816"/>
    <cellStyle name="Output 3 8 2 2 7" xfId="50817"/>
    <cellStyle name="Output 3 8 2 2 8" xfId="50818"/>
    <cellStyle name="Output 3 8 2 2 9" xfId="50819"/>
    <cellStyle name="Output 3 8 2 3" xfId="50820"/>
    <cellStyle name="Output 3 8 2 3 10" xfId="50821"/>
    <cellStyle name="Output 3 8 2 3 11" xfId="50822"/>
    <cellStyle name="Output 3 8 2 3 2" xfId="50823"/>
    <cellStyle name="Output 3 8 2 3 3" xfId="50824"/>
    <cellStyle name="Output 3 8 2 3 4" xfId="50825"/>
    <cellStyle name="Output 3 8 2 3 5" xfId="50826"/>
    <cellStyle name="Output 3 8 2 3 6" xfId="50827"/>
    <cellStyle name="Output 3 8 2 3 7" xfId="50828"/>
    <cellStyle name="Output 3 8 2 3 8" xfId="50829"/>
    <cellStyle name="Output 3 8 2 3 9" xfId="50830"/>
    <cellStyle name="Output 3 8 2 4" xfId="50831"/>
    <cellStyle name="Output 3 8 2 5" xfId="50832"/>
    <cellStyle name="Output 3 8 2 6" xfId="50833"/>
    <cellStyle name="Output 3 8 2 7" xfId="50834"/>
    <cellStyle name="Output 3 8 2 8" xfId="50835"/>
    <cellStyle name="Output 3 8 2 9" xfId="50836"/>
    <cellStyle name="Output 3 8 3" xfId="50837"/>
    <cellStyle name="Output 3 8 3 10" xfId="50838"/>
    <cellStyle name="Output 3 8 3 11" xfId="50839"/>
    <cellStyle name="Output 3 8 3 2" xfId="50840"/>
    <cellStyle name="Output 3 8 3 2 10" xfId="50841"/>
    <cellStyle name="Output 3 8 3 2 11" xfId="50842"/>
    <cellStyle name="Output 3 8 3 2 2" xfId="50843"/>
    <cellStyle name="Output 3 8 3 2 3" xfId="50844"/>
    <cellStyle name="Output 3 8 3 2 4" xfId="50845"/>
    <cellStyle name="Output 3 8 3 2 5" xfId="50846"/>
    <cellStyle name="Output 3 8 3 2 6" xfId="50847"/>
    <cellStyle name="Output 3 8 3 2 7" xfId="50848"/>
    <cellStyle name="Output 3 8 3 2 8" xfId="50849"/>
    <cellStyle name="Output 3 8 3 2 9" xfId="50850"/>
    <cellStyle name="Output 3 8 3 3" xfId="50851"/>
    <cellStyle name="Output 3 8 3 4" xfId="50852"/>
    <cellStyle name="Output 3 8 3 5" xfId="50853"/>
    <cellStyle name="Output 3 8 3 6" xfId="50854"/>
    <cellStyle name="Output 3 8 3 7" xfId="50855"/>
    <cellStyle name="Output 3 8 3 8" xfId="50856"/>
    <cellStyle name="Output 3 8 3 9" xfId="50857"/>
    <cellStyle name="Output 3 8 4" xfId="50858"/>
    <cellStyle name="Output 3 8 4 10" xfId="50859"/>
    <cellStyle name="Output 3 8 4 11" xfId="50860"/>
    <cellStyle name="Output 3 8 4 2" xfId="50861"/>
    <cellStyle name="Output 3 8 4 3" xfId="50862"/>
    <cellStyle name="Output 3 8 4 4" xfId="50863"/>
    <cellStyle name="Output 3 8 4 5" xfId="50864"/>
    <cellStyle name="Output 3 8 4 6" xfId="50865"/>
    <cellStyle name="Output 3 8 4 7" xfId="50866"/>
    <cellStyle name="Output 3 8 4 8" xfId="50867"/>
    <cellStyle name="Output 3 8 4 9" xfId="50868"/>
    <cellStyle name="Output 3 8 5" xfId="50869"/>
    <cellStyle name="Output 3 8 6" xfId="50870"/>
    <cellStyle name="Output 3 8 7" xfId="50871"/>
    <cellStyle name="Output 3 8 8" xfId="50872"/>
    <cellStyle name="Output 3 8 9" xfId="50873"/>
    <cellStyle name="Output 3 9" xfId="50874"/>
    <cellStyle name="Output 3 9 10" xfId="50875"/>
    <cellStyle name="Output 3 9 11" xfId="50876"/>
    <cellStyle name="Output 3 9 12" xfId="50877"/>
    <cellStyle name="Output 3 9 2" xfId="50878"/>
    <cellStyle name="Output 3 9 2 10" xfId="50879"/>
    <cellStyle name="Output 3 9 2 11" xfId="50880"/>
    <cellStyle name="Output 3 9 2 2" xfId="50881"/>
    <cellStyle name="Output 3 9 2 2 10" xfId="50882"/>
    <cellStyle name="Output 3 9 2 2 11" xfId="50883"/>
    <cellStyle name="Output 3 9 2 2 2" xfId="50884"/>
    <cellStyle name="Output 3 9 2 2 3" xfId="50885"/>
    <cellStyle name="Output 3 9 2 2 4" xfId="50886"/>
    <cellStyle name="Output 3 9 2 2 5" xfId="50887"/>
    <cellStyle name="Output 3 9 2 2 6" xfId="50888"/>
    <cellStyle name="Output 3 9 2 2 7" xfId="50889"/>
    <cellStyle name="Output 3 9 2 2 8" xfId="50890"/>
    <cellStyle name="Output 3 9 2 2 9" xfId="50891"/>
    <cellStyle name="Output 3 9 2 3" xfId="50892"/>
    <cellStyle name="Output 3 9 2 4" xfId="50893"/>
    <cellStyle name="Output 3 9 2 5" xfId="50894"/>
    <cellStyle name="Output 3 9 2 6" xfId="50895"/>
    <cellStyle name="Output 3 9 2 7" xfId="50896"/>
    <cellStyle name="Output 3 9 2 8" xfId="50897"/>
    <cellStyle name="Output 3 9 2 9" xfId="50898"/>
    <cellStyle name="Output 3 9 3" xfId="50899"/>
    <cellStyle name="Output 3 9 3 10" xfId="50900"/>
    <cellStyle name="Output 3 9 3 11" xfId="50901"/>
    <cellStyle name="Output 3 9 3 2" xfId="50902"/>
    <cellStyle name="Output 3 9 3 3" xfId="50903"/>
    <cellStyle name="Output 3 9 3 4" xfId="50904"/>
    <cellStyle name="Output 3 9 3 5" xfId="50905"/>
    <cellStyle name="Output 3 9 3 6" xfId="50906"/>
    <cellStyle name="Output 3 9 3 7" xfId="50907"/>
    <cellStyle name="Output 3 9 3 8" xfId="50908"/>
    <cellStyle name="Output 3 9 3 9" xfId="50909"/>
    <cellStyle name="Output 3 9 4" xfId="50910"/>
    <cellStyle name="Output 3 9 5" xfId="50911"/>
    <cellStyle name="Output 3 9 6" xfId="50912"/>
    <cellStyle name="Output 3 9 7" xfId="50913"/>
    <cellStyle name="Output 3 9 8" xfId="50914"/>
    <cellStyle name="Output 3 9 9" xfId="50915"/>
    <cellStyle name="Output 4" xfId="50916"/>
    <cellStyle name="Output 4 10" xfId="50917"/>
    <cellStyle name="Output 4 10 10" xfId="50918"/>
    <cellStyle name="Output 4 10 11" xfId="50919"/>
    <cellStyle name="Output 4 10 2" xfId="50920"/>
    <cellStyle name="Output 4 10 3" xfId="50921"/>
    <cellStyle name="Output 4 10 4" xfId="50922"/>
    <cellStyle name="Output 4 10 5" xfId="50923"/>
    <cellStyle name="Output 4 10 6" xfId="50924"/>
    <cellStyle name="Output 4 10 7" xfId="50925"/>
    <cellStyle name="Output 4 10 8" xfId="50926"/>
    <cellStyle name="Output 4 10 9" xfId="50927"/>
    <cellStyle name="Output 4 11" xfId="50928"/>
    <cellStyle name="Output 4 12" xfId="50929"/>
    <cellStyle name="Output 4 2" xfId="50930"/>
    <cellStyle name="Output 4 2 10" xfId="50931"/>
    <cellStyle name="Output 4 2 11" xfId="50932"/>
    <cellStyle name="Output 4 2 12" xfId="50933"/>
    <cellStyle name="Output 4 2 13" xfId="50934"/>
    <cellStyle name="Output 4 2 2" xfId="50935"/>
    <cellStyle name="Output 4 2 2 10" xfId="50936"/>
    <cellStyle name="Output 4 2 2 11" xfId="50937"/>
    <cellStyle name="Output 4 2 2 12" xfId="50938"/>
    <cellStyle name="Output 4 2 2 2" xfId="50939"/>
    <cellStyle name="Output 4 2 2 2 10" xfId="50940"/>
    <cellStyle name="Output 4 2 2 2 11" xfId="50941"/>
    <cellStyle name="Output 4 2 2 2 2" xfId="50942"/>
    <cellStyle name="Output 4 2 2 2 2 10" xfId="50943"/>
    <cellStyle name="Output 4 2 2 2 2 11" xfId="50944"/>
    <cellStyle name="Output 4 2 2 2 2 2" xfId="50945"/>
    <cellStyle name="Output 4 2 2 2 2 3" xfId="50946"/>
    <cellStyle name="Output 4 2 2 2 2 4" xfId="50947"/>
    <cellStyle name="Output 4 2 2 2 2 5" xfId="50948"/>
    <cellStyle name="Output 4 2 2 2 2 6" xfId="50949"/>
    <cellStyle name="Output 4 2 2 2 2 7" xfId="50950"/>
    <cellStyle name="Output 4 2 2 2 2 8" xfId="50951"/>
    <cellStyle name="Output 4 2 2 2 2 9" xfId="50952"/>
    <cellStyle name="Output 4 2 2 2 3" xfId="50953"/>
    <cellStyle name="Output 4 2 2 2 4" xfId="50954"/>
    <cellStyle name="Output 4 2 2 2 5" xfId="50955"/>
    <cellStyle name="Output 4 2 2 2 6" xfId="50956"/>
    <cellStyle name="Output 4 2 2 2 7" xfId="50957"/>
    <cellStyle name="Output 4 2 2 2 8" xfId="50958"/>
    <cellStyle name="Output 4 2 2 2 9" xfId="50959"/>
    <cellStyle name="Output 4 2 2 3" xfId="50960"/>
    <cellStyle name="Output 4 2 2 3 10" xfId="50961"/>
    <cellStyle name="Output 4 2 2 3 11" xfId="50962"/>
    <cellStyle name="Output 4 2 2 3 2" xfId="50963"/>
    <cellStyle name="Output 4 2 2 3 3" xfId="50964"/>
    <cellStyle name="Output 4 2 2 3 4" xfId="50965"/>
    <cellStyle name="Output 4 2 2 3 5" xfId="50966"/>
    <cellStyle name="Output 4 2 2 3 6" xfId="50967"/>
    <cellStyle name="Output 4 2 2 3 7" xfId="50968"/>
    <cellStyle name="Output 4 2 2 3 8" xfId="50969"/>
    <cellStyle name="Output 4 2 2 3 9" xfId="50970"/>
    <cellStyle name="Output 4 2 2 4" xfId="50971"/>
    <cellStyle name="Output 4 2 2 5" xfId="50972"/>
    <cellStyle name="Output 4 2 2 6" xfId="50973"/>
    <cellStyle name="Output 4 2 2 7" xfId="50974"/>
    <cellStyle name="Output 4 2 2 8" xfId="50975"/>
    <cellStyle name="Output 4 2 2 9" xfId="50976"/>
    <cellStyle name="Output 4 2 3" xfId="50977"/>
    <cellStyle name="Output 4 2 3 10" xfId="50978"/>
    <cellStyle name="Output 4 2 3 11" xfId="50979"/>
    <cellStyle name="Output 4 2 3 2" xfId="50980"/>
    <cellStyle name="Output 4 2 3 2 10" xfId="50981"/>
    <cellStyle name="Output 4 2 3 2 11" xfId="50982"/>
    <cellStyle name="Output 4 2 3 2 2" xfId="50983"/>
    <cellStyle name="Output 4 2 3 2 3" xfId="50984"/>
    <cellStyle name="Output 4 2 3 2 4" xfId="50985"/>
    <cellStyle name="Output 4 2 3 2 5" xfId="50986"/>
    <cellStyle name="Output 4 2 3 2 6" xfId="50987"/>
    <cellStyle name="Output 4 2 3 2 7" xfId="50988"/>
    <cellStyle name="Output 4 2 3 2 8" xfId="50989"/>
    <cellStyle name="Output 4 2 3 2 9" xfId="50990"/>
    <cellStyle name="Output 4 2 3 3" xfId="50991"/>
    <cellStyle name="Output 4 2 3 4" xfId="50992"/>
    <cellStyle name="Output 4 2 3 5" xfId="50993"/>
    <cellStyle name="Output 4 2 3 6" xfId="50994"/>
    <cellStyle name="Output 4 2 3 7" xfId="50995"/>
    <cellStyle name="Output 4 2 3 8" xfId="50996"/>
    <cellStyle name="Output 4 2 3 9" xfId="50997"/>
    <cellStyle name="Output 4 2 4" xfId="50998"/>
    <cellStyle name="Output 4 2 4 10" xfId="50999"/>
    <cellStyle name="Output 4 2 4 11" xfId="51000"/>
    <cellStyle name="Output 4 2 4 2" xfId="51001"/>
    <cellStyle name="Output 4 2 4 3" xfId="51002"/>
    <cellStyle name="Output 4 2 4 4" xfId="51003"/>
    <cellStyle name="Output 4 2 4 5" xfId="51004"/>
    <cellStyle name="Output 4 2 4 6" xfId="51005"/>
    <cellStyle name="Output 4 2 4 7" xfId="51006"/>
    <cellStyle name="Output 4 2 4 8" xfId="51007"/>
    <cellStyle name="Output 4 2 4 9" xfId="51008"/>
    <cellStyle name="Output 4 2 5" xfId="51009"/>
    <cellStyle name="Output 4 2 6" xfId="51010"/>
    <cellStyle name="Output 4 2 7" xfId="51011"/>
    <cellStyle name="Output 4 2 8" xfId="51012"/>
    <cellStyle name="Output 4 2 9" xfId="51013"/>
    <cellStyle name="Output 4 3" xfId="51014"/>
    <cellStyle name="Output 4 3 10" xfId="51015"/>
    <cellStyle name="Output 4 3 11" xfId="51016"/>
    <cellStyle name="Output 4 3 12" xfId="51017"/>
    <cellStyle name="Output 4 3 13" xfId="51018"/>
    <cellStyle name="Output 4 3 2" xfId="51019"/>
    <cellStyle name="Output 4 3 2 10" xfId="51020"/>
    <cellStyle name="Output 4 3 2 11" xfId="51021"/>
    <cellStyle name="Output 4 3 2 12" xfId="51022"/>
    <cellStyle name="Output 4 3 2 2" xfId="51023"/>
    <cellStyle name="Output 4 3 2 2 10" xfId="51024"/>
    <cellStyle name="Output 4 3 2 2 11" xfId="51025"/>
    <cellStyle name="Output 4 3 2 2 2" xfId="51026"/>
    <cellStyle name="Output 4 3 2 2 2 10" xfId="51027"/>
    <cellStyle name="Output 4 3 2 2 2 11" xfId="51028"/>
    <cellStyle name="Output 4 3 2 2 2 2" xfId="51029"/>
    <cellStyle name="Output 4 3 2 2 2 3" xfId="51030"/>
    <cellStyle name="Output 4 3 2 2 2 4" xfId="51031"/>
    <cellStyle name="Output 4 3 2 2 2 5" xfId="51032"/>
    <cellStyle name="Output 4 3 2 2 2 6" xfId="51033"/>
    <cellStyle name="Output 4 3 2 2 2 7" xfId="51034"/>
    <cellStyle name="Output 4 3 2 2 2 8" xfId="51035"/>
    <cellStyle name="Output 4 3 2 2 2 9" xfId="51036"/>
    <cellStyle name="Output 4 3 2 2 3" xfId="51037"/>
    <cellStyle name="Output 4 3 2 2 4" xfId="51038"/>
    <cellStyle name="Output 4 3 2 2 5" xfId="51039"/>
    <cellStyle name="Output 4 3 2 2 6" xfId="51040"/>
    <cellStyle name="Output 4 3 2 2 7" xfId="51041"/>
    <cellStyle name="Output 4 3 2 2 8" xfId="51042"/>
    <cellStyle name="Output 4 3 2 2 9" xfId="51043"/>
    <cellStyle name="Output 4 3 2 3" xfId="51044"/>
    <cellStyle name="Output 4 3 2 3 10" xfId="51045"/>
    <cellStyle name="Output 4 3 2 3 11" xfId="51046"/>
    <cellStyle name="Output 4 3 2 3 2" xfId="51047"/>
    <cellStyle name="Output 4 3 2 3 3" xfId="51048"/>
    <cellStyle name="Output 4 3 2 3 4" xfId="51049"/>
    <cellStyle name="Output 4 3 2 3 5" xfId="51050"/>
    <cellStyle name="Output 4 3 2 3 6" xfId="51051"/>
    <cellStyle name="Output 4 3 2 3 7" xfId="51052"/>
    <cellStyle name="Output 4 3 2 3 8" xfId="51053"/>
    <cellStyle name="Output 4 3 2 3 9" xfId="51054"/>
    <cellStyle name="Output 4 3 2 4" xfId="51055"/>
    <cellStyle name="Output 4 3 2 5" xfId="51056"/>
    <cellStyle name="Output 4 3 2 6" xfId="51057"/>
    <cellStyle name="Output 4 3 2 7" xfId="51058"/>
    <cellStyle name="Output 4 3 2 8" xfId="51059"/>
    <cellStyle name="Output 4 3 2 9" xfId="51060"/>
    <cellStyle name="Output 4 3 3" xfId="51061"/>
    <cellStyle name="Output 4 3 3 10" xfId="51062"/>
    <cellStyle name="Output 4 3 3 11" xfId="51063"/>
    <cellStyle name="Output 4 3 3 2" xfId="51064"/>
    <cellStyle name="Output 4 3 3 2 10" xfId="51065"/>
    <cellStyle name="Output 4 3 3 2 11" xfId="51066"/>
    <cellStyle name="Output 4 3 3 2 2" xfId="51067"/>
    <cellStyle name="Output 4 3 3 2 3" xfId="51068"/>
    <cellStyle name="Output 4 3 3 2 4" xfId="51069"/>
    <cellStyle name="Output 4 3 3 2 5" xfId="51070"/>
    <cellStyle name="Output 4 3 3 2 6" xfId="51071"/>
    <cellStyle name="Output 4 3 3 2 7" xfId="51072"/>
    <cellStyle name="Output 4 3 3 2 8" xfId="51073"/>
    <cellStyle name="Output 4 3 3 2 9" xfId="51074"/>
    <cellStyle name="Output 4 3 3 3" xfId="51075"/>
    <cellStyle name="Output 4 3 3 4" xfId="51076"/>
    <cellStyle name="Output 4 3 3 5" xfId="51077"/>
    <cellStyle name="Output 4 3 3 6" xfId="51078"/>
    <cellStyle name="Output 4 3 3 7" xfId="51079"/>
    <cellStyle name="Output 4 3 3 8" xfId="51080"/>
    <cellStyle name="Output 4 3 3 9" xfId="51081"/>
    <cellStyle name="Output 4 3 4" xfId="51082"/>
    <cellStyle name="Output 4 3 4 10" xfId="51083"/>
    <cellStyle name="Output 4 3 4 11" xfId="51084"/>
    <cellStyle name="Output 4 3 4 2" xfId="51085"/>
    <cellStyle name="Output 4 3 4 3" xfId="51086"/>
    <cellStyle name="Output 4 3 4 4" xfId="51087"/>
    <cellStyle name="Output 4 3 4 5" xfId="51088"/>
    <cellStyle name="Output 4 3 4 6" xfId="51089"/>
    <cellStyle name="Output 4 3 4 7" xfId="51090"/>
    <cellStyle name="Output 4 3 4 8" xfId="51091"/>
    <cellStyle name="Output 4 3 4 9" xfId="51092"/>
    <cellStyle name="Output 4 3 5" xfId="51093"/>
    <cellStyle name="Output 4 3 6" xfId="51094"/>
    <cellStyle name="Output 4 3 7" xfId="51095"/>
    <cellStyle name="Output 4 3 8" xfId="51096"/>
    <cellStyle name="Output 4 3 9" xfId="51097"/>
    <cellStyle name="Output 4 4" xfId="51098"/>
    <cellStyle name="Output 4 4 10" xfId="51099"/>
    <cellStyle name="Output 4 4 11" xfId="51100"/>
    <cellStyle name="Output 4 4 12" xfId="51101"/>
    <cellStyle name="Output 4 4 13" xfId="51102"/>
    <cellStyle name="Output 4 4 2" xfId="51103"/>
    <cellStyle name="Output 4 4 2 10" xfId="51104"/>
    <cellStyle name="Output 4 4 2 11" xfId="51105"/>
    <cellStyle name="Output 4 4 2 12" xfId="51106"/>
    <cellStyle name="Output 4 4 2 2" xfId="51107"/>
    <cellStyle name="Output 4 4 2 2 10" xfId="51108"/>
    <cellStyle name="Output 4 4 2 2 11" xfId="51109"/>
    <cellStyle name="Output 4 4 2 2 2" xfId="51110"/>
    <cellStyle name="Output 4 4 2 2 2 10" xfId="51111"/>
    <cellStyle name="Output 4 4 2 2 2 11" xfId="51112"/>
    <cellStyle name="Output 4 4 2 2 2 2" xfId="51113"/>
    <cellStyle name="Output 4 4 2 2 2 3" xfId="51114"/>
    <cellStyle name="Output 4 4 2 2 2 4" xfId="51115"/>
    <cellStyle name="Output 4 4 2 2 2 5" xfId="51116"/>
    <cellStyle name="Output 4 4 2 2 2 6" xfId="51117"/>
    <cellStyle name="Output 4 4 2 2 2 7" xfId="51118"/>
    <cellStyle name="Output 4 4 2 2 2 8" xfId="51119"/>
    <cellStyle name="Output 4 4 2 2 2 9" xfId="51120"/>
    <cellStyle name="Output 4 4 2 2 3" xfId="51121"/>
    <cellStyle name="Output 4 4 2 2 4" xfId="51122"/>
    <cellStyle name="Output 4 4 2 2 5" xfId="51123"/>
    <cellStyle name="Output 4 4 2 2 6" xfId="51124"/>
    <cellStyle name="Output 4 4 2 2 7" xfId="51125"/>
    <cellStyle name="Output 4 4 2 2 8" xfId="51126"/>
    <cellStyle name="Output 4 4 2 2 9" xfId="51127"/>
    <cellStyle name="Output 4 4 2 3" xfId="51128"/>
    <cellStyle name="Output 4 4 2 3 10" xfId="51129"/>
    <cellStyle name="Output 4 4 2 3 11" xfId="51130"/>
    <cellStyle name="Output 4 4 2 3 2" xfId="51131"/>
    <cellStyle name="Output 4 4 2 3 3" xfId="51132"/>
    <cellStyle name="Output 4 4 2 3 4" xfId="51133"/>
    <cellStyle name="Output 4 4 2 3 5" xfId="51134"/>
    <cellStyle name="Output 4 4 2 3 6" xfId="51135"/>
    <cellStyle name="Output 4 4 2 3 7" xfId="51136"/>
    <cellStyle name="Output 4 4 2 3 8" xfId="51137"/>
    <cellStyle name="Output 4 4 2 3 9" xfId="51138"/>
    <cellStyle name="Output 4 4 2 4" xfId="51139"/>
    <cellStyle name="Output 4 4 2 5" xfId="51140"/>
    <cellStyle name="Output 4 4 2 6" xfId="51141"/>
    <cellStyle name="Output 4 4 2 7" xfId="51142"/>
    <cellStyle name="Output 4 4 2 8" xfId="51143"/>
    <cellStyle name="Output 4 4 2 9" xfId="51144"/>
    <cellStyle name="Output 4 4 3" xfId="51145"/>
    <cellStyle name="Output 4 4 3 10" xfId="51146"/>
    <cellStyle name="Output 4 4 3 11" xfId="51147"/>
    <cellStyle name="Output 4 4 3 2" xfId="51148"/>
    <cellStyle name="Output 4 4 3 2 10" xfId="51149"/>
    <cellStyle name="Output 4 4 3 2 11" xfId="51150"/>
    <cellStyle name="Output 4 4 3 2 2" xfId="51151"/>
    <cellStyle name="Output 4 4 3 2 3" xfId="51152"/>
    <cellStyle name="Output 4 4 3 2 4" xfId="51153"/>
    <cellStyle name="Output 4 4 3 2 5" xfId="51154"/>
    <cellStyle name="Output 4 4 3 2 6" xfId="51155"/>
    <cellStyle name="Output 4 4 3 2 7" xfId="51156"/>
    <cellStyle name="Output 4 4 3 2 8" xfId="51157"/>
    <cellStyle name="Output 4 4 3 2 9" xfId="51158"/>
    <cellStyle name="Output 4 4 3 3" xfId="51159"/>
    <cellStyle name="Output 4 4 3 4" xfId="51160"/>
    <cellStyle name="Output 4 4 3 5" xfId="51161"/>
    <cellStyle name="Output 4 4 3 6" xfId="51162"/>
    <cellStyle name="Output 4 4 3 7" xfId="51163"/>
    <cellStyle name="Output 4 4 3 8" xfId="51164"/>
    <cellStyle name="Output 4 4 3 9" xfId="51165"/>
    <cellStyle name="Output 4 4 4" xfId="51166"/>
    <cellStyle name="Output 4 4 4 10" xfId="51167"/>
    <cellStyle name="Output 4 4 4 11" xfId="51168"/>
    <cellStyle name="Output 4 4 4 2" xfId="51169"/>
    <cellStyle name="Output 4 4 4 3" xfId="51170"/>
    <cellStyle name="Output 4 4 4 4" xfId="51171"/>
    <cellStyle name="Output 4 4 4 5" xfId="51172"/>
    <cellStyle name="Output 4 4 4 6" xfId="51173"/>
    <cellStyle name="Output 4 4 4 7" xfId="51174"/>
    <cellStyle name="Output 4 4 4 8" xfId="51175"/>
    <cellStyle name="Output 4 4 4 9" xfId="51176"/>
    <cellStyle name="Output 4 4 5" xfId="51177"/>
    <cellStyle name="Output 4 4 6" xfId="51178"/>
    <cellStyle name="Output 4 4 7" xfId="51179"/>
    <cellStyle name="Output 4 4 8" xfId="51180"/>
    <cellStyle name="Output 4 4 9" xfId="51181"/>
    <cellStyle name="Output 4 5" xfId="51182"/>
    <cellStyle name="Output 4 5 10" xfId="51183"/>
    <cellStyle name="Output 4 5 11" xfId="51184"/>
    <cellStyle name="Output 4 5 12" xfId="51185"/>
    <cellStyle name="Output 4 5 13" xfId="51186"/>
    <cellStyle name="Output 4 5 2" xfId="51187"/>
    <cellStyle name="Output 4 5 2 10" xfId="51188"/>
    <cellStyle name="Output 4 5 2 11" xfId="51189"/>
    <cellStyle name="Output 4 5 2 12" xfId="51190"/>
    <cellStyle name="Output 4 5 2 2" xfId="51191"/>
    <cellStyle name="Output 4 5 2 2 10" xfId="51192"/>
    <cellStyle name="Output 4 5 2 2 11" xfId="51193"/>
    <cellStyle name="Output 4 5 2 2 2" xfId="51194"/>
    <cellStyle name="Output 4 5 2 2 2 10" xfId="51195"/>
    <cellStyle name="Output 4 5 2 2 2 11" xfId="51196"/>
    <cellStyle name="Output 4 5 2 2 2 2" xfId="51197"/>
    <cellStyle name="Output 4 5 2 2 2 3" xfId="51198"/>
    <cellStyle name="Output 4 5 2 2 2 4" xfId="51199"/>
    <cellStyle name="Output 4 5 2 2 2 5" xfId="51200"/>
    <cellStyle name="Output 4 5 2 2 2 6" xfId="51201"/>
    <cellStyle name="Output 4 5 2 2 2 7" xfId="51202"/>
    <cellStyle name="Output 4 5 2 2 2 8" xfId="51203"/>
    <cellStyle name="Output 4 5 2 2 2 9" xfId="51204"/>
    <cellStyle name="Output 4 5 2 2 3" xfId="51205"/>
    <cellStyle name="Output 4 5 2 2 4" xfId="51206"/>
    <cellStyle name="Output 4 5 2 2 5" xfId="51207"/>
    <cellStyle name="Output 4 5 2 2 6" xfId="51208"/>
    <cellStyle name="Output 4 5 2 2 7" xfId="51209"/>
    <cellStyle name="Output 4 5 2 2 8" xfId="51210"/>
    <cellStyle name="Output 4 5 2 2 9" xfId="51211"/>
    <cellStyle name="Output 4 5 2 3" xfId="51212"/>
    <cellStyle name="Output 4 5 2 3 10" xfId="51213"/>
    <cellStyle name="Output 4 5 2 3 11" xfId="51214"/>
    <cellStyle name="Output 4 5 2 3 2" xfId="51215"/>
    <cellStyle name="Output 4 5 2 3 3" xfId="51216"/>
    <cellStyle name="Output 4 5 2 3 4" xfId="51217"/>
    <cellStyle name="Output 4 5 2 3 5" xfId="51218"/>
    <cellStyle name="Output 4 5 2 3 6" xfId="51219"/>
    <cellStyle name="Output 4 5 2 3 7" xfId="51220"/>
    <cellStyle name="Output 4 5 2 3 8" xfId="51221"/>
    <cellStyle name="Output 4 5 2 3 9" xfId="51222"/>
    <cellStyle name="Output 4 5 2 4" xfId="51223"/>
    <cellStyle name="Output 4 5 2 5" xfId="51224"/>
    <cellStyle name="Output 4 5 2 6" xfId="51225"/>
    <cellStyle name="Output 4 5 2 7" xfId="51226"/>
    <cellStyle name="Output 4 5 2 8" xfId="51227"/>
    <cellStyle name="Output 4 5 2 9" xfId="51228"/>
    <cellStyle name="Output 4 5 3" xfId="51229"/>
    <cellStyle name="Output 4 5 3 10" xfId="51230"/>
    <cellStyle name="Output 4 5 3 11" xfId="51231"/>
    <cellStyle name="Output 4 5 3 2" xfId="51232"/>
    <cellStyle name="Output 4 5 3 2 10" xfId="51233"/>
    <cellStyle name="Output 4 5 3 2 11" xfId="51234"/>
    <cellStyle name="Output 4 5 3 2 2" xfId="51235"/>
    <cellStyle name="Output 4 5 3 2 3" xfId="51236"/>
    <cellStyle name="Output 4 5 3 2 4" xfId="51237"/>
    <cellStyle name="Output 4 5 3 2 5" xfId="51238"/>
    <cellStyle name="Output 4 5 3 2 6" xfId="51239"/>
    <cellStyle name="Output 4 5 3 2 7" xfId="51240"/>
    <cellStyle name="Output 4 5 3 2 8" xfId="51241"/>
    <cellStyle name="Output 4 5 3 2 9" xfId="51242"/>
    <cellStyle name="Output 4 5 3 3" xfId="51243"/>
    <cellStyle name="Output 4 5 3 4" xfId="51244"/>
    <cellStyle name="Output 4 5 3 5" xfId="51245"/>
    <cellStyle name="Output 4 5 3 6" xfId="51246"/>
    <cellStyle name="Output 4 5 3 7" xfId="51247"/>
    <cellStyle name="Output 4 5 3 8" xfId="51248"/>
    <cellStyle name="Output 4 5 3 9" xfId="51249"/>
    <cellStyle name="Output 4 5 4" xfId="51250"/>
    <cellStyle name="Output 4 5 4 10" xfId="51251"/>
    <cellStyle name="Output 4 5 4 11" xfId="51252"/>
    <cellStyle name="Output 4 5 4 2" xfId="51253"/>
    <cellStyle name="Output 4 5 4 3" xfId="51254"/>
    <cellStyle name="Output 4 5 4 4" xfId="51255"/>
    <cellStyle name="Output 4 5 4 5" xfId="51256"/>
    <cellStyle name="Output 4 5 4 6" xfId="51257"/>
    <cellStyle name="Output 4 5 4 7" xfId="51258"/>
    <cellStyle name="Output 4 5 4 8" xfId="51259"/>
    <cellStyle name="Output 4 5 4 9" xfId="51260"/>
    <cellStyle name="Output 4 5 5" xfId="51261"/>
    <cellStyle name="Output 4 5 6" xfId="51262"/>
    <cellStyle name="Output 4 5 7" xfId="51263"/>
    <cellStyle name="Output 4 5 8" xfId="51264"/>
    <cellStyle name="Output 4 5 9" xfId="51265"/>
    <cellStyle name="Output 4 6" xfId="51266"/>
    <cellStyle name="Output 4 6 10" xfId="51267"/>
    <cellStyle name="Output 4 6 11" xfId="51268"/>
    <cellStyle name="Output 4 6 12" xfId="51269"/>
    <cellStyle name="Output 4 6 13" xfId="51270"/>
    <cellStyle name="Output 4 6 2" xfId="51271"/>
    <cellStyle name="Output 4 6 2 10" xfId="51272"/>
    <cellStyle name="Output 4 6 2 11" xfId="51273"/>
    <cellStyle name="Output 4 6 2 12" xfId="51274"/>
    <cellStyle name="Output 4 6 2 2" xfId="51275"/>
    <cellStyle name="Output 4 6 2 2 10" xfId="51276"/>
    <cellStyle name="Output 4 6 2 2 11" xfId="51277"/>
    <cellStyle name="Output 4 6 2 2 2" xfId="51278"/>
    <cellStyle name="Output 4 6 2 2 2 10" xfId="51279"/>
    <cellStyle name="Output 4 6 2 2 2 11" xfId="51280"/>
    <cellStyle name="Output 4 6 2 2 2 2" xfId="51281"/>
    <cellStyle name="Output 4 6 2 2 2 3" xfId="51282"/>
    <cellStyle name="Output 4 6 2 2 2 4" xfId="51283"/>
    <cellStyle name="Output 4 6 2 2 2 5" xfId="51284"/>
    <cellStyle name="Output 4 6 2 2 2 6" xfId="51285"/>
    <cellStyle name="Output 4 6 2 2 2 7" xfId="51286"/>
    <cellStyle name="Output 4 6 2 2 2 8" xfId="51287"/>
    <cellStyle name="Output 4 6 2 2 2 9" xfId="51288"/>
    <cellStyle name="Output 4 6 2 2 3" xfId="51289"/>
    <cellStyle name="Output 4 6 2 2 4" xfId="51290"/>
    <cellStyle name="Output 4 6 2 2 5" xfId="51291"/>
    <cellStyle name="Output 4 6 2 2 6" xfId="51292"/>
    <cellStyle name="Output 4 6 2 2 7" xfId="51293"/>
    <cellStyle name="Output 4 6 2 2 8" xfId="51294"/>
    <cellStyle name="Output 4 6 2 2 9" xfId="51295"/>
    <cellStyle name="Output 4 6 2 3" xfId="51296"/>
    <cellStyle name="Output 4 6 2 3 10" xfId="51297"/>
    <cellStyle name="Output 4 6 2 3 11" xfId="51298"/>
    <cellStyle name="Output 4 6 2 3 2" xfId="51299"/>
    <cellStyle name="Output 4 6 2 3 3" xfId="51300"/>
    <cellStyle name="Output 4 6 2 3 4" xfId="51301"/>
    <cellStyle name="Output 4 6 2 3 5" xfId="51302"/>
    <cellStyle name="Output 4 6 2 3 6" xfId="51303"/>
    <cellStyle name="Output 4 6 2 3 7" xfId="51304"/>
    <cellStyle name="Output 4 6 2 3 8" xfId="51305"/>
    <cellStyle name="Output 4 6 2 3 9" xfId="51306"/>
    <cellStyle name="Output 4 6 2 4" xfId="51307"/>
    <cellStyle name="Output 4 6 2 5" xfId="51308"/>
    <cellStyle name="Output 4 6 2 6" xfId="51309"/>
    <cellStyle name="Output 4 6 2 7" xfId="51310"/>
    <cellStyle name="Output 4 6 2 8" xfId="51311"/>
    <cellStyle name="Output 4 6 2 9" xfId="51312"/>
    <cellStyle name="Output 4 6 3" xfId="51313"/>
    <cellStyle name="Output 4 6 3 10" xfId="51314"/>
    <cellStyle name="Output 4 6 3 11" xfId="51315"/>
    <cellStyle name="Output 4 6 3 2" xfId="51316"/>
    <cellStyle name="Output 4 6 3 2 10" xfId="51317"/>
    <cellStyle name="Output 4 6 3 2 11" xfId="51318"/>
    <cellStyle name="Output 4 6 3 2 2" xfId="51319"/>
    <cellStyle name="Output 4 6 3 2 3" xfId="51320"/>
    <cellStyle name="Output 4 6 3 2 4" xfId="51321"/>
    <cellStyle name="Output 4 6 3 2 5" xfId="51322"/>
    <cellStyle name="Output 4 6 3 2 6" xfId="51323"/>
    <cellStyle name="Output 4 6 3 2 7" xfId="51324"/>
    <cellStyle name="Output 4 6 3 2 8" xfId="51325"/>
    <cellStyle name="Output 4 6 3 2 9" xfId="51326"/>
    <cellStyle name="Output 4 6 3 3" xfId="51327"/>
    <cellStyle name="Output 4 6 3 4" xfId="51328"/>
    <cellStyle name="Output 4 6 3 5" xfId="51329"/>
    <cellStyle name="Output 4 6 3 6" xfId="51330"/>
    <cellStyle name="Output 4 6 3 7" xfId="51331"/>
    <cellStyle name="Output 4 6 3 8" xfId="51332"/>
    <cellStyle name="Output 4 6 3 9" xfId="51333"/>
    <cellStyle name="Output 4 6 4" xfId="51334"/>
    <cellStyle name="Output 4 6 4 10" xfId="51335"/>
    <cellStyle name="Output 4 6 4 11" xfId="51336"/>
    <cellStyle name="Output 4 6 4 2" xfId="51337"/>
    <cellStyle name="Output 4 6 4 3" xfId="51338"/>
    <cellStyle name="Output 4 6 4 4" xfId="51339"/>
    <cellStyle name="Output 4 6 4 5" xfId="51340"/>
    <cellStyle name="Output 4 6 4 6" xfId="51341"/>
    <cellStyle name="Output 4 6 4 7" xfId="51342"/>
    <cellStyle name="Output 4 6 4 8" xfId="51343"/>
    <cellStyle name="Output 4 6 4 9" xfId="51344"/>
    <cellStyle name="Output 4 6 5" xfId="51345"/>
    <cellStyle name="Output 4 6 6" xfId="51346"/>
    <cellStyle name="Output 4 6 7" xfId="51347"/>
    <cellStyle name="Output 4 6 8" xfId="51348"/>
    <cellStyle name="Output 4 6 9" xfId="51349"/>
    <cellStyle name="Output 4 7" xfId="51350"/>
    <cellStyle name="Output 4 7 10" xfId="51351"/>
    <cellStyle name="Output 4 7 11" xfId="51352"/>
    <cellStyle name="Output 4 7 12" xfId="51353"/>
    <cellStyle name="Output 4 7 13" xfId="51354"/>
    <cellStyle name="Output 4 7 2" xfId="51355"/>
    <cellStyle name="Output 4 7 2 10" xfId="51356"/>
    <cellStyle name="Output 4 7 2 11" xfId="51357"/>
    <cellStyle name="Output 4 7 2 12" xfId="51358"/>
    <cellStyle name="Output 4 7 2 2" xfId="51359"/>
    <cellStyle name="Output 4 7 2 2 10" xfId="51360"/>
    <cellStyle name="Output 4 7 2 2 11" xfId="51361"/>
    <cellStyle name="Output 4 7 2 2 2" xfId="51362"/>
    <cellStyle name="Output 4 7 2 2 2 10" xfId="51363"/>
    <cellStyle name="Output 4 7 2 2 2 11" xfId="51364"/>
    <cellStyle name="Output 4 7 2 2 2 2" xfId="51365"/>
    <cellStyle name="Output 4 7 2 2 2 3" xfId="51366"/>
    <cellStyle name="Output 4 7 2 2 2 4" xfId="51367"/>
    <cellStyle name="Output 4 7 2 2 2 5" xfId="51368"/>
    <cellStyle name="Output 4 7 2 2 2 6" xfId="51369"/>
    <cellStyle name="Output 4 7 2 2 2 7" xfId="51370"/>
    <cellStyle name="Output 4 7 2 2 2 8" xfId="51371"/>
    <cellStyle name="Output 4 7 2 2 2 9" xfId="51372"/>
    <cellStyle name="Output 4 7 2 2 3" xfId="51373"/>
    <cellStyle name="Output 4 7 2 2 4" xfId="51374"/>
    <cellStyle name="Output 4 7 2 2 5" xfId="51375"/>
    <cellStyle name="Output 4 7 2 2 6" xfId="51376"/>
    <cellStyle name="Output 4 7 2 2 7" xfId="51377"/>
    <cellStyle name="Output 4 7 2 2 8" xfId="51378"/>
    <cellStyle name="Output 4 7 2 2 9" xfId="51379"/>
    <cellStyle name="Output 4 7 2 3" xfId="51380"/>
    <cellStyle name="Output 4 7 2 3 10" xfId="51381"/>
    <cellStyle name="Output 4 7 2 3 11" xfId="51382"/>
    <cellStyle name="Output 4 7 2 3 2" xfId="51383"/>
    <cellStyle name="Output 4 7 2 3 3" xfId="51384"/>
    <cellStyle name="Output 4 7 2 3 4" xfId="51385"/>
    <cellStyle name="Output 4 7 2 3 5" xfId="51386"/>
    <cellStyle name="Output 4 7 2 3 6" xfId="51387"/>
    <cellStyle name="Output 4 7 2 3 7" xfId="51388"/>
    <cellStyle name="Output 4 7 2 3 8" xfId="51389"/>
    <cellStyle name="Output 4 7 2 3 9" xfId="51390"/>
    <cellStyle name="Output 4 7 2 4" xfId="51391"/>
    <cellStyle name="Output 4 7 2 5" xfId="51392"/>
    <cellStyle name="Output 4 7 2 6" xfId="51393"/>
    <cellStyle name="Output 4 7 2 7" xfId="51394"/>
    <cellStyle name="Output 4 7 2 8" xfId="51395"/>
    <cellStyle name="Output 4 7 2 9" xfId="51396"/>
    <cellStyle name="Output 4 7 3" xfId="51397"/>
    <cellStyle name="Output 4 7 3 10" xfId="51398"/>
    <cellStyle name="Output 4 7 3 11" xfId="51399"/>
    <cellStyle name="Output 4 7 3 2" xfId="51400"/>
    <cellStyle name="Output 4 7 3 2 10" xfId="51401"/>
    <cellStyle name="Output 4 7 3 2 11" xfId="51402"/>
    <cellStyle name="Output 4 7 3 2 2" xfId="51403"/>
    <cellStyle name="Output 4 7 3 2 3" xfId="51404"/>
    <cellStyle name="Output 4 7 3 2 4" xfId="51405"/>
    <cellStyle name="Output 4 7 3 2 5" xfId="51406"/>
    <cellStyle name="Output 4 7 3 2 6" xfId="51407"/>
    <cellStyle name="Output 4 7 3 2 7" xfId="51408"/>
    <cellStyle name="Output 4 7 3 2 8" xfId="51409"/>
    <cellStyle name="Output 4 7 3 2 9" xfId="51410"/>
    <cellStyle name="Output 4 7 3 3" xfId="51411"/>
    <cellStyle name="Output 4 7 3 4" xfId="51412"/>
    <cellStyle name="Output 4 7 3 5" xfId="51413"/>
    <cellStyle name="Output 4 7 3 6" xfId="51414"/>
    <cellStyle name="Output 4 7 3 7" xfId="51415"/>
    <cellStyle name="Output 4 7 3 8" xfId="51416"/>
    <cellStyle name="Output 4 7 3 9" xfId="51417"/>
    <cellStyle name="Output 4 7 4" xfId="51418"/>
    <cellStyle name="Output 4 7 4 10" xfId="51419"/>
    <cellStyle name="Output 4 7 4 11" xfId="51420"/>
    <cellStyle name="Output 4 7 4 2" xfId="51421"/>
    <cellStyle name="Output 4 7 4 3" xfId="51422"/>
    <cellStyle name="Output 4 7 4 4" xfId="51423"/>
    <cellStyle name="Output 4 7 4 5" xfId="51424"/>
    <cellStyle name="Output 4 7 4 6" xfId="51425"/>
    <cellStyle name="Output 4 7 4 7" xfId="51426"/>
    <cellStyle name="Output 4 7 4 8" xfId="51427"/>
    <cellStyle name="Output 4 7 4 9" xfId="51428"/>
    <cellStyle name="Output 4 7 5" xfId="51429"/>
    <cellStyle name="Output 4 7 6" xfId="51430"/>
    <cellStyle name="Output 4 7 7" xfId="51431"/>
    <cellStyle name="Output 4 7 8" xfId="51432"/>
    <cellStyle name="Output 4 7 9" xfId="51433"/>
    <cellStyle name="Output 4 8" xfId="51434"/>
    <cellStyle name="Output 4 8 10" xfId="51435"/>
    <cellStyle name="Output 4 8 11" xfId="51436"/>
    <cellStyle name="Output 4 8 12" xfId="51437"/>
    <cellStyle name="Output 4 8 13" xfId="51438"/>
    <cellStyle name="Output 4 8 2" xfId="51439"/>
    <cellStyle name="Output 4 8 2 10" xfId="51440"/>
    <cellStyle name="Output 4 8 2 11" xfId="51441"/>
    <cellStyle name="Output 4 8 2 12" xfId="51442"/>
    <cellStyle name="Output 4 8 2 2" xfId="51443"/>
    <cellStyle name="Output 4 8 2 2 10" xfId="51444"/>
    <cellStyle name="Output 4 8 2 2 11" xfId="51445"/>
    <cellStyle name="Output 4 8 2 2 2" xfId="51446"/>
    <cellStyle name="Output 4 8 2 2 2 10" xfId="51447"/>
    <cellStyle name="Output 4 8 2 2 2 11" xfId="51448"/>
    <cellStyle name="Output 4 8 2 2 2 2" xfId="51449"/>
    <cellStyle name="Output 4 8 2 2 2 3" xfId="51450"/>
    <cellStyle name="Output 4 8 2 2 2 4" xfId="51451"/>
    <cellStyle name="Output 4 8 2 2 2 5" xfId="51452"/>
    <cellStyle name="Output 4 8 2 2 2 6" xfId="51453"/>
    <cellStyle name="Output 4 8 2 2 2 7" xfId="51454"/>
    <cellStyle name="Output 4 8 2 2 2 8" xfId="51455"/>
    <cellStyle name="Output 4 8 2 2 2 9" xfId="51456"/>
    <cellStyle name="Output 4 8 2 2 3" xfId="51457"/>
    <cellStyle name="Output 4 8 2 2 4" xfId="51458"/>
    <cellStyle name="Output 4 8 2 2 5" xfId="51459"/>
    <cellStyle name="Output 4 8 2 2 6" xfId="51460"/>
    <cellStyle name="Output 4 8 2 2 7" xfId="51461"/>
    <cellStyle name="Output 4 8 2 2 8" xfId="51462"/>
    <cellStyle name="Output 4 8 2 2 9" xfId="51463"/>
    <cellStyle name="Output 4 8 2 3" xfId="51464"/>
    <cellStyle name="Output 4 8 2 3 10" xfId="51465"/>
    <cellStyle name="Output 4 8 2 3 11" xfId="51466"/>
    <cellStyle name="Output 4 8 2 3 2" xfId="51467"/>
    <cellStyle name="Output 4 8 2 3 3" xfId="51468"/>
    <cellStyle name="Output 4 8 2 3 4" xfId="51469"/>
    <cellStyle name="Output 4 8 2 3 5" xfId="51470"/>
    <cellStyle name="Output 4 8 2 3 6" xfId="51471"/>
    <cellStyle name="Output 4 8 2 3 7" xfId="51472"/>
    <cellStyle name="Output 4 8 2 3 8" xfId="51473"/>
    <cellStyle name="Output 4 8 2 3 9" xfId="51474"/>
    <cellStyle name="Output 4 8 2 4" xfId="51475"/>
    <cellStyle name="Output 4 8 2 5" xfId="51476"/>
    <cellStyle name="Output 4 8 2 6" xfId="51477"/>
    <cellStyle name="Output 4 8 2 7" xfId="51478"/>
    <cellStyle name="Output 4 8 2 8" xfId="51479"/>
    <cellStyle name="Output 4 8 2 9" xfId="51480"/>
    <cellStyle name="Output 4 8 3" xfId="51481"/>
    <cellStyle name="Output 4 8 3 10" xfId="51482"/>
    <cellStyle name="Output 4 8 3 11" xfId="51483"/>
    <cellStyle name="Output 4 8 3 2" xfId="51484"/>
    <cellStyle name="Output 4 8 3 2 10" xfId="51485"/>
    <cellStyle name="Output 4 8 3 2 11" xfId="51486"/>
    <cellStyle name="Output 4 8 3 2 2" xfId="51487"/>
    <cellStyle name="Output 4 8 3 2 3" xfId="51488"/>
    <cellStyle name="Output 4 8 3 2 4" xfId="51489"/>
    <cellStyle name="Output 4 8 3 2 5" xfId="51490"/>
    <cellStyle name="Output 4 8 3 2 6" xfId="51491"/>
    <cellStyle name="Output 4 8 3 2 7" xfId="51492"/>
    <cellStyle name="Output 4 8 3 2 8" xfId="51493"/>
    <cellStyle name="Output 4 8 3 2 9" xfId="51494"/>
    <cellStyle name="Output 4 8 3 3" xfId="51495"/>
    <cellStyle name="Output 4 8 3 4" xfId="51496"/>
    <cellStyle name="Output 4 8 3 5" xfId="51497"/>
    <cellStyle name="Output 4 8 3 6" xfId="51498"/>
    <cellStyle name="Output 4 8 3 7" xfId="51499"/>
    <cellStyle name="Output 4 8 3 8" xfId="51500"/>
    <cellStyle name="Output 4 8 3 9" xfId="51501"/>
    <cellStyle name="Output 4 8 4" xfId="51502"/>
    <cellStyle name="Output 4 8 4 10" xfId="51503"/>
    <cellStyle name="Output 4 8 4 11" xfId="51504"/>
    <cellStyle name="Output 4 8 4 2" xfId="51505"/>
    <cellStyle name="Output 4 8 4 3" xfId="51506"/>
    <cellStyle name="Output 4 8 4 4" xfId="51507"/>
    <cellStyle name="Output 4 8 4 5" xfId="51508"/>
    <cellStyle name="Output 4 8 4 6" xfId="51509"/>
    <cellStyle name="Output 4 8 4 7" xfId="51510"/>
    <cellStyle name="Output 4 8 4 8" xfId="51511"/>
    <cellStyle name="Output 4 8 4 9" xfId="51512"/>
    <cellStyle name="Output 4 8 5" xfId="51513"/>
    <cellStyle name="Output 4 8 6" xfId="51514"/>
    <cellStyle name="Output 4 8 7" xfId="51515"/>
    <cellStyle name="Output 4 8 8" xfId="51516"/>
    <cellStyle name="Output 4 8 9" xfId="51517"/>
    <cellStyle name="Output 4 9" xfId="51518"/>
    <cellStyle name="Output 4 9 10" xfId="51519"/>
    <cellStyle name="Output 4 9 11" xfId="51520"/>
    <cellStyle name="Output 4 9 12" xfId="51521"/>
    <cellStyle name="Output 4 9 2" xfId="51522"/>
    <cellStyle name="Output 4 9 2 10" xfId="51523"/>
    <cellStyle name="Output 4 9 2 11" xfId="51524"/>
    <cellStyle name="Output 4 9 2 2" xfId="51525"/>
    <cellStyle name="Output 4 9 2 2 10" xfId="51526"/>
    <cellStyle name="Output 4 9 2 2 11" xfId="51527"/>
    <cellStyle name="Output 4 9 2 2 2" xfId="51528"/>
    <cellStyle name="Output 4 9 2 2 3" xfId="51529"/>
    <cellStyle name="Output 4 9 2 2 4" xfId="51530"/>
    <cellStyle name="Output 4 9 2 2 5" xfId="51531"/>
    <cellStyle name="Output 4 9 2 2 6" xfId="51532"/>
    <cellStyle name="Output 4 9 2 2 7" xfId="51533"/>
    <cellStyle name="Output 4 9 2 2 8" xfId="51534"/>
    <cellStyle name="Output 4 9 2 2 9" xfId="51535"/>
    <cellStyle name="Output 4 9 2 3" xfId="51536"/>
    <cellStyle name="Output 4 9 2 4" xfId="51537"/>
    <cellStyle name="Output 4 9 2 5" xfId="51538"/>
    <cellStyle name="Output 4 9 2 6" xfId="51539"/>
    <cellStyle name="Output 4 9 2 7" xfId="51540"/>
    <cellStyle name="Output 4 9 2 8" xfId="51541"/>
    <cellStyle name="Output 4 9 2 9" xfId="51542"/>
    <cellStyle name="Output 4 9 3" xfId="51543"/>
    <cellStyle name="Output 4 9 3 10" xfId="51544"/>
    <cellStyle name="Output 4 9 3 11" xfId="51545"/>
    <cellStyle name="Output 4 9 3 2" xfId="51546"/>
    <cellStyle name="Output 4 9 3 3" xfId="51547"/>
    <cellStyle name="Output 4 9 3 4" xfId="51548"/>
    <cellStyle name="Output 4 9 3 5" xfId="51549"/>
    <cellStyle name="Output 4 9 3 6" xfId="51550"/>
    <cellStyle name="Output 4 9 3 7" xfId="51551"/>
    <cellStyle name="Output 4 9 3 8" xfId="51552"/>
    <cellStyle name="Output 4 9 3 9" xfId="51553"/>
    <cellStyle name="Output 4 9 4" xfId="51554"/>
    <cellStyle name="Output 4 9 5" xfId="51555"/>
    <cellStyle name="Output 4 9 6" xfId="51556"/>
    <cellStyle name="Output 4 9 7" xfId="51557"/>
    <cellStyle name="Output 4 9 8" xfId="51558"/>
    <cellStyle name="Output 4 9 9" xfId="51559"/>
    <cellStyle name="Output 5" xfId="51560"/>
    <cellStyle name="Output 5 10" xfId="51561"/>
    <cellStyle name="Output 5 11" xfId="51562"/>
    <cellStyle name="Output 5 12" xfId="51563"/>
    <cellStyle name="Output 5 13" xfId="51564"/>
    <cellStyle name="Output 5 14" xfId="51565"/>
    <cellStyle name="Output 5 2" xfId="51566"/>
    <cellStyle name="Output 5 2 10" xfId="51567"/>
    <cellStyle name="Output 5 2 11" xfId="51568"/>
    <cellStyle name="Output 5 2 12" xfId="51569"/>
    <cellStyle name="Output 5 2 13" xfId="51570"/>
    <cellStyle name="Output 5 2 2" xfId="51571"/>
    <cellStyle name="Output 5 2 2 10" xfId="51572"/>
    <cellStyle name="Output 5 2 2 11" xfId="51573"/>
    <cellStyle name="Output 5 2 2 12" xfId="51574"/>
    <cellStyle name="Output 5 2 2 2" xfId="51575"/>
    <cellStyle name="Output 5 2 2 2 10" xfId="51576"/>
    <cellStyle name="Output 5 2 2 2 11" xfId="51577"/>
    <cellStyle name="Output 5 2 2 2 2" xfId="51578"/>
    <cellStyle name="Output 5 2 2 2 2 10" xfId="51579"/>
    <cellStyle name="Output 5 2 2 2 2 11" xfId="51580"/>
    <cellStyle name="Output 5 2 2 2 2 2" xfId="51581"/>
    <cellStyle name="Output 5 2 2 2 2 3" xfId="51582"/>
    <cellStyle name="Output 5 2 2 2 2 4" xfId="51583"/>
    <cellStyle name="Output 5 2 2 2 2 5" xfId="51584"/>
    <cellStyle name="Output 5 2 2 2 2 6" xfId="51585"/>
    <cellStyle name="Output 5 2 2 2 2 7" xfId="51586"/>
    <cellStyle name="Output 5 2 2 2 2 8" xfId="51587"/>
    <cellStyle name="Output 5 2 2 2 2 9" xfId="51588"/>
    <cellStyle name="Output 5 2 2 2 3" xfId="51589"/>
    <cellStyle name="Output 5 2 2 2 4" xfId="51590"/>
    <cellStyle name="Output 5 2 2 2 5" xfId="51591"/>
    <cellStyle name="Output 5 2 2 2 6" xfId="51592"/>
    <cellStyle name="Output 5 2 2 2 7" xfId="51593"/>
    <cellStyle name="Output 5 2 2 2 8" xfId="51594"/>
    <cellStyle name="Output 5 2 2 2 9" xfId="51595"/>
    <cellStyle name="Output 5 2 2 3" xfId="51596"/>
    <cellStyle name="Output 5 2 2 3 10" xfId="51597"/>
    <cellStyle name="Output 5 2 2 3 11" xfId="51598"/>
    <cellStyle name="Output 5 2 2 3 2" xfId="51599"/>
    <cellStyle name="Output 5 2 2 3 3" xfId="51600"/>
    <cellStyle name="Output 5 2 2 3 4" xfId="51601"/>
    <cellStyle name="Output 5 2 2 3 5" xfId="51602"/>
    <cellStyle name="Output 5 2 2 3 6" xfId="51603"/>
    <cellStyle name="Output 5 2 2 3 7" xfId="51604"/>
    <cellStyle name="Output 5 2 2 3 8" xfId="51605"/>
    <cellStyle name="Output 5 2 2 3 9" xfId="51606"/>
    <cellStyle name="Output 5 2 2 4" xfId="51607"/>
    <cellStyle name="Output 5 2 2 5" xfId="51608"/>
    <cellStyle name="Output 5 2 2 6" xfId="51609"/>
    <cellStyle name="Output 5 2 2 7" xfId="51610"/>
    <cellStyle name="Output 5 2 2 8" xfId="51611"/>
    <cellStyle name="Output 5 2 2 9" xfId="51612"/>
    <cellStyle name="Output 5 2 3" xfId="51613"/>
    <cellStyle name="Output 5 2 3 10" xfId="51614"/>
    <cellStyle name="Output 5 2 3 11" xfId="51615"/>
    <cellStyle name="Output 5 2 3 2" xfId="51616"/>
    <cellStyle name="Output 5 2 3 2 10" xfId="51617"/>
    <cellStyle name="Output 5 2 3 2 11" xfId="51618"/>
    <cellStyle name="Output 5 2 3 2 2" xfId="51619"/>
    <cellStyle name="Output 5 2 3 2 3" xfId="51620"/>
    <cellStyle name="Output 5 2 3 2 4" xfId="51621"/>
    <cellStyle name="Output 5 2 3 2 5" xfId="51622"/>
    <cellStyle name="Output 5 2 3 2 6" xfId="51623"/>
    <cellStyle name="Output 5 2 3 2 7" xfId="51624"/>
    <cellStyle name="Output 5 2 3 2 8" xfId="51625"/>
    <cellStyle name="Output 5 2 3 2 9" xfId="51626"/>
    <cellStyle name="Output 5 2 3 3" xfId="51627"/>
    <cellStyle name="Output 5 2 3 4" xfId="51628"/>
    <cellStyle name="Output 5 2 3 5" xfId="51629"/>
    <cellStyle name="Output 5 2 3 6" xfId="51630"/>
    <cellStyle name="Output 5 2 3 7" xfId="51631"/>
    <cellStyle name="Output 5 2 3 8" xfId="51632"/>
    <cellStyle name="Output 5 2 3 9" xfId="51633"/>
    <cellStyle name="Output 5 2 4" xfId="51634"/>
    <cellStyle name="Output 5 2 4 10" xfId="51635"/>
    <cellStyle name="Output 5 2 4 11" xfId="51636"/>
    <cellStyle name="Output 5 2 4 2" xfId="51637"/>
    <cellStyle name="Output 5 2 4 3" xfId="51638"/>
    <cellStyle name="Output 5 2 4 4" xfId="51639"/>
    <cellStyle name="Output 5 2 4 5" xfId="51640"/>
    <cellStyle name="Output 5 2 4 6" xfId="51641"/>
    <cellStyle name="Output 5 2 4 7" xfId="51642"/>
    <cellStyle name="Output 5 2 4 8" xfId="51643"/>
    <cellStyle name="Output 5 2 4 9" xfId="51644"/>
    <cellStyle name="Output 5 2 5" xfId="51645"/>
    <cellStyle name="Output 5 2 6" xfId="51646"/>
    <cellStyle name="Output 5 2 7" xfId="51647"/>
    <cellStyle name="Output 5 2 8" xfId="51648"/>
    <cellStyle name="Output 5 2 9" xfId="51649"/>
    <cellStyle name="Output 5 3" xfId="51650"/>
    <cellStyle name="Output 5 3 10" xfId="51651"/>
    <cellStyle name="Output 5 3 11" xfId="51652"/>
    <cellStyle name="Output 5 3 12" xfId="51653"/>
    <cellStyle name="Output 5 3 2" xfId="51654"/>
    <cellStyle name="Output 5 3 2 10" xfId="51655"/>
    <cellStyle name="Output 5 3 2 11" xfId="51656"/>
    <cellStyle name="Output 5 3 2 2" xfId="51657"/>
    <cellStyle name="Output 5 3 2 2 10" xfId="51658"/>
    <cellStyle name="Output 5 3 2 2 11" xfId="51659"/>
    <cellStyle name="Output 5 3 2 2 2" xfId="51660"/>
    <cellStyle name="Output 5 3 2 2 3" xfId="51661"/>
    <cellStyle name="Output 5 3 2 2 4" xfId="51662"/>
    <cellStyle name="Output 5 3 2 2 5" xfId="51663"/>
    <cellStyle name="Output 5 3 2 2 6" xfId="51664"/>
    <cellStyle name="Output 5 3 2 2 7" xfId="51665"/>
    <cellStyle name="Output 5 3 2 2 8" xfId="51666"/>
    <cellStyle name="Output 5 3 2 2 9" xfId="51667"/>
    <cellStyle name="Output 5 3 2 3" xfId="51668"/>
    <cellStyle name="Output 5 3 2 4" xfId="51669"/>
    <cellStyle name="Output 5 3 2 5" xfId="51670"/>
    <cellStyle name="Output 5 3 2 6" xfId="51671"/>
    <cellStyle name="Output 5 3 2 7" xfId="51672"/>
    <cellStyle name="Output 5 3 2 8" xfId="51673"/>
    <cellStyle name="Output 5 3 2 9" xfId="51674"/>
    <cellStyle name="Output 5 3 3" xfId="51675"/>
    <cellStyle name="Output 5 3 3 10" xfId="51676"/>
    <cellStyle name="Output 5 3 3 11" xfId="51677"/>
    <cellStyle name="Output 5 3 3 2" xfId="51678"/>
    <cellStyle name="Output 5 3 3 3" xfId="51679"/>
    <cellStyle name="Output 5 3 3 4" xfId="51680"/>
    <cellStyle name="Output 5 3 3 5" xfId="51681"/>
    <cellStyle name="Output 5 3 3 6" xfId="51682"/>
    <cellStyle name="Output 5 3 3 7" xfId="51683"/>
    <cellStyle name="Output 5 3 3 8" xfId="51684"/>
    <cellStyle name="Output 5 3 3 9" xfId="51685"/>
    <cellStyle name="Output 5 3 4" xfId="51686"/>
    <cellStyle name="Output 5 3 5" xfId="51687"/>
    <cellStyle name="Output 5 3 6" xfId="51688"/>
    <cellStyle name="Output 5 3 7" xfId="51689"/>
    <cellStyle name="Output 5 3 8" xfId="51690"/>
    <cellStyle name="Output 5 3 9" xfId="51691"/>
    <cellStyle name="Output 5 4" xfId="51692"/>
    <cellStyle name="Output 5 4 10" xfId="51693"/>
    <cellStyle name="Output 5 4 11" xfId="51694"/>
    <cellStyle name="Output 5 4 2" xfId="51695"/>
    <cellStyle name="Output 5 4 2 10" xfId="51696"/>
    <cellStyle name="Output 5 4 2 11" xfId="51697"/>
    <cellStyle name="Output 5 4 2 2" xfId="51698"/>
    <cellStyle name="Output 5 4 2 3" xfId="51699"/>
    <cellStyle name="Output 5 4 2 4" xfId="51700"/>
    <cellStyle name="Output 5 4 2 5" xfId="51701"/>
    <cellStyle name="Output 5 4 2 6" xfId="51702"/>
    <cellStyle name="Output 5 4 2 7" xfId="51703"/>
    <cellStyle name="Output 5 4 2 8" xfId="51704"/>
    <cellStyle name="Output 5 4 2 9" xfId="51705"/>
    <cellStyle name="Output 5 4 3" xfId="51706"/>
    <cellStyle name="Output 5 4 4" xfId="51707"/>
    <cellStyle name="Output 5 4 5" xfId="51708"/>
    <cellStyle name="Output 5 4 6" xfId="51709"/>
    <cellStyle name="Output 5 4 7" xfId="51710"/>
    <cellStyle name="Output 5 4 8" xfId="51711"/>
    <cellStyle name="Output 5 4 9" xfId="51712"/>
    <cellStyle name="Output 5 5" xfId="51713"/>
    <cellStyle name="Output 5 5 10" xfId="51714"/>
    <cellStyle name="Output 5 5 11" xfId="51715"/>
    <cellStyle name="Output 5 5 2" xfId="51716"/>
    <cellStyle name="Output 5 5 3" xfId="51717"/>
    <cellStyle name="Output 5 5 4" xfId="51718"/>
    <cellStyle name="Output 5 5 5" xfId="51719"/>
    <cellStyle name="Output 5 5 6" xfId="51720"/>
    <cellStyle name="Output 5 5 7" xfId="51721"/>
    <cellStyle name="Output 5 5 8" xfId="51722"/>
    <cellStyle name="Output 5 5 9" xfId="51723"/>
    <cellStyle name="Output 5 6" xfId="51724"/>
    <cellStyle name="Output 5 7" xfId="51725"/>
    <cellStyle name="Output 5 8" xfId="51726"/>
    <cellStyle name="Output 5 9" xfId="51727"/>
    <cellStyle name="Output 6" xfId="51728"/>
    <cellStyle name="Output 6 10" xfId="51729"/>
    <cellStyle name="Output 6 11" xfId="51730"/>
    <cellStyle name="Output 6 12" xfId="51731"/>
    <cellStyle name="Output 6 13" xfId="51732"/>
    <cellStyle name="Output 6 2" xfId="51733"/>
    <cellStyle name="Output 6 2 10" xfId="51734"/>
    <cellStyle name="Output 6 2 11" xfId="51735"/>
    <cellStyle name="Output 6 2 12" xfId="51736"/>
    <cellStyle name="Output 6 2 2" xfId="51737"/>
    <cellStyle name="Output 6 2 2 10" xfId="51738"/>
    <cellStyle name="Output 6 2 2 11" xfId="51739"/>
    <cellStyle name="Output 6 2 2 2" xfId="51740"/>
    <cellStyle name="Output 6 2 2 2 10" xfId="51741"/>
    <cellStyle name="Output 6 2 2 2 11" xfId="51742"/>
    <cellStyle name="Output 6 2 2 2 2" xfId="51743"/>
    <cellStyle name="Output 6 2 2 2 3" xfId="51744"/>
    <cellStyle name="Output 6 2 2 2 4" xfId="51745"/>
    <cellStyle name="Output 6 2 2 2 5" xfId="51746"/>
    <cellStyle name="Output 6 2 2 2 6" xfId="51747"/>
    <cellStyle name="Output 6 2 2 2 7" xfId="51748"/>
    <cellStyle name="Output 6 2 2 2 8" xfId="51749"/>
    <cellStyle name="Output 6 2 2 2 9" xfId="51750"/>
    <cellStyle name="Output 6 2 2 3" xfId="51751"/>
    <cellStyle name="Output 6 2 2 4" xfId="51752"/>
    <cellStyle name="Output 6 2 2 5" xfId="51753"/>
    <cellStyle name="Output 6 2 2 6" xfId="51754"/>
    <cellStyle name="Output 6 2 2 7" xfId="51755"/>
    <cellStyle name="Output 6 2 2 8" xfId="51756"/>
    <cellStyle name="Output 6 2 2 9" xfId="51757"/>
    <cellStyle name="Output 6 2 3" xfId="51758"/>
    <cellStyle name="Output 6 2 3 10" xfId="51759"/>
    <cellStyle name="Output 6 2 3 11" xfId="51760"/>
    <cellStyle name="Output 6 2 3 2" xfId="51761"/>
    <cellStyle name="Output 6 2 3 3" xfId="51762"/>
    <cellStyle name="Output 6 2 3 4" xfId="51763"/>
    <cellStyle name="Output 6 2 3 5" xfId="51764"/>
    <cellStyle name="Output 6 2 3 6" xfId="51765"/>
    <cellStyle name="Output 6 2 3 7" xfId="51766"/>
    <cellStyle name="Output 6 2 3 8" xfId="51767"/>
    <cellStyle name="Output 6 2 3 9" xfId="51768"/>
    <cellStyle name="Output 6 2 4" xfId="51769"/>
    <cellStyle name="Output 6 2 5" xfId="51770"/>
    <cellStyle name="Output 6 2 6" xfId="51771"/>
    <cellStyle name="Output 6 2 7" xfId="51772"/>
    <cellStyle name="Output 6 2 8" xfId="51773"/>
    <cellStyle name="Output 6 2 9" xfId="51774"/>
    <cellStyle name="Output 6 3" xfId="51775"/>
    <cellStyle name="Output 6 3 10" xfId="51776"/>
    <cellStyle name="Output 6 3 11" xfId="51777"/>
    <cellStyle name="Output 6 3 2" xfId="51778"/>
    <cellStyle name="Output 6 3 2 10" xfId="51779"/>
    <cellStyle name="Output 6 3 2 11" xfId="51780"/>
    <cellStyle name="Output 6 3 2 2" xfId="51781"/>
    <cellStyle name="Output 6 3 2 3" xfId="51782"/>
    <cellStyle name="Output 6 3 2 4" xfId="51783"/>
    <cellStyle name="Output 6 3 2 5" xfId="51784"/>
    <cellStyle name="Output 6 3 2 6" xfId="51785"/>
    <cellStyle name="Output 6 3 2 7" xfId="51786"/>
    <cellStyle name="Output 6 3 2 8" xfId="51787"/>
    <cellStyle name="Output 6 3 2 9" xfId="51788"/>
    <cellStyle name="Output 6 3 3" xfId="51789"/>
    <cellStyle name="Output 6 3 4" xfId="51790"/>
    <cellStyle name="Output 6 3 5" xfId="51791"/>
    <cellStyle name="Output 6 3 6" xfId="51792"/>
    <cellStyle name="Output 6 3 7" xfId="51793"/>
    <cellStyle name="Output 6 3 8" xfId="51794"/>
    <cellStyle name="Output 6 3 9" xfId="51795"/>
    <cellStyle name="Output 6 4" xfId="51796"/>
    <cellStyle name="Output 6 4 10" xfId="51797"/>
    <cellStyle name="Output 6 4 11" xfId="51798"/>
    <cellStyle name="Output 6 4 2" xfId="51799"/>
    <cellStyle name="Output 6 4 3" xfId="51800"/>
    <cellStyle name="Output 6 4 4" xfId="51801"/>
    <cellStyle name="Output 6 4 5" xfId="51802"/>
    <cellStyle name="Output 6 4 6" xfId="51803"/>
    <cellStyle name="Output 6 4 7" xfId="51804"/>
    <cellStyle name="Output 6 4 8" xfId="51805"/>
    <cellStyle name="Output 6 4 9" xfId="51806"/>
    <cellStyle name="Output 6 5" xfId="51807"/>
    <cellStyle name="Output 6 6" xfId="51808"/>
    <cellStyle name="Output 6 7" xfId="51809"/>
    <cellStyle name="Output 6 8" xfId="51810"/>
    <cellStyle name="Output 6 9" xfId="51811"/>
    <cellStyle name="Output 7" xfId="51812"/>
    <cellStyle name="Output 7 10" xfId="51813"/>
    <cellStyle name="Output 7 11" xfId="51814"/>
    <cellStyle name="Output 7 12" xfId="51815"/>
    <cellStyle name="Output 7 13" xfId="51816"/>
    <cellStyle name="Output 7 2" xfId="51817"/>
    <cellStyle name="Output 7 2 10" xfId="51818"/>
    <cellStyle name="Output 7 2 11" xfId="51819"/>
    <cellStyle name="Output 7 2 12" xfId="51820"/>
    <cellStyle name="Output 7 2 2" xfId="51821"/>
    <cellStyle name="Output 7 2 2 10" xfId="51822"/>
    <cellStyle name="Output 7 2 2 11" xfId="51823"/>
    <cellStyle name="Output 7 2 2 2" xfId="51824"/>
    <cellStyle name="Output 7 2 2 2 10" xfId="51825"/>
    <cellStyle name="Output 7 2 2 2 11" xfId="51826"/>
    <cellStyle name="Output 7 2 2 2 2" xfId="51827"/>
    <cellStyle name="Output 7 2 2 2 3" xfId="51828"/>
    <cellStyle name="Output 7 2 2 2 4" xfId="51829"/>
    <cellStyle name="Output 7 2 2 2 5" xfId="51830"/>
    <cellStyle name="Output 7 2 2 2 6" xfId="51831"/>
    <cellStyle name="Output 7 2 2 2 7" xfId="51832"/>
    <cellStyle name="Output 7 2 2 2 8" xfId="51833"/>
    <cellStyle name="Output 7 2 2 2 9" xfId="51834"/>
    <cellStyle name="Output 7 2 2 3" xfId="51835"/>
    <cellStyle name="Output 7 2 2 4" xfId="51836"/>
    <cellStyle name="Output 7 2 2 5" xfId="51837"/>
    <cellStyle name="Output 7 2 2 6" xfId="51838"/>
    <cellStyle name="Output 7 2 2 7" xfId="51839"/>
    <cellStyle name="Output 7 2 2 8" xfId="51840"/>
    <cellStyle name="Output 7 2 2 9" xfId="51841"/>
    <cellStyle name="Output 7 2 3" xfId="51842"/>
    <cellStyle name="Output 7 2 3 10" xfId="51843"/>
    <cellStyle name="Output 7 2 3 11" xfId="51844"/>
    <cellStyle name="Output 7 2 3 2" xfId="51845"/>
    <cellStyle name="Output 7 2 3 3" xfId="51846"/>
    <cellStyle name="Output 7 2 3 4" xfId="51847"/>
    <cellStyle name="Output 7 2 3 5" xfId="51848"/>
    <cellStyle name="Output 7 2 3 6" xfId="51849"/>
    <cellStyle name="Output 7 2 3 7" xfId="51850"/>
    <cellStyle name="Output 7 2 3 8" xfId="51851"/>
    <cellStyle name="Output 7 2 3 9" xfId="51852"/>
    <cellStyle name="Output 7 2 4" xfId="51853"/>
    <cellStyle name="Output 7 2 5" xfId="51854"/>
    <cellStyle name="Output 7 2 6" xfId="51855"/>
    <cellStyle name="Output 7 2 7" xfId="51856"/>
    <cellStyle name="Output 7 2 8" xfId="51857"/>
    <cellStyle name="Output 7 2 9" xfId="51858"/>
    <cellStyle name="Output 7 3" xfId="51859"/>
    <cellStyle name="Output 7 3 10" xfId="51860"/>
    <cellStyle name="Output 7 3 11" xfId="51861"/>
    <cellStyle name="Output 7 3 2" xfId="51862"/>
    <cellStyle name="Output 7 3 2 10" xfId="51863"/>
    <cellStyle name="Output 7 3 2 11" xfId="51864"/>
    <cellStyle name="Output 7 3 2 2" xfId="51865"/>
    <cellStyle name="Output 7 3 2 3" xfId="51866"/>
    <cellStyle name="Output 7 3 2 4" xfId="51867"/>
    <cellStyle name="Output 7 3 2 5" xfId="51868"/>
    <cellStyle name="Output 7 3 2 6" xfId="51869"/>
    <cellStyle name="Output 7 3 2 7" xfId="51870"/>
    <cellStyle name="Output 7 3 2 8" xfId="51871"/>
    <cellStyle name="Output 7 3 2 9" xfId="51872"/>
    <cellStyle name="Output 7 3 3" xfId="51873"/>
    <cellStyle name="Output 7 3 4" xfId="51874"/>
    <cellStyle name="Output 7 3 5" xfId="51875"/>
    <cellStyle name="Output 7 3 6" xfId="51876"/>
    <cellStyle name="Output 7 3 7" xfId="51877"/>
    <cellStyle name="Output 7 3 8" xfId="51878"/>
    <cellStyle name="Output 7 3 9" xfId="51879"/>
    <cellStyle name="Output 7 4" xfId="51880"/>
    <cellStyle name="Output 7 4 10" xfId="51881"/>
    <cellStyle name="Output 7 4 11" xfId="51882"/>
    <cellStyle name="Output 7 4 2" xfId="51883"/>
    <cellStyle name="Output 7 4 3" xfId="51884"/>
    <cellStyle name="Output 7 4 4" xfId="51885"/>
    <cellStyle name="Output 7 4 5" xfId="51886"/>
    <cellStyle name="Output 7 4 6" xfId="51887"/>
    <cellStyle name="Output 7 4 7" xfId="51888"/>
    <cellStyle name="Output 7 4 8" xfId="51889"/>
    <cellStyle name="Output 7 4 9" xfId="51890"/>
    <cellStyle name="Output 7 5" xfId="51891"/>
    <cellStyle name="Output 7 6" xfId="51892"/>
    <cellStyle name="Output 7 7" xfId="51893"/>
    <cellStyle name="Output 7 8" xfId="51894"/>
    <cellStyle name="Output 7 9" xfId="51895"/>
    <cellStyle name="Output 8" xfId="51896"/>
    <cellStyle name="Output 8 10" xfId="51897"/>
    <cellStyle name="Output 8 11" xfId="51898"/>
    <cellStyle name="Output 8 12" xfId="51899"/>
    <cellStyle name="Output 8 13" xfId="51900"/>
    <cellStyle name="Output 8 2" xfId="51901"/>
    <cellStyle name="Output 8 2 10" xfId="51902"/>
    <cellStyle name="Output 8 2 11" xfId="51903"/>
    <cellStyle name="Output 8 2 12" xfId="51904"/>
    <cellStyle name="Output 8 2 2" xfId="51905"/>
    <cellStyle name="Output 8 2 2 10" xfId="51906"/>
    <cellStyle name="Output 8 2 2 11" xfId="51907"/>
    <cellStyle name="Output 8 2 2 2" xfId="51908"/>
    <cellStyle name="Output 8 2 2 2 10" xfId="51909"/>
    <cellStyle name="Output 8 2 2 2 11" xfId="51910"/>
    <cellStyle name="Output 8 2 2 2 2" xfId="51911"/>
    <cellStyle name="Output 8 2 2 2 3" xfId="51912"/>
    <cellStyle name="Output 8 2 2 2 4" xfId="51913"/>
    <cellStyle name="Output 8 2 2 2 5" xfId="51914"/>
    <cellStyle name="Output 8 2 2 2 6" xfId="51915"/>
    <cellStyle name="Output 8 2 2 2 7" xfId="51916"/>
    <cellStyle name="Output 8 2 2 2 8" xfId="51917"/>
    <cellStyle name="Output 8 2 2 2 9" xfId="51918"/>
    <cellStyle name="Output 8 2 2 3" xfId="51919"/>
    <cellStyle name="Output 8 2 2 4" xfId="51920"/>
    <cellStyle name="Output 8 2 2 5" xfId="51921"/>
    <cellStyle name="Output 8 2 2 6" xfId="51922"/>
    <cellStyle name="Output 8 2 2 7" xfId="51923"/>
    <cellStyle name="Output 8 2 2 8" xfId="51924"/>
    <cellStyle name="Output 8 2 2 9" xfId="51925"/>
    <cellStyle name="Output 8 2 3" xfId="51926"/>
    <cellStyle name="Output 8 2 3 10" xfId="51927"/>
    <cellStyle name="Output 8 2 3 11" xfId="51928"/>
    <cellStyle name="Output 8 2 3 2" xfId="51929"/>
    <cellStyle name="Output 8 2 3 3" xfId="51930"/>
    <cellStyle name="Output 8 2 3 4" xfId="51931"/>
    <cellStyle name="Output 8 2 3 5" xfId="51932"/>
    <cellStyle name="Output 8 2 3 6" xfId="51933"/>
    <cellStyle name="Output 8 2 3 7" xfId="51934"/>
    <cellStyle name="Output 8 2 3 8" xfId="51935"/>
    <cellStyle name="Output 8 2 3 9" xfId="51936"/>
    <cellStyle name="Output 8 2 4" xfId="51937"/>
    <cellStyle name="Output 8 2 5" xfId="51938"/>
    <cellStyle name="Output 8 2 6" xfId="51939"/>
    <cellStyle name="Output 8 2 7" xfId="51940"/>
    <cellStyle name="Output 8 2 8" xfId="51941"/>
    <cellStyle name="Output 8 2 9" xfId="51942"/>
    <cellStyle name="Output 8 3" xfId="51943"/>
    <cellStyle name="Output 8 3 10" xfId="51944"/>
    <cellStyle name="Output 8 3 11" xfId="51945"/>
    <cellStyle name="Output 8 3 2" xfId="51946"/>
    <cellStyle name="Output 8 3 2 10" xfId="51947"/>
    <cellStyle name="Output 8 3 2 11" xfId="51948"/>
    <cellStyle name="Output 8 3 2 2" xfId="51949"/>
    <cellStyle name="Output 8 3 2 3" xfId="51950"/>
    <cellStyle name="Output 8 3 2 4" xfId="51951"/>
    <cellStyle name="Output 8 3 2 5" xfId="51952"/>
    <cellStyle name="Output 8 3 2 6" xfId="51953"/>
    <cellStyle name="Output 8 3 2 7" xfId="51954"/>
    <cellStyle name="Output 8 3 2 8" xfId="51955"/>
    <cellStyle name="Output 8 3 2 9" xfId="51956"/>
    <cellStyle name="Output 8 3 3" xfId="51957"/>
    <cellStyle name="Output 8 3 4" xfId="51958"/>
    <cellStyle name="Output 8 3 5" xfId="51959"/>
    <cellStyle name="Output 8 3 6" xfId="51960"/>
    <cellStyle name="Output 8 3 7" xfId="51961"/>
    <cellStyle name="Output 8 3 8" xfId="51962"/>
    <cellStyle name="Output 8 3 9" xfId="51963"/>
    <cellStyle name="Output 8 4" xfId="51964"/>
    <cellStyle name="Output 8 4 10" xfId="51965"/>
    <cellStyle name="Output 8 4 11" xfId="51966"/>
    <cellStyle name="Output 8 4 2" xfId="51967"/>
    <cellStyle name="Output 8 4 3" xfId="51968"/>
    <cellStyle name="Output 8 4 4" xfId="51969"/>
    <cellStyle name="Output 8 4 5" xfId="51970"/>
    <cellStyle name="Output 8 4 6" xfId="51971"/>
    <cellStyle name="Output 8 4 7" xfId="51972"/>
    <cellStyle name="Output 8 4 8" xfId="51973"/>
    <cellStyle name="Output 8 4 9" xfId="51974"/>
    <cellStyle name="Output 8 5" xfId="51975"/>
    <cellStyle name="Output 8 6" xfId="51976"/>
    <cellStyle name="Output 8 7" xfId="51977"/>
    <cellStyle name="Output 8 8" xfId="51978"/>
    <cellStyle name="Output 8 9" xfId="51979"/>
    <cellStyle name="Output 9" xfId="51980"/>
    <cellStyle name="Output 9 10" xfId="51981"/>
    <cellStyle name="Output 9 11" xfId="51982"/>
    <cellStyle name="Output 9 12" xfId="51983"/>
    <cellStyle name="Output 9 13" xfId="51984"/>
    <cellStyle name="Output 9 2" xfId="51985"/>
    <cellStyle name="Output 9 2 10" xfId="51986"/>
    <cellStyle name="Output 9 2 11" xfId="51987"/>
    <cellStyle name="Output 9 2 12" xfId="51988"/>
    <cellStyle name="Output 9 2 2" xfId="51989"/>
    <cellStyle name="Output 9 2 2 10" xfId="51990"/>
    <cellStyle name="Output 9 2 2 11" xfId="51991"/>
    <cellStyle name="Output 9 2 2 2" xfId="51992"/>
    <cellStyle name="Output 9 2 2 2 10" xfId="51993"/>
    <cellStyle name="Output 9 2 2 2 11" xfId="51994"/>
    <cellStyle name="Output 9 2 2 2 2" xfId="51995"/>
    <cellStyle name="Output 9 2 2 2 3" xfId="51996"/>
    <cellStyle name="Output 9 2 2 2 4" xfId="51997"/>
    <cellStyle name="Output 9 2 2 2 5" xfId="51998"/>
    <cellStyle name="Output 9 2 2 2 6" xfId="51999"/>
    <cellStyle name="Output 9 2 2 2 7" xfId="52000"/>
    <cellStyle name="Output 9 2 2 2 8" xfId="52001"/>
    <cellStyle name="Output 9 2 2 2 9" xfId="52002"/>
    <cellStyle name="Output 9 2 2 3" xfId="52003"/>
    <cellStyle name="Output 9 2 2 4" xfId="52004"/>
    <cellStyle name="Output 9 2 2 5" xfId="52005"/>
    <cellStyle name="Output 9 2 2 6" xfId="52006"/>
    <cellStyle name="Output 9 2 2 7" xfId="52007"/>
    <cellStyle name="Output 9 2 2 8" xfId="52008"/>
    <cellStyle name="Output 9 2 2 9" xfId="52009"/>
    <cellStyle name="Output 9 2 3" xfId="52010"/>
    <cellStyle name="Output 9 2 3 10" xfId="52011"/>
    <cellStyle name="Output 9 2 3 11" xfId="52012"/>
    <cellStyle name="Output 9 2 3 2" xfId="52013"/>
    <cellStyle name="Output 9 2 3 3" xfId="52014"/>
    <cellStyle name="Output 9 2 3 4" xfId="52015"/>
    <cellStyle name="Output 9 2 3 5" xfId="52016"/>
    <cellStyle name="Output 9 2 3 6" xfId="52017"/>
    <cellStyle name="Output 9 2 3 7" xfId="52018"/>
    <cellStyle name="Output 9 2 3 8" xfId="52019"/>
    <cellStyle name="Output 9 2 3 9" xfId="52020"/>
    <cellStyle name="Output 9 2 4" xfId="52021"/>
    <cellStyle name="Output 9 2 5" xfId="52022"/>
    <cellStyle name="Output 9 2 6" xfId="52023"/>
    <cellStyle name="Output 9 2 7" xfId="52024"/>
    <cellStyle name="Output 9 2 8" xfId="52025"/>
    <cellStyle name="Output 9 2 9" xfId="52026"/>
    <cellStyle name="Output 9 3" xfId="52027"/>
    <cellStyle name="Output 9 3 10" xfId="52028"/>
    <cellStyle name="Output 9 3 11" xfId="52029"/>
    <cellStyle name="Output 9 3 2" xfId="52030"/>
    <cellStyle name="Output 9 3 2 10" xfId="52031"/>
    <cellStyle name="Output 9 3 2 11" xfId="52032"/>
    <cellStyle name="Output 9 3 2 2" xfId="52033"/>
    <cellStyle name="Output 9 3 2 3" xfId="52034"/>
    <cellStyle name="Output 9 3 2 4" xfId="52035"/>
    <cellStyle name="Output 9 3 2 5" xfId="52036"/>
    <cellStyle name="Output 9 3 2 6" xfId="52037"/>
    <cellStyle name="Output 9 3 2 7" xfId="52038"/>
    <cellStyle name="Output 9 3 2 8" xfId="52039"/>
    <cellStyle name="Output 9 3 2 9" xfId="52040"/>
    <cellStyle name="Output 9 3 3" xfId="52041"/>
    <cellStyle name="Output 9 3 4" xfId="52042"/>
    <cellStyle name="Output 9 3 5" xfId="52043"/>
    <cellStyle name="Output 9 3 6" xfId="52044"/>
    <cellStyle name="Output 9 3 7" xfId="52045"/>
    <cellStyle name="Output 9 3 8" xfId="52046"/>
    <cellStyle name="Output 9 3 9" xfId="52047"/>
    <cellStyle name="Output 9 4" xfId="52048"/>
    <cellStyle name="Output 9 4 10" xfId="52049"/>
    <cellStyle name="Output 9 4 11" xfId="52050"/>
    <cellStyle name="Output 9 4 2" xfId="52051"/>
    <cellStyle name="Output 9 4 3" xfId="52052"/>
    <cellStyle name="Output 9 4 4" xfId="52053"/>
    <cellStyle name="Output 9 4 5" xfId="52054"/>
    <cellStyle name="Output 9 4 6" xfId="52055"/>
    <cellStyle name="Output 9 4 7" xfId="52056"/>
    <cellStyle name="Output 9 4 8" xfId="52057"/>
    <cellStyle name="Output 9 4 9" xfId="52058"/>
    <cellStyle name="Output 9 5" xfId="52059"/>
    <cellStyle name="Output 9 6" xfId="52060"/>
    <cellStyle name="Output 9 7" xfId="52061"/>
    <cellStyle name="Output 9 8" xfId="52062"/>
    <cellStyle name="Output 9 9" xfId="52063"/>
    <cellStyle name="OUTPUT AMOUNTS" xfId="52064"/>
    <cellStyle name="Output Company Name" xfId="52065"/>
    <cellStyle name="Output Forecast Currency" xfId="52066"/>
    <cellStyle name="Output Forecast Date" xfId="52067"/>
    <cellStyle name="Output Forecast Multiple" xfId="52068"/>
    <cellStyle name="Output Forecast Number" xfId="52069"/>
    <cellStyle name="Output Forecast Percentage" xfId="52070"/>
    <cellStyle name="Output Forecast Period Title" xfId="52071"/>
    <cellStyle name="Output Forecast Year" xfId="52072"/>
    <cellStyle name="Output Heading 1" xfId="52073"/>
    <cellStyle name="Output Heading 2" xfId="52074"/>
    <cellStyle name="Output Heading 3" xfId="52075"/>
    <cellStyle name="Output Heading 4" xfId="52076"/>
    <cellStyle name="Output Middle Currency" xfId="52077"/>
    <cellStyle name="Output Middle Date" xfId="52078"/>
    <cellStyle name="Output Middle Multiple" xfId="52079"/>
    <cellStyle name="Output Middle Number" xfId="52080"/>
    <cellStyle name="Output Middle Percentage" xfId="52081"/>
    <cellStyle name="Output Middle Title / Name" xfId="52082"/>
    <cellStyle name="Output Middle Year" xfId="52083"/>
    <cellStyle name="Output Sheet Title" xfId="52084"/>
    <cellStyle name="Page Number" xfId="52085"/>
    <cellStyle name="Percent" xfId="1" builtinId="5"/>
    <cellStyle name="Percent [00]" xfId="58845"/>
    <cellStyle name="Percent [2]" xfId="52086"/>
    <cellStyle name="Percent [2] 2" xfId="52087"/>
    <cellStyle name="Percent 10" xfId="52088"/>
    <cellStyle name="Percent 10 2" xfId="52089"/>
    <cellStyle name="Percent 100" xfId="52090"/>
    <cellStyle name="Percent 100 2" xfId="52091"/>
    <cellStyle name="Percent 100 2 2" xfId="52092"/>
    <cellStyle name="Percent 100 2 2 2" xfId="52093"/>
    <cellStyle name="Percent 100 2 2 2 2" xfId="52094"/>
    <cellStyle name="Percent 100 2 2 2 3" xfId="52095"/>
    <cellStyle name="Percent 100 2 2 2 4" xfId="52096"/>
    <cellStyle name="Percent 100 2 2 2 5" xfId="52097"/>
    <cellStyle name="Percent 100 2 2 2 6" xfId="52098"/>
    <cellStyle name="Percent 100 2 2 3" xfId="52099"/>
    <cellStyle name="Percent 100 2 2 4" xfId="52100"/>
    <cellStyle name="Percent 100 2 2 5" xfId="52101"/>
    <cellStyle name="Percent 100 2 2 6" xfId="52102"/>
    <cellStyle name="Percent 100 2 2 7" xfId="52103"/>
    <cellStyle name="Percent 100 2 3" xfId="52104"/>
    <cellStyle name="Percent 100 2 3 2" xfId="52105"/>
    <cellStyle name="Percent 100 2 3 3" xfId="52106"/>
    <cellStyle name="Percent 100 2 3 4" xfId="52107"/>
    <cellStyle name="Percent 100 2 3 5" xfId="52108"/>
    <cellStyle name="Percent 100 2 3 6" xfId="52109"/>
    <cellStyle name="Percent 100 2 4" xfId="52110"/>
    <cellStyle name="Percent 100 2 5" xfId="52111"/>
    <cellStyle name="Percent 100 2 6" xfId="52112"/>
    <cellStyle name="Percent 100 2 7" xfId="52113"/>
    <cellStyle name="Percent 100 2 8" xfId="52114"/>
    <cellStyle name="Percent 100 3" xfId="52115"/>
    <cellStyle name="Percent 100 3 2" xfId="52116"/>
    <cellStyle name="Percent 100 3 2 2" xfId="52117"/>
    <cellStyle name="Percent 100 3 2 3" xfId="52118"/>
    <cellStyle name="Percent 100 3 2 4" xfId="52119"/>
    <cellStyle name="Percent 100 3 2 5" xfId="52120"/>
    <cellStyle name="Percent 100 3 2 6" xfId="52121"/>
    <cellStyle name="Percent 100 3 3" xfId="52122"/>
    <cellStyle name="Percent 100 3 4" xfId="52123"/>
    <cellStyle name="Percent 100 3 5" xfId="52124"/>
    <cellStyle name="Percent 100 3 6" xfId="52125"/>
    <cellStyle name="Percent 100 3 7" xfId="52126"/>
    <cellStyle name="Percent 100 4" xfId="52127"/>
    <cellStyle name="Percent 100 4 2" xfId="52128"/>
    <cellStyle name="Percent 100 4 3" xfId="52129"/>
    <cellStyle name="Percent 100 4 4" xfId="52130"/>
    <cellStyle name="Percent 100 4 5" xfId="52131"/>
    <cellStyle name="Percent 100 4 6" xfId="52132"/>
    <cellStyle name="Percent 100 5" xfId="52133"/>
    <cellStyle name="Percent 100 6" xfId="52134"/>
    <cellStyle name="Percent 100 7" xfId="52135"/>
    <cellStyle name="Percent 100 8" xfId="52136"/>
    <cellStyle name="Percent 100 9" xfId="52137"/>
    <cellStyle name="Percent 101" xfId="52138"/>
    <cellStyle name="Percent 102" xfId="52139"/>
    <cellStyle name="Percent 103" xfId="52140"/>
    <cellStyle name="Percent 104" xfId="52141"/>
    <cellStyle name="Percent 104 2" xfId="52142"/>
    <cellStyle name="Percent 105" xfId="52143"/>
    <cellStyle name="Percent 105 2" xfId="52144"/>
    <cellStyle name="Percent 106" xfId="52145"/>
    <cellStyle name="Percent 106 2" xfId="52146"/>
    <cellStyle name="Percent 106 2 2" xfId="52147"/>
    <cellStyle name="Percent 106 2 2 2" xfId="52148"/>
    <cellStyle name="Percent 106 2 2 2 2" xfId="52149"/>
    <cellStyle name="Percent 106 2 2 2 3" xfId="52150"/>
    <cellStyle name="Percent 106 2 2 2 4" xfId="52151"/>
    <cellStyle name="Percent 106 2 2 2 5" xfId="52152"/>
    <cellStyle name="Percent 106 2 2 2 6" xfId="52153"/>
    <cellStyle name="Percent 106 2 2 3" xfId="52154"/>
    <cellStyle name="Percent 106 2 2 4" xfId="52155"/>
    <cellStyle name="Percent 106 2 2 5" xfId="52156"/>
    <cellStyle name="Percent 106 2 2 6" xfId="52157"/>
    <cellStyle name="Percent 106 2 2 7" xfId="52158"/>
    <cellStyle name="Percent 106 2 3" xfId="52159"/>
    <cellStyle name="Percent 106 2 3 2" xfId="52160"/>
    <cellStyle name="Percent 106 2 3 3" xfId="52161"/>
    <cellStyle name="Percent 106 2 3 4" xfId="52162"/>
    <cellStyle name="Percent 106 2 3 5" xfId="52163"/>
    <cellStyle name="Percent 106 2 3 6" xfId="52164"/>
    <cellStyle name="Percent 106 2 4" xfId="52165"/>
    <cellStyle name="Percent 106 2 5" xfId="52166"/>
    <cellStyle name="Percent 106 2 6" xfId="52167"/>
    <cellStyle name="Percent 106 2 7" xfId="52168"/>
    <cellStyle name="Percent 106 2 8" xfId="52169"/>
    <cellStyle name="Percent 106 3" xfId="52170"/>
    <cellStyle name="Percent 106 3 2" xfId="52171"/>
    <cellStyle name="Percent 106 3 2 2" xfId="52172"/>
    <cellStyle name="Percent 106 3 2 3" xfId="52173"/>
    <cellStyle name="Percent 106 3 2 4" xfId="52174"/>
    <cellStyle name="Percent 106 3 2 5" xfId="52175"/>
    <cellStyle name="Percent 106 3 2 6" xfId="52176"/>
    <cellStyle name="Percent 106 3 3" xfId="52177"/>
    <cellStyle name="Percent 106 3 4" xfId="52178"/>
    <cellStyle name="Percent 106 3 5" xfId="52179"/>
    <cellStyle name="Percent 106 3 6" xfId="52180"/>
    <cellStyle name="Percent 106 3 7" xfId="52181"/>
    <cellStyle name="Percent 106 4" xfId="52182"/>
    <cellStyle name="Percent 106 4 2" xfId="52183"/>
    <cellStyle name="Percent 106 4 3" xfId="52184"/>
    <cellStyle name="Percent 106 4 4" xfId="52185"/>
    <cellStyle name="Percent 106 4 5" xfId="52186"/>
    <cellStyle name="Percent 106 4 6" xfId="52187"/>
    <cellStyle name="Percent 106 5" xfId="52188"/>
    <cellStyle name="Percent 106 6" xfId="52189"/>
    <cellStyle name="Percent 106 7" xfId="52190"/>
    <cellStyle name="Percent 106 8" xfId="52191"/>
    <cellStyle name="Percent 106 9" xfId="52192"/>
    <cellStyle name="Percent 107" xfId="52193"/>
    <cellStyle name="Percent 107 2" xfId="52194"/>
    <cellStyle name="Percent 107 2 2" xfId="52195"/>
    <cellStyle name="Percent 107 2 2 2" xfId="52196"/>
    <cellStyle name="Percent 107 2 2 2 2" xfId="52197"/>
    <cellStyle name="Percent 107 2 2 2 3" xfId="52198"/>
    <cellStyle name="Percent 107 2 2 2 4" xfId="52199"/>
    <cellStyle name="Percent 107 2 2 2 5" xfId="52200"/>
    <cellStyle name="Percent 107 2 2 2 6" xfId="52201"/>
    <cellStyle name="Percent 107 2 2 3" xfId="52202"/>
    <cellStyle name="Percent 107 2 2 4" xfId="52203"/>
    <cellStyle name="Percent 107 2 2 5" xfId="52204"/>
    <cellStyle name="Percent 107 2 2 6" xfId="52205"/>
    <cellStyle name="Percent 107 2 2 7" xfId="52206"/>
    <cellStyle name="Percent 107 2 3" xfId="52207"/>
    <cellStyle name="Percent 107 2 3 2" xfId="52208"/>
    <cellStyle name="Percent 107 2 3 3" xfId="52209"/>
    <cellStyle name="Percent 107 2 3 4" xfId="52210"/>
    <cellStyle name="Percent 107 2 3 5" xfId="52211"/>
    <cellStyle name="Percent 107 2 3 6" xfId="52212"/>
    <cellStyle name="Percent 107 2 4" xfId="52213"/>
    <cellStyle name="Percent 107 2 5" xfId="52214"/>
    <cellStyle name="Percent 107 2 6" xfId="52215"/>
    <cellStyle name="Percent 107 2 7" xfId="52216"/>
    <cellStyle name="Percent 107 2 8" xfId="52217"/>
    <cellStyle name="Percent 107 3" xfId="52218"/>
    <cellStyle name="Percent 107 3 2" xfId="52219"/>
    <cellStyle name="Percent 107 3 2 2" xfId="52220"/>
    <cellStyle name="Percent 107 3 2 3" xfId="52221"/>
    <cellStyle name="Percent 107 3 2 4" xfId="52222"/>
    <cellStyle name="Percent 107 3 2 5" xfId="52223"/>
    <cellStyle name="Percent 107 3 2 6" xfId="52224"/>
    <cellStyle name="Percent 107 3 3" xfId="52225"/>
    <cellStyle name="Percent 107 3 4" xfId="52226"/>
    <cellStyle name="Percent 107 3 5" xfId="52227"/>
    <cellStyle name="Percent 107 3 6" xfId="52228"/>
    <cellStyle name="Percent 107 3 7" xfId="52229"/>
    <cellStyle name="Percent 107 4" xfId="52230"/>
    <cellStyle name="Percent 107 4 2" xfId="52231"/>
    <cellStyle name="Percent 107 4 3" xfId="52232"/>
    <cellStyle name="Percent 107 4 4" xfId="52233"/>
    <cellStyle name="Percent 107 4 5" xfId="52234"/>
    <cellStyle name="Percent 107 4 6" xfId="52235"/>
    <cellStyle name="Percent 107 5" xfId="52236"/>
    <cellStyle name="Percent 107 6" xfId="52237"/>
    <cellStyle name="Percent 107 7" xfId="52238"/>
    <cellStyle name="Percent 107 8" xfId="52239"/>
    <cellStyle name="Percent 107 9" xfId="52240"/>
    <cellStyle name="Percent 108" xfId="52241"/>
    <cellStyle name="Percent 108 2" xfId="52242"/>
    <cellStyle name="Percent 108 2 2" xfId="52243"/>
    <cellStyle name="Percent 108 2 2 2" xfId="52244"/>
    <cellStyle name="Percent 108 2 2 2 2" xfId="52245"/>
    <cellStyle name="Percent 108 2 2 2 3" xfId="52246"/>
    <cellStyle name="Percent 108 2 2 2 4" xfId="52247"/>
    <cellStyle name="Percent 108 2 2 2 5" xfId="52248"/>
    <cellStyle name="Percent 108 2 2 2 6" xfId="52249"/>
    <cellStyle name="Percent 108 2 2 3" xfId="52250"/>
    <cellStyle name="Percent 108 2 2 4" xfId="52251"/>
    <cellStyle name="Percent 108 2 2 5" xfId="52252"/>
    <cellStyle name="Percent 108 2 2 6" xfId="52253"/>
    <cellStyle name="Percent 108 2 2 7" xfId="52254"/>
    <cellStyle name="Percent 108 2 3" xfId="52255"/>
    <cellStyle name="Percent 108 2 3 2" xfId="52256"/>
    <cellStyle name="Percent 108 2 3 3" xfId="52257"/>
    <cellStyle name="Percent 108 2 3 4" xfId="52258"/>
    <cellStyle name="Percent 108 2 3 5" xfId="52259"/>
    <cellStyle name="Percent 108 2 3 6" xfId="52260"/>
    <cellStyle name="Percent 108 2 4" xfId="52261"/>
    <cellStyle name="Percent 108 2 5" xfId="52262"/>
    <cellStyle name="Percent 108 2 6" xfId="52263"/>
    <cellStyle name="Percent 108 2 7" xfId="52264"/>
    <cellStyle name="Percent 108 2 8" xfId="52265"/>
    <cellStyle name="Percent 108 3" xfId="52266"/>
    <cellStyle name="Percent 108 3 2" xfId="52267"/>
    <cellStyle name="Percent 108 3 2 2" xfId="52268"/>
    <cellStyle name="Percent 108 3 2 3" xfId="52269"/>
    <cellStyle name="Percent 108 3 2 4" xfId="52270"/>
    <cellStyle name="Percent 108 3 2 5" xfId="52271"/>
    <cellStyle name="Percent 108 3 2 6" xfId="52272"/>
    <cellStyle name="Percent 108 3 3" xfId="52273"/>
    <cellStyle name="Percent 108 3 4" xfId="52274"/>
    <cellStyle name="Percent 108 3 5" xfId="52275"/>
    <cellStyle name="Percent 108 3 6" xfId="52276"/>
    <cellStyle name="Percent 108 3 7" xfId="52277"/>
    <cellStyle name="Percent 108 4" xfId="52278"/>
    <cellStyle name="Percent 108 4 2" xfId="52279"/>
    <cellStyle name="Percent 108 4 3" xfId="52280"/>
    <cellStyle name="Percent 108 4 4" xfId="52281"/>
    <cellStyle name="Percent 108 4 5" xfId="52282"/>
    <cellStyle name="Percent 108 4 6" xfId="52283"/>
    <cellStyle name="Percent 108 5" xfId="52284"/>
    <cellStyle name="Percent 108 6" xfId="52285"/>
    <cellStyle name="Percent 108 7" xfId="52286"/>
    <cellStyle name="Percent 108 8" xfId="52287"/>
    <cellStyle name="Percent 108 9" xfId="52288"/>
    <cellStyle name="Percent 109" xfId="52289"/>
    <cellStyle name="Percent 109 2" xfId="52290"/>
    <cellStyle name="Percent 109 2 2" xfId="52291"/>
    <cellStyle name="Percent 109 2 2 2" xfId="52292"/>
    <cellStyle name="Percent 109 2 2 3" xfId="52293"/>
    <cellStyle name="Percent 109 2 2 4" xfId="52294"/>
    <cellStyle name="Percent 109 2 2 5" xfId="52295"/>
    <cellStyle name="Percent 109 2 2 6" xfId="52296"/>
    <cellStyle name="Percent 109 2 3" xfId="52297"/>
    <cellStyle name="Percent 109 2 4" xfId="52298"/>
    <cellStyle name="Percent 109 2 5" xfId="52299"/>
    <cellStyle name="Percent 109 2 6" xfId="52300"/>
    <cellStyle name="Percent 109 2 7" xfId="52301"/>
    <cellStyle name="Percent 109 3" xfId="52302"/>
    <cellStyle name="Percent 109 3 2" xfId="52303"/>
    <cellStyle name="Percent 109 3 3" xfId="52304"/>
    <cellStyle name="Percent 109 3 4" xfId="52305"/>
    <cellStyle name="Percent 109 3 5" xfId="52306"/>
    <cellStyle name="Percent 109 3 6" xfId="52307"/>
    <cellStyle name="Percent 109 4" xfId="52308"/>
    <cellStyle name="Percent 109 5" xfId="52309"/>
    <cellStyle name="Percent 109 6" xfId="52310"/>
    <cellStyle name="Percent 109 7" xfId="52311"/>
    <cellStyle name="Percent 109 8" xfId="52312"/>
    <cellStyle name="Percent 11" xfId="52313"/>
    <cellStyle name="Percent 110" xfId="52314"/>
    <cellStyle name="Percent 110 2" xfId="52315"/>
    <cellStyle name="Percent 110 2 2" xfId="52316"/>
    <cellStyle name="Percent 110 2 2 2" xfId="52317"/>
    <cellStyle name="Percent 110 2 2 3" xfId="52318"/>
    <cellStyle name="Percent 110 2 2 4" xfId="52319"/>
    <cellStyle name="Percent 110 2 2 5" xfId="52320"/>
    <cellStyle name="Percent 110 2 2 6" xfId="52321"/>
    <cellStyle name="Percent 110 2 3" xfId="52322"/>
    <cellStyle name="Percent 110 2 4" xfId="52323"/>
    <cellStyle name="Percent 110 2 5" xfId="52324"/>
    <cellStyle name="Percent 110 2 6" xfId="52325"/>
    <cellStyle name="Percent 110 2 7" xfId="52326"/>
    <cellStyle name="Percent 110 3" xfId="52327"/>
    <cellStyle name="Percent 110 3 2" xfId="52328"/>
    <cellStyle name="Percent 110 3 3" xfId="52329"/>
    <cellStyle name="Percent 110 3 4" xfId="52330"/>
    <cellStyle name="Percent 110 3 5" xfId="52331"/>
    <cellStyle name="Percent 110 3 6" xfId="52332"/>
    <cellStyle name="Percent 110 4" xfId="52333"/>
    <cellStyle name="Percent 110 5" xfId="52334"/>
    <cellStyle name="Percent 110 6" xfId="52335"/>
    <cellStyle name="Percent 110 7" xfId="52336"/>
    <cellStyle name="Percent 110 8" xfId="52337"/>
    <cellStyle name="Percent 111" xfId="52338"/>
    <cellStyle name="Percent 111 2" xfId="52339"/>
    <cellStyle name="Percent 111 2 2" xfId="52340"/>
    <cellStyle name="Percent 111 2 2 2" xfId="52341"/>
    <cellStyle name="Percent 111 2 2 3" xfId="52342"/>
    <cellStyle name="Percent 111 2 2 4" xfId="52343"/>
    <cellStyle name="Percent 111 2 2 5" xfId="52344"/>
    <cellStyle name="Percent 111 2 2 6" xfId="52345"/>
    <cellStyle name="Percent 111 2 3" xfId="52346"/>
    <cellStyle name="Percent 111 2 4" xfId="52347"/>
    <cellStyle name="Percent 111 2 5" xfId="52348"/>
    <cellStyle name="Percent 111 2 6" xfId="52349"/>
    <cellStyle name="Percent 111 2 7" xfId="52350"/>
    <cellStyle name="Percent 111 3" xfId="52351"/>
    <cellStyle name="Percent 111 3 2" xfId="52352"/>
    <cellStyle name="Percent 111 3 3" xfId="52353"/>
    <cellStyle name="Percent 111 3 4" xfId="52354"/>
    <cellStyle name="Percent 111 3 5" xfId="52355"/>
    <cellStyle name="Percent 111 3 6" xfId="52356"/>
    <cellStyle name="Percent 111 4" xfId="52357"/>
    <cellStyle name="Percent 111 5" xfId="52358"/>
    <cellStyle name="Percent 111 6" xfId="52359"/>
    <cellStyle name="Percent 111 7" xfId="52360"/>
    <cellStyle name="Percent 111 8" xfId="52361"/>
    <cellStyle name="Percent 112" xfId="52362"/>
    <cellStyle name="Percent 113" xfId="52363"/>
    <cellStyle name="Percent 114" xfId="52364"/>
    <cellStyle name="Percent 115" xfId="52365"/>
    <cellStyle name="Percent 116" xfId="52366"/>
    <cellStyle name="Percent 117" xfId="52367"/>
    <cellStyle name="Percent 118" xfId="52368"/>
    <cellStyle name="Percent 119" xfId="52369"/>
    <cellStyle name="Percent 12" xfId="52370"/>
    <cellStyle name="Percent 120" xfId="52371"/>
    <cellStyle name="Percent 121" xfId="52372"/>
    <cellStyle name="Percent 122" xfId="52373"/>
    <cellStyle name="Percent 123" xfId="52374"/>
    <cellStyle name="Percent 124" xfId="65"/>
    <cellStyle name="Percent 124 2" xfId="52375"/>
    <cellStyle name="Percent 124 2 2" xfId="52376"/>
    <cellStyle name="Percent 124 2 3" xfId="52377"/>
    <cellStyle name="Percent 124 2 4" xfId="52378"/>
    <cellStyle name="Percent 124 2 5" xfId="52379"/>
    <cellStyle name="Percent 124 2 6" xfId="52380"/>
    <cellStyle name="Percent 124 3" xfId="52381"/>
    <cellStyle name="Percent 124 4" xfId="52382"/>
    <cellStyle name="Percent 124 5" xfId="52383"/>
    <cellStyle name="Percent 124 6" xfId="52384"/>
    <cellStyle name="Percent 124 7" xfId="52385"/>
    <cellStyle name="Percent 13" xfId="52386"/>
    <cellStyle name="Percent 13 2" xfId="52387"/>
    <cellStyle name="Percent 14" xfId="52388"/>
    <cellStyle name="Percent 14 2" xfId="52389"/>
    <cellStyle name="Percent 15" xfId="52390"/>
    <cellStyle name="Percent 15 2" xfId="52391"/>
    <cellStyle name="Percent 15 2 2" xfId="52392"/>
    <cellStyle name="Percent 16" xfId="52393"/>
    <cellStyle name="Percent 16 2" xfId="52394"/>
    <cellStyle name="Percent 17" xfId="52395"/>
    <cellStyle name="Percent 17 2" xfId="52396"/>
    <cellStyle name="Percent 18" xfId="52397"/>
    <cellStyle name="Percent 18 2" xfId="52398"/>
    <cellStyle name="Percent 19" xfId="52399"/>
    <cellStyle name="Percent 19 2" xfId="52400"/>
    <cellStyle name="Percent 2" xfId="7"/>
    <cellStyle name="Percent 2 2" xfId="52401"/>
    <cellStyle name="Percent 2 2 2" xfId="52402"/>
    <cellStyle name="Percent 2 3" xfId="52403"/>
    <cellStyle name="Percent 2 3 2" xfId="52404"/>
    <cellStyle name="Percent 2 3 2 10" xfId="52405"/>
    <cellStyle name="Percent 2 3 2 2" xfId="52406"/>
    <cellStyle name="Percent 2 3 2 2 2" xfId="52407"/>
    <cellStyle name="Percent 2 3 2 2 2 2" xfId="52408"/>
    <cellStyle name="Percent 2 3 2 2 2 2 2" xfId="52409"/>
    <cellStyle name="Percent 2 3 2 2 2 2 2 2" xfId="52410"/>
    <cellStyle name="Percent 2 3 2 2 2 2 2 3" xfId="52411"/>
    <cellStyle name="Percent 2 3 2 2 2 2 2 4" xfId="52412"/>
    <cellStyle name="Percent 2 3 2 2 2 2 2 5" xfId="52413"/>
    <cellStyle name="Percent 2 3 2 2 2 2 2 6" xfId="52414"/>
    <cellStyle name="Percent 2 3 2 2 2 2 3" xfId="52415"/>
    <cellStyle name="Percent 2 3 2 2 2 2 4" xfId="52416"/>
    <cellStyle name="Percent 2 3 2 2 2 2 5" xfId="52417"/>
    <cellStyle name="Percent 2 3 2 2 2 2 6" xfId="52418"/>
    <cellStyle name="Percent 2 3 2 2 2 2 7" xfId="52419"/>
    <cellStyle name="Percent 2 3 2 2 2 3" xfId="52420"/>
    <cellStyle name="Percent 2 3 2 2 2 3 2" xfId="52421"/>
    <cellStyle name="Percent 2 3 2 2 2 3 3" xfId="52422"/>
    <cellStyle name="Percent 2 3 2 2 2 3 4" xfId="52423"/>
    <cellStyle name="Percent 2 3 2 2 2 3 5" xfId="52424"/>
    <cellStyle name="Percent 2 3 2 2 2 3 6" xfId="52425"/>
    <cellStyle name="Percent 2 3 2 2 2 4" xfId="52426"/>
    <cellStyle name="Percent 2 3 2 2 2 5" xfId="52427"/>
    <cellStyle name="Percent 2 3 2 2 2 6" xfId="52428"/>
    <cellStyle name="Percent 2 3 2 2 2 7" xfId="52429"/>
    <cellStyle name="Percent 2 3 2 2 2 8" xfId="52430"/>
    <cellStyle name="Percent 2 3 2 2 3" xfId="52431"/>
    <cellStyle name="Percent 2 3 2 2 3 2" xfId="52432"/>
    <cellStyle name="Percent 2 3 2 2 3 2 2" xfId="52433"/>
    <cellStyle name="Percent 2 3 2 2 3 2 3" xfId="52434"/>
    <cellStyle name="Percent 2 3 2 2 3 2 4" xfId="52435"/>
    <cellStyle name="Percent 2 3 2 2 3 2 5" xfId="52436"/>
    <cellStyle name="Percent 2 3 2 2 3 2 6" xfId="52437"/>
    <cellStyle name="Percent 2 3 2 2 3 3" xfId="52438"/>
    <cellStyle name="Percent 2 3 2 2 3 4" xfId="52439"/>
    <cellStyle name="Percent 2 3 2 2 3 5" xfId="52440"/>
    <cellStyle name="Percent 2 3 2 2 3 6" xfId="52441"/>
    <cellStyle name="Percent 2 3 2 2 3 7" xfId="52442"/>
    <cellStyle name="Percent 2 3 2 2 4" xfId="52443"/>
    <cellStyle name="Percent 2 3 2 2 4 2" xfId="52444"/>
    <cellStyle name="Percent 2 3 2 2 4 3" xfId="52445"/>
    <cellStyle name="Percent 2 3 2 2 4 4" xfId="52446"/>
    <cellStyle name="Percent 2 3 2 2 4 5" xfId="52447"/>
    <cellStyle name="Percent 2 3 2 2 4 6" xfId="52448"/>
    <cellStyle name="Percent 2 3 2 2 5" xfId="52449"/>
    <cellStyle name="Percent 2 3 2 2 6" xfId="52450"/>
    <cellStyle name="Percent 2 3 2 2 7" xfId="52451"/>
    <cellStyle name="Percent 2 3 2 2 8" xfId="52452"/>
    <cellStyle name="Percent 2 3 2 2 9" xfId="52453"/>
    <cellStyle name="Percent 2 3 2 3" xfId="52454"/>
    <cellStyle name="Percent 2 3 2 3 2" xfId="52455"/>
    <cellStyle name="Percent 2 3 2 3 2 2" xfId="52456"/>
    <cellStyle name="Percent 2 3 2 3 2 2 2" xfId="52457"/>
    <cellStyle name="Percent 2 3 2 3 2 2 3" xfId="52458"/>
    <cellStyle name="Percent 2 3 2 3 2 2 4" xfId="52459"/>
    <cellStyle name="Percent 2 3 2 3 2 2 5" xfId="52460"/>
    <cellStyle name="Percent 2 3 2 3 2 2 6" xfId="52461"/>
    <cellStyle name="Percent 2 3 2 3 2 3" xfId="52462"/>
    <cellStyle name="Percent 2 3 2 3 2 4" xfId="52463"/>
    <cellStyle name="Percent 2 3 2 3 2 5" xfId="52464"/>
    <cellStyle name="Percent 2 3 2 3 2 6" xfId="52465"/>
    <cellStyle name="Percent 2 3 2 3 2 7" xfId="52466"/>
    <cellStyle name="Percent 2 3 2 3 3" xfId="52467"/>
    <cellStyle name="Percent 2 3 2 3 3 2" xfId="52468"/>
    <cellStyle name="Percent 2 3 2 3 3 3" xfId="52469"/>
    <cellStyle name="Percent 2 3 2 3 3 4" xfId="52470"/>
    <cellStyle name="Percent 2 3 2 3 3 5" xfId="52471"/>
    <cellStyle name="Percent 2 3 2 3 3 6" xfId="52472"/>
    <cellStyle name="Percent 2 3 2 3 4" xfId="52473"/>
    <cellStyle name="Percent 2 3 2 3 5" xfId="52474"/>
    <cellStyle name="Percent 2 3 2 3 6" xfId="52475"/>
    <cellStyle name="Percent 2 3 2 3 7" xfId="52476"/>
    <cellStyle name="Percent 2 3 2 3 8" xfId="52477"/>
    <cellStyle name="Percent 2 3 2 4" xfId="52478"/>
    <cellStyle name="Percent 2 3 2 4 2" xfId="52479"/>
    <cellStyle name="Percent 2 3 2 4 2 2" xfId="52480"/>
    <cellStyle name="Percent 2 3 2 4 2 3" xfId="52481"/>
    <cellStyle name="Percent 2 3 2 4 2 4" xfId="52482"/>
    <cellStyle name="Percent 2 3 2 4 2 5" xfId="52483"/>
    <cellStyle name="Percent 2 3 2 4 2 6" xfId="52484"/>
    <cellStyle name="Percent 2 3 2 4 3" xfId="52485"/>
    <cellStyle name="Percent 2 3 2 4 4" xfId="52486"/>
    <cellStyle name="Percent 2 3 2 4 5" xfId="52487"/>
    <cellStyle name="Percent 2 3 2 4 6" xfId="52488"/>
    <cellStyle name="Percent 2 3 2 4 7" xfId="52489"/>
    <cellStyle name="Percent 2 3 2 5" xfId="52490"/>
    <cellStyle name="Percent 2 3 2 5 2" xfId="52491"/>
    <cellStyle name="Percent 2 3 2 5 3" xfId="52492"/>
    <cellStyle name="Percent 2 3 2 5 4" xfId="52493"/>
    <cellStyle name="Percent 2 3 2 5 5" xfId="52494"/>
    <cellStyle name="Percent 2 3 2 5 6" xfId="52495"/>
    <cellStyle name="Percent 2 3 2 6" xfId="52496"/>
    <cellStyle name="Percent 2 3 2 7" xfId="52497"/>
    <cellStyle name="Percent 2 3 2 8" xfId="52498"/>
    <cellStyle name="Percent 2 3 2 9" xfId="52499"/>
    <cellStyle name="Percent 2 3 3" xfId="52500"/>
    <cellStyle name="Percent 2 3 3 10" xfId="52501"/>
    <cellStyle name="Percent 2 3 3 2" xfId="52502"/>
    <cellStyle name="Percent 2 3 3 2 2" xfId="52503"/>
    <cellStyle name="Percent 2 3 3 2 2 2" xfId="52504"/>
    <cellStyle name="Percent 2 3 3 2 2 2 2" xfId="52505"/>
    <cellStyle name="Percent 2 3 3 2 2 2 2 2" xfId="52506"/>
    <cellStyle name="Percent 2 3 3 2 2 2 2 3" xfId="52507"/>
    <cellStyle name="Percent 2 3 3 2 2 2 2 4" xfId="52508"/>
    <cellStyle name="Percent 2 3 3 2 2 2 2 5" xfId="52509"/>
    <cellStyle name="Percent 2 3 3 2 2 2 2 6" xfId="52510"/>
    <cellStyle name="Percent 2 3 3 2 2 2 3" xfId="52511"/>
    <cellStyle name="Percent 2 3 3 2 2 2 4" xfId="52512"/>
    <cellStyle name="Percent 2 3 3 2 2 2 5" xfId="52513"/>
    <cellStyle name="Percent 2 3 3 2 2 2 6" xfId="52514"/>
    <cellStyle name="Percent 2 3 3 2 2 2 7" xfId="52515"/>
    <cellStyle name="Percent 2 3 3 2 2 3" xfId="52516"/>
    <cellStyle name="Percent 2 3 3 2 2 3 2" xfId="52517"/>
    <cellStyle name="Percent 2 3 3 2 2 3 3" xfId="52518"/>
    <cellStyle name="Percent 2 3 3 2 2 3 4" xfId="52519"/>
    <cellStyle name="Percent 2 3 3 2 2 3 5" xfId="52520"/>
    <cellStyle name="Percent 2 3 3 2 2 3 6" xfId="52521"/>
    <cellStyle name="Percent 2 3 3 2 2 4" xfId="52522"/>
    <cellStyle name="Percent 2 3 3 2 2 5" xfId="52523"/>
    <cellStyle name="Percent 2 3 3 2 2 6" xfId="52524"/>
    <cellStyle name="Percent 2 3 3 2 2 7" xfId="52525"/>
    <cellStyle name="Percent 2 3 3 2 2 8" xfId="52526"/>
    <cellStyle name="Percent 2 3 3 2 3" xfId="52527"/>
    <cellStyle name="Percent 2 3 3 2 3 2" xfId="52528"/>
    <cellStyle name="Percent 2 3 3 2 3 2 2" xfId="52529"/>
    <cellStyle name="Percent 2 3 3 2 3 2 3" xfId="52530"/>
    <cellStyle name="Percent 2 3 3 2 3 2 4" xfId="52531"/>
    <cellStyle name="Percent 2 3 3 2 3 2 5" xfId="52532"/>
    <cellStyle name="Percent 2 3 3 2 3 2 6" xfId="52533"/>
    <cellStyle name="Percent 2 3 3 2 3 3" xfId="52534"/>
    <cellStyle name="Percent 2 3 3 2 3 4" xfId="52535"/>
    <cellStyle name="Percent 2 3 3 2 3 5" xfId="52536"/>
    <cellStyle name="Percent 2 3 3 2 3 6" xfId="52537"/>
    <cellStyle name="Percent 2 3 3 2 3 7" xfId="52538"/>
    <cellStyle name="Percent 2 3 3 2 4" xfId="52539"/>
    <cellStyle name="Percent 2 3 3 2 4 2" xfId="52540"/>
    <cellStyle name="Percent 2 3 3 2 4 3" xfId="52541"/>
    <cellStyle name="Percent 2 3 3 2 4 4" xfId="52542"/>
    <cellStyle name="Percent 2 3 3 2 4 5" xfId="52543"/>
    <cellStyle name="Percent 2 3 3 2 4 6" xfId="52544"/>
    <cellStyle name="Percent 2 3 3 2 5" xfId="52545"/>
    <cellStyle name="Percent 2 3 3 2 6" xfId="52546"/>
    <cellStyle name="Percent 2 3 3 2 7" xfId="52547"/>
    <cellStyle name="Percent 2 3 3 2 8" xfId="52548"/>
    <cellStyle name="Percent 2 3 3 2 9" xfId="52549"/>
    <cellStyle name="Percent 2 3 3 3" xfId="52550"/>
    <cellStyle name="Percent 2 3 3 3 2" xfId="52551"/>
    <cellStyle name="Percent 2 3 3 3 2 2" xfId="52552"/>
    <cellStyle name="Percent 2 3 3 3 2 2 2" xfId="52553"/>
    <cellStyle name="Percent 2 3 3 3 2 2 3" xfId="52554"/>
    <cellStyle name="Percent 2 3 3 3 2 2 4" xfId="52555"/>
    <cellStyle name="Percent 2 3 3 3 2 2 5" xfId="52556"/>
    <cellStyle name="Percent 2 3 3 3 2 2 6" xfId="52557"/>
    <cellStyle name="Percent 2 3 3 3 2 3" xfId="52558"/>
    <cellStyle name="Percent 2 3 3 3 2 4" xfId="52559"/>
    <cellStyle name="Percent 2 3 3 3 2 5" xfId="52560"/>
    <cellStyle name="Percent 2 3 3 3 2 6" xfId="52561"/>
    <cellStyle name="Percent 2 3 3 3 2 7" xfId="52562"/>
    <cellStyle name="Percent 2 3 3 3 3" xfId="52563"/>
    <cellStyle name="Percent 2 3 3 3 3 2" xfId="52564"/>
    <cellStyle name="Percent 2 3 3 3 3 3" xfId="52565"/>
    <cellStyle name="Percent 2 3 3 3 3 4" xfId="52566"/>
    <cellStyle name="Percent 2 3 3 3 3 5" xfId="52567"/>
    <cellStyle name="Percent 2 3 3 3 3 6" xfId="52568"/>
    <cellStyle name="Percent 2 3 3 3 4" xfId="52569"/>
    <cellStyle name="Percent 2 3 3 3 5" xfId="52570"/>
    <cellStyle name="Percent 2 3 3 3 6" xfId="52571"/>
    <cellStyle name="Percent 2 3 3 3 7" xfId="52572"/>
    <cellStyle name="Percent 2 3 3 3 8" xfId="52573"/>
    <cellStyle name="Percent 2 3 3 4" xfId="52574"/>
    <cellStyle name="Percent 2 3 3 4 2" xfId="52575"/>
    <cellStyle name="Percent 2 3 3 4 2 2" xfId="52576"/>
    <cellStyle name="Percent 2 3 3 4 2 3" xfId="52577"/>
    <cellStyle name="Percent 2 3 3 4 2 4" xfId="52578"/>
    <cellStyle name="Percent 2 3 3 4 2 5" xfId="52579"/>
    <cellStyle name="Percent 2 3 3 4 2 6" xfId="52580"/>
    <cellStyle name="Percent 2 3 3 4 3" xfId="52581"/>
    <cellStyle name="Percent 2 3 3 4 4" xfId="52582"/>
    <cellStyle name="Percent 2 3 3 4 5" xfId="52583"/>
    <cellStyle name="Percent 2 3 3 4 6" xfId="52584"/>
    <cellStyle name="Percent 2 3 3 4 7" xfId="52585"/>
    <cellStyle name="Percent 2 3 3 5" xfId="52586"/>
    <cellStyle name="Percent 2 3 3 5 2" xfId="52587"/>
    <cellStyle name="Percent 2 3 3 5 3" xfId="52588"/>
    <cellStyle name="Percent 2 3 3 5 4" xfId="52589"/>
    <cellStyle name="Percent 2 3 3 5 5" xfId="52590"/>
    <cellStyle name="Percent 2 3 3 5 6" xfId="52591"/>
    <cellStyle name="Percent 2 3 3 6" xfId="52592"/>
    <cellStyle name="Percent 2 3 3 7" xfId="52593"/>
    <cellStyle name="Percent 2 3 3 8" xfId="52594"/>
    <cellStyle name="Percent 2 3 3 9" xfId="52595"/>
    <cellStyle name="Percent 2 3 4" xfId="52596"/>
    <cellStyle name="Percent 2 3 4 2" xfId="52597"/>
    <cellStyle name="Percent 2 3 4 2 2" xfId="52598"/>
    <cellStyle name="Percent 2 3 4 2 2 2" xfId="52599"/>
    <cellStyle name="Percent 2 3 4 2 2 2 2" xfId="52600"/>
    <cellStyle name="Percent 2 3 4 2 2 2 3" xfId="52601"/>
    <cellStyle name="Percent 2 3 4 2 2 2 4" xfId="52602"/>
    <cellStyle name="Percent 2 3 4 2 2 2 5" xfId="52603"/>
    <cellStyle name="Percent 2 3 4 2 2 2 6" xfId="52604"/>
    <cellStyle name="Percent 2 3 4 2 2 3" xfId="52605"/>
    <cellStyle name="Percent 2 3 4 2 2 4" xfId="52606"/>
    <cellStyle name="Percent 2 3 4 2 2 5" xfId="52607"/>
    <cellStyle name="Percent 2 3 4 2 2 6" xfId="52608"/>
    <cellStyle name="Percent 2 3 4 2 2 7" xfId="52609"/>
    <cellStyle name="Percent 2 3 4 2 3" xfId="52610"/>
    <cellStyle name="Percent 2 3 4 2 3 2" xfId="52611"/>
    <cellStyle name="Percent 2 3 4 2 3 3" xfId="52612"/>
    <cellStyle name="Percent 2 3 4 2 3 4" xfId="52613"/>
    <cellStyle name="Percent 2 3 4 2 3 5" xfId="52614"/>
    <cellStyle name="Percent 2 3 4 2 3 6" xfId="52615"/>
    <cellStyle name="Percent 2 3 4 2 4" xfId="52616"/>
    <cellStyle name="Percent 2 3 4 2 5" xfId="52617"/>
    <cellStyle name="Percent 2 3 4 2 6" xfId="52618"/>
    <cellStyle name="Percent 2 3 4 2 7" xfId="52619"/>
    <cellStyle name="Percent 2 3 4 2 8" xfId="52620"/>
    <cellStyle name="Percent 2 3 4 3" xfId="52621"/>
    <cellStyle name="Percent 2 3 4 3 2" xfId="52622"/>
    <cellStyle name="Percent 2 3 4 3 2 2" xfId="52623"/>
    <cellStyle name="Percent 2 3 4 3 2 3" xfId="52624"/>
    <cellStyle name="Percent 2 3 4 3 2 4" xfId="52625"/>
    <cellStyle name="Percent 2 3 4 3 2 5" xfId="52626"/>
    <cellStyle name="Percent 2 3 4 3 2 6" xfId="52627"/>
    <cellStyle name="Percent 2 3 4 3 3" xfId="52628"/>
    <cellStyle name="Percent 2 3 4 3 4" xfId="52629"/>
    <cellStyle name="Percent 2 3 4 3 5" xfId="52630"/>
    <cellStyle name="Percent 2 3 4 3 6" xfId="52631"/>
    <cellStyle name="Percent 2 3 4 3 7" xfId="52632"/>
    <cellStyle name="Percent 2 3 4 4" xfId="52633"/>
    <cellStyle name="Percent 2 3 4 4 2" xfId="52634"/>
    <cellStyle name="Percent 2 3 4 4 3" xfId="52635"/>
    <cellStyle name="Percent 2 3 4 4 4" xfId="52636"/>
    <cellStyle name="Percent 2 3 4 4 5" xfId="52637"/>
    <cellStyle name="Percent 2 3 4 4 6" xfId="52638"/>
    <cellStyle name="Percent 2 3 4 5" xfId="52639"/>
    <cellStyle name="Percent 2 3 4 6" xfId="52640"/>
    <cellStyle name="Percent 2 3 4 7" xfId="52641"/>
    <cellStyle name="Percent 2 3 4 8" xfId="52642"/>
    <cellStyle name="Percent 2 3 4 9" xfId="52643"/>
    <cellStyle name="Percent 2 4" xfId="52644"/>
    <cellStyle name="Percent 2 5" xfId="52645"/>
    <cellStyle name="Percent 2 5 2" xfId="52646"/>
    <cellStyle name="Percent 2 6" xfId="52647"/>
    <cellStyle name="Percent 20" xfId="52648"/>
    <cellStyle name="Percent 20 2" xfId="52649"/>
    <cellStyle name="Percent 21" xfId="52650"/>
    <cellStyle name="Percent 21 2" xfId="52651"/>
    <cellStyle name="Percent 22" xfId="52652"/>
    <cellStyle name="Percent 22 2" xfId="52653"/>
    <cellStyle name="Percent 23" xfId="52654"/>
    <cellStyle name="Percent 23 2" xfId="52655"/>
    <cellStyle name="Percent 24" xfId="52656"/>
    <cellStyle name="Percent 24 2" xfId="52657"/>
    <cellStyle name="Percent 25" xfId="52658"/>
    <cellStyle name="Percent 25 2" xfId="52659"/>
    <cellStyle name="Percent 26" xfId="52660"/>
    <cellStyle name="Percent 26 2" xfId="52661"/>
    <cellStyle name="Percent 27" xfId="52662"/>
    <cellStyle name="Percent 27 2" xfId="52663"/>
    <cellStyle name="Percent 28" xfId="52664"/>
    <cellStyle name="Percent 28 2" xfId="52665"/>
    <cellStyle name="Percent 29" xfId="52666"/>
    <cellStyle name="Percent 29 2" xfId="52667"/>
    <cellStyle name="Percent 3" xfId="9"/>
    <cellStyle name="Percent 3 2" xfId="56"/>
    <cellStyle name="Percent 3 3" xfId="52668"/>
    <cellStyle name="Percent 3 4" xfId="52669"/>
    <cellStyle name="Percent 30" xfId="52670"/>
    <cellStyle name="Percent 30 2" xfId="52671"/>
    <cellStyle name="Percent 31" xfId="52672"/>
    <cellStyle name="Percent 31 2" xfId="52673"/>
    <cellStyle name="Percent 32" xfId="52674"/>
    <cellStyle name="Percent 32 2" xfId="52675"/>
    <cellStyle name="Percent 33" xfId="52676"/>
    <cellStyle name="Percent 33 2" xfId="52677"/>
    <cellStyle name="Percent 34" xfId="52678"/>
    <cellStyle name="Percent 34 2" xfId="52679"/>
    <cellStyle name="Percent 35" xfId="52680"/>
    <cellStyle name="Percent 35 2" xfId="52681"/>
    <cellStyle name="Percent 36" xfId="52682"/>
    <cellStyle name="Percent 36 2" xfId="52683"/>
    <cellStyle name="Percent 37" xfId="52684"/>
    <cellStyle name="Percent 37 2" xfId="52685"/>
    <cellStyle name="Percent 38" xfId="52686"/>
    <cellStyle name="Percent 38 2" xfId="52687"/>
    <cellStyle name="Percent 39" xfId="52688"/>
    <cellStyle name="Percent 39 2" xfId="52689"/>
    <cellStyle name="Percent 4" xfId="18"/>
    <cellStyle name="Percent 4 2" xfId="52690"/>
    <cellStyle name="Percent 4 3" xfId="52691"/>
    <cellStyle name="Percent 40" xfId="52692"/>
    <cellStyle name="Percent 40 2" xfId="52693"/>
    <cellStyle name="Percent 41" xfId="52694"/>
    <cellStyle name="Percent 41 2" xfId="52695"/>
    <cellStyle name="Percent 42" xfId="52696"/>
    <cellStyle name="Percent 42 2" xfId="52697"/>
    <cellStyle name="Percent 43" xfId="52698"/>
    <cellStyle name="Percent 43 2" xfId="52699"/>
    <cellStyle name="Percent 44" xfId="52700"/>
    <cellStyle name="Percent 44 2" xfId="52701"/>
    <cellStyle name="Percent 45" xfId="52702"/>
    <cellStyle name="Percent 45 2" xfId="52703"/>
    <cellStyle name="Percent 46" xfId="52704"/>
    <cellStyle name="Percent 46 2" xfId="52705"/>
    <cellStyle name="Percent 47" xfId="52706"/>
    <cellStyle name="Percent 47 2" xfId="52707"/>
    <cellStyle name="Percent 48" xfId="52708"/>
    <cellStyle name="Percent 48 2" xfId="52709"/>
    <cellStyle name="Percent 49" xfId="52710"/>
    <cellStyle name="Percent 49 2" xfId="52711"/>
    <cellStyle name="Percent 5" xfId="52712"/>
    <cellStyle name="Percent 5 2" xfId="52713"/>
    <cellStyle name="Percent 5 3" xfId="52714"/>
    <cellStyle name="Percent 50" xfId="52715"/>
    <cellStyle name="Percent 50 2" xfId="52716"/>
    <cellStyle name="Percent 51" xfId="52717"/>
    <cellStyle name="Percent 51 2" xfId="52718"/>
    <cellStyle name="Percent 52" xfId="52719"/>
    <cellStyle name="Percent 52 2" xfId="52720"/>
    <cellStyle name="Percent 53" xfId="52721"/>
    <cellStyle name="Percent 53 2" xfId="52722"/>
    <cellStyle name="Percent 54" xfId="52723"/>
    <cellStyle name="Percent 54 2" xfId="52724"/>
    <cellStyle name="Percent 55" xfId="52725"/>
    <cellStyle name="Percent 55 2" xfId="52726"/>
    <cellStyle name="Percent 56" xfId="52727"/>
    <cellStyle name="Percent 56 2" xfId="52728"/>
    <cellStyle name="Percent 57" xfId="52729"/>
    <cellStyle name="Percent 57 10" xfId="52730"/>
    <cellStyle name="Percent 57 10 2" xfId="52731"/>
    <cellStyle name="Percent 57 10 3" xfId="52732"/>
    <cellStyle name="Percent 57 10 4" xfId="52733"/>
    <cellStyle name="Percent 57 10 5" xfId="52734"/>
    <cellStyle name="Percent 57 10 6" xfId="52735"/>
    <cellStyle name="Percent 57 11" xfId="52736"/>
    <cellStyle name="Percent 57 12" xfId="52737"/>
    <cellStyle name="Percent 57 13" xfId="52738"/>
    <cellStyle name="Percent 57 14" xfId="52739"/>
    <cellStyle name="Percent 57 15" xfId="52740"/>
    <cellStyle name="Percent 57 2" xfId="52741"/>
    <cellStyle name="Percent 57 2 10" xfId="52742"/>
    <cellStyle name="Percent 57 2 11" xfId="52743"/>
    <cellStyle name="Percent 57 2 12" xfId="52744"/>
    <cellStyle name="Percent 57 2 13" xfId="52745"/>
    <cellStyle name="Percent 57 2 14" xfId="52746"/>
    <cellStyle name="Percent 57 2 2" xfId="52747"/>
    <cellStyle name="Percent 57 2 2 2" xfId="52748"/>
    <cellStyle name="Percent 57 2 2 2 2" xfId="52749"/>
    <cellStyle name="Percent 57 2 2 2 2 2" xfId="52750"/>
    <cellStyle name="Percent 57 2 2 2 2 2 2" xfId="52751"/>
    <cellStyle name="Percent 57 2 2 2 2 2 3" xfId="52752"/>
    <cellStyle name="Percent 57 2 2 2 2 2 4" xfId="52753"/>
    <cellStyle name="Percent 57 2 2 2 2 2 5" xfId="52754"/>
    <cellStyle name="Percent 57 2 2 2 2 2 6" xfId="52755"/>
    <cellStyle name="Percent 57 2 2 2 2 3" xfId="52756"/>
    <cellStyle name="Percent 57 2 2 2 2 4" xfId="52757"/>
    <cellStyle name="Percent 57 2 2 2 2 5" xfId="52758"/>
    <cellStyle name="Percent 57 2 2 2 2 6" xfId="52759"/>
    <cellStyle name="Percent 57 2 2 2 2 7" xfId="52760"/>
    <cellStyle name="Percent 57 2 2 2 3" xfId="52761"/>
    <cellStyle name="Percent 57 2 2 2 3 2" xfId="52762"/>
    <cellStyle name="Percent 57 2 2 2 3 3" xfId="52763"/>
    <cellStyle name="Percent 57 2 2 2 3 4" xfId="52764"/>
    <cellStyle name="Percent 57 2 2 2 3 5" xfId="52765"/>
    <cellStyle name="Percent 57 2 2 2 3 6" xfId="52766"/>
    <cellStyle name="Percent 57 2 2 2 4" xfId="52767"/>
    <cellStyle name="Percent 57 2 2 2 5" xfId="52768"/>
    <cellStyle name="Percent 57 2 2 2 6" xfId="52769"/>
    <cellStyle name="Percent 57 2 2 2 7" xfId="52770"/>
    <cellStyle name="Percent 57 2 2 2 8" xfId="52771"/>
    <cellStyle name="Percent 57 2 2 3" xfId="52772"/>
    <cellStyle name="Percent 57 2 2 3 2" xfId="52773"/>
    <cellStyle name="Percent 57 2 2 3 2 2" xfId="52774"/>
    <cellStyle name="Percent 57 2 2 3 2 3" xfId="52775"/>
    <cellStyle name="Percent 57 2 2 3 2 4" xfId="52776"/>
    <cellStyle name="Percent 57 2 2 3 2 5" xfId="52777"/>
    <cellStyle name="Percent 57 2 2 3 2 6" xfId="52778"/>
    <cellStyle name="Percent 57 2 2 3 3" xfId="52779"/>
    <cellStyle name="Percent 57 2 2 3 4" xfId="52780"/>
    <cellStyle name="Percent 57 2 2 3 5" xfId="52781"/>
    <cellStyle name="Percent 57 2 2 3 6" xfId="52782"/>
    <cellStyle name="Percent 57 2 2 3 7" xfId="52783"/>
    <cellStyle name="Percent 57 2 2 4" xfId="52784"/>
    <cellStyle name="Percent 57 2 2 4 2" xfId="52785"/>
    <cellStyle name="Percent 57 2 2 4 3" xfId="52786"/>
    <cellStyle name="Percent 57 2 2 4 4" xfId="52787"/>
    <cellStyle name="Percent 57 2 2 4 5" xfId="52788"/>
    <cellStyle name="Percent 57 2 2 4 6" xfId="52789"/>
    <cellStyle name="Percent 57 2 2 5" xfId="52790"/>
    <cellStyle name="Percent 57 2 2 6" xfId="52791"/>
    <cellStyle name="Percent 57 2 2 7" xfId="52792"/>
    <cellStyle name="Percent 57 2 2 8" xfId="52793"/>
    <cellStyle name="Percent 57 2 2 9" xfId="52794"/>
    <cellStyle name="Percent 57 2 3" xfId="52795"/>
    <cellStyle name="Percent 57 2 3 2" xfId="52796"/>
    <cellStyle name="Percent 57 2 3 2 2" xfId="52797"/>
    <cellStyle name="Percent 57 2 3 2 2 2" xfId="52798"/>
    <cellStyle name="Percent 57 2 3 2 2 2 2" xfId="52799"/>
    <cellStyle name="Percent 57 2 3 2 2 2 3" xfId="52800"/>
    <cellStyle name="Percent 57 2 3 2 2 2 4" xfId="52801"/>
    <cellStyle name="Percent 57 2 3 2 2 2 5" xfId="52802"/>
    <cellStyle name="Percent 57 2 3 2 2 2 6" xfId="52803"/>
    <cellStyle name="Percent 57 2 3 2 2 3" xfId="52804"/>
    <cellStyle name="Percent 57 2 3 2 2 4" xfId="52805"/>
    <cellStyle name="Percent 57 2 3 2 2 5" xfId="52806"/>
    <cellStyle name="Percent 57 2 3 2 2 6" xfId="52807"/>
    <cellStyle name="Percent 57 2 3 2 2 7" xfId="52808"/>
    <cellStyle name="Percent 57 2 3 2 3" xfId="52809"/>
    <cellStyle name="Percent 57 2 3 2 3 2" xfId="52810"/>
    <cellStyle name="Percent 57 2 3 2 3 3" xfId="52811"/>
    <cellStyle name="Percent 57 2 3 2 3 4" xfId="52812"/>
    <cellStyle name="Percent 57 2 3 2 3 5" xfId="52813"/>
    <cellStyle name="Percent 57 2 3 2 3 6" xfId="52814"/>
    <cellStyle name="Percent 57 2 3 2 4" xfId="52815"/>
    <cellStyle name="Percent 57 2 3 2 5" xfId="52816"/>
    <cellStyle name="Percent 57 2 3 2 6" xfId="52817"/>
    <cellStyle name="Percent 57 2 3 2 7" xfId="52818"/>
    <cellStyle name="Percent 57 2 3 2 8" xfId="52819"/>
    <cellStyle name="Percent 57 2 3 3" xfId="52820"/>
    <cellStyle name="Percent 57 2 3 3 2" xfId="52821"/>
    <cellStyle name="Percent 57 2 3 3 2 2" xfId="52822"/>
    <cellStyle name="Percent 57 2 3 3 2 3" xfId="52823"/>
    <cellStyle name="Percent 57 2 3 3 2 4" xfId="52824"/>
    <cellStyle name="Percent 57 2 3 3 2 5" xfId="52825"/>
    <cellStyle name="Percent 57 2 3 3 2 6" xfId="52826"/>
    <cellStyle name="Percent 57 2 3 3 3" xfId="52827"/>
    <cellStyle name="Percent 57 2 3 3 4" xfId="52828"/>
    <cellStyle name="Percent 57 2 3 3 5" xfId="52829"/>
    <cellStyle name="Percent 57 2 3 3 6" xfId="52830"/>
    <cellStyle name="Percent 57 2 3 3 7" xfId="52831"/>
    <cellStyle name="Percent 57 2 3 4" xfId="52832"/>
    <cellStyle name="Percent 57 2 3 4 2" xfId="52833"/>
    <cellStyle name="Percent 57 2 3 4 3" xfId="52834"/>
    <cellStyle name="Percent 57 2 3 4 4" xfId="52835"/>
    <cellStyle name="Percent 57 2 3 4 5" xfId="52836"/>
    <cellStyle name="Percent 57 2 3 4 6" xfId="52837"/>
    <cellStyle name="Percent 57 2 3 5" xfId="52838"/>
    <cellStyle name="Percent 57 2 3 6" xfId="52839"/>
    <cellStyle name="Percent 57 2 3 7" xfId="52840"/>
    <cellStyle name="Percent 57 2 3 8" xfId="52841"/>
    <cellStyle name="Percent 57 2 3 9" xfId="52842"/>
    <cellStyle name="Percent 57 2 4" xfId="52843"/>
    <cellStyle name="Percent 57 2 4 2" xfId="52844"/>
    <cellStyle name="Percent 57 2 4 2 2" xfId="52845"/>
    <cellStyle name="Percent 57 2 4 2 2 2" xfId="52846"/>
    <cellStyle name="Percent 57 2 4 2 2 2 2" xfId="52847"/>
    <cellStyle name="Percent 57 2 4 2 2 2 3" xfId="52848"/>
    <cellStyle name="Percent 57 2 4 2 2 2 4" xfId="52849"/>
    <cellStyle name="Percent 57 2 4 2 2 2 5" xfId="52850"/>
    <cellStyle name="Percent 57 2 4 2 2 2 6" xfId="52851"/>
    <cellStyle name="Percent 57 2 4 2 2 3" xfId="52852"/>
    <cellStyle name="Percent 57 2 4 2 2 4" xfId="52853"/>
    <cellStyle name="Percent 57 2 4 2 2 5" xfId="52854"/>
    <cellStyle name="Percent 57 2 4 2 2 6" xfId="52855"/>
    <cellStyle name="Percent 57 2 4 2 2 7" xfId="52856"/>
    <cellStyle name="Percent 57 2 4 2 3" xfId="52857"/>
    <cellStyle name="Percent 57 2 4 2 3 2" xfId="52858"/>
    <cellStyle name="Percent 57 2 4 2 3 3" xfId="52859"/>
    <cellStyle name="Percent 57 2 4 2 3 4" xfId="52860"/>
    <cellStyle name="Percent 57 2 4 2 3 5" xfId="52861"/>
    <cellStyle name="Percent 57 2 4 2 3 6" xfId="52862"/>
    <cellStyle name="Percent 57 2 4 2 4" xfId="52863"/>
    <cellStyle name="Percent 57 2 4 2 5" xfId="52864"/>
    <cellStyle name="Percent 57 2 4 2 6" xfId="52865"/>
    <cellStyle name="Percent 57 2 4 2 7" xfId="52866"/>
    <cellStyle name="Percent 57 2 4 2 8" xfId="52867"/>
    <cellStyle name="Percent 57 2 4 3" xfId="52868"/>
    <cellStyle name="Percent 57 2 4 3 2" xfId="52869"/>
    <cellStyle name="Percent 57 2 4 3 2 2" xfId="52870"/>
    <cellStyle name="Percent 57 2 4 3 2 3" xfId="52871"/>
    <cellStyle name="Percent 57 2 4 3 2 4" xfId="52872"/>
    <cellStyle name="Percent 57 2 4 3 2 5" xfId="52873"/>
    <cellStyle name="Percent 57 2 4 3 2 6" xfId="52874"/>
    <cellStyle name="Percent 57 2 4 3 3" xfId="52875"/>
    <cellStyle name="Percent 57 2 4 3 4" xfId="52876"/>
    <cellStyle name="Percent 57 2 4 3 5" xfId="52877"/>
    <cellStyle name="Percent 57 2 4 3 6" xfId="52878"/>
    <cellStyle name="Percent 57 2 4 3 7" xfId="52879"/>
    <cellStyle name="Percent 57 2 4 4" xfId="52880"/>
    <cellStyle name="Percent 57 2 4 4 2" xfId="52881"/>
    <cellStyle name="Percent 57 2 4 4 3" xfId="52882"/>
    <cellStyle name="Percent 57 2 4 4 4" xfId="52883"/>
    <cellStyle name="Percent 57 2 4 4 5" xfId="52884"/>
    <cellStyle name="Percent 57 2 4 4 6" xfId="52885"/>
    <cellStyle name="Percent 57 2 4 5" xfId="52886"/>
    <cellStyle name="Percent 57 2 4 6" xfId="52887"/>
    <cellStyle name="Percent 57 2 4 7" xfId="52888"/>
    <cellStyle name="Percent 57 2 4 8" xfId="52889"/>
    <cellStyle name="Percent 57 2 4 9" xfId="52890"/>
    <cellStyle name="Percent 57 2 5" xfId="52891"/>
    <cellStyle name="Percent 57 2 5 2" xfId="52892"/>
    <cellStyle name="Percent 57 2 5 2 2" xfId="52893"/>
    <cellStyle name="Percent 57 2 5 2 2 2" xfId="52894"/>
    <cellStyle name="Percent 57 2 5 2 2 2 2" xfId="52895"/>
    <cellStyle name="Percent 57 2 5 2 2 2 3" xfId="52896"/>
    <cellStyle name="Percent 57 2 5 2 2 2 4" xfId="52897"/>
    <cellStyle name="Percent 57 2 5 2 2 2 5" xfId="52898"/>
    <cellStyle name="Percent 57 2 5 2 2 2 6" xfId="52899"/>
    <cellStyle name="Percent 57 2 5 2 2 3" xfId="52900"/>
    <cellStyle name="Percent 57 2 5 2 2 4" xfId="52901"/>
    <cellStyle name="Percent 57 2 5 2 2 5" xfId="52902"/>
    <cellStyle name="Percent 57 2 5 2 2 6" xfId="52903"/>
    <cellStyle name="Percent 57 2 5 2 2 7" xfId="52904"/>
    <cellStyle name="Percent 57 2 5 2 3" xfId="52905"/>
    <cellStyle name="Percent 57 2 5 2 3 2" xfId="52906"/>
    <cellStyle name="Percent 57 2 5 2 3 3" xfId="52907"/>
    <cellStyle name="Percent 57 2 5 2 3 4" xfId="52908"/>
    <cellStyle name="Percent 57 2 5 2 3 5" xfId="52909"/>
    <cellStyle name="Percent 57 2 5 2 3 6" xfId="52910"/>
    <cellStyle name="Percent 57 2 5 2 4" xfId="52911"/>
    <cellStyle name="Percent 57 2 5 2 5" xfId="52912"/>
    <cellStyle name="Percent 57 2 5 2 6" xfId="52913"/>
    <cellStyle name="Percent 57 2 5 2 7" xfId="52914"/>
    <cellStyle name="Percent 57 2 5 2 8" xfId="52915"/>
    <cellStyle name="Percent 57 2 5 3" xfId="52916"/>
    <cellStyle name="Percent 57 2 5 3 2" xfId="52917"/>
    <cellStyle name="Percent 57 2 5 3 2 2" xfId="52918"/>
    <cellStyle name="Percent 57 2 5 3 2 3" xfId="52919"/>
    <cellStyle name="Percent 57 2 5 3 2 4" xfId="52920"/>
    <cellStyle name="Percent 57 2 5 3 2 5" xfId="52921"/>
    <cellStyle name="Percent 57 2 5 3 2 6" xfId="52922"/>
    <cellStyle name="Percent 57 2 5 3 3" xfId="52923"/>
    <cellStyle name="Percent 57 2 5 3 4" xfId="52924"/>
    <cellStyle name="Percent 57 2 5 3 5" xfId="52925"/>
    <cellStyle name="Percent 57 2 5 3 6" xfId="52926"/>
    <cellStyle name="Percent 57 2 5 3 7" xfId="52927"/>
    <cellStyle name="Percent 57 2 5 4" xfId="52928"/>
    <cellStyle name="Percent 57 2 5 4 2" xfId="52929"/>
    <cellStyle name="Percent 57 2 5 4 3" xfId="52930"/>
    <cellStyle name="Percent 57 2 5 4 4" xfId="52931"/>
    <cellStyle name="Percent 57 2 5 4 5" xfId="52932"/>
    <cellStyle name="Percent 57 2 5 4 6" xfId="52933"/>
    <cellStyle name="Percent 57 2 5 5" xfId="52934"/>
    <cellStyle name="Percent 57 2 5 6" xfId="52935"/>
    <cellStyle name="Percent 57 2 5 7" xfId="52936"/>
    <cellStyle name="Percent 57 2 5 8" xfId="52937"/>
    <cellStyle name="Percent 57 2 5 9" xfId="52938"/>
    <cellStyle name="Percent 57 2 6" xfId="52939"/>
    <cellStyle name="Percent 57 2 6 2" xfId="52940"/>
    <cellStyle name="Percent 57 2 6 2 2" xfId="52941"/>
    <cellStyle name="Percent 57 2 6 2 2 2" xfId="52942"/>
    <cellStyle name="Percent 57 2 6 2 2 2 2" xfId="52943"/>
    <cellStyle name="Percent 57 2 6 2 2 2 3" xfId="52944"/>
    <cellStyle name="Percent 57 2 6 2 2 2 4" xfId="52945"/>
    <cellStyle name="Percent 57 2 6 2 2 2 5" xfId="52946"/>
    <cellStyle name="Percent 57 2 6 2 2 2 6" xfId="52947"/>
    <cellStyle name="Percent 57 2 6 2 2 3" xfId="52948"/>
    <cellStyle name="Percent 57 2 6 2 2 4" xfId="52949"/>
    <cellStyle name="Percent 57 2 6 2 2 5" xfId="52950"/>
    <cellStyle name="Percent 57 2 6 2 2 6" xfId="52951"/>
    <cellStyle name="Percent 57 2 6 2 2 7" xfId="52952"/>
    <cellStyle name="Percent 57 2 6 2 3" xfId="52953"/>
    <cellStyle name="Percent 57 2 6 2 3 2" xfId="52954"/>
    <cellStyle name="Percent 57 2 6 2 3 3" xfId="52955"/>
    <cellStyle name="Percent 57 2 6 2 3 4" xfId="52956"/>
    <cellStyle name="Percent 57 2 6 2 3 5" xfId="52957"/>
    <cellStyle name="Percent 57 2 6 2 3 6" xfId="52958"/>
    <cellStyle name="Percent 57 2 6 2 4" xfId="52959"/>
    <cellStyle name="Percent 57 2 6 2 5" xfId="52960"/>
    <cellStyle name="Percent 57 2 6 2 6" xfId="52961"/>
    <cellStyle name="Percent 57 2 6 2 7" xfId="52962"/>
    <cellStyle name="Percent 57 2 6 2 8" xfId="52963"/>
    <cellStyle name="Percent 57 2 6 3" xfId="52964"/>
    <cellStyle name="Percent 57 2 6 3 2" xfId="52965"/>
    <cellStyle name="Percent 57 2 6 3 2 2" xfId="52966"/>
    <cellStyle name="Percent 57 2 6 3 2 3" xfId="52967"/>
    <cellStyle name="Percent 57 2 6 3 2 4" xfId="52968"/>
    <cellStyle name="Percent 57 2 6 3 2 5" xfId="52969"/>
    <cellStyle name="Percent 57 2 6 3 2 6" xfId="52970"/>
    <cellStyle name="Percent 57 2 6 3 3" xfId="52971"/>
    <cellStyle name="Percent 57 2 6 3 4" xfId="52972"/>
    <cellStyle name="Percent 57 2 6 3 5" xfId="52973"/>
    <cellStyle name="Percent 57 2 6 3 6" xfId="52974"/>
    <cellStyle name="Percent 57 2 6 3 7" xfId="52975"/>
    <cellStyle name="Percent 57 2 6 4" xfId="52976"/>
    <cellStyle name="Percent 57 2 6 4 2" xfId="52977"/>
    <cellStyle name="Percent 57 2 6 4 3" xfId="52978"/>
    <cellStyle name="Percent 57 2 6 4 4" xfId="52979"/>
    <cellStyle name="Percent 57 2 6 4 5" xfId="52980"/>
    <cellStyle name="Percent 57 2 6 4 6" xfId="52981"/>
    <cellStyle name="Percent 57 2 6 5" xfId="52982"/>
    <cellStyle name="Percent 57 2 6 6" xfId="52983"/>
    <cellStyle name="Percent 57 2 6 7" xfId="52984"/>
    <cellStyle name="Percent 57 2 6 8" xfId="52985"/>
    <cellStyle name="Percent 57 2 6 9" xfId="52986"/>
    <cellStyle name="Percent 57 2 7" xfId="52987"/>
    <cellStyle name="Percent 57 2 7 2" xfId="52988"/>
    <cellStyle name="Percent 57 2 7 2 2" xfId="52989"/>
    <cellStyle name="Percent 57 2 7 2 2 2" xfId="52990"/>
    <cellStyle name="Percent 57 2 7 2 2 3" xfId="52991"/>
    <cellStyle name="Percent 57 2 7 2 2 4" xfId="52992"/>
    <cellStyle name="Percent 57 2 7 2 2 5" xfId="52993"/>
    <cellStyle name="Percent 57 2 7 2 2 6" xfId="52994"/>
    <cellStyle name="Percent 57 2 7 2 3" xfId="52995"/>
    <cellStyle name="Percent 57 2 7 2 4" xfId="52996"/>
    <cellStyle name="Percent 57 2 7 2 5" xfId="52997"/>
    <cellStyle name="Percent 57 2 7 2 6" xfId="52998"/>
    <cellStyle name="Percent 57 2 7 2 7" xfId="52999"/>
    <cellStyle name="Percent 57 2 7 3" xfId="53000"/>
    <cellStyle name="Percent 57 2 7 3 2" xfId="53001"/>
    <cellStyle name="Percent 57 2 7 3 3" xfId="53002"/>
    <cellStyle name="Percent 57 2 7 3 4" xfId="53003"/>
    <cellStyle name="Percent 57 2 7 3 5" xfId="53004"/>
    <cellStyle name="Percent 57 2 7 3 6" xfId="53005"/>
    <cellStyle name="Percent 57 2 7 4" xfId="53006"/>
    <cellStyle name="Percent 57 2 7 5" xfId="53007"/>
    <cellStyle name="Percent 57 2 7 6" xfId="53008"/>
    <cellStyle name="Percent 57 2 7 7" xfId="53009"/>
    <cellStyle name="Percent 57 2 7 8" xfId="53010"/>
    <cellStyle name="Percent 57 2 8" xfId="53011"/>
    <cellStyle name="Percent 57 2 8 2" xfId="53012"/>
    <cellStyle name="Percent 57 2 8 2 2" xfId="53013"/>
    <cellStyle name="Percent 57 2 8 2 3" xfId="53014"/>
    <cellStyle name="Percent 57 2 8 2 4" xfId="53015"/>
    <cellStyle name="Percent 57 2 8 2 5" xfId="53016"/>
    <cellStyle name="Percent 57 2 8 2 6" xfId="53017"/>
    <cellStyle name="Percent 57 2 8 3" xfId="53018"/>
    <cellStyle name="Percent 57 2 8 4" xfId="53019"/>
    <cellStyle name="Percent 57 2 8 5" xfId="53020"/>
    <cellStyle name="Percent 57 2 8 6" xfId="53021"/>
    <cellStyle name="Percent 57 2 8 7" xfId="53022"/>
    <cellStyle name="Percent 57 2 9" xfId="53023"/>
    <cellStyle name="Percent 57 2 9 2" xfId="53024"/>
    <cellStyle name="Percent 57 2 9 3" xfId="53025"/>
    <cellStyle name="Percent 57 2 9 4" xfId="53026"/>
    <cellStyle name="Percent 57 2 9 5" xfId="53027"/>
    <cellStyle name="Percent 57 2 9 6" xfId="53028"/>
    <cellStyle name="Percent 57 3" xfId="53029"/>
    <cellStyle name="Percent 57 3 2" xfId="53030"/>
    <cellStyle name="Percent 57 3 2 2" xfId="53031"/>
    <cellStyle name="Percent 57 3 2 2 2" xfId="53032"/>
    <cellStyle name="Percent 57 3 2 2 2 2" xfId="53033"/>
    <cellStyle name="Percent 57 3 2 2 2 3" xfId="53034"/>
    <cellStyle name="Percent 57 3 2 2 2 4" xfId="53035"/>
    <cellStyle name="Percent 57 3 2 2 2 5" xfId="53036"/>
    <cellStyle name="Percent 57 3 2 2 2 6" xfId="53037"/>
    <cellStyle name="Percent 57 3 2 2 3" xfId="53038"/>
    <cellStyle name="Percent 57 3 2 2 4" xfId="53039"/>
    <cellStyle name="Percent 57 3 2 2 5" xfId="53040"/>
    <cellStyle name="Percent 57 3 2 2 6" xfId="53041"/>
    <cellStyle name="Percent 57 3 2 2 7" xfId="53042"/>
    <cellStyle name="Percent 57 3 2 3" xfId="53043"/>
    <cellStyle name="Percent 57 3 2 3 2" xfId="53044"/>
    <cellStyle name="Percent 57 3 2 3 3" xfId="53045"/>
    <cellStyle name="Percent 57 3 2 3 4" xfId="53046"/>
    <cellStyle name="Percent 57 3 2 3 5" xfId="53047"/>
    <cellStyle name="Percent 57 3 2 3 6" xfId="53048"/>
    <cellStyle name="Percent 57 3 2 4" xfId="53049"/>
    <cellStyle name="Percent 57 3 2 5" xfId="53050"/>
    <cellStyle name="Percent 57 3 2 6" xfId="53051"/>
    <cellStyle name="Percent 57 3 2 7" xfId="53052"/>
    <cellStyle name="Percent 57 3 2 8" xfId="53053"/>
    <cellStyle name="Percent 57 3 3" xfId="53054"/>
    <cellStyle name="Percent 57 3 3 2" xfId="53055"/>
    <cellStyle name="Percent 57 3 3 2 2" xfId="53056"/>
    <cellStyle name="Percent 57 3 3 2 3" xfId="53057"/>
    <cellStyle name="Percent 57 3 3 2 4" xfId="53058"/>
    <cellStyle name="Percent 57 3 3 2 5" xfId="53059"/>
    <cellStyle name="Percent 57 3 3 2 6" xfId="53060"/>
    <cellStyle name="Percent 57 3 3 3" xfId="53061"/>
    <cellStyle name="Percent 57 3 3 4" xfId="53062"/>
    <cellStyle name="Percent 57 3 3 5" xfId="53063"/>
    <cellStyle name="Percent 57 3 3 6" xfId="53064"/>
    <cellStyle name="Percent 57 3 3 7" xfId="53065"/>
    <cellStyle name="Percent 57 3 4" xfId="53066"/>
    <cellStyle name="Percent 57 3 4 2" xfId="53067"/>
    <cellStyle name="Percent 57 3 4 3" xfId="53068"/>
    <cellStyle name="Percent 57 3 4 4" xfId="53069"/>
    <cellStyle name="Percent 57 3 4 5" xfId="53070"/>
    <cellStyle name="Percent 57 3 4 6" xfId="53071"/>
    <cellStyle name="Percent 57 3 5" xfId="53072"/>
    <cellStyle name="Percent 57 3 6" xfId="53073"/>
    <cellStyle name="Percent 57 3 7" xfId="53074"/>
    <cellStyle name="Percent 57 3 8" xfId="53075"/>
    <cellStyle name="Percent 57 3 9" xfId="53076"/>
    <cellStyle name="Percent 57 4" xfId="53077"/>
    <cellStyle name="Percent 57 4 2" xfId="53078"/>
    <cellStyle name="Percent 57 4 2 2" xfId="53079"/>
    <cellStyle name="Percent 57 4 2 2 2" xfId="53080"/>
    <cellStyle name="Percent 57 4 2 2 2 2" xfId="53081"/>
    <cellStyle name="Percent 57 4 2 2 2 3" xfId="53082"/>
    <cellStyle name="Percent 57 4 2 2 2 4" xfId="53083"/>
    <cellStyle name="Percent 57 4 2 2 2 5" xfId="53084"/>
    <cellStyle name="Percent 57 4 2 2 2 6" xfId="53085"/>
    <cellStyle name="Percent 57 4 2 2 3" xfId="53086"/>
    <cellStyle name="Percent 57 4 2 2 4" xfId="53087"/>
    <cellStyle name="Percent 57 4 2 2 5" xfId="53088"/>
    <cellStyle name="Percent 57 4 2 2 6" xfId="53089"/>
    <cellStyle name="Percent 57 4 2 2 7" xfId="53090"/>
    <cellStyle name="Percent 57 4 2 3" xfId="53091"/>
    <cellStyle name="Percent 57 4 2 3 2" xfId="53092"/>
    <cellStyle name="Percent 57 4 2 3 3" xfId="53093"/>
    <cellStyle name="Percent 57 4 2 3 4" xfId="53094"/>
    <cellStyle name="Percent 57 4 2 3 5" xfId="53095"/>
    <cellStyle name="Percent 57 4 2 3 6" xfId="53096"/>
    <cellStyle name="Percent 57 4 2 4" xfId="53097"/>
    <cellStyle name="Percent 57 4 2 5" xfId="53098"/>
    <cellStyle name="Percent 57 4 2 6" xfId="53099"/>
    <cellStyle name="Percent 57 4 2 7" xfId="53100"/>
    <cellStyle name="Percent 57 4 2 8" xfId="53101"/>
    <cellStyle name="Percent 57 4 3" xfId="53102"/>
    <cellStyle name="Percent 57 4 3 2" xfId="53103"/>
    <cellStyle name="Percent 57 4 3 2 2" xfId="53104"/>
    <cellStyle name="Percent 57 4 3 2 3" xfId="53105"/>
    <cellStyle name="Percent 57 4 3 2 4" xfId="53106"/>
    <cellStyle name="Percent 57 4 3 2 5" xfId="53107"/>
    <cellStyle name="Percent 57 4 3 2 6" xfId="53108"/>
    <cellStyle name="Percent 57 4 3 3" xfId="53109"/>
    <cellStyle name="Percent 57 4 3 4" xfId="53110"/>
    <cellStyle name="Percent 57 4 3 5" xfId="53111"/>
    <cellStyle name="Percent 57 4 3 6" xfId="53112"/>
    <cellStyle name="Percent 57 4 3 7" xfId="53113"/>
    <cellStyle name="Percent 57 4 4" xfId="53114"/>
    <cellStyle name="Percent 57 4 4 2" xfId="53115"/>
    <cellStyle name="Percent 57 4 4 3" xfId="53116"/>
    <cellStyle name="Percent 57 4 4 4" xfId="53117"/>
    <cellStyle name="Percent 57 4 4 5" xfId="53118"/>
    <cellStyle name="Percent 57 4 4 6" xfId="53119"/>
    <cellStyle name="Percent 57 4 5" xfId="53120"/>
    <cellStyle name="Percent 57 4 6" xfId="53121"/>
    <cellStyle name="Percent 57 4 7" xfId="53122"/>
    <cellStyle name="Percent 57 4 8" xfId="53123"/>
    <cellStyle name="Percent 57 4 9" xfId="53124"/>
    <cellStyle name="Percent 57 5" xfId="53125"/>
    <cellStyle name="Percent 57 5 2" xfId="53126"/>
    <cellStyle name="Percent 57 5 2 2" xfId="53127"/>
    <cellStyle name="Percent 57 5 2 2 2" xfId="53128"/>
    <cellStyle name="Percent 57 5 2 2 2 2" xfId="53129"/>
    <cellStyle name="Percent 57 5 2 2 2 3" xfId="53130"/>
    <cellStyle name="Percent 57 5 2 2 2 4" xfId="53131"/>
    <cellStyle name="Percent 57 5 2 2 2 5" xfId="53132"/>
    <cellStyle name="Percent 57 5 2 2 2 6" xfId="53133"/>
    <cellStyle name="Percent 57 5 2 2 3" xfId="53134"/>
    <cellStyle name="Percent 57 5 2 2 4" xfId="53135"/>
    <cellStyle name="Percent 57 5 2 2 5" xfId="53136"/>
    <cellStyle name="Percent 57 5 2 2 6" xfId="53137"/>
    <cellStyle name="Percent 57 5 2 2 7" xfId="53138"/>
    <cellStyle name="Percent 57 5 2 3" xfId="53139"/>
    <cellStyle name="Percent 57 5 2 3 2" xfId="53140"/>
    <cellStyle name="Percent 57 5 2 3 3" xfId="53141"/>
    <cellStyle name="Percent 57 5 2 3 4" xfId="53142"/>
    <cellStyle name="Percent 57 5 2 3 5" xfId="53143"/>
    <cellStyle name="Percent 57 5 2 3 6" xfId="53144"/>
    <cellStyle name="Percent 57 5 2 4" xfId="53145"/>
    <cellStyle name="Percent 57 5 2 5" xfId="53146"/>
    <cellStyle name="Percent 57 5 2 6" xfId="53147"/>
    <cellStyle name="Percent 57 5 2 7" xfId="53148"/>
    <cellStyle name="Percent 57 5 2 8" xfId="53149"/>
    <cellStyle name="Percent 57 5 3" xfId="53150"/>
    <cellStyle name="Percent 57 5 3 2" xfId="53151"/>
    <cellStyle name="Percent 57 5 3 2 2" xfId="53152"/>
    <cellStyle name="Percent 57 5 3 2 3" xfId="53153"/>
    <cellStyle name="Percent 57 5 3 2 4" xfId="53154"/>
    <cellStyle name="Percent 57 5 3 2 5" xfId="53155"/>
    <cellStyle name="Percent 57 5 3 2 6" xfId="53156"/>
    <cellStyle name="Percent 57 5 3 3" xfId="53157"/>
    <cellStyle name="Percent 57 5 3 4" xfId="53158"/>
    <cellStyle name="Percent 57 5 3 5" xfId="53159"/>
    <cellStyle name="Percent 57 5 3 6" xfId="53160"/>
    <cellStyle name="Percent 57 5 3 7" xfId="53161"/>
    <cellStyle name="Percent 57 5 4" xfId="53162"/>
    <cellStyle name="Percent 57 5 4 2" xfId="53163"/>
    <cellStyle name="Percent 57 5 4 3" xfId="53164"/>
    <cellStyle name="Percent 57 5 4 4" xfId="53165"/>
    <cellStyle name="Percent 57 5 4 5" xfId="53166"/>
    <cellStyle name="Percent 57 5 4 6" xfId="53167"/>
    <cellStyle name="Percent 57 5 5" xfId="53168"/>
    <cellStyle name="Percent 57 5 6" xfId="53169"/>
    <cellStyle name="Percent 57 5 7" xfId="53170"/>
    <cellStyle name="Percent 57 5 8" xfId="53171"/>
    <cellStyle name="Percent 57 5 9" xfId="53172"/>
    <cellStyle name="Percent 57 6" xfId="53173"/>
    <cellStyle name="Percent 57 6 2" xfId="53174"/>
    <cellStyle name="Percent 57 6 2 2" xfId="53175"/>
    <cellStyle name="Percent 57 6 2 2 2" xfId="53176"/>
    <cellStyle name="Percent 57 6 2 2 2 2" xfId="53177"/>
    <cellStyle name="Percent 57 6 2 2 2 3" xfId="53178"/>
    <cellStyle name="Percent 57 6 2 2 2 4" xfId="53179"/>
    <cellStyle name="Percent 57 6 2 2 2 5" xfId="53180"/>
    <cellStyle name="Percent 57 6 2 2 2 6" xfId="53181"/>
    <cellStyle name="Percent 57 6 2 2 3" xfId="53182"/>
    <cellStyle name="Percent 57 6 2 2 4" xfId="53183"/>
    <cellStyle name="Percent 57 6 2 2 5" xfId="53184"/>
    <cellStyle name="Percent 57 6 2 2 6" xfId="53185"/>
    <cellStyle name="Percent 57 6 2 2 7" xfId="53186"/>
    <cellStyle name="Percent 57 6 2 3" xfId="53187"/>
    <cellStyle name="Percent 57 6 2 3 2" xfId="53188"/>
    <cellStyle name="Percent 57 6 2 3 3" xfId="53189"/>
    <cellStyle name="Percent 57 6 2 3 4" xfId="53190"/>
    <cellStyle name="Percent 57 6 2 3 5" xfId="53191"/>
    <cellStyle name="Percent 57 6 2 3 6" xfId="53192"/>
    <cellStyle name="Percent 57 6 2 4" xfId="53193"/>
    <cellStyle name="Percent 57 6 2 5" xfId="53194"/>
    <cellStyle name="Percent 57 6 2 6" xfId="53195"/>
    <cellStyle name="Percent 57 6 2 7" xfId="53196"/>
    <cellStyle name="Percent 57 6 2 8" xfId="53197"/>
    <cellStyle name="Percent 57 6 3" xfId="53198"/>
    <cellStyle name="Percent 57 6 3 2" xfId="53199"/>
    <cellStyle name="Percent 57 6 3 2 2" xfId="53200"/>
    <cellStyle name="Percent 57 6 3 2 3" xfId="53201"/>
    <cellStyle name="Percent 57 6 3 2 4" xfId="53202"/>
    <cellStyle name="Percent 57 6 3 2 5" xfId="53203"/>
    <cellStyle name="Percent 57 6 3 2 6" xfId="53204"/>
    <cellStyle name="Percent 57 6 3 3" xfId="53205"/>
    <cellStyle name="Percent 57 6 3 4" xfId="53206"/>
    <cellStyle name="Percent 57 6 3 5" xfId="53207"/>
    <cellStyle name="Percent 57 6 3 6" xfId="53208"/>
    <cellStyle name="Percent 57 6 3 7" xfId="53209"/>
    <cellStyle name="Percent 57 6 4" xfId="53210"/>
    <cellStyle name="Percent 57 6 4 2" xfId="53211"/>
    <cellStyle name="Percent 57 6 4 3" xfId="53212"/>
    <cellStyle name="Percent 57 6 4 4" xfId="53213"/>
    <cellStyle name="Percent 57 6 4 5" xfId="53214"/>
    <cellStyle name="Percent 57 6 4 6" xfId="53215"/>
    <cellStyle name="Percent 57 6 5" xfId="53216"/>
    <cellStyle name="Percent 57 6 6" xfId="53217"/>
    <cellStyle name="Percent 57 6 7" xfId="53218"/>
    <cellStyle name="Percent 57 6 8" xfId="53219"/>
    <cellStyle name="Percent 57 6 9" xfId="53220"/>
    <cellStyle name="Percent 57 7" xfId="53221"/>
    <cellStyle name="Percent 57 7 2" xfId="53222"/>
    <cellStyle name="Percent 57 7 2 2" xfId="53223"/>
    <cellStyle name="Percent 57 7 2 2 2" xfId="53224"/>
    <cellStyle name="Percent 57 7 2 2 2 2" xfId="53225"/>
    <cellStyle name="Percent 57 7 2 2 2 3" xfId="53226"/>
    <cellStyle name="Percent 57 7 2 2 2 4" xfId="53227"/>
    <cellStyle name="Percent 57 7 2 2 2 5" xfId="53228"/>
    <cellStyle name="Percent 57 7 2 2 2 6" xfId="53229"/>
    <cellStyle name="Percent 57 7 2 2 3" xfId="53230"/>
    <cellStyle name="Percent 57 7 2 2 4" xfId="53231"/>
    <cellStyle name="Percent 57 7 2 2 5" xfId="53232"/>
    <cellStyle name="Percent 57 7 2 2 6" xfId="53233"/>
    <cellStyle name="Percent 57 7 2 2 7" xfId="53234"/>
    <cellStyle name="Percent 57 7 2 3" xfId="53235"/>
    <cellStyle name="Percent 57 7 2 3 2" xfId="53236"/>
    <cellStyle name="Percent 57 7 2 3 3" xfId="53237"/>
    <cellStyle name="Percent 57 7 2 3 4" xfId="53238"/>
    <cellStyle name="Percent 57 7 2 3 5" xfId="53239"/>
    <cellStyle name="Percent 57 7 2 3 6" xfId="53240"/>
    <cellStyle name="Percent 57 7 2 4" xfId="53241"/>
    <cellStyle name="Percent 57 7 2 5" xfId="53242"/>
    <cellStyle name="Percent 57 7 2 6" xfId="53243"/>
    <cellStyle name="Percent 57 7 2 7" xfId="53244"/>
    <cellStyle name="Percent 57 7 2 8" xfId="53245"/>
    <cellStyle name="Percent 57 7 3" xfId="53246"/>
    <cellStyle name="Percent 57 7 3 2" xfId="53247"/>
    <cellStyle name="Percent 57 7 3 2 2" xfId="53248"/>
    <cellStyle name="Percent 57 7 3 2 3" xfId="53249"/>
    <cellStyle name="Percent 57 7 3 2 4" xfId="53250"/>
    <cellStyle name="Percent 57 7 3 2 5" xfId="53251"/>
    <cellStyle name="Percent 57 7 3 2 6" xfId="53252"/>
    <cellStyle name="Percent 57 7 3 3" xfId="53253"/>
    <cellStyle name="Percent 57 7 3 4" xfId="53254"/>
    <cellStyle name="Percent 57 7 3 5" xfId="53255"/>
    <cellStyle name="Percent 57 7 3 6" xfId="53256"/>
    <cellStyle name="Percent 57 7 3 7" xfId="53257"/>
    <cellStyle name="Percent 57 7 4" xfId="53258"/>
    <cellStyle name="Percent 57 7 4 2" xfId="53259"/>
    <cellStyle name="Percent 57 7 4 3" xfId="53260"/>
    <cellStyle name="Percent 57 7 4 4" xfId="53261"/>
    <cellStyle name="Percent 57 7 4 5" xfId="53262"/>
    <cellStyle name="Percent 57 7 4 6" xfId="53263"/>
    <cellStyle name="Percent 57 7 5" xfId="53264"/>
    <cellStyle name="Percent 57 7 6" xfId="53265"/>
    <cellStyle name="Percent 57 7 7" xfId="53266"/>
    <cellStyle name="Percent 57 7 8" xfId="53267"/>
    <cellStyle name="Percent 57 7 9" xfId="53268"/>
    <cellStyle name="Percent 57 8" xfId="53269"/>
    <cellStyle name="Percent 57 8 2" xfId="53270"/>
    <cellStyle name="Percent 57 8 2 2" xfId="53271"/>
    <cellStyle name="Percent 57 8 2 2 2" xfId="53272"/>
    <cellStyle name="Percent 57 8 2 2 3" xfId="53273"/>
    <cellStyle name="Percent 57 8 2 2 4" xfId="53274"/>
    <cellStyle name="Percent 57 8 2 2 5" xfId="53275"/>
    <cellStyle name="Percent 57 8 2 2 6" xfId="53276"/>
    <cellStyle name="Percent 57 8 2 3" xfId="53277"/>
    <cellStyle name="Percent 57 8 2 4" xfId="53278"/>
    <cellStyle name="Percent 57 8 2 5" xfId="53279"/>
    <cellStyle name="Percent 57 8 2 6" xfId="53280"/>
    <cellStyle name="Percent 57 8 2 7" xfId="53281"/>
    <cellStyle name="Percent 57 8 3" xfId="53282"/>
    <cellStyle name="Percent 57 8 3 2" xfId="53283"/>
    <cellStyle name="Percent 57 8 3 3" xfId="53284"/>
    <cellStyle name="Percent 57 8 3 4" xfId="53285"/>
    <cellStyle name="Percent 57 8 3 5" xfId="53286"/>
    <cellStyle name="Percent 57 8 3 6" xfId="53287"/>
    <cellStyle name="Percent 57 8 4" xfId="53288"/>
    <cellStyle name="Percent 57 8 5" xfId="53289"/>
    <cellStyle name="Percent 57 8 6" xfId="53290"/>
    <cellStyle name="Percent 57 8 7" xfId="53291"/>
    <cellStyle name="Percent 57 8 8" xfId="53292"/>
    <cellStyle name="Percent 57 9" xfId="53293"/>
    <cellStyle name="Percent 57 9 2" xfId="53294"/>
    <cellStyle name="Percent 57 9 2 2" xfId="53295"/>
    <cellStyle name="Percent 57 9 2 3" xfId="53296"/>
    <cellStyle name="Percent 57 9 2 4" xfId="53297"/>
    <cellStyle name="Percent 57 9 2 5" xfId="53298"/>
    <cellStyle name="Percent 57 9 2 6" xfId="53299"/>
    <cellStyle name="Percent 57 9 3" xfId="53300"/>
    <cellStyle name="Percent 57 9 4" xfId="53301"/>
    <cellStyle name="Percent 57 9 5" xfId="53302"/>
    <cellStyle name="Percent 57 9 6" xfId="53303"/>
    <cellStyle name="Percent 57 9 7" xfId="53304"/>
    <cellStyle name="Percent 58" xfId="53305"/>
    <cellStyle name="Percent 59" xfId="53306"/>
    <cellStyle name="Percent 6" xfId="53307"/>
    <cellStyle name="Percent 6 2" xfId="53308"/>
    <cellStyle name="Percent 6 3" xfId="53309"/>
    <cellStyle name="Percent 60" xfId="53310"/>
    <cellStyle name="Percent 61" xfId="53311"/>
    <cellStyle name="Percent 62" xfId="53312"/>
    <cellStyle name="Percent 63" xfId="53313"/>
    <cellStyle name="Percent 64" xfId="53314"/>
    <cellStyle name="Percent 65" xfId="53315"/>
    <cellStyle name="Percent 65 10" xfId="53316"/>
    <cellStyle name="Percent 65 11" xfId="53317"/>
    <cellStyle name="Percent 65 2" xfId="53318"/>
    <cellStyle name="Percent 65 2 2" xfId="53319"/>
    <cellStyle name="Percent 65 2 2 2" xfId="53320"/>
    <cellStyle name="Percent 65 2 2 2 2" xfId="53321"/>
    <cellStyle name="Percent 65 2 2 2 2 2" xfId="53322"/>
    <cellStyle name="Percent 65 2 2 2 2 3" xfId="53323"/>
    <cellStyle name="Percent 65 2 2 2 2 4" xfId="53324"/>
    <cellStyle name="Percent 65 2 2 2 2 5" xfId="53325"/>
    <cellStyle name="Percent 65 2 2 2 2 6" xfId="53326"/>
    <cellStyle name="Percent 65 2 2 2 3" xfId="53327"/>
    <cellStyle name="Percent 65 2 2 2 4" xfId="53328"/>
    <cellStyle name="Percent 65 2 2 2 5" xfId="53329"/>
    <cellStyle name="Percent 65 2 2 2 6" xfId="53330"/>
    <cellStyle name="Percent 65 2 2 2 7" xfId="53331"/>
    <cellStyle name="Percent 65 2 2 3" xfId="53332"/>
    <cellStyle name="Percent 65 2 2 3 2" xfId="53333"/>
    <cellStyle name="Percent 65 2 2 3 3" xfId="53334"/>
    <cellStyle name="Percent 65 2 2 3 4" xfId="53335"/>
    <cellStyle name="Percent 65 2 2 3 5" xfId="53336"/>
    <cellStyle name="Percent 65 2 2 3 6" xfId="53337"/>
    <cellStyle name="Percent 65 2 2 4" xfId="53338"/>
    <cellStyle name="Percent 65 2 2 5" xfId="53339"/>
    <cellStyle name="Percent 65 2 2 6" xfId="53340"/>
    <cellStyle name="Percent 65 2 2 7" xfId="53341"/>
    <cellStyle name="Percent 65 2 2 8" xfId="53342"/>
    <cellStyle name="Percent 65 2 3" xfId="53343"/>
    <cellStyle name="Percent 65 2 3 2" xfId="53344"/>
    <cellStyle name="Percent 65 2 3 2 2" xfId="53345"/>
    <cellStyle name="Percent 65 2 3 2 3" xfId="53346"/>
    <cellStyle name="Percent 65 2 3 2 4" xfId="53347"/>
    <cellStyle name="Percent 65 2 3 2 5" xfId="53348"/>
    <cellStyle name="Percent 65 2 3 2 6" xfId="53349"/>
    <cellStyle name="Percent 65 2 3 3" xfId="53350"/>
    <cellStyle name="Percent 65 2 3 4" xfId="53351"/>
    <cellStyle name="Percent 65 2 3 5" xfId="53352"/>
    <cellStyle name="Percent 65 2 3 6" xfId="53353"/>
    <cellStyle name="Percent 65 2 3 7" xfId="53354"/>
    <cellStyle name="Percent 65 2 4" xfId="53355"/>
    <cellStyle name="Percent 65 2 4 2" xfId="53356"/>
    <cellStyle name="Percent 65 2 4 3" xfId="53357"/>
    <cellStyle name="Percent 65 2 4 4" xfId="53358"/>
    <cellStyle name="Percent 65 2 4 5" xfId="53359"/>
    <cellStyle name="Percent 65 2 4 6" xfId="53360"/>
    <cellStyle name="Percent 65 2 5" xfId="53361"/>
    <cellStyle name="Percent 65 2 6" xfId="53362"/>
    <cellStyle name="Percent 65 2 7" xfId="53363"/>
    <cellStyle name="Percent 65 2 8" xfId="53364"/>
    <cellStyle name="Percent 65 2 9" xfId="53365"/>
    <cellStyle name="Percent 65 3" xfId="53366"/>
    <cellStyle name="Percent 65 3 2" xfId="53367"/>
    <cellStyle name="Percent 65 3 2 2" xfId="53368"/>
    <cellStyle name="Percent 65 3 2 2 2" xfId="53369"/>
    <cellStyle name="Percent 65 3 2 2 2 2" xfId="53370"/>
    <cellStyle name="Percent 65 3 2 2 2 3" xfId="53371"/>
    <cellStyle name="Percent 65 3 2 2 2 4" xfId="53372"/>
    <cellStyle name="Percent 65 3 2 2 2 5" xfId="53373"/>
    <cellStyle name="Percent 65 3 2 2 2 6" xfId="53374"/>
    <cellStyle name="Percent 65 3 2 2 3" xfId="53375"/>
    <cellStyle name="Percent 65 3 2 2 4" xfId="53376"/>
    <cellStyle name="Percent 65 3 2 2 5" xfId="53377"/>
    <cellStyle name="Percent 65 3 2 2 6" xfId="53378"/>
    <cellStyle name="Percent 65 3 2 2 7" xfId="53379"/>
    <cellStyle name="Percent 65 3 2 3" xfId="53380"/>
    <cellStyle name="Percent 65 3 2 3 2" xfId="53381"/>
    <cellStyle name="Percent 65 3 2 3 3" xfId="53382"/>
    <cellStyle name="Percent 65 3 2 3 4" xfId="53383"/>
    <cellStyle name="Percent 65 3 2 3 5" xfId="53384"/>
    <cellStyle name="Percent 65 3 2 3 6" xfId="53385"/>
    <cellStyle name="Percent 65 3 2 4" xfId="53386"/>
    <cellStyle name="Percent 65 3 2 5" xfId="53387"/>
    <cellStyle name="Percent 65 3 2 6" xfId="53388"/>
    <cellStyle name="Percent 65 3 2 7" xfId="53389"/>
    <cellStyle name="Percent 65 3 2 8" xfId="53390"/>
    <cellStyle name="Percent 65 3 3" xfId="53391"/>
    <cellStyle name="Percent 65 3 3 2" xfId="53392"/>
    <cellStyle name="Percent 65 3 3 2 2" xfId="53393"/>
    <cellStyle name="Percent 65 3 3 2 3" xfId="53394"/>
    <cellStyle name="Percent 65 3 3 2 4" xfId="53395"/>
    <cellStyle name="Percent 65 3 3 2 5" xfId="53396"/>
    <cellStyle name="Percent 65 3 3 2 6" xfId="53397"/>
    <cellStyle name="Percent 65 3 3 3" xfId="53398"/>
    <cellStyle name="Percent 65 3 3 4" xfId="53399"/>
    <cellStyle name="Percent 65 3 3 5" xfId="53400"/>
    <cellStyle name="Percent 65 3 3 6" xfId="53401"/>
    <cellStyle name="Percent 65 3 3 7" xfId="53402"/>
    <cellStyle name="Percent 65 3 4" xfId="53403"/>
    <cellStyle name="Percent 65 3 4 2" xfId="53404"/>
    <cellStyle name="Percent 65 3 4 3" xfId="53405"/>
    <cellStyle name="Percent 65 3 4 4" xfId="53406"/>
    <cellStyle name="Percent 65 3 4 5" xfId="53407"/>
    <cellStyle name="Percent 65 3 4 6" xfId="53408"/>
    <cellStyle name="Percent 65 3 5" xfId="53409"/>
    <cellStyle name="Percent 65 3 6" xfId="53410"/>
    <cellStyle name="Percent 65 3 7" xfId="53411"/>
    <cellStyle name="Percent 65 3 8" xfId="53412"/>
    <cellStyle name="Percent 65 3 9" xfId="53413"/>
    <cellStyle name="Percent 65 4" xfId="53414"/>
    <cellStyle name="Percent 65 4 2" xfId="53415"/>
    <cellStyle name="Percent 65 4 2 2" xfId="53416"/>
    <cellStyle name="Percent 65 4 2 2 2" xfId="53417"/>
    <cellStyle name="Percent 65 4 2 2 3" xfId="53418"/>
    <cellStyle name="Percent 65 4 2 2 4" xfId="53419"/>
    <cellStyle name="Percent 65 4 2 2 5" xfId="53420"/>
    <cellStyle name="Percent 65 4 2 2 6" xfId="53421"/>
    <cellStyle name="Percent 65 4 2 3" xfId="53422"/>
    <cellStyle name="Percent 65 4 2 4" xfId="53423"/>
    <cellStyle name="Percent 65 4 2 5" xfId="53424"/>
    <cellStyle name="Percent 65 4 2 6" xfId="53425"/>
    <cellStyle name="Percent 65 4 2 7" xfId="53426"/>
    <cellStyle name="Percent 65 4 3" xfId="53427"/>
    <cellStyle name="Percent 65 4 3 2" xfId="53428"/>
    <cellStyle name="Percent 65 4 3 3" xfId="53429"/>
    <cellStyle name="Percent 65 4 3 4" xfId="53430"/>
    <cellStyle name="Percent 65 4 3 5" xfId="53431"/>
    <cellStyle name="Percent 65 4 3 6" xfId="53432"/>
    <cellStyle name="Percent 65 4 4" xfId="53433"/>
    <cellStyle name="Percent 65 4 5" xfId="53434"/>
    <cellStyle name="Percent 65 4 6" xfId="53435"/>
    <cellStyle name="Percent 65 4 7" xfId="53436"/>
    <cellStyle name="Percent 65 4 8" xfId="53437"/>
    <cellStyle name="Percent 65 5" xfId="53438"/>
    <cellStyle name="Percent 65 5 2" xfId="53439"/>
    <cellStyle name="Percent 65 5 2 2" xfId="53440"/>
    <cellStyle name="Percent 65 5 2 3" xfId="53441"/>
    <cellStyle name="Percent 65 5 2 4" xfId="53442"/>
    <cellStyle name="Percent 65 5 2 5" xfId="53443"/>
    <cellStyle name="Percent 65 5 2 6" xfId="53444"/>
    <cellStyle name="Percent 65 5 3" xfId="53445"/>
    <cellStyle name="Percent 65 5 4" xfId="53446"/>
    <cellStyle name="Percent 65 5 5" xfId="53447"/>
    <cellStyle name="Percent 65 5 6" xfId="53448"/>
    <cellStyle name="Percent 65 5 7" xfId="53449"/>
    <cellStyle name="Percent 65 6" xfId="53450"/>
    <cellStyle name="Percent 65 6 2" xfId="53451"/>
    <cellStyle name="Percent 65 6 3" xfId="53452"/>
    <cellStyle name="Percent 65 6 4" xfId="53453"/>
    <cellStyle name="Percent 65 6 5" xfId="53454"/>
    <cellStyle name="Percent 65 6 6" xfId="53455"/>
    <cellStyle name="Percent 65 7" xfId="53456"/>
    <cellStyle name="Percent 65 8" xfId="53457"/>
    <cellStyle name="Percent 65 9" xfId="53458"/>
    <cellStyle name="Percent 66" xfId="53459"/>
    <cellStyle name="Percent 66 10" xfId="53460"/>
    <cellStyle name="Percent 66 11" xfId="53461"/>
    <cellStyle name="Percent 66 2" xfId="53462"/>
    <cellStyle name="Percent 66 2 2" xfId="53463"/>
    <cellStyle name="Percent 66 2 2 2" xfId="53464"/>
    <cellStyle name="Percent 66 2 2 2 2" xfId="53465"/>
    <cellStyle name="Percent 66 2 2 2 2 2" xfId="53466"/>
    <cellStyle name="Percent 66 2 2 2 2 3" xfId="53467"/>
    <cellStyle name="Percent 66 2 2 2 2 4" xfId="53468"/>
    <cellStyle name="Percent 66 2 2 2 2 5" xfId="53469"/>
    <cellStyle name="Percent 66 2 2 2 2 6" xfId="53470"/>
    <cellStyle name="Percent 66 2 2 2 3" xfId="53471"/>
    <cellStyle name="Percent 66 2 2 2 4" xfId="53472"/>
    <cellStyle name="Percent 66 2 2 2 5" xfId="53473"/>
    <cellStyle name="Percent 66 2 2 2 6" xfId="53474"/>
    <cellStyle name="Percent 66 2 2 2 7" xfId="53475"/>
    <cellStyle name="Percent 66 2 2 3" xfId="53476"/>
    <cellStyle name="Percent 66 2 2 3 2" xfId="53477"/>
    <cellStyle name="Percent 66 2 2 3 3" xfId="53478"/>
    <cellStyle name="Percent 66 2 2 3 4" xfId="53479"/>
    <cellStyle name="Percent 66 2 2 3 5" xfId="53480"/>
    <cellStyle name="Percent 66 2 2 3 6" xfId="53481"/>
    <cellStyle name="Percent 66 2 2 4" xfId="53482"/>
    <cellStyle name="Percent 66 2 2 5" xfId="53483"/>
    <cellStyle name="Percent 66 2 2 6" xfId="53484"/>
    <cellStyle name="Percent 66 2 2 7" xfId="53485"/>
    <cellStyle name="Percent 66 2 2 8" xfId="53486"/>
    <cellStyle name="Percent 66 2 3" xfId="53487"/>
    <cellStyle name="Percent 66 2 3 2" xfId="53488"/>
    <cellStyle name="Percent 66 2 3 2 2" xfId="53489"/>
    <cellStyle name="Percent 66 2 3 2 3" xfId="53490"/>
    <cellStyle name="Percent 66 2 3 2 4" xfId="53491"/>
    <cellStyle name="Percent 66 2 3 2 5" xfId="53492"/>
    <cellStyle name="Percent 66 2 3 2 6" xfId="53493"/>
    <cellStyle name="Percent 66 2 3 3" xfId="53494"/>
    <cellStyle name="Percent 66 2 3 4" xfId="53495"/>
    <cellStyle name="Percent 66 2 3 5" xfId="53496"/>
    <cellStyle name="Percent 66 2 3 6" xfId="53497"/>
    <cellStyle name="Percent 66 2 3 7" xfId="53498"/>
    <cellStyle name="Percent 66 2 4" xfId="53499"/>
    <cellStyle name="Percent 66 2 4 2" xfId="53500"/>
    <cellStyle name="Percent 66 2 4 3" xfId="53501"/>
    <cellStyle name="Percent 66 2 4 4" xfId="53502"/>
    <cellStyle name="Percent 66 2 4 5" xfId="53503"/>
    <cellStyle name="Percent 66 2 4 6" xfId="53504"/>
    <cellStyle name="Percent 66 2 5" xfId="53505"/>
    <cellStyle name="Percent 66 2 6" xfId="53506"/>
    <cellStyle name="Percent 66 2 7" xfId="53507"/>
    <cellStyle name="Percent 66 2 8" xfId="53508"/>
    <cellStyle name="Percent 66 2 9" xfId="53509"/>
    <cellStyle name="Percent 66 3" xfId="53510"/>
    <cellStyle name="Percent 66 3 2" xfId="53511"/>
    <cellStyle name="Percent 66 3 2 2" xfId="53512"/>
    <cellStyle name="Percent 66 3 2 2 2" xfId="53513"/>
    <cellStyle name="Percent 66 3 2 2 2 2" xfId="53514"/>
    <cellStyle name="Percent 66 3 2 2 2 3" xfId="53515"/>
    <cellStyle name="Percent 66 3 2 2 2 4" xfId="53516"/>
    <cellStyle name="Percent 66 3 2 2 2 5" xfId="53517"/>
    <cellStyle name="Percent 66 3 2 2 2 6" xfId="53518"/>
    <cellStyle name="Percent 66 3 2 2 3" xfId="53519"/>
    <cellStyle name="Percent 66 3 2 2 4" xfId="53520"/>
    <cellStyle name="Percent 66 3 2 2 5" xfId="53521"/>
    <cellStyle name="Percent 66 3 2 2 6" xfId="53522"/>
    <cellStyle name="Percent 66 3 2 2 7" xfId="53523"/>
    <cellStyle name="Percent 66 3 2 3" xfId="53524"/>
    <cellStyle name="Percent 66 3 2 3 2" xfId="53525"/>
    <cellStyle name="Percent 66 3 2 3 3" xfId="53526"/>
    <cellStyle name="Percent 66 3 2 3 4" xfId="53527"/>
    <cellStyle name="Percent 66 3 2 3 5" xfId="53528"/>
    <cellStyle name="Percent 66 3 2 3 6" xfId="53529"/>
    <cellStyle name="Percent 66 3 2 4" xfId="53530"/>
    <cellStyle name="Percent 66 3 2 5" xfId="53531"/>
    <cellStyle name="Percent 66 3 2 6" xfId="53532"/>
    <cellStyle name="Percent 66 3 2 7" xfId="53533"/>
    <cellStyle name="Percent 66 3 2 8" xfId="53534"/>
    <cellStyle name="Percent 66 3 3" xfId="53535"/>
    <cellStyle name="Percent 66 3 3 2" xfId="53536"/>
    <cellStyle name="Percent 66 3 3 2 2" xfId="53537"/>
    <cellStyle name="Percent 66 3 3 2 3" xfId="53538"/>
    <cellStyle name="Percent 66 3 3 2 4" xfId="53539"/>
    <cellStyle name="Percent 66 3 3 2 5" xfId="53540"/>
    <cellStyle name="Percent 66 3 3 2 6" xfId="53541"/>
    <cellStyle name="Percent 66 3 3 3" xfId="53542"/>
    <cellStyle name="Percent 66 3 3 4" xfId="53543"/>
    <cellStyle name="Percent 66 3 3 5" xfId="53544"/>
    <cellStyle name="Percent 66 3 3 6" xfId="53545"/>
    <cellStyle name="Percent 66 3 3 7" xfId="53546"/>
    <cellStyle name="Percent 66 3 4" xfId="53547"/>
    <cellStyle name="Percent 66 3 4 2" xfId="53548"/>
    <cellStyle name="Percent 66 3 4 3" xfId="53549"/>
    <cellStyle name="Percent 66 3 4 4" xfId="53550"/>
    <cellStyle name="Percent 66 3 4 5" xfId="53551"/>
    <cellStyle name="Percent 66 3 4 6" xfId="53552"/>
    <cellStyle name="Percent 66 3 5" xfId="53553"/>
    <cellStyle name="Percent 66 3 6" xfId="53554"/>
    <cellStyle name="Percent 66 3 7" xfId="53555"/>
    <cellStyle name="Percent 66 3 8" xfId="53556"/>
    <cellStyle name="Percent 66 3 9" xfId="53557"/>
    <cellStyle name="Percent 66 4" xfId="53558"/>
    <cellStyle name="Percent 66 4 2" xfId="53559"/>
    <cellStyle name="Percent 66 4 2 2" xfId="53560"/>
    <cellStyle name="Percent 66 4 2 2 2" xfId="53561"/>
    <cellStyle name="Percent 66 4 2 2 3" xfId="53562"/>
    <cellStyle name="Percent 66 4 2 2 4" xfId="53563"/>
    <cellStyle name="Percent 66 4 2 2 5" xfId="53564"/>
    <cellStyle name="Percent 66 4 2 2 6" xfId="53565"/>
    <cellStyle name="Percent 66 4 2 3" xfId="53566"/>
    <cellStyle name="Percent 66 4 2 4" xfId="53567"/>
    <cellStyle name="Percent 66 4 2 5" xfId="53568"/>
    <cellStyle name="Percent 66 4 2 6" xfId="53569"/>
    <cellStyle name="Percent 66 4 2 7" xfId="53570"/>
    <cellStyle name="Percent 66 4 3" xfId="53571"/>
    <cellStyle name="Percent 66 4 3 2" xfId="53572"/>
    <cellStyle name="Percent 66 4 3 3" xfId="53573"/>
    <cellStyle name="Percent 66 4 3 4" xfId="53574"/>
    <cellStyle name="Percent 66 4 3 5" xfId="53575"/>
    <cellStyle name="Percent 66 4 3 6" xfId="53576"/>
    <cellStyle name="Percent 66 4 4" xfId="53577"/>
    <cellStyle name="Percent 66 4 5" xfId="53578"/>
    <cellStyle name="Percent 66 4 6" xfId="53579"/>
    <cellStyle name="Percent 66 4 7" xfId="53580"/>
    <cellStyle name="Percent 66 4 8" xfId="53581"/>
    <cellStyle name="Percent 66 5" xfId="53582"/>
    <cellStyle name="Percent 66 5 2" xfId="53583"/>
    <cellStyle name="Percent 66 5 2 2" xfId="53584"/>
    <cellStyle name="Percent 66 5 2 3" xfId="53585"/>
    <cellStyle name="Percent 66 5 2 4" xfId="53586"/>
    <cellStyle name="Percent 66 5 2 5" xfId="53587"/>
    <cellStyle name="Percent 66 5 2 6" xfId="53588"/>
    <cellStyle name="Percent 66 5 3" xfId="53589"/>
    <cellStyle name="Percent 66 5 4" xfId="53590"/>
    <cellStyle name="Percent 66 5 5" xfId="53591"/>
    <cellStyle name="Percent 66 5 6" xfId="53592"/>
    <cellStyle name="Percent 66 5 7" xfId="53593"/>
    <cellStyle name="Percent 66 6" xfId="53594"/>
    <cellStyle name="Percent 66 6 2" xfId="53595"/>
    <cellStyle name="Percent 66 6 3" xfId="53596"/>
    <cellStyle name="Percent 66 6 4" xfId="53597"/>
    <cellStyle name="Percent 66 6 5" xfId="53598"/>
    <cellStyle name="Percent 66 6 6" xfId="53599"/>
    <cellStyle name="Percent 66 7" xfId="53600"/>
    <cellStyle name="Percent 66 8" xfId="53601"/>
    <cellStyle name="Percent 66 9" xfId="53602"/>
    <cellStyle name="Percent 67" xfId="53603"/>
    <cellStyle name="Percent 67 10" xfId="53604"/>
    <cellStyle name="Percent 67 2" xfId="53605"/>
    <cellStyle name="Percent 67 2 2" xfId="53606"/>
    <cellStyle name="Percent 67 2 2 2" xfId="53607"/>
    <cellStyle name="Percent 67 2 2 2 2" xfId="53608"/>
    <cellStyle name="Percent 67 2 2 2 2 2" xfId="53609"/>
    <cellStyle name="Percent 67 2 2 2 2 3" xfId="53610"/>
    <cellStyle name="Percent 67 2 2 2 2 4" xfId="53611"/>
    <cellStyle name="Percent 67 2 2 2 2 5" xfId="53612"/>
    <cellStyle name="Percent 67 2 2 2 2 6" xfId="53613"/>
    <cellStyle name="Percent 67 2 2 2 3" xfId="53614"/>
    <cellStyle name="Percent 67 2 2 2 4" xfId="53615"/>
    <cellStyle name="Percent 67 2 2 2 5" xfId="53616"/>
    <cellStyle name="Percent 67 2 2 2 6" xfId="53617"/>
    <cellStyle name="Percent 67 2 2 2 7" xfId="53618"/>
    <cellStyle name="Percent 67 2 2 3" xfId="53619"/>
    <cellStyle name="Percent 67 2 2 3 2" xfId="53620"/>
    <cellStyle name="Percent 67 2 2 3 3" xfId="53621"/>
    <cellStyle name="Percent 67 2 2 3 4" xfId="53622"/>
    <cellStyle name="Percent 67 2 2 3 5" xfId="53623"/>
    <cellStyle name="Percent 67 2 2 3 6" xfId="53624"/>
    <cellStyle name="Percent 67 2 2 4" xfId="53625"/>
    <cellStyle name="Percent 67 2 2 5" xfId="53626"/>
    <cellStyle name="Percent 67 2 2 6" xfId="53627"/>
    <cellStyle name="Percent 67 2 2 7" xfId="53628"/>
    <cellStyle name="Percent 67 2 2 8" xfId="53629"/>
    <cellStyle name="Percent 67 2 3" xfId="53630"/>
    <cellStyle name="Percent 67 2 3 2" xfId="53631"/>
    <cellStyle name="Percent 67 2 3 2 2" xfId="53632"/>
    <cellStyle name="Percent 67 2 3 2 3" xfId="53633"/>
    <cellStyle name="Percent 67 2 3 2 4" xfId="53634"/>
    <cellStyle name="Percent 67 2 3 2 5" xfId="53635"/>
    <cellStyle name="Percent 67 2 3 2 6" xfId="53636"/>
    <cellStyle name="Percent 67 2 3 3" xfId="53637"/>
    <cellStyle name="Percent 67 2 3 4" xfId="53638"/>
    <cellStyle name="Percent 67 2 3 5" xfId="53639"/>
    <cellStyle name="Percent 67 2 3 6" xfId="53640"/>
    <cellStyle name="Percent 67 2 3 7" xfId="53641"/>
    <cellStyle name="Percent 67 2 4" xfId="53642"/>
    <cellStyle name="Percent 67 2 4 2" xfId="53643"/>
    <cellStyle name="Percent 67 2 4 3" xfId="53644"/>
    <cellStyle name="Percent 67 2 4 4" xfId="53645"/>
    <cellStyle name="Percent 67 2 4 5" xfId="53646"/>
    <cellStyle name="Percent 67 2 4 6" xfId="53647"/>
    <cellStyle name="Percent 67 2 5" xfId="53648"/>
    <cellStyle name="Percent 67 2 6" xfId="53649"/>
    <cellStyle name="Percent 67 2 7" xfId="53650"/>
    <cellStyle name="Percent 67 2 8" xfId="53651"/>
    <cellStyle name="Percent 67 2 9" xfId="53652"/>
    <cellStyle name="Percent 67 3" xfId="53653"/>
    <cellStyle name="Percent 67 3 2" xfId="53654"/>
    <cellStyle name="Percent 67 3 2 2" xfId="53655"/>
    <cellStyle name="Percent 67 3 2 2 2" xfId="53656"/>
    <cellStyle name="Percent 67 3 2 2 3" xfId="53657"/>
    <cellStyle name="Percent 67 3 2 2 4" xfId="53658"/>
    <cellStyle name="Percent 67 3 2 2 5" xfId="53659"/>
    <cellStyle name="Percent 67 3 2 2 6" xfId="53660"/>
    <cellStyle name="Percent 67 3 2 3" xfId="53661"/>
    <cellStyle name="Percent 67 3 2 4" xfId="53662"/>
    <cellStyle name="Percent 67 3 2 5" xfId="53663"/>
    <cellStyle name="Percent 67 3 2 6" xfId="53664"/>
    <cellStyle name="Percent 67 3 2 7" xfId="53665"/>
    <cellStyle name="Percent 67 3 3" xfId="53666"/>
    <cellStyle name="Percent 67 3 3 2" xfId="53667"/>
    <cellStyle name="Percent 67 3 3 3" xfId="53668"/>
    <cellStyle name="Percent 67 3 3 4" xfId="53669"/>
    <cellStyle name="Percent 67 3 3 5" xfId="53670"/>
    <cellStyle name="Percent 67 3 3 6" xfId="53671"/>
    <cellStyle name="Percent 67 3 4" xfId="53672"/>
    <cellStyle name="Percent 67 3 5" xfId="53673"/>
    <cellStyle name="Percent 67 3 6" xfId="53674"/>
    <cellStyle name="Percent 67 3 7" xfId="53675"/>
    <cellStyle name="Percent 67 3 8" xfId="53676"/>
    <cellStyle name="Percent 67 4" xfId="53677"/>
    <cellStyle name="Percent 67 4 2" xfId="53678"/>
    <cellStyle name="Percent 67 4 2 2" xfId="53679"/>
    <cellStyle name="Percent 67 4 2 3" xfId="53680"/>
    <cellStyle name="Percent 67 4 2 4" xfId="53681"/>
    <cellStyle name="Percent 67 4 2 5" xfId="53682"/>
    <cellStyle name="Percent 67 4 2 6" xfId="53683"/>
    <cellStyle name="Percent 67 4 3" xfId="53684"/>
    <cellStyle name="Percent 67 4 4" xfId="53685"/>
    <cellStyle name="Percent 67 4 5" xfId="53686"/>
    <cellStyle name="Percent 67 4 6" xfId="53687"/>
    <cellStyle name="Percent 67 4 7" xfId="53688"/>
    <cellStyle name="Percent 67 5" xfId="53689"/>
    <cellStyle name="Percent 67 5 2" xfId="53690"/>
    <cellStyle name="Percent 67 5 3" xfId="53691"/>
    <cellStyle name="Percent 67 5 4" xfId="53692"/>
    <cellStyle name="Percent 67 5 5" xfId="53693"/>
    <cellStyle name="Percent 67 5 6" xfId="53694"/>
    <cellStyle name="Percent 67 6" xfId="53695"/>
    <cellStyle name="Percent 67 7" xfId="53696"/>
    <cellStyle name="Percent 67 8" xfId="53697"/>
    <cellStyle name="Percent 67 9" xfId="53698"/>
    <cellStyle name="Percent 68" xfId="53699"/>
    <cellStyle name="Percent 68 10" xfId="53700"/>
    <cellStyle name="Percent 68 2" xfId="53701"/>
    <cellStyle name="Percent 68 2 2" xfId="53702"/>
    <cellStyle name="Percent 68 2 2 2" xfId="53703"/>
    <cellStyle name="Percent 68 2 2 2 2" xfId="53704"/>
    <cellStyle name="Percent 68 2 2 2 2 2" xfId="53705"/>
    <cellStyle name="Percent 68 2 2 2 2 3" xfId="53706"/>
    <cellStyle name="Percent 68 2 2 2 2 4" xfId="53707"/>
    <cellStyle name="Percent 68 2 2 2 2 5" xfId="53708"/>
    <cellStyle name="Percent 68 2 2 2 2 6" xfId="53709"/>
    <cellStyle name="Percent 68 2 2 2 3" xfId="53710"/>
    <cellStyle name="Percent 68 2 2 2 4" xfId="53711"/>
    <cellStyle name="Percent 68 2 2 2 5" xfId="53712"/>
    <cellStyle name="Percent 68 2 2 2 6" xfId="53713"/>
    <cellStyle name="Percent 68 2 2 2 7" xfId="53714"/>
    <cellStyle name="Percent 68 2 2 3" xfId="53715"/>
    <cellStyle name="Percent 68 2 2 3 2" xfId="53716"/>
    <cellStyle name="Percent 68 2 2 3 3" xfId="53717"/>
    <cellStyle name="Percent 68 2 2 3 4" xfId="53718"/>
    <cellStyle name="Percent 68 2 2 3 5" xfId="53719"/>
    <cellStyle name="Percent 68 2 2 3 6" xfId="53720"/>
    <cellStyle name="Percent 68 2 2 4" xfId="53721"/>
    <cellStyle name="Percent 68 2 2 5" xfId="53722"/>
    <cellStyle name="Percent 68 2 2 6" xfId="53723"/>
    <cellStyle name="Percent 68 2 2 7" xfId="53724"/>
    <cellStyle name="Percent 68 2 2 8" xfId="53725"/>
    <cellStyle name="Percent 68 2 3" xfId="53726"/>
    <cellStyle name="Percent 68 2 3 2" xfId="53727"/>
    <cellStyle name="Percent 68 2 3 2 2" xfId="53728"/>
    <cellStyle name="Percent 68 2 3 2 3" xfId="53729"/>
    <cellStyle name="Percent 68 2 3 2 4" xfId="53730"/>
    <cellStyle name="Percent 68 2 3 2 5" xfId="53731"/>
    <cellStyle name="Percent 68 2 3 2 6" xfId="53732"/>
    <cellStyle name="Percent 68 2 3 3" xfId="53733"/>
    <cellStyle name="Percent 68 2 3 4" xfId="53734"/>
    <cellStyle name="Percent 68 2 3 5" xfId="53735"/>
    <cellStyle name="Percent 68 2 3 6" xfId="53736"/>
    <cellStyle name="Percent 68 2 3 7" xfId="53737"/>
    <cellStyle name="Percent 68 2 4" xfId="53738"/>
    <cellStyle name="Percent 68 2 4 2" xfId="53739"/>
    <cellStyle name="Percent 68 2 4 3" xfId="53740"/>
    <cellStyle name="Percent 68 2 4 4" xfId="53741"/>
    <cellStyle name="Percent 68 2 4 5" xfId="53742"/>
    <cellStyle name="Percent 68 2 4 6" xfId="53743"/>
    <cellStyle name="Percent 68 2 5" xfId="53744"/>
    <cellStyle name="Percent 68 2 6" xfId="53745"/>
    <cellStyle name="Percent 68 2 7" xfId="53746"/>
    <cellStyle name="Percent 68 2 8" xfId="53747"/>
    <cellStyle name="Percent 68 2 9" xfId="53748"/>
    <cellStyle name="Percent 68 3" xfId="53749"/>
    <cellStyle name="Percent 68 3 2" xfId="53750"/>
    <cellStyle name="Percent 68 3 2 2" xfId="53751"/>
    <cellStyle name="Percent 68 3 2 2 2" xfId="53752"/>
    <cellStyle name="Percent 68 3 2 2 3" xfId="53753"/>
    <cellStyle name="Percent 68 3 2 2 4" xfId="53754"/>
    <cellStyle name="Percent 68 3 2 2 5" xfId="53755"/>
    <cellStyle name="Percent 68 3 2 2 6" xfId="53756"/>
    <cellStyle name="Percent 68 3 2 3" xfId="53757"/>
    <cellStyle name="Percent 68 3 2 4" xfId="53758"/>
    <cellStyle name="Percent 68 3 2 5" xfId="53759"/>
    <cellStyle name="Percent 68 3 2 6" xfId="53760"/>
    <cellStyle name="Percent 68 3 2 7" xfId="53761"/>
    <cellStyle name="Percent 68 3 3" xfId="53762"/>
    <cellStyle name="Percent 68 3 3 2" xfId="53763"/>
    <cellStyle name="Percent 68 3 3 3" xfId="53764"/>
    <cellStyle name="Percent 68 3 3 4" xfId="53765"/>
    <cellStyle name="Percent 68 3 3 5" xfId="53766"/>
    <cellStyle name="Percent 68 3 3 6" xfId="53767"/>
    <cellStyle name="Percent 68 3 4" xfId="53768"/>
    <cellStyle name="Percent 68 3 5" xfId="53769"/>
    <cellStyle name="Percent 68 3 6" xfId="53770"/>
    <cellStyle name="Percent 68 3 7" xfId="53771"/>
    <cellStyle name="Percent 68 3 8" xfId="53772"/>
    <cellStyle name="Percent 68 4" xfId="53773"/>
    <cellStyle name="Percent 68 4 2" xfId="53774"/>
    <cellStyle name="Percent 68 4 2 2" xfId="53775"/>
    <cellStyle name="Percent 68 4 2 3" xfId="53776"/>
    <cellStyle name="Percent 68 4 2 4" xfId="53777"/>
    <cellStyle name="Percent 68 4 2 5" xfId="53778"/>
    <cellStyle name="Percent 68 4 2 6" xfId="53779"/>
    <cellStyle name="Percent 68 4 3" xfId="53780"/>
    <cellStyle name="Percent 68 4 4" xfId="53781"/>
    <cellStyle name="Percent 68 4 5" xfId="53782"/>
    <cellStyle name="Percent 68 4 6" xfId="53783"/>
    <cellStyle name="Percent 68 4 7" xfId="53784"/>
    <cellStyle name="Percent 68 5" xfId="53785"/>
    <cellStyle name="Percent 68 5 2" xfId="53786"/>
    <cellStyle name="Percent 68 5 3" xfId="53787"/>
    <cellStyle name="Percent 68 5 4" xfId="53788"/>
    <cellStyle name="Percent 68 5 5" xfId="53789"/>
    <cellStyle name="Percent 68 5 6" xfId="53790"/>
    <cellStyle name="Percent 68 6" xfId="53791"/>
    <cellStyle name="Percent 68 7" xfId="53792"/>
    <cellStyle name="Percent 68 8" xfId="53793"/>
    <cellStyle name="Percent 68 9" xfId="53794"/>
    <cellStyle name="Percent 69" xfId="53795"/>
    <cellStyle name="Percent 69 10" xfId="53796"/>
    <cellStyle name="Percent 69 2" xfId="53797"/>
    <cellStyle name="Percent 69 2 2" xfId="53798"/>
    <cellStyle name="Percent 69 2 2 2" xfId="53799"/>
    <cellStyle name="Percent 69 2 2 2 2" xfId="53800"/>
    <cellStyle name="Percent 69 2 2 2 2 2" xfId="53801"/>
    <cellStyle name="Percent 69 2 2 2 2 3" xfId="53802"/>
    <cellStyle name="Percent 69 2 2 2 2 4" xfId="53803"/>
    <cellStyle name="Percent 69 2 2 2 2 5" xfId="53804"/>
    <cellStyle name="Percent 69 2 2 2 2 6" xfId="53805"/>
    <cellStyle name="Percent 69 2 2 2 3" xfId="53806"/>
    <cellStyle name="Percent 69 2 2 2 4" xfId="53807"/>
    <cellStyle name="Percent 69 2 2 2 5" xfId="53808"/>
    <cellStyle name="Percent 69 2 2 2 6" xfId="53809"/>
    <cellStyle name="Percent 69 2 2 2 7" xfId="53810"/>
    <cellStyle name="Percent 69 2 2 3" xfId="53811"/>
    <cellStyle name="Percent 69 2 2 3 2" xfId="53812"/>
    <cellStyle name="Percent 69 2 2 3 3" xfId="53813"/>
    <cellStyle name="Percent 69 2 2 3 4" xfId="53814"/>
    <cellStyle name="Percent 69 2 2 3 5" xfId="53815"/>
    <cellStyle name="Percent 69 2 2 3 6" xfId="53816"/>
    <cellStyle name="Percent 69 2 2 4" xfId="53817"/>
    <cellStyle name="Percent 69 2 2 5" xfId="53818"/>
    <cellStyle name="Percent 69 2 2 6" xfId="53819"/>
    <cellStyle name="Percent 69 2 2 7" xfId="53820"/>
    <cellStyle name="Percent 69 2 2 8" xfId="53821"/>
    <cellStyle name="Percent 69 2 3" xfId="53822"/>
    <cellStyle name="Percent 69 2 3 2" xfId="53823"/>
    <cellStyle name="Percent 69 2 3 2 2" xfId="53824"/>
    <cellStyle name="Percent 69 2 3 2 3" xfId="53825"/>
    <cellStyle name="Percent 69 2 3 2 4" xfId="53826"/>
    <cellStyle name="Percent 69 2 3 2 5" xfId="53827"/>
    <cellStyle name="Percent 69 2 3 2 6" xfId="53828"/>
    <cellStyle name="Percent 69 2 3 3" xfId="53829"/>
    <cellStyle name="Percent 69 2 3 4" xfId="53830"/>
    <cellStyle name="Percent 69 2 3 5" xfId="53831"/>
    <cellStyle name="Percent 69 2 3 6" xfId="53832"/>
    <cellStyle name="Percent 69 2 3 7" xfId="53833"/>
    <cellStyle name="Percent 69 2 4" xfId="53834"/>
    <cellStyle name="Percent 69 2 4 2" xfId="53835"/>
    <cellStyle name="Percent 69 2 4 3" xfId="53836"/>
    <cellStyle name="Percent 69 2 4 4" xfId="53837"/>
    <cellStyle name="Percent 69 2 4 5" xfId="53838"/>
    <cellStyle name="Percent 69 2 4 6" xfId="53839"/>
    <cellStyle name="Percent 69 2 5" xfId="53840"/>
    <cellStyle name="Percent 69 2 6" xfId="53841"/>
    <cellStyle name="Percent 69 2 7" xfId="53842"/>
    <cellStyle name="Percent 69 2 8" xfId="53843"/>
    <cellStyle name="Percent 69 2 9" xfId="53844"/>
    <cellStyle name="Percent 69 3" xfId="53845"/>
    <cellStyle name="Percent 69 3 2" xfId="53846"/>
    <cellStyle name="Percent 69 3 2 2" xfId="53847"/>
    <cellStyle name="Percent 69 3 2 2 2" xfId="53848"/>
    <cellStyle name="Percent 69 3 2 2 3" xfId="53849"/>
    <cellStyle name="Percent 69 3 2 2 4" xfId="53850"/>
    <cellStyle name="Percent 69 3 2 2 5" xfId="53851"/>
    <cellStyle name="Percent 69 3 2 2 6" xfId="53852"/>
    <cellStyle name="Percent 69 3 2 3" xfId="53853"/>
    <cellStyle name="Percent 69 3 2 4" xfId="53854"/>
    <cellStyle name="Percent 69 3 2 5" xfId="53855"/>
    <cellStyle name="Percent 69 3 2 6" xfId="53856"/>
    <cellStyle name="Percent 69 3 2 7" xfId="53857"/>
    <cellStyle name="Percent 69 3 3" xfId="53858"/>
    <cellStyle name="Percent 69 3 3 2" xfId="53859"/>
    <cellStyle name="Percent 69 3 3 3" xfId="53860"/>
    <cellStyle name="Percent 69 3 3 4" xfId="53861"/>
    <cellStyle name="Percent 69 3 3 5" xfId="53862"/>
    <cellStyle name="Percent 69 3 3 6" xfId="53863"/>
    <cellStyle name="Percent 69 3 4" xfId="53864"/>
    <cellStyle name="Percent 69 3 5" xfId="53865"/>
    <cellStyle name="Percent 69 3 6" xfId="53866"/>
    <cellStyle name="Percent 69 3 7" xfId="53867"/>
    <cellStyle name="Percent 69 3 8" xfId="53868"/>
    <cellStyle name="Percent 69 4" xfId="53869"/>
    <cellStyle name="Percent 69 4 2" xfId="53870"/>
    <cellStyle name="Percent 69 4 2 2" xfId="53871"/>
    <cellStyle name="Percent 69 4 2 3" xfId="53872"/>
    <cellStyle name="Percent 69 4 2 4" xfId="53873"/>
    <cellStyle name="Percent 69 4 2 5" xfId="53874"/>
    <cellStyle name="Percent 69 4 2 6" xfId="53875"/>
    <cellStyle name="Percent 69 4 3" xfId="53876"/>
    <cellStyle name="Percent 69 4 4" xfId="53877"/>
    <cellStyle name="Percent 69 4 5" xfId="53878"/>
    <cellStyle name="Percent 69 4 6" xfId="53879"/>
    <cellStyle name="Percent 69 4 7" xfId="53880"/>
    <cellStyle name="Percent 69 5" xfId="53881"/>
    <cellStyle name="Percent 69 5 2" xfId="53882"/>
    <cellStyle name="Percent 69 5 3" xfId="53883"/>
    <cellStyle name="Percent 69 5 4" xfId="53884"/>
    <cellStyle name="Percent 69 5 5" xfId="53885"/>
    <cellStyle name="Percent 69 5 6" xfId="53886"/>
    <cellStyle name="Percent 69 6" xfId="53887"/>
    <cellStyle name="Percent 69 7" xfId="53888"/>
    <cellStyle name="Percent 69 8" xfId="53889"/>
    <cellStyle name="Percent 69 9" xfId="53890"/>
    <cellStyle name="Percent 7" xfId="53891"/>
    <cellStyle name="Percent 7 2" xfId="53892"/>
    <cellStyle name="Percent 7 3" xfId="53893"/>
    <cellStyle name="Percent 70" xfId="53894"/>
    <cellStyle name="Percent 70 10" xfId="53895"/>
    <cellStyle name="Percent 70 2" xfId="53896"/>
    <cellStyle name="Percent 70 2 2" xfId="53897"/>
    <cellStyle name="Percent 70 2 2 2" xfId="53898"/>
    <cellStyle name="Percent 70 2 2 2 2" xfId="53899"/>
    <cellStyle name="Percent 70 2 2 2 2 2" xfId="53900"/>
    <cellStyle name="Percent 70 2 2 2 2 3" xfId="53901"/>
    <cellStyle name="Percent 70 2 2 2 2 4" xfId="53902"/>
    <cellStyle name="Percent 70 2 2 2 2 5" xfId="53903"/>
    <cellStyle name="Percent 70 2 2 2 2 6" xfId="53904"/>
    <cellStyle name="Percent 70 2 2 2 3" xfId="53905"/>
    <cellStyle name="Percent 70 2 2 2 4" xfId="53906"/>
    <cellStyle name="Percent 70 2 2 2 5" xfId="53907"/>
    <cellStyle name="Percent 70 2 2 2 6" xfId="53908"/>
    <cellStyle name="Percent 70 2 2 2 7" xfId="53909"/>
    <cellStyle name="Percent 70 2 2 3" xfId="53910"/>
    <cellStyle name="Percent 70 2 2 3 2" xfId="53911"/>
    <cellStyle name="Percent 70 2 2 3 3" xfId="53912"/>
    <cellStyle name="Percent 70 2 2 3 4" xfId="53913"/>
    <cellStyle name="Percent 70 2 2 3 5" xfId="53914"/>
    <cellStyle name="Percent 70 2 2 3 6" xfId="53915"/>
    <cellStyle name="Percent 70 2 2 4" xfId="53916"/>
    <cellStyle name="Percent 70 2 2 5" xfId="53917"/>
    <cellStyle name="Percent 70 2 2 6" xfId="53918"/>
    <cellStyle name="Percent 70 2 2 7" xfId="53919"/>
    <cellStyle name="Percent 70 2 2 8" xfId="53920"/>
    <cellStyle name="Percent 70 2 3" xfId="53921"/>
    <cellStyle name="Percent 70 2 3 2" xfId="53922"/>
    <cellStyle name="Percent 70 2 3 2 2" xfId="53923"/>
    <cellStyle name="Percent 70 2 3 2 3" xfId="53924"/>
    <cellStyle name="Percent 70 2 3 2 4" xfId="53925"/>
    <cellStyle name="Percent 70 2 3 2 5" xfId="53926"/>
    <cellStyle name="Percent 70 2 3 2 6" xfId="53927"/>
    <cellStyle name="Percent 70 2 3 3" xfId="53928"/>
    <cellStyle name="Percent 70 2 3 4" xfId="53929"/>
    <cellStyle name="Percent 70 2 3 5" xfId="53930"/>
    <cellStyle name="Percent 70 2 3 6" xfId="53931"/>
    <cellStyle name="Percent 70 2 3 7" xfId="53932"/>
    <cellStyle name="Percent 70 2 4" xfId="53933"/>
    <cellStyle name="Percent 70 2 4 2" xfId="53934"/>
    <cellStyle name="Percent 70 2 4 3" xfId="53935"/>
    <cellStyle name="Percent 70 2 4 4" xfId="53936"/>
    <cellStyle name="Percent 70 2 4 5" xfId="53937"/>
    <cellStyle name="Percent 70 2 4 6" xfId="53938"/>
    <cellStyle name="Percent 70 2 5" xfId="53939"/>
    <cellStyle name="Percent 70 2 6" xfId="53940"/>
    <cellStyle name="Percent 70 2 7" xfId="53941"/>
    <cellStyle name="Percent 70 2 8" xfId="53942"/>
    <cellStyle name="Percent 70 2 9" xfId="53943"/>
    <cellStyle name="Percent 70 3" xfId="53944"/>
    <cellStyle name="Percent 70 3 2" xfId="53945"/>
    <cellStyle name="Percent 70 3 2 2" xfId="53946"/>
    <cellStyle name="Percent 70 3 2 2 2" xfId="53947"/>
    <cellStyle name="Percent 70 3 2 2 3" xfId="53948"/>
    <cellStyle name="Percent 70 3 2 2 4" xfId="53949"/>
    <cellStyle name="Percent 70 3 2 2 5" xfId="53950"/>
    <cellStyle name="Percent 70 3 2 2 6" xfId="53951"/>
    <cellStyle name="Percent 70 3 2 3" xfId="53952"/>
    <cellStyle name="Percent 70 3 2 4" xfId="53953"/>
    <cellStyle name="Percent 70 3 2 5" xfId="53954"/>
    <cellStyle name="Percent 70 3 2 6" xfId="53955"/>
    <cellStyle name="Percent 70 3 2 7" xfId="53956"/>
    <cellStyle name="Percent 70 3 3" xfId="53957"/>
    <cellStyle name="Percent 70 3 3 2" xfId="53958"/>
    <cellStyle name="Percent 70 3 3 3" xfId="53959"/>
    <cellStyle name="Percent 70 3 3 4" xfId="53960"/>
    <cellStyle name="Percent 70 3 3 5" xfId="53961"/>
    <cellStyle name="Percent 70 3 3 6" xfId="53962"/>
    <cellStyle name="Percent 70 3 4" xfId="53963"/>
    <cellStyle name="Percent 70 3 5" xfId="53964"/>
    <cellStyle name="Percent 70 3 6" xfId="53965"/>
    <cellStyle name="Percent 70 3 7" xfId="53966"/>
    <cellStyle name="Percent 70 3 8" xfId="53967"/>
    <cellStyle name="Percent 70 4" xfId="53968"/>
    <cellStyle name="Percent 70 4 2" xfId="53969"/>
    <cellStyle name="Percent 70 4 2 2" xfId="53970"/>
    <cellStyle name="Percent 70 4 2 3" xfId="53971"/>
    <cellStyle name="Percent 70 4 2 4" xfId="53972"/>
    <cellStyle name="Percent 70 4 2 5" xfId="53973"/>
    <cellStyle name="Percent 70 4 2 6" xfId="53974"/>
    <cellStyle name="Percent 70 4 3" xfId="53975"/>
    <cellStyle name="Percent 70 4 4" xfId="53976"/>
    <cellStyle name="Percent 70 4 5" xfId="53977"/>
    <cellStyle name="Percent 70 4 6" xfId="53978"/>
    <cellStyle name="Percent 70 4 7" xfId="53979"/>
    <cellStyle name="Percent 70 5" xfId="53980"/>
    <cellStyle name="Percent 70 5 2" xfId="53981"/>
    <cellStyle name="Percent 70 5 3" xfId="53982"/>
    <cellStyle name="Percent 70 5 4" xfId="53983"/>
    <cellStyle name="Percent 70 5 5" xfId="53984"/>
    <cellStyle name="Percent 70 5 6" xfId="53985"/>
    <cellStyle name="Percent 70 6" xfId="53986"/>
    <cellStyle name="Percent 70 7" xfId="53987"/>
    <cellStyle name="Percent 70 8" xfId="53988"/>
    <cellStyle name="Percent 70 9" xfId="53989"/>
    <cellStyle name="Percent 71" xfId="53990"/>
    <cellStyle name="Percent 71 10" xfId="53991"/>
    <cellStyle name="Percent 71 2" xfId="53992"/>
    <cellStyle name="Percent 71 2 2" xfId="53993"/>
    <cellStyle name="Percent 71 2 2 2" xfId="53994"/>
    <cellStyle name="Percent 71 2 2 2 2" xfId="53995"/>
    <cellStyle name="Percent 71 2 2 2 2 2" xfId="53996"/>
    <cellStyle name="Percent 71 2 2 2 2 3" xfId="53997"/>
    <cellStyle name="Percent 71 2 2 2 2 4" xfId="53998"/>
    <cellStyle name="Percent 71 2 2 2 2 5" xfId="53999"/>
    <cellStyle name="Percent 71 2 2 2 2 6" xfId="54000"/>
    <cellStyle name="Percent 71 2 2 2 3" xfId="54001"/>
    <cellStyle name="Percent 71 2 2 2 4" xfId="54002"/>
    <cellStyle name="Percent 71 2 2 2 5" xfId="54003"/>
    <cellStyle name="Percent 71 2 2 2 6" xfId="54004"/>
    <cellStyle name="Percent 71 2 2 2 7" xfId="54005"/>
    <cellStyle name="Percent 71 2 2 3" xfId="54006"/>
    <cellStyle name="Percent 71 2 2 3 2" xfId="54007"/>
    <cellStyle name="Percent 71 2 2 3 3" xfId="54008"/>
    <cellStyle name="Percent 71 2 2 3 4" xfId="54009"/>
    <cellStyle name="Percent 71 2 2 3 5" xfId="54010"/>
    <cellStyle name="Percent 71 2 2 3 6" xfId="54011"/>
    <cellStyle name="Percent 71 2 2 4" xfId="54012"/>
    <cellStyle name="Percent 71 2 2 5" xfId="54013"/>
    <cellStyle name="Percent 71 2 2 6" xfId="54014"/>
    <cellStyle name="Percent 71 2 2 7" xfId="54015"/>
    <cellStyle name="Percent 71 2 2 8" xfId="54016"/>
    <cellStyle name="Percent 71 2 3" xfId="54017"/>
    <cellStyle name="Percent 71 2 3 2" xfId="54018"/>
    <cellStyle name="Percent 71 2 3 2 2" xfId="54019"/>
    <cellStyle name="Percent 71 2 3 2 3" xfId="54020"/>
    <cellStyle name="Percent 71 2 3 2 4" xfId="54021"/>
    <cellStyle name="Percent 71 2 3 2 5" xfId="54022"/>
    <cellStyle name="Percent 71 2 3 2 6" xfId="54023"/>
    <cellStyle name="Percent 71 2 3 3" xfId="54024"/>
    <cellStyle name="Percent 71 2 3 4" xfId="54025"/>
    <cellStyle name="Percent 71 2 3 5" xfId="54026"/>
    <cellStyle name="Percent 71 2 3 6" xfId="54027"/>
    <cellStyle name="Percent 71 2 3 7" xfId="54028"/>
    <cellStyle name="Percent 71 2 4" xfId="54029"/>
    <cellStyle name="Percent 71 2 4 2" xfId="54030"/>
    <cellStyle name="Percent 71 2 4 3" xfId="54031"/>
    <cellStyle name="Percent 71 2 4 4" xfId="54032"/>
    <cellStyle name="Percent 71 2 4 5" xfId="54033"/>
    <cellStyle name="Percent 71 2 4 6" xfId="54034"/>
    <cellStyle name="Percent 71 2 5" xfId="54035"/>
    <cellStyle name="Percent 71 2 6" xfId="54036"/>
    <cellStyle name="Percent 71 2 7" xfId="54037"/>
    <cellStyle name="Percent 71 2 8" xfId="54038"/>
    <cellStyle name="Percent 71 2 9" xfId="54039"/>
    <cellStyle name="Percent 71 3" xfId="54040"/>
    <cellStyle name="Percent 71 3 2" xfId="54041"/>
    <cellStyle name="Percent 71 3 2 2" xfId="54042"/>
    <cellStyle name="Percent 71 3 2 2 2" xfId="54043"/>
    <cellStyle name="Percent 71 3 2 2 3" xfId="54044"/>
    <cellStyle name="Percent 71 3 2 2 4" xfId="54045"/>
    <cellStyle name="Percent 71 3 2 2 5" xfId="54046"/>
    <cellStyle name="Percent 71 3 2 2 6" xfId="54047"/>
    <cellStyle name="Percent 71 3 2 3" xfId="54048"/>
    <cellStyle name="Percent 71 3 2 4" xfId="54049"/>
    <cellStyle name="Percent 71 3 2 5" xfId="54050"/>
    <cellStyle name="Percent 71 3 2 6" xfId="54051"/>
    <cellStyle name="Percent 71 3 2 7" xfId="54052"/>
    <cellStyle name="Percent 71 3 3" xfId="54053"/>
    <cellStyle name="Percent 71 3 3 2" xfId="54054"/>
    <cellStyle name="Percent 71 3 3 3" xfId="54055"/>
    <cellStyle name="Percent 71 3 3 4" xfId="54056"/>
    <cellStyle name="Percent 71 3 3 5" xfId="54057"/>
    <cellStyle name="Percent 71 3 3 6" xfId="54058"/>
    <cellStyle name="Percent 71 3 4" xfId="54059"/>
    <cellStyle name="Percent 71 3 5" xfId="54060"/>
    <cellStyle name="Percent 71 3 6" xfId="54061"/>
    <cellStyle name="Percent 71 3 7" xfId="54062"/>
    <cellStyle name="Percent 71 3 8" xfId="54063"/>
    <cellStyle name="Percent 71 4" xfId="54064"/>
    <cellStyle name="Percent 71 4 2" xfId="54065"/>
    <cellStyle name="Percent 71 4 2 2" xfId="54066"/>
    <cellStyle name="Percent 71 4 2 3" xfId="54067"/>
    <cellStyle name="Percent 71 4 2 4" xfId="54068"/>
    <cellStyle name="Percent 71 4 2 5" xfId="54069"/>
    <cellStyle name="Percent 71 4 2 6" xfId="54070"/>
    <cellStyle name="Percent 71 4 3" xfId="54071"/>
    <cellStyle name="Percent 71 4 4" xfId="54072"/>
    <cellStyle name="Percent 71 4 5" xfId="54073"/>
    <cellStyle name="Percent 71 4 6" xfId="54074"/>
    <cellStyle name="Percent 71 4 7" xfId="54075"/>
    <cellStyle name="Percent 71 5" xfId="54076"/>
    <cellStyle name="Percent 71 5 2" xfId="54077"/>
    <cellStyle name="Percent 71 5 3" xfId="54078"/>
    <cellStyle name="Percent 71 5 4" xfId="54079"/>
    <cellStyle name="Percent 71 5 5" xfId="54080"/>
    <cellStyle name="Percent 71 5 6" xfId="54081"/>
    <cellStyle name="Percent 71 6" xfId="54082"/>
    <cellStyle name="Percent 71 7" xfId="54083"/>
    <cellStyle name="Percent 71 8" xfId="54084"/>
    <cellStyle name="Percent 71 9" xfId="54085"/>
    <cellStyle name="Percent 72" xfId="54086"/>
    <cellStyle name="Percent 72 10" xfId="54087"/>
    <cellStyle name="Percent 72 2" xfId="54088"/>
    <cellStyle name="Percent 72 2 2" xfId="54089"/>
    <cellStyle name="Percent 72 2 2 2" xfId="54090"/>
    <cellStyle name="Percent 72 2 2 2 2" xfId="54091"/>
    <cellStyle name="Percent 72 2 2 2 2 2" xfId="54092"/>
    <cellStyle name="Percent 72 2 2 2 2 3" xfId="54093"/>
    <cellStyle name="Percent 72 2 2 2 2 4" xfId="54094"/>
    <cellStyle name="Percent 72 2 2 2 2 5" xfId="54095"/>
    <cellStyle name="Percent 72 2 2 2 2 6" xfId="54096"/>
    <cellStyle name="Percent 72 2 2 2 3" xfId="54097"/>
    <cellStyle name="Percent 72 2 2 2 4" xfId="54098"/>
    <cellStyle name="Percent 72 2 2 2 5" xfId="54099"/>
    <cellStyle name="Percent 72 2 2 2 6" xfId="54100"/>
    <cellStyle name="Percent 72 2 2 2 7" xfId="54101"/>
    <cellStyle name="Percent 72 2 2 3" xfId="54102"/>
    <cellStyle name="Percent 72 2 2 3 2" xfId="54103"/>
    <cellStyle name="Percent 72 2 2 3 3" xfId="54104"/>
    <cellStyle name="Percent 72 2 2 3 4" xfId="54105"/>
    <cellStyle name="Percent 72 2 2 3 5" xfId="54106"/>
    <cellStyle name="Percent 72 2 2 3 6" xfId="54107"/>
    <cellStyle name="Percent 72 2 2 4" xfId="54108"/>
    <cellStyle name="Percent 72 2 2 5" xfId="54109"/>
    <cellStyle name="Percent 72 2 2 6" xfId="54110"/>
    <cellStyle name="Percent 72 2 2 7" xfId="54111"/>
    <cellStyle name="Percent 72 2 2 8" xfId="54112"/>
    <cellStyle name="Percent 72 2 3" xfId="54113"/>
    <cellStyle name="Percent 72 2 3 2" xfId="54114"/>
    <cellStyle name="Percent 72 2 3 2 2" xfId="54115"/>
    <cellStyle name="Percent 72 2 3 2 3" xfId="54116"/>
    <cellStyle name="Percent 72 2 3 2 4" xfId="54117"/>
    <cellStyle name="Percent 72 2 3 2 5" xfId="54118"/>
    <cellStyle name="Percent 72 2 3 2 6" xfId="54119"/>
    <cellStyle name="Percent 72 2 3 3" xfId="54120"/>
    <cellStyle name="Percent 72 2 3 4" xfId="54121"/>
    <cellStyle name="Percent 72 2 3 5" xfId="54122"/>
    <cellStyle name="Percent 72 2 3 6" xfId="54123"/>
    <cellStyle name="Percent 72 2 3 7" xfId="54124"/>
    <cellStyle name="Percent 72 2 4" xfId="54125"/>
    <cellStyle name="Percent 72 2 4 2" xfId="54126"/>
    <cellStyle name="Percent 72 2 4 3" xfId="54127"/>
    <cellStyle name="Percent 72 2 4 4" xfId="54128"/>
    <cellStyle name="Percent 72 2 4 5" xfId="54129"/>
    <cellStyle name="Percent 72 2 4 6" xfId="54130"/>
    <cellStyle name="Percent 72 2 5" xfId="54131"/>
    <cellStyle name="Percent 72 2 6" xfId="54132"/>
    <cellStyle name="Percent 72 2 7" xfId="54133"/>
    <cellStyle name="Percent 72 2 8" xfId="54134"/>
    <cellStyle name="Percent 72 2 9" xfId="54135"/>
    <cellStyle name="Percent 72 3" xfId="54136"/>
    <cellStyle name="Percent 72 3 2" xfId="54137"/>
    <cellStyle name="Percent 72 3 2 2" xfId="54138"/>
    <cellStyle name="Percent 72 3 2 2 2" xfId="54139"/>
    <cellStyle name="Percent 72 3 2 2 3" xfId="54140"/>
    <cellStyle name="Percent 72 3 2 2 4" xfId="54141"/>
    <cellStyle name="Percent 72 3 2 2 5" xfId="54142"/>
    <cellStyle name="Percent 72 3 2 2 6" xfId="54143"/>
    <cellStyle name="Percent 72 3 2 3" xfId="54144"/>
    <cellStyle name="Percent 72 3 2 4" xfId="54145"/>
    <cellStyle name="Percent 72 3 2 5" xfId="54146"/>
    <cellStyle name="Percent 72 3 2 6" xfId="54147"/>
    <cellStyle name="Percent 72 3 2 7" xfId="54148"/>
    <cellStyle name="Percent 72 3 3" xfId="54149"/>
    <cellStyle name="Percent 72 3 3 2" xfId="54150"/>
    <cellStyle name="Percent 72 3 3 3" xfId="54151"/>
    <cellStyle name="Percent 72 3 3 4" xfId="54152"/>
    <cellStyle name="Percent 72 3 3 5" xfId="54153"/>
    <cellStyle name="Percent 72 3 3 6" xfId="54154"/>
    <cellStyle name="Percent 72 3 4" xfId="54155"/>
    <cellStyle name="Percent 72 3 5" xfId="54156"/>
    <cellStyle name="Percent 72 3 6" xfId="54157"/>
    <cellStyle name="Percent 72 3 7" xfId="54158"/>
    <cellStyle name="Percent 72 3 8" xfId="54159"/>
    <cellStyle name="Percent 72 4" xfId="54160"/>
    <cellStyle name="Percent 72 4 2" xfId="54161"/>
    <cellStyle name="Percent 72 4 2 2" xfId="54162"/>
    <cellStyle name="Percent 72 4 2 3" xfId="54163"/>
    <cellStyle name="Percent 72 4 2 4" xfId="54164"/>
    <cellStyle name="Percent 72 4 2 5" xfId="54165"/>
    <cellStyle name="Percent 72 4 2 6" xfId="54166"/>
    <cellStyle name="Percent 72 4 3" xfId="54167"/>
    <cellStyle name="Percent 72 4 4" xfId="54168"/>
    <cellStyle name="Percent 72 4 5" xfId="54169"/>
    <cellStyle name="Percent 72 4 6" xfId="54170"/>
    <cellStyle name="Percent 72 4 7" xfId="54171"/>
    <cellStyle name="Percent 72 5" xfId="54172"/>
    <cellStyle name="Percent 72 5 2" xfId="54173"/>
    <cellStyle name="Percent 72 5 3" xfId="54174"/>
    <cellStyle name="Percent 72 5 4" xfId="54175"/>
    <cellStyle name="Percent 72 5 5" xfId="54176"/>
    <cellStyle name="Percent 72 5 6" xfId="54177"/>
    <cellStyle name="Percent 72 6" xfId="54178"/>
    <cellStyle name="Percent 72 7" xfId="54179"/>
    <cellStyle name="Percent 72 8" xfId="54180"/>
    <cellStyle name="Percent 72 9" xfId="54181"/>
    <cellStyle name="Percent 73" xfId="54182"/>
    <cellStyle name="Percent 73 10" xfId="54183"/>
    <cellStyle name="Percent 73 2" xfId="54184"/>
    <cellStyle name="Percent 73 2 2" xfId="54185"/>
    <cellStyle name="Percent 73 2 2 2" xfId="54186"/>
    <cellStyle name="Percent 73 2 2 2 2" xfId="54187"/>
    <cellStyle name="Percent 73 2 2 2 2 2" xfId="54188"/>
    <cellStyle name="Percent 73 2 2 2 2 3" xfId="54189"/>
    <cellStyle name="Percent 73 2 2 2 2 4" xfId="54190"/>
    <cellStyle name="Percent 73 2 2 2 2 5" xfId="54191"/>
    <cellStyle name="Percent 73 2 2 2 2 6" xfId="54192"/>
    <cellStyle name="Percent 73 2 2 2 3" xfId="54193"/>
    <cellStyle name="Percent 73 2 2 2 4" xfId="54194"/>
    <cellStyle name="Percent 73 2 2 2 5" xfId="54195"/>
    <cellStyle name="Percent 73 2 2 2 6" xfId="54196"/>
    <cellStyle name="Percent 73 2 2 2 7" xfId="54197"/>
    <cellStyle name="Percent 73 2 2 3" xfId="54198"/>
    <cellStyle name="Percent 73 2 2 3 2" xfId="54199"/>
    <cellStyle name="Percent 73 2 2 3 3" xfId="54200"/>
    <cellStyle name="Percent 73 2 2 3 4" xfId="54201"/>
    <cellStyle name="Percent 73 2 2 3 5" xfId="54202"/>
    <cellStyle name="Percent 73 2 2 3 6" xfId="54203"/>
    <cellStyle name="Percent 73 2 2 4" xfId="54204"/>
    <cellStyle name="Percent 73 2 2 5" xfId="54205"/>
    <cellStyle name="Percent 73 2 2 6" xfId="54206"/>
    <cellStyle name="Percent 73 2 2 7" xfId="54207"/>
    <cellStyle name="Percent 73 2 2 8" xfId="54208"/>
    <cellStyle name="Percent 73 2 3" xfId="54209"/>
    <cellStyle name="Percent 73 2 3 2" xfId="54210"/>
    <cellStyle name="Percent 73 2 3 2 2" xfId="54211"/>
    <cellStyle name="Percent 73 2 3 2 3" xfId="54212"/>
    <cellStyle name="Percent 73 2 3 2 4" xfId="54213"/>
    <cellStyle name="Percent 73 2 3 2 5" xfId="54214"/>
    <cellStyle name="Percent 73 2 3 2 6" xfId="54215"/>
    <cellStyle name="Percent 73 2 3 3" xfId="54216"/>
    <cellStyle name="Percent 73 2 3 4" xfId="54217"/>
    <cellStyle name="Percent 73 2 3 5" xfId="54218"/>
    <cellStyle name="Percent 73 2 3 6" xfId="54219"/>
    <cellStyle name="Percent 73 2 3 7" xfId="54220"/>
    <cellStyle name="Percent 73 2 4" xfId="54221"/>
    <cellStyle name="Percent 73 2 4 2" xfId="54222"/>
    <cellStyle name="Percent 73 2 4 3" xfId="54223"/>
    <cellStyle name="Percent 73 2 4 4" xfId="54224"/>
    <cellStyle name="Percent 73 2 4 5" xfId="54225"/>
    <cellStyle name="Percent 73 2 4 6" xfId="54226"/>
    <cellStyle name="Percent 73 2 5" xfId="54227"/>
    <cellStyle name="Percent 73 2 6" xfId="54228"/>
    <cellStyle name="Percent 73 2 7" xfId="54229"/>
    <cellStyle name="Percent 73 2 8" xfId="54230"/>
    <cellStyle name="Percent 73 2 9" xfId="54231"/>
    <cellStyle name="Percent 73 3" xfId="54232"/>
    <cellStyle name="Percent 73 3 2" xfId="54233"/>
    <cellStyle name="Percent 73 3 2 2" xfId="54234"/>
    <cellStyle name="Percent 73 3 2 2 2" xfId="54235"/>
    <cellStyle name="Percent 73 3 2 2 3" xfId="54236"/>
    <cellStyle name="Percent 73 3 2 2 4" xfId="54237"/>
    <cellStyle name="Percent 73 3 2 2 5" xfId="54238"/>
    <cellStyle name="Percent 73 3 2 2 6" xfId="54239"/>
    <cellStyle name="Percent 73 3 2 3" xfId="54240"/>
    <cellStyle name="Percent 73 3 2 4" xfId="54241"/>
    <cellStyle name="Percent 73 3 2 5" xfId="54242"/>
    <cellStyle name="Percent 73 3 2 6" xfId="54243"/>
    <cellStyle name="Percent 73 3 2 7" xfId="54244"/>
    <cellStyle name="Percent 73 3 3" xfId="54245"/>
    <cellStyle name="Percent 73 3 3 2" xfId="54246"/>
    <cellStyle name="Percent 73 3 3 3" xfId="54247"/>
    <cellStyle name="Percent 73 3 3 4" xfId="54248"/>
    <cellStyle name="Percent 73 3 3 5" xfId="54249"/>
    <cellStyle name="Percent 73 3 3 6" xfId="54250"/>
    <cellStyle name="Percent 73 3 4" xfId="54251"/>
    <cellStyle name="Percent 73 3 5" xfId="54252"/>
    <cellStyle name="Percent 73 3 6" xfId="54253"/>
    <cellStyle name="Percent 73 3 7" xfId="54254"/>
    <cellStyle name="Percent 73 3 8" xfId="54255"/>
    <cellStyle name="Percent 73 4" xfId="54256"/>
    <cellStyle name="Percent 73 4 2" xfId="54257"/>
    <cellStyle name="Percent 73 4 2 2" xfId="54258"/>
    <cellStyle name="Percent 73 4 2 3" xfId="54259"/>
    <cellStyle name="Percent 73 4 2 4" xfId="54260"/>
    <cellStyle name="Percent 73 4 2 5" xfId="54261"/>
    <cellStyle name="Percent 73 4 2 6" xfId="54262"/>
    <cellStyle name="Percent 73 4 3" xfId="54263"/>
    <cellStyle name="Percent 73 4 4" xfId="54264"/>
    <cellStyle name="Percent 73 4 5" xfId="54265"/>
    <cellStyle name="Percent 73 4 6" xfId="54266"/>
    <cellStyle name="Percent 73 4 7" xfId="54267"/>
    <cellStyle name="Percent 73 5" xfId="54268"/>
    <cellStyle name="Percent 73 5 2" xfId="54269"/>
    <cellStyle name="Percent 73 5 3" xfId="54270"/>
    <cellStyle name="Percent 73 5 4" xfId="54271"/>
    <cellStyle name="Percent 73 5 5" xfId="54272"/>
    <cellStyle name="Percent 73 5 6" xfId="54273"/>
    <cellStyle name="Percent 73 6" xfId="54274"/>
    <cellStyle name="Percent 73 7" xfId="54275"/>
    <cellStyle name="Percent 73 8" xfId="54276"/>
    <cellStyle name="Percent 73 9" xfId="54277"/>
    <cellStyle name="Percent 74" xfId="54278"/>
    <cellStyle name="Percent 74 10" xfId="54279"/>
    <cellStyle name="Percent 74 2" xfId="54280"/>
    <cellStyle name="Percent 74 2 2" xfId="54281"/>
    <cellStyle name="Percent 74 2 2 2" xfId="54282"/>
    <cellStyle name="Percent 74 2 2 2 2" xfId="54283"/>
    <cellStyle name="Percent 74 2 2 2 2 2" xfId="54284"/>
    <cellStyle name="Percent 74 2 2 2 2 3" xfId="54285"/>
    <cellStyle name="Percent 74 2 2 2 2 4" xfId="54286"/>
    <cellStyle name="Percent 74 2 2 2 2 5" xfId="54287"/>
    <cellStyle name="Percent 74 2 2 2 2 6" xfId="54288"/>
    <cellStyle name="Percent 74 2 2 2 3" xfId="54289"/>
    <cellStyle name="Percent 74 2 2 2 4" xfId="54290"/>
    <cellStyle name="Percent 74 2 2 2 5" xfId="54291"/>
    <cellStyle name="Percent 74 2 2 2 6" xfId="54292"/>
    <cellStyle name="Percent 74 2 2 2 7" xfId="54293"/>
    <cellStyle name="Percent 74 2 2 3" xfId="54294"/>
    <cellStyle name="Percent 74 2 2 3 2" xfId="54295"/>
    <cellStyle name="Percent 74 2 2 3 3" xfId="54296"/>
    <cellStyle name="Percent 74 2 2 3 4" xfId="54297"/>
    <cellStyle name="Percent 74 2 2 3 5" xfId="54298"/>
    <cellStyle name="Percent 74 2 2 3 6" xfId="54299"/>
    <cellStyle name="Percent 74 2 2 4" xfId="54300"/>
    <cellStyle name="Percent 74 2 2 5" xfId="54301"/>
    <cellStyle name="Percent 74 2 2 6" xfId="54302"/>
    <cellStyle name="Percent 74 2 2 7" xfId="54303"/>
    <cellStyle name="Percent 74 2 2 8" xfId="54304"/>
    <cellStyle name="Percent 74 2 3" xfId="54305"/>
    <cellStyle name="Percent 74 2 3 2" xfId="54306"/>
    <cellStyle name="Percent 74 2 3 2 2" xfId="54307"/>
    <cellStyle name="Percent 74 2 3 2 3" xfId="54308"/>
    <cellStyle name="Percent 74 2 3 2 4" xfId="54309"/>
    <cellStyle name="Percent 74 2 3 2 5" xfId="54310"/>
    <cellStyle name="Percent 74 2 3 2 6" xfId="54311"/>
    <cellStyle name="Percent 74 2 3 3" xfId="54312"/>
    <cellStyle name="Percent 74 2 3 4" xfId="54313"/>
    <cellStyle name="Percent 74 2 3 5" xfId="54314"/>
    <cellStyle name="Percent 74 2 3 6" xfId="54315"/>
    <cellStyle name="Percent 74 2 3 7" xfId="54316"/>
    <cellStyle name="Percent 74 2 4" xfId="54317"/>
    <cellStyle name="Percent 74 2 4 2" xfId="54318"/>
    <cellStyle name="Percent 74 2 4 3" xfId="54319"/>
    <cellStyle name="Percent 74 2 4 4" xfId="54320"/>
    <cellStyle name="Percent 74 2 4 5" xfId="54321"/>
    <cellStyle name="Percent 74 2 4 6" xfId="54322"/>
    <cellStyle name="Percent 74 2 5" xfId="54323"/>
    <cellStyle name="Percent 74 2 6" xfId="54324"/>
    <cellStyle name="Percent 74 2 7" xfId="54325"/>
    <cellStyle name="Percent 74 2 8" xfId="54326"/>
    <cellStyle name="Percent 74 2 9" xfId="54327"/>
    <cellStyle name="Percent 74 3" xfId="54328"/>
    <cellStyle name="Percent 74 3 2" xfId="54329"/>
    <cellStyle name="Percent 74 3 2 2" xfId="54330"/>
    <cellStyle name="Percent 74 3 2 2 2" xfId="54331"/>
    <cellStyle name="Percent 74 3 2 2 3" xfId="54332"/>
    <cellStyle name="Percent 74 3 2 2 4" xfId="54333"/>
    <cellStyle name="Percent 74 3 2 2 5" xfId="54334"/>
    <cellStyle name="Percent 74 3 2 2 6" xfId="54335"/>
    <cellStyle name="Percent 74 3 2 3" xfId="54336"/>
    <cellStyle name="Percent 74 3 2 4" xfId="54337"/>
    <cellStyle name="Percent 74 3 2 5" xfId="54338"/>
    <cellStyle name="Percent 74 3 2 6" xfId="54339"/>
    <cellStyle name="Percent 74 3 2 7" xfId="54340"/>
    <cellStyle name="Percent 74 3 3" xfId="54341"/>
    <cellStyle name="Percent 74 3 3 2" xfId="54342"/>
    <cellStyle name="Percent 74 3 3 3" xfId="54343"/>
    <cellStyle name="Percent 74 3 3 4" xfId="54344"/>
    <cellStyle name="Percent 74 3 3 5" xfId="54345"/>
    <cellStyle name="Percent 74 3 3 6" xfId="54346"/>
    <cellStyle name="Percent 74 3 4" xfId="54347"/>
    <cellStyle name="Percent 74 3 5" xfId="54348"/>
    <cellStyle name="Percent 74 3 6" xfId="54349"/>
    <cellStyle name="Percent 74 3 7" xfId="54350"/>
    <cellStyle name="Percent 74 3 8" xfId="54351"/>
    <cellStyle name="Percent 74 4" xfId="54352"/>
    <cellStyle name="Percent 74 4 2" xfId="54353"/>
    <cellStyle name="Percent 74 4 2 2" xfId="54354"/>
    <cellStyle name="Percent 74 4 2 3" xfId="54355"/>
    <cellStyle name="Percent 74 4 2 4" xfId="54356"/>
    <cellStyle name="Percent 74 4 2 5" xfId="54357"/>
    <cellStyle name="Percent 74 4 2 6" xfId="54358"/>
    <cellStyle name="Percent 74 4 3" xfId="54359"/>
    <cellStyle name="Percent 74 4 4" xfId="54360"/>
    <cellStyle name="Percent 74 4 5" xfId="54361"/>
    <cellStyle name="Percent 74 4 6" xfId="54362"/>
    <cellStyle name="Percent 74 4 7" xfId="54363"/>
    <cellStyle name="Percent 74 5" xfId="54364"/>
    <cellStyle name="Percent 74 5 2" xfId="54365"/>
    <cellStyle name="Percent 74 5 3" xfId="54366"/>
    <cellStyle name="Percent 74 5 4" xfId="54367"/>
    <cellStyle name="Percent 74 5 5" xfId="54368"/>
    <cellStyle name="Percent 74 5 6" xfId="54369"/>
    <cellStyle name="Percent 74 6" xfId="54370"/>
    <cellStyle name="Percent 74 7" xfId="54371"/>
    <cellStyle name="Percent 74 8" xfId="54372"/>
    <cellStyle name="Percent 74 9" xfId="54373"/>
    <cellStyle name="Percent 75" xfId="54374"/>
    <cellStyle name="Percent 75 10" xfId="54375"/>
    <cellStyle name="Percent 75 2" xfId="54376"/>
    <cellStyle name="Percent 75 2 2" xfId="54377"/>
    <cellStyle name="Percent 75 2 2 2" xfId="54378"/>
    <cellStyle name="Percent 75 2 2 2 2" xfId="54379"/>
    <cellStyle name="Percent 75 2 2 2 2 2" xfId="54380"/>
    <cellStyle name="Percent 75 2 2 2 2 3" xfId="54381"/>
    <cellStyle name="Percent 75 2 2 2 2 4" xfId="54382"/>
    <cellStyle name="Percent 75 2 2 2 2 5" xfId="54383"/>
    <cellStyle name="Percent 75 2 2 2 2 6" xfId="54384"/>
    <cellStyle name="Percent 75 2 2 2 3" xfId="54385"/>
    <cellStyle name="Percent 75 2 2 2 4" xfId="54386"/>
    <cellStyle name="Percent 75 2 2 2 5" xfId="54387"/>
    <cellStyle name="Percent 75 2 2 2 6" xfId="54388"/>
    <cellStyle name="Percent 75 2 2 2 7" xfId="54389"/>
    <cellStyle name="Percent 75 2 2 3" xfId="54390"/>
    <cellStyle name="Percent 75 2 2 3 2" xfId="54391"/>
    <cellStyle name="Percent 75 2 2 3 3" xfId="54392"/>
    <cellStyle name="Percent 75 2 2 3 4" xfId="54393"/>
    <cellStyle name="Percent 75 2 2 3 5" xfId="54394"/>
    <cellStyle name="Percent 75 2 2 3 6" xfId="54395"/>
    <cellStyle name="Percent 75 2 2 4" xfId="54396"/>
    <cellStyle name="Percent 75 2 2 5" xfId="54397"/>
    <cellStyle name="Percent 75 2 2 6" xfId="54398"/>
    <cellStyle name="Percent 75 2 2 7" xfId="54399"/>
    <cellStyle name="Percent 75 2 2 8" xfId="54400"/>
    <cellStyle name="Percent 75 2 3" xfId="54401"/>
    <cellStyle name="Percent 75 2 3 2" xfId="54402"/>
    <cellStyle name="Percent 75 2 3 2 2" xfId="54403"/>
    <cellStyle name="Percent 75 2 3 2 3" xfId="54404"/>
    <cellStyle name="Percent 75 2 3 2 4" xfId="54405"/>
    <cellStyle name="Percent 75 2 3 2 5" xfId="54406"/>
    <cellStyle name="Percent 75 2 3 2 6" xfId="54407"/>
    <cellStyle name="Percent 75 2 3 3" xfId="54408"/>
    <cellStyle name="Percent 75 2 3 4" xfId="54409"/>
    <cellStyle name="Percent 75 2 3 5" xfId="54410"/>
    <cellStyle name="Percent 75 2 3 6" xfId="54411"/>
    <cellStyle name="Percent 75 2 3 7" xfId="54412"/>
    <cellStyle name="Percent 75 2 4" xfId="54413"/>
    <cellStyle name="Percent 75 2 4 2" xfId="54414"/>
    <cellStyle name="Percent 75 2 4 3" xfId="54415"/>
    <cellStyle name="Percent 75 2 4 4" xfId="54416"/>
    <cellStyle name="Percent 75 2 4 5" xfId="54417"/>
    <cellStyle name="Percent 75 2 4 6" xfId="54418"/>
    <cellStyle name="Percent 75 2 5" xfId="54419"/>
    <cellStyle name="Percent 75 2 6" xfId="54420"/>
    <cellStyle name="Percent 75 2 7" xfId="54421"/>
    <cellStyle name="Percent 75 2 8" xfId="54422"/>
    <cellStyle name="Percent 75 2 9" xfId="54423"/>
    <cellStyle name="Percent 75 3" xfId="54424"/>
    <cellStyle name="Percent 75 3 2" xfId="54425"/>
    <cellStyle name="Percent 75 3 2 2" xfId="54426"/>
    <cellStyle name="Percent 75 3 2 2 2" xfId="54427"/>
    <cellStyle name="Percent 75 3 2 2 3" xfId="54428"/>
    <cellStyle name="Percent 75 3 2 2 4" xfId="54429"/>
    <cellStyle name="Percent 75 3 2 2 5" xfId="54430"/>
    <cellStyle name="Percent 75 3 2 2 6" xfId="54431"/>
    <cellStyle name="Percent 75 3 2 3" xfId="54432"/>
    <cellStyle name="Percent 75 3 2 4" xfId="54433"/>
    <cellStyle name="Percent 75 3 2 5" xfId="54434"/>
    <cellStyle name="Percent 75 3 2 6" xfId="54435"/>
    <cellStyle name="Percent 75 3 2 7" xfId="54436"/>
    <cellStyle name="Percent 75 3 3" xfId="54437"/>
    <cellStyle name="Percent 75 3 3 2" xfId="54438"/>
    <cellStyle name="Percent 75 3 3 3" xfId="54439"/>
    <cellStyle name="Percent 75 3 3 4" xfId="54440"/>
    <cellStyle name="Percent 75 3 3 5" xfId="54441"/>
    <cellStyle name="Percent 75 3 3 6" xfId="54442"/>
    <cellStyle name="Percent 75 3 4" xfId="54443"/>
    <cellStyle name="Percent 75 3 5" xfId="54444"/>
    <cellStyle name="Percent 75 3 6" xfId="54445"/>
    <cellStyle name="Percent 75 3 7" xfId="54446"/>
    <cellStyle name="Percent 75 3 8" xfId="54447"/>
    <cellStyle name="Percent 75 4" xfId="54448"/>
    <cellStyle name="Percent 75 4 2" xfId="54449"/>
    <cellStyle name="Percent 75 4 2 2" xfId="54450"/>
    <cellStyle name="Percent 75 4 2 3" xfId="54451"/>
    <cellStyle name="Percent 75 4 2 4" xfId="54452"/>
    <cellStyle name="Percent 75 4 2 5" xfId="54453"/>
    <cellStyle name="Percent 75 4 2 6" xfId="54454"/>
    <cellStyle name="Percent 75 4 3" xfId="54455"/>
    <cellStyle name="Percent 75 4 4" xfId="54456"/>
    <cellStyle name="Percent 75 4 5" xfId="54457"/>
    <cellStyle name="Percent 75 4 6" xfId="54458"/>
    <cellStyle name="Percent 75 4 7" xfId="54459"/>
    <cellStyle name="Percent 75 5" xfId="54460"/>
    <cellStyle name="Percent 75 5 2" xfId="54461"/>
    <cellStyle name="Percent 75 5 3" xfId="54462"/>
    <cellStyle name="Percent 75 5 4" xfId="54463"/>
    <cellStyle name="Percent 75 5 5" xfId="54464"/>
    <cellStyle name="Percent 75 5 6" xfId="54465"/>
    <cellStyle name="Percent 75 6" xfId="54466"/>
    <cellStyle name="Percent 75 7" xfId="54467"/>
    <cellStyle name="Percent 75 8" xfId="54468"/>
    <cellStyle name="Percent 75 9" xfId="54469"/>
    <cellStyle name="Percent 76" xfId="54470"/>
    <cellStyle name="Percent 76 10" xfId="54471"/>
    <cellStyle name="Percent 76 2" xfId="54472"/>
    <cellStyle name="Percent 76 2 2" xfId="54473"/>
    <cellStyle name="Percent 76 2 2 2" xfId="54474"/>
    <cellStyle name="Percent 76 2 2 2 2" xfId="54475"/>
    <cellStyle name="Percent 76 2 2 2 2 2" xfId="54476"/>
    <cellStyle name="Percent 76 2 2 2 2 3" xfId="54477"/>
    <cellStyle name="Percent 76 2 2 2 2 4" xfId="54478"/>
    <cellStyle name="Percent 76 2 2 2 2 5" xfId="54479"/>
    <cellStyle name="Percent 76 2 2 2 2 6" xfId="54480"/>
    <cellStyle name="Percent 76 2 2 2 3" xfId="54481"/>
    <cellStyle name="Percent 76 2 2 2 4" xfId="54482"/>
    <cellStyle name="Percent 76 2 2 2 5" xfId="54483"/>
    <cellStyle name="Percent 76 2 2 2 6" xfId="54484"/>
    <cellStyle name="Percent 76 2 2 2 7" xfId="54485"/>
    <cellStyle name="Percent 76 2 2 3" xfId="54486"/>
    <cellStyle name="Percent 76 2 2 3 2" xfId="54487"/>
    <cellStyle name="Percent 76 2 2 3 3" xfId="54488"/>
    <cellStyle name="Percent 76 2 2 3 4" xfId="54489"/>
    <cellStyle name="Percent 76 2 2 3 5" xfId="54490"/>
    <cellStyle name="Percent 76 2 2 3 6" xfId="54491"/>
    <cellStyle name="Percent 76 2 2 4" xfId="54492"/>
    <cellStyle name="Percent 76 2 2 5" xfId="54493"/>
    <cellStyle name="Percent 76 2 2 6" xfId="54494"/>
    <cellStyle name="Percent 76 2 2 7" xfId="54495"/>
    <cellStyle name="Percent 76 2 2 8" xfId="54496"/>
    <cellStyle name="Percent 76 2 3" xfId="54497"/>
    <cellStyle name="Percent 76 2 3 2" xfId="54498"/>
    <cellStyle name="Percent 76 2 3 2 2" xfId="54499"/>
    <cellStyle name="Percent 76 2 3 2 3" xfId="54500"/>
    <cellStyle name="Percent 76 2 3 2 4" xfId="54501"/>
    <cellStyle name="Percent 76 2 3 2 5" xfId="54502"/>
    <cellStyle name="Percent 76 2 3 2 6" xfId="54503"/>
    <cellStyle name="Percent 76 2 3 3" xfId="54504"/>
    <cellStyle name="Percent 76 2 3 4" xfId="54505"/>
    <cellStyle name="Percent 76 2 3 5" xfId="54506"/>
    <cellStyle name="Percent 76 2 3 6" xfId="54507"/>
    <cellStyle name="Percent 76 2 3 7" xfId="54508"/>
    <cellStyle name="Percent 76 2 4" xfId="54509"/>
    <cellStyle name="Percent 76 2 4 2" xfId="54510"/>
    <cellStyle name="Percent 76 2 4 3" xfId="54511"/>
    <cellStyle name="Percent 76 2 4 4" xfId="54512"/>
    <cellStyle name="Percent 76 2 4 5" xfId="54513"/>
    <cellStyle name="Percent 76 2 4 6" xfId="54514"/>
    <cellStyle name="Percent 76 2 5" xfId="54515"/>
    <cellStyle name="Percent 76 2 6" xfId="54516"/>
    <cellStyle name="Percent 76 2 7" xfId="54517"/>
    <cellStyle name="Percent 76 2 8" xfId="54518"/>
    <cellStyle name="Percent 76 2 9" xfId="54519"/>
    <cellStyle name="Percent 76 3" xfId="54520"/>
    <cellStyle name="Percent 76 3 2" xfId="54521"/>
    <cellStyle name="Percent 76 3 2 2" xfId="54522"/>
    <cellStyle name="Percent 76 3 2 2 2" xfId="54523"/>
    <cellStyle name="Percent 76 3 2 2 3" xfId="54524"/>
    <cellStyle name="Percent 76 3 2 2 4" xfId="54525"/>
    <cellStyle name="Percent 76 3 2 2 5" xfId="54526"/>
    <cellStyle name="Percent 76 3 2 2 6" xfId="54527"/>
    <cellStyle name="Percent 76 3 2 3" xfId="54528"/>
    <cellStyle name="Percent 76 3 2 4" xfId="54529"/>
    <cellStyle name="Percent 76 3 2 5" xfId="54530"/>
    <cellStyle name="Percent 76 3 2 6" xfId="54531"/>
    <cellStyle name="Percent 76 3 2 7" xfId="54532"/>
    <cellStyle name="Percent 76 3 3" xfId="54533"/>
    <cellStyle name="Percent 76 3 3 2" xfId="54534"/>
    <cellStyle name="Percent 76 3 3 3" xfId="54535"/>
    <cellStyle name="Percent 76 3 3 4" xfId="54536"/>
    <cellStyle name="Percent 76 3 3 5" xfId="54537"/>
    <cellStyle name="Percent 76 3 3 6" xfId="54538"/>
    <cellStyle name="Percent 76 3 4" xfId="54539"/>
    <cellStyle name="Percent 76 3 5" xfId="54540"/>
    <cellStyle name="Percent 76 3 6" xfId="54541"/>
    <cellStyle name="Percent 76 3 7" xfId="54542"/>
    <cellStyle name="Percent 76 3 8" xfId="54543"/>
    <cellStyle name="Percent 76 4" xfId="54544"/>
    <cellStyle name="Percent 76 4 2" xfId="54545"/>
    <cellStyle name="Percent 76 4 2 2" xfId="54546"/>
    <cellStyle name="Percent 76 4 2 3" xfId="54547"/>
    <cellStyle name="Percent 76 4 2 4" xfId="54548"/>
    <cellStyle name="Percent 76 4 2 5" xfId="54549"/>
    <cellStyle name="Percent 76 4 2 6" xfId="54550"/>
    <cellStyle name="Percent 76 4 3" xfId="54551"/>
    <cellStyle name="Percent 76 4 4" xfId="54552"/>
    <cellStyle name="Percent 76 4 5" xfId="54553"/>
    <cellStyle name="Percent 76 4 6" xfId="54554"/>
    <cellStyle name="Percent 76 4 7" xfId="54555"/>
    <cellStyle name="Percent 76 5" xfId="54556"/>
    <cellStyle name="Percent 76 5 2" xfId="54557"/>
    <cellStyle name="Percent 76 5 3" xfId="54558"/>
    <cellStyle name="Percent 76 5 4" xfId="54559"/>
    <cellStyle name="Percent 76 5 5" xfId="54560"/>
    <cellStyle name="Percent 76 5 6" xfId="54561"/>
    <cellStyle name="Percent 76 6" xfId="54562"/>
    <cellStyle name="Percent 76 7" xfId="54563"/>
    <cellStyle name="Percent 76 8" xfId="54564"/>
    <cellStyle name="Percent 76 9" xfId="54565"/>
    <cellStyle name="Percent 77" xfId="54566"/>
    <cellStyle name="Percent 77 10" xfId="54567"/>
    <cellStyle name="Percent 77 2" xfId="54568"/>
    <cellStyle name="Percent 77 2 2" xfId="54569"/>
    <cellStyle name="Percent 77 2 2 2" xfId="54570"/>
    <cellStyle name="Percent 77 2 2 2 2" xfId="54571"/>
    <cellStyle name="Percent 77 2 2 2 2 2" xfId="54572"/>
    <cellStyle name="Percent 77 2 2 2 2 3" xfId="54573"/>
    <cellStyle name="Percent 77 2 2 2 2 4" xfId="54574"/>
    <cellStyle name="Percent 77 2 2 2 2 5" xfId="54575"/>
    <cellStyle name="Percent 77 2 2 2 2 6" xfId="54576"/>
    <cellStyle name="Percent 77 2 2 2 3" xfId="54577"/>
    <cellStyle name="Percent 77 2 2 2 4" xfId="54578"/>
    <cellStyle name="Percent 77 2 2 2 5" xfId="54579"/>
    <cellStyle name="Percent 77 2 2 2 6" xfId="54580"/>
    <cellStyle name="Percent 77 2 2 2 7" xfId="54581"/>
    <cellStyle name="Percent 77 2 2 3" xfId="54582"/>
    <cellStyle name="Percent 77 2 2 3 2" xfId="54583"/>
    <cellStyle name="Percent 77 2 2 3 3" xfId="54584"/>
    <cellStyle name="Percent 77 2 2 3 4" xfId="54585"/>
    <cellStyle name="Percent 77 2 2 3 5" xfId="54586"/>
    <cellStyle name="Percent 77 2 2 3 6" xfId="54587"/>
    <cellStyle name="Percent 77 2 2 4" xfId="54588"/>
    <cellStyle name="Percent 77 2 2 5" xfId="54589"/>
    <cellStyle name="Percent 77 2 2 6" xfId="54590"/>
    <cellStyle name="Percent 77 2 2 7" xfId="54591"/>
    <cellStyle name="Percent 77 2 2 8" xfId="54592"/>
    <cellStyle name="Percent 77 2 3" xfId="54593"/>
    <cellStyle name="Percent 77 2 3 2" xfId="54594"/>
    <cellStyle name="Percent 77 2 3 2 2" xfId="54595"/>
    <cellStyle name="Percent 77 2 3 2 3" xfId="54596"/>
    <cellStyle name="Percent 77 2 3 2 4" xfId="54597"/>
    <cellStyle name="Percent 77 2 3 2 5" xfId="54598"/>
    <cellStyle name="Percent 77 2 3 2 6" xfId="54599"/>
    <cellStyle name="Percent 77 2 3 3" xfId="54600"/>
    <cellStyle name="Percent 77 2 3 4" xfId="54601"/>
    <cellStyle name="Percent 77 2 3 5" xfId="54602"/>
    <cellStyle name="Percent 77 2 3 6" xfId="54603"/>
    <cellStyle name="Percent 77 2 3 7" xfId="54604"/>
    <cellStyle name="Percent 77 2 4" xfId="54605"/>
    <cellStyle name="Percent 77 2 4 2" xfId="54606"/>
    <cellStyle name="Percent 77 2 4 3" xfId="54607"/>
    <cellStyle name="Percent 77 2 4 4" xfId="54608"/>
    <cellStyle name="Percent 77 2 4 5" xfId="54609"/>
    <cellStyle name="Percent 77 2 4 6" xfId="54610"/>
    <cellStyle name="Percent 77 2 5" xfId="54611"/>
    <cellStyle name="Percent 77 2 6" xfId="54612"/>
    <cellStyle name="Percent 77 2 7" xfId="54613"/>
    <cellStyle name="Percent 77 2 8" xfId="54614"/>
    <cellStyle name="Percent 77 2 9" xfId="54615"/>
    <cellStyle name="Percent 77 3" xfId="54616"/>
    <cellStyle name="Percent 77 3 2" xfId="54617"/>
    <cellStyle name="Percent 77 3 2 2" xfId="54618"/>
    <cellStyle name="Percent 77 3 2 2 2" xfId="54619"/>
    <cellStyle name="Percent 77 3 2 2 3" xfId="54620"/>
    <cellStyle name="Percent 77 3 2 2 4" xfId="54621"/>
    <cellStyle name="Percent 77 3 2 2 5" xfId="54622"/>
    <cellStyle name="Percent 77 3 2 2 6" xfId="54623"/>
    <cellStyle name="Percent 77 3 2 3" xfId="54624"/>
    <cellStyle name="Percent 77 3 2 4" xfId="54625"/>
    <cellStyle name="Percent 77 3 2 5" xfId="54626"/>
    <cellStyle name="Percent 77 3 2 6" xfId="54627"/>
    <cellStyle name="Percent 77 3 2 7" xfId="54628"/>
    <cellStyle name="Percent 77 3 3" xfId="54629"/>
    <cellStyle name="Percent 77 3 3 2" xfId="54630"/>
    <cellStyle name="Percent 77 3 3 3" xfId="54631"/>
    <cellStyle name="Percent 77 3 3 4" xfId="54632"/>
    <cellStyle name="Percent 77 3 3 5" xfId="54633"/>
    <cellStyle name="Percent 77 3 3 6" xfId="54634"/>
    <cellStyle name="Percent 77 3 4" xfId="54635"/>
    <cellStyle name="Percent 77 3 5" xfId="54636"/>
    <cellStyle name="Percent 77 3 6" xfId="54637"/>
    <cellStyle name="Percent 77 3 7" xfId="54638"/>
    <cellStyle name="Percent 77 3 8" xfId="54639"/>
    <cellStyle name="Percent 77 4" xfId="54640"/>
    <cellStyle name="Percent 77 4 2" xfId="54641"/>
    <cellStyle name="Percent 77 4 2 2" xfId="54642"/>
    <cellStyle name="Percent 77 4 2 3" xfId="54643"/>
    <cellStyle name="Percent 77 4 2 4" xfId="54644"/>
    <cellStyle name="Percent 77 4 2 5" xfId="54645"/>
    <cellStyle name="Percent 77 4 2 6" xfId="54646"/>
    <cellStyle name="Percent 77 4 3" xfId="54647"/>
    <cellStyle name="Percent 77 4 4" xfId="54648"/>
    <cellStyle name="Percent 77 4 5" xfId="54649"/>
    <cellStyle name="Percent 77 4 6" xfId="54650"/>
    <cellStyle name="Percent 77 4 7" xfId="54651"/>
    <cellStyle name="Percent 77 5" xfId="54652"/>
    <cellStyle name="Percent 77 5 2" xfId="54653"/>
    <cellStyle name="Percent 77 5 3" xfId="54654"/>
    <cellStyle name="Percent 77 5 4" xfId="54655"/>
    <cellStyle name="Percent 77 5 5" xfId="54656"/>
    <cellStyle name="Percent 77 5 6" xfId="54657"/>
    <cellStyle name="Percent 77 6" xfId="54658"/>
    <cellStyle name="Percent 77 7" xfId="54659"/>
    <cellStyle name="Percent 77 8" xfId="54660"/>
    <cellStyle name="Percent 77 9" xfId="54661"/>
    <cellStyle name="Percent 78" xfId="54662"/>
    <cellStyle name="Percent 78 10" xfId="54663"/>
    <cellStyle name="Percent 78 2" xfId="54664"/>
    <cellStyle name="Percent 78 2 2" xfId="54665"/>
    <cellStyle name="Percent 78 2 2 2" xfId="54666"/>
    <cellStyle name="Percent 78 2 2 2 2" xfId="54667"/>
    <cellStyle name="Percent 78 2 2 2 2 2" xfId="54668"/>
    <cellStyle name="Percent 78 2 2 2 2 3" xfId="54669"/>
    <cellStyle name="Percent 78 2 2 2 2 4" xfId="54670"/>
    <cellStyle name="Percent 78 2 2 2 2 5" xfId="54671"/>
    <cellStyle name="Percent 78 2 2 2 2 6" xfId="54672"/>
    <cellStyle name="Percent 78 2 2 2 3" xfId="54673"/>
    <cellStyle name="Percent 78 2 2 2 4" xfId="54674"/>
    <cellStyle name="Percent 78 2 2 2 5" xfId="54675"/>
    <cellStyle name="Percent 78 2 2 2 6" xfId="54676"/>
    <cellStyle name="Percent 78 2 2 2 7" xfId="54677"/>
    <cellStyle name="Percent 78 2 2 3" xfId="54678"/>
    <cellStyle name="Percent 78 2 2 3 2" xfId="54679"/>
    <cellStyle name="Percent 78 2 2 3 3" xfId="54680"/>
    <cellStyle name="Percent 78 2 2 3 4" xfId="54681"/>
    <cellStyle name="Percent 78 2 2 3 5" xfId="54682"/>
    <cellStyle name="Percent 78 2 2 3 6" xfId="54683"/>
    <cellStyle name="Percent 78 2 2 4" xfId="54684"/>
    <cellStyle name="Percent 78 2 2 5" xfId="54685"/>
    <cellStyle name="Percent 78 2 2 6" xfId="54686"/>
    <cellStyle name="Percent 78 2 2 7" xfId="54687"/>
    <cellStyle name="Percent 78 2 2 8" xfId="54688"/>
    <cellStyle name="Percent 78 2 3" xfId="54689"/>
    <cellStyle name="Percent 78 2 3 2" xfId="54690"/>
    <cellStyle name="Percent 78 2 3 2 2" xfId="54691"/>
    <cellStyle name="Percent 78 2 3 2 3" xfId="54692"/>
    <cellStyle name="Percent 78 2 3 2 4" xfId="54693"/>
    <cellStyle name="Percent 78 2 3 2 5" xfId="54694"/>
    <cellStyle name="Percent 78 2 3 2 6" xfId="54695"/>
    <cellStyle name="Percent 78 2 3 3" xfId="54696"/>
    <cellStyle name="Percent 78 2 3 4" xfId="54697"/>
    <cellStyle name="Percent 78 2 3 5" xfId="54698"/>
    <cellStyle name="Percent 78 2 3 6" xfId="54699"/>
    <cellStyle name="Percent 78 2 3 7" xfId="54700"/>
    <cellStyle name="Percent 78 2 4" xfId="54701"/>
    <cellStyle name="Percent 78 2 4 2" xfId="54702"/>
    <cellStyle name="Percent 78 2 4 3" xfId="54703"/>
    <cellStyle name="Percent 78 2 4 4" xfId="54704"/>
    <cellStyle name="Percent 78 2 4 5" xfId="54705"/>
    <cellStyle name="Percent 78 2 4 6" xfId="54706"/>
    <cellStyle name="Percent 78 2 5" xfId="54707"/>
    <cellStyle name="Percent 78 2 6" xfId="54708"/>
    <cellStyle name="Percent 78 2 7" xfId="54709"/>
    <cellStyle name="Percent 78 2 8" xfId="54710"/>
    <cellStyle name="Percent 78 2 9" xfId="54711"/>
    <cellStyle name="Percent 78 3" xfId="54712"/>
    <cellStyle name="Percent 78 3 2" xfId="54713"/>
    <cellStyle name="Percent 78 3 2 2" xfId="54714"/>
    <cellStyle name="Percent 78 3 2 2 2" xfId="54715"/>
    <cellStyle name="Percent 78 3 2 2 3" xfId="54716"/>
    <cellStyle name="Percent 78 3 2 2 4" xfId="54717"/>
    <cellStyle name="Percent 78 3 2 2 5" xfId="54718"/>
    <cellStyle name="Percent 78 3 2 2 6" xfId="54719"/>
    <cellStyle name="Percent 78 3 2 3" xfId="54720"/>
    <cellStyle name="Percent 78 3 2 4" xfId="54721"/>
    <cellStyle name="Percent 78 3 2 5" xfId="54722"/>
    <cellStyle name="Percent 78 3 2 6" xfId="54723"/>
    <cellStyle name="Percent 78 3 2 7" xfId="54724"/>
    <cellStyle name="Percent 78 3 3" xfId="54725"/>
    <cellStyle name="Percent 78 3 3 2" xfId="54726"/>
    <cellStyle name="Percent 78 3 3 3" xfId="54727"/>
    <cellStyle name="Percent 78 3 3 4" xfId="54728"/>
    <cellStyle name="Percent 78 3 3 5" xfId="54729"/>
    <cellStyle name="Percent 78 3 3 6" xfId="54730"/>
    <cellStyle name="Percent 78 3 4" xfId="54731"/>
    <cellStyle name="Percent 78 3 5" xfId="54732"/>
    <cellStyle name="Percent 78 3 6" xfId="54733"/>
    <cellStyle name="Percent 78 3 7" xfId="54734"/>
    <cellStyle name="Percent 78 3 8" xfId="54735"/>
    <cellStyle name="Percent 78 4" xfId="54736"/>
    <cellStyle name="Percent 78 4 2" xfId="54737"/>
    <cellStyle name="Percent 78 4 2 2" xfId="54738"/>
    <cellStyle name="Percent 78 4 2 3" xfId="54739"/>
    <cellStyle name="Percent 78 4 2 4" xfId="54740"/>
    <cellStyle name="Percent 78 4 2 5" xfId="54741"/>
    <cellStyle name="Percent 78 4 2 6" xfId="54742"/>
    <cellStyle name="Percent 78 4 3" xfId="54743"/>
    <cellStyle name="Percent 78 4 4" xfId="54744"/>
    <cellStyle name="Percent 78 4 5" xfId="54745"/>
    <cellStyle name="Percent 78 4 6" xfId="54746"/>
    <cellStyle name="Percent 78 4 7" xfId="54747"/>
    <cellStyle name="Percent 78 5" xfId="54748"/>
    <cellStyle name="Percent 78 5 2" xfId="54749"/>
    <cellStyle name="Percent 78 5 3" xfId="54750"/>
    <cellStyle name="Percent 78 5 4" xfId="54751"/>
    <cellStyle name="Percent 78 5 5" xfId="54752"/>
    <cellStyle name="Percent 78 5 6" xfId="54753"/>
    <cellStyle name="Percent 78 6" xfId="54754"/>
    <cellStyle name="Percent 78 7" xfId="54755"/>
    <cellStyle name="Percent 78 8" xfId="54756"/>
    <cellStyle name="Percent 78 9" xfId="54757"/>
    <cellStyle name="Percent 79" xfId="54758"/>
    <cellStyle name="Percent 79 10" xfId="54759"/>
    <cellStyle name="Percent 79 2" xfId="54760"/>
    <cellStyle name="Percent 79 2 2" xfId="54761"/>
    <cellStyle name="Percent 79 2 2 2" xfId="54762"/>
    <cellStyle name="Percent 79 2 2 2 2" xfId="54763"/>
    <cellStyle name="Percent 79 2 2 2 2 2" xfId="54764"/>
    <cellStyle name="Percent 79 2 2 2 2 3" xfId="54765"/>
    <cellStyle name="Percent 79 2 2 2 2 4" xfId="54766"/>
    <cellStyle name="Percent 79 2 2 2 2 5" xfId="54767"/>
    <cellStyle name="Percent 79 2 2 2 2 6" xfId="54768"/>
    <cellStyle name="Percent 79 2 2 2 3" xfId="54769"/>
    <cellStyle name="Percent 79 2 2 2 4" xfId="54770"/>
    <cellStyle name="Percent 79 2 2 2 5" xfId="54771"/>
    <cellStyle name="Percent 79 2 2 2 6" xfId="54772"/>
    <cellStyle name="Percent 79 2 2 2 7" xfId="54773"/>
    <cellStyle name="Percent 79 2 2 3" xfId="54774"/>
    <cellStyle name="Percent 79 2 2 3 2" xfId="54775"/>
    <cellStyle name="Percent 79 2 2 3 3" xfId="54776"/>
    <cellStyle name="Percent 79 2 2 3 4" xfId="54777"/>
    <cellStyle name="Percent 79 2 2 3 5" xfId="54778"/>
    <cellStyle name="Percent 79 2 2 3 6" xfId="54779"/>
    <cellStyle name="Percent 79 2 2 4" xfId="54780"/>
    <cellStyle name="Percent 79 2 2 5" xfId="54781"/>
    <cellStyle name="Percent 79 2 2 6" xfId="54782"/>
    <cellStyle name="Percent 79 2 2 7" xfId="54783"/>
    <cellStyle name="Percent 79 2 2 8" xfId="54784"/>
    <cellStyle name="Percent 79 2 3" xfId="54785"/>
    <cellStyle name="Percent 79 2 3 2" xfId="54786"/>
    <cellStyle name="Percent 79 2 3 2 2" xfId="54787"/>
    <cellStyle name="Percent 79 2 3 2 3" xfId="54788"/>
    <cellStyle name="Percent 79 2 3 2 4" xfId="54789"/>
    <cellStyle name="Percent 79 2 3 2 5" xfId="54790"/>
    <cellStyle name="Percent 79 2 3 2 6" xfId="54791"/>
    <cellStyle name="Percent 79 2 3 3" xfId="54792"/>
    <cellStyle name="Percent 79 2 3 4" xfId="54793"/>
    <cellStyle name="Percent 79 2 3 5" xfId="54794"/>
    <cellStyle name="Percent 79 2 3 6" xfId="54795"/>
    <cellStyle name="Percent 79 2 3 7" xfId="54796"/>
    <cellStyle name="Percent 79 2 4" xfId="54797"/>
    <cellStyle name="Percent 79 2 4 2" xfId="54798"/>
    <cellStyle name="Percent 79 2 4 3" xfId="54799"/>
    <cellStyle name="Percent 79 2 4 4" xfId="54800"/>
    <cellStyle name="Percent 79 2 4 5" xfId="54801"/>
    <cellStyle name="Percent 79 2 4 6" xfId="54802"/>
    <cellStyle name="Percent 79 2 5" xfId="54803"/>
    <cellStyle name="Percent 79 2 6" xfId="54804"/>
    <cellStyle name="Percent 79 2 7" xfId="54805"/>
    <cellStyle name="Percent 79 2 8" xfId="54806"/>
    <cellStyle name="Percent 79 2 9" xfId="54807"/>
    <cellStyle name="Percent 79 3" xfId="54808"/>
    <cellStyle name="Percent 79 3 2" xfId="54809"/>
    <cellStyle name="Percent 79 3 2 2" xfId="54810"/>
    <cellStyle name="Percent 79 3 2 2 2" xfId="54811"/>
    <cellStyle name="Percent 79 3 2 2 3" xfId="54812"/>
    <cellStyle name="Percent 79 3 2 2 4" xfId="54813"/>
    <cellStyle name="Percent 79 3 2 2 5" xfId="54814"/>
    <cellStyle name="Percent 79 3 2 2 6" xfId="54815"/>
    <cellStyle name="Percent 79 3 2 3" xfId="54816"/>
    <cellStyle name="Percent 79 3 2 4" xfId="54817"/>
    <cellStyle name="Percent 79 3 2 5" xfId="54818"/>
    <cellStyle name="Percent 79 3 2 6" xfId="54819"/>
    <cellStyle name="Percent 79 3 2 7" xfId="54820"/>
    <cellStyle name="Percent 79 3 3" xfId="54821"/>
    <cellStyle name="Percent 79 3 3 2" xfId="54822"/>
    <cellStyle name="Percent 79 3 3 3" xfId="54823"/>
    <cellStyle name="Percent 79 3 3 4" xfId="54824"/>
    <cellStyle name="Percent 79 3 3 5" xfId="54825"/>
    <cellStyle name="Percent 79 3 3 6" xfId="54826"/>
    <cellStyle name="Percent 79 3 4" xfId="54827"/>
    <cellStyle name="Percent 79 3 5" xfId="54828"/>
    <cellStyle name="Percent 79 3 6" xfId="54829"/>
    <cellStyle name="Percent 79 3 7" xfId="54830"/>
    <cellStyle name="Percent 79 3 8" xfId="54831"/>
    <cellStyle name="Percent 79 4" xfId="54832"/>
    <cellStyle name="Percent 79 4 2" xfId="54833"/>
    <cellStyle name="Percent 79 4 2 2" xfId="54834"/>
    <cellStyle name="Percent 79 4 2 3" xfId="54835"/>
    <cellStyle name="Percent 79 4 2 4" xfId="54836"/>
    <cellStyle name="Percent 79 4 2 5" xfId="54837"/>
    <cellStyle name="Percent 79 4 2 6" xfId="54838"/>
    <cellStyle name="Percent 79 4 3" xfId="54839"/>
    <cellStyle name="Percent 79 4 4" xfId="54840"/>
    <cellStyle name="Percent 79 4 5" xfId="54841"/>
    <cellStyle name="Percent 79 4 6" xfId="54842"/>
    <cellStyle name="Percent 79 4 7" xfId="54843"/>
    <cellStyle name="Percent 79 5" xfId="54844"/>
    <cellStyle name="Percent 79 5 2" xfId="54845"/>
    <cellStyle name="Percent 79 5 3" xfId="54846"/>
    <cellStyle name="Percent 79 5 4" xfId="54847"/>
    <cellStyle name="Percent 79 5 5" xfId="54848"/>
    <cellStyle name="Percent 79 5 6" xfId="54849"/>
    <cellStyle name="Percent 79 6" xfId="54850"/>
    <cellStyle name="Percent 79 7" xfId="54851"/>
    <cellStyle name="Percent 79 8" xfId="54852"/>
    <cellStyle name="Percent 79 9" xfId="54853"/>
    <cellStyle name="Percent 8" xfId="54854"/>
    <cellStyle name="Percent 8 2" xfId="54855"/>
    <cellStyle name="Percent 8 3" xfId="54856"/>
    <cellStyle name="Percent 80" xfId="54857"/>
    <cellStyle name="Percent 80 2" xfId="54858"/>
    <cellStyle name="Percent 80 2 2" xfId="54859"/>
    <cellStyle name="Percent 80 2 2 2" xfId="54860"/>
    <cellStyle name="Percent 80 2 2 2 2" xfId="54861"/>
    <cellStyle name="Percent 80 2 2 2 3" xfId="54862"/>
    <cellStyle name="Percent 80 2 2 2 4" xfId="54863"/>
    <cellStyle name="Percent 80 2 2 2 5" xfId="54864"/>
    <cellStyle name="Percent 80 2 2 2 6" xfId="54865"/>
    <cellStyle name="Percent 80 2 2 3" xfId="54866"/>
    <cellStyle name="Percent 80 2 2 4" xfId="54867"/>
    <cellStyle name="Percent 80 2 2 5" xfId="54868"/>
    <cellStyle name="Percent 80 2 2 6" xfId="54869"/>
    <cellStyle name="Percent 80 2 2 7" xfId="54870"/>
    <cellStyle name="Percent 80 2 3" xfId="54871"/>
    <cellStyle name="Percent 80 2 3 2" xfId="54872"/>
    <cellStyle name="Percent 80 2 3 3" xfId="54873"/>
    <cellStyle name="Percent 80 2 3 4" xfId="54874"/>
    <cellStyle name="Percent 80 2 3 5" xfId="54875"/>
    <cellStyle name="Percent 80 2 3 6" xfId="54876"/>
    <cellStyle name="Percent 80 2 4" xfId="54877"/>
    <cellStyle name="Percent 80 2 5" xfId="54878"/>
    <cellStyle name="Percent 80 2 6" xfId="54879"/>
    <cellStyle name="Percent 80 2 7" xfId="54880"/>
    <cellStyle name="Percent 80 2 8" xfId="54881"/>
    <cellStyle name="Percent 80 3" xfId="54882"/>
    <cellStyle name="Percent 80 3 2" xfId="54883"/>
    <cellStyle name="Percent 80 3 2 2" xfId="54884"/>
    <cellStyle name="Percent 80 3 2 3" xfId="54885"/>
    <cellStyle name="Percent 80 3 2 4" xfId="54886"/>
    <cellStyle name="Percent 80 3 2 5" xfId="54887"/>
    <cellStyle name="Percent 80 3 2 6" xfId="54888"/>
    <cellStyle name="Percent 80 3 3" xfId="54889"/>
    <cellStyle name="Percent 80 3 4" xfId="54890"/>
    <cellStyle name="Percent 80 3 5" xfId="54891"/>
    <cellStyle name="Percent 80 3 6" xfId="54892"/>
    <cellStyle name="Percent 80 3 7" xfId="54893"/>
    <cellStyle name="Percent 80 4" xfId="54894"/>
    <cellStyle name="Percent 80 4 2" xfId="54895"/>
    <cellStyle name="Percent 80 4 3" xfId="54896"/>
    <cellStyle name="Percent 80 4 4" xfId="54897"/>
    <cellStyle name="Percent 80 4 5" xfId="54898"/>
    <cellStyle name="Percent 80 4 6" xfId="54899"/>
    <cellStyle name="Percent 80 5" xfId="54900"/>
    <cellStyle name="Percent 80 6" xfId="54901"/>
    <cellStyle name="Percent 80 7" xfId="54902"/>
    <cellStyle name="Percent 80 8" xfId="54903"/>
    <cellStyle name="Percent 80 9" xfId="54904"/>
    <cellStyle name="Percent 81" xfId="54905"/>
    <cellStyle name="Percent 81 2" xfId="54906"/>
    <cellStyle name="Percent 81 2 2" xfId="54907"/>
    <cellStyle name="Percent 81 2 2 2" xfId="54908"/>
    <cellStyle name="Percent 81 2 2 2 2" xfId="54909"/>
    <cellStyle name="Percent 81 2 2 2 3" xfId="54910"/>
    <cellStyle name="Percent 81 2 2 2 4" xfId="54911"/>
    <cellStyle name="Percent 81 2 2 2 5" xfId="54912"/>
    <cellStyle name="Percent 81 2 2 2 6" xfId="54913"/>
    <cellStyle name="Percent 81 2 2 3" xfId="54914"/>
    <cellStyle name="Percent 81 2 2 4" xfId="54915"/>
    <cellStyle name="Percent 81 2 2 5" xfId="54916"/>
    <cellStyle name="Percent 81 2 2 6" xfId="54917"/>
    <cellStyle name="Percent 81 2 2 7" xfId="54918"/>
    <cellStyle name="Percent 81 2 3" xfId="54919"/>
    <cellStyle name="Percent 81 2 3 2" xfId="54920"/>
    <cellStyle name="Percent 81 2 3 3" xfId="54921"/>
    <cellStyle name="Percent 81 2 3 4" xfId="54922"/>
    <cellStyle name="Percent 81 2 3 5" xfId="54923"/>
    <cellStyle name="Percent 81 2 3 6" xfId="54924"/>
    <cellStyle name="Percent 81 2 4" xfId="54925"/>
    <cellStyle name="Percent 81 2 5" xfId="54926"/>
    <cellStyle name="Percent 81 2 6" xfId="54927"/>
    <cellStyle name="Percent 81 2 7" xfId="54928"/>
    <cellStyle name="Percent 81 2 8" xfId="54929"/>
    <cellStyle name="Percent 81 3" xfId="54930"/>
    <cellStyle name="Percent 81 3 2" xfId="54931"/>
    <cellStyle name="Percent 81 3 2 2" xfId="54932"/>
    <cellStyle name="Percent 81 3 2 3" xfId="54933"/>
    <cellStyle name="Percent 81 3 2 4" xfId="54934"/>
    <cellStyle name="Percent 81 3 2 5" xfId="54935"/>
    <cellStyle name="Percent 81 3 2 6" xfId="54936"/>
    <cellStyle name="Percent 81 3 3" xfId="54937"/>
    <cellStyle name="Percent 81 3 4" xfId="54938"/>
    <cellStyle name="Percent 81 3 5" xfId="54939"/>
    <cellStyle name="Percent 81 3 6" xfId="54940"/>
    <cellStyle name="Percent 81 3 7" xfId="54941"/>
    <cellStyle name="Percent 81 4" xfId="54942"/>
    <cellStyle name="Percent 81 4 2" xfId="54943"/>
    <cellStyle name="Percent 81 4 3" xfId="54944"/>
    <cellStyle name="Percent 81 4 4" xfId="54945"/>
    <cellStyle name="Percent 81 4 5" xfId="54946"/>
    <cellStyle name="Percent 81 4 6" xfId="54947"/>
    <cellStyle name="Percent 81 5" xfId="54948"/>
    <cellStyle name="Percent 81 6" xfId="54949"/>
    <cellStyle name="Percent 81 7" xfId="54950"/>
    <cellStyle name="Percent 81 8" xfId="54951"/>
    <cellStyle name="Percent 81 9" xfId="54952"/>
    <cellStyle name="Percent 82" xfId="54953"/>
    <cellStyle name="Percent 82 2" xfId="54954"/>
    <cellStyle name="Percent 82 2 2" xfId="54955"/>
    <cellStyle name="Percent 82 2 2 2" xfId="54956"/>
    <cellStyle name="Percent 82 2 2 2 2" xfId="54957"/>
    <cellStyle name="Percent 82 2 2 2 3" xfId="54958"/>
    <cellStyle name="Percent 82 2 2 2 4" xfId="54959"/>
    <cellStyle name="Percent 82 2 2 2 5" xfId="54960"/>
    <cellStyle name="Percent 82 2 2 2 6" xfId="54961"/>
    <cellStyle name="Percent 82 2 2 3" xfId="54962"/>
    <cellStyle name="Percent 82 2 2 4" xfId="54963"/>
    <cellStyle name="Percent 82 2 2 5" xfId="54964"/>
    <cellStyle name="Percent 82 2 2 6" xfId="54965"/>
    <cellStyle name="Percent 82 2 2 7" xfId="54966"/>
    <cellStyle name="Percent 82 2 3" xfId="54967"/>
    <cellStyle name="Percent 82 2 3 2" xfId="54968"/>
    <cellStyle name="Percent 82 2 3 3" xfId="54969"/>
    <cellStyle name="Percent 82 2 3 4" xfId="54970"/>
    <cellStyle name="Percent 82 2 3 5" xfId="54971"/>
    <cellStyle name="Percent 82 2 3 6" xfId="54972"/>
    <cellStyle name="Percent 82 2 4" xfId="54973"/>
    <cellStyle name="Percent 82 2 5" xfId="54974"/>
    <cellStyle name="Percent 82 2 6" xfId="54975"/>
    <cellStyle name="Percent 82 2 7" xfId="54976"/>
    <cellStyle name="Percent 82 2 8" xfId="54977"/>
    <cellStyle name="Percent 82 3" xfId="54978"/>
    <cellStyle name="Percent 82 3 2" xfId="54979"/>
    <cellStyle name="Percent 82 3 2 2" xfId="54980"/>
    <cellStyle name="Percent 82 3 2 3" xfId="54981"/>
    <cellStyle name="Percent 82 3 2 4" xfId="54982"/>
    <cellStyle name="Percent 82 3 2 5" xfId="54983"/>
    <cellStyle name="Percent 82 3 2 6" xfId="54984"/>
    <cellStyle name="Percent 82 3 3" xfId="54985"/>
    <cellStyle name="Percent 82 3 4" xfId="54986"/>
    <cellStyle name="Percent 82 3 5" xfId="54987"/>
    <cellStyle name="Percent 82 3 6" xfId="54988"/>
    <cellStyle name="Percent 82 3 7" xfId="54989"/>
    <cellStyle name="Percent 82 4" xfId="54990"/>
    <cellStyle name="Percent 82 4 2" xfId="54991"/>
    <cellStyle name="Percent 82 4 3" xfId="54992"/>
    <cellStyle name="Percent 82 4 4" xfId="54993"/>
    <cellStyle name="Percent 82 4 5" xfId="54994"/>
    <cellStyle name="Percent 82 4 6" xfId="54995"/>
    <cellStyle name="Percent 82 5" xfId="54996"/>
    <cellStyle name="Percent 82 6" xfId="54997"/>
    <cellStyle name="Percent 82 7" xfId="54998"/>
    <cellStyle name="Percent 82 8" xfId="54999"/>
    <cellStyle name="Percent 82 9" xfId="55000"/>
    <cellStyle name="Percent 83" xfId="55001"/>
    <cellStyle name="Percent 83 2" xfId="55002"/>
    <cellStyle name="Percent 83 2 2" xfId="55003"/>
    <cellStyle name="Percent 83 2 2 2" xfId="55004"/>
    <cellStyle name="Percent 83 2 2 2 2" xfId="55005"/>
    <cellStyle name="Percent 83 2 2 2 3" xfId="55006"/>
    <cellStyle name="Percent 83 2 2 2 4" xfId="55007"/>
    <cellStyle name="Percent 83 2 2 2 5" xfId="55008"/>
    <cellStyle name="Percent 83 2 2 2 6" xfId="55009"/>
    <cellStyle name="Percent 83 2 2 3" xfId="55010"/>
    <cellStyle name="Percent 83 2 2 4" xfId="55011"/>
    <cellStyle name="Percent 83 2 2 5" xfId="55012"/>
    <cellStyle name="Percent 83 2 2 6" xfId="55013"/>
    <cellStyle name="Percent 83 2 2 7" xfId="55014"/>
    <cellStyle name="Percent 83 2 3" xfId="55015"/>
    <cellStyle name="Percent 83 2 3 2" xfId="55016"/>
    <cellStyle name="Percent 83 2 3 3" xfId="55017"/>
    <cellStyle name="Percent 83 2 3 4" xfId="55018"/>
    <cellStyle name="Percent 83 2 3 5" xfId="55019"/>
    <cellStyle name="Percent 83 2 3 6" xfId="55020"/>
    <cellStyle name="Percent 83 2 4" xfId="55021"/>
    <cellStyle name="Percent 83 2 5" xfId="55022"/>
    <cellStyle name="Percent 83 2 6" xfId="55023"/>
    <cellStyle name="Percent 83 2 7" xfId="55024"/>
    <cellStyle name="Percent 83 2 8" xfId="55025"/>
    <cellStyle name="Percent 83 3" xfId="55026"/>
    <cellStyle name="Percent 83 3 2" xfId="55027"/>
    <cellStyle name="Percent 83 3 2 2" xfId="55028"/>
    <cellStyle name="Percent 83 3 2 3" xfId="55029"/>
    <cellStyle name="Percent 83 3 2 4" xfId="55030"/>
    <cellStyle name="Percent 83 3 2 5" xfId="55031"/>
    <cellStyle name="Percent 83 3 2 6" xfId="55032"/>
    <cellStyle name="Percent 83 3 3" xfId="55033"/>
    <cellStyle name="Percent 83 3 4" xfId="55034"/>
    <cellStyle name="Percent 83 3 5" xfId="55035"/>
    <cellStyle name="Percent 83 3 6" xfId="55036"/>
    <cellStyle name="Percent 83 3 7" xfId="55037"/>
    <cellStyle name="Percent 83 4" xfId="55038"/>
    <cellStyle name="Percent 83 4 2" xfId="55039"/>
    <cellStyle name="Percent 83 4 3" xfId="55040"/>
    <cellStyle name="Percent 83 4 4" xfId="55041"/>
    <cellStyle name="Percent 83 4 5" xfId="55042"/>
    <cellStyle name="Percent 83 4 6" xfId="55043"/>
    <cellStyle name="Percent 83 5" xfId="55044"/>
    <cellStyle name="Percent 83 6" xfId="55045"/>
    <cellStyle name="Percent 83 7" xfId="55046"/>
    <cellStyle name="Percent 83 8" xfId="55047"/>
    <cellStyle name="Percent 83 9" xfId="55048"/>
    <cellStyle name="Percent 84" xfId="55049"/>
    <cellStyle name="Percent 84 2" xfId="55050"/>
    <cellStyle name="Percent 84 2 2" xfId="55051"/>
    <cellStyle name="Percent 84 2 2 2" xfId="55052"/>
    <cellStyle name="Percent 84 2 2 2 2" xfId="55053"/>
    <cellStyle name="Percent 84 2 2 2 3" xfId="55054"/>
    <cellStyle name="Percent 84 2 2 2 4" xfId="55055"/>
    <cellStyle name="Percent 84 2 2 2 5" xfId="55056"/>
    <cellStyle name="Percent 84 2 2 2 6" xfId="55057"/>
    <cellStyle name="Percent 84 2 2 3" xfId="55058"/>
    <cellStyle name="Percent 84 2 2 4" xfId="55059"/>
    <cellStyle name="Percent 84 2 2 5" xfId="55060"/>
    <cellStyle name="Percent 84 2 2 6" xfId="55061"/>
    <cellStyle name="Percent 84 2 2 7" xfId="55062"/>
    <cellStyle name="Percent 84 2 3" xfId="55063"/>
    <cellStyle name="Percent 84 2 3 2" xfId="55064"/>
    <cellStyle name="Percent 84 2 3 3" xfId="55065"/>
    <cellStyle name="Percent 84 2 3 4" xfId="55066"/>
    <cellStyle name="Percent 84 2 3 5" xfId="55067"/>
    <cellStyle name="Percent 84 2 3 6" xfId="55068"/>
    <cellStyle name="Percent 84 2 4" xfId="55069"/>
    <cellStyle name="Percent 84 2 5" xfId="55070"/>
    <cellStyle name="Percent 84 2 6" xfId="55071"/>
    <cellStyle name="Percent 84 2 7" xfId="55072"/>
    <cellStyle name="Percent 84 2 8" xfId="55073"/>
    <cellStyle name="Percent 84 3" xfId="55074"/>
    <cellStyle name="Percent 84 3 2" xfId="55075"/>
    <cellStyle name="Percent 84 3 2 2" xfId="55076"/>
    <cellStyle name="Percent 84 3 2 3" xfId="55077"/>
    <cellStyle name="Percent 84 3 2 4" xfId="55078"/>
    <cellStyle name="Percent 84 3 2 5" xfId="55079"/>
    <cellStyle name="Percent 84 3 2 6" xfId="55080"/>
    <cellStyle name="Percent 84 3 3" xfId="55081"/>
    <cellStyle name="Percent 84 3 4" xfId="55082"/>
    <cellStyle name="Percent 84 3 5" xfId="55083"/>
    <cellStyle name="Percent 84 3 6" xfId="55084"/>
    <cellStyle name="Percent 84 3 7" xfId="55085"/>
    <cellStyle name="Percent 84 4" xfId="55086"/>
    <cellStyle name="Percent 84 4 2" xfId="55087"/>
    <cellStyle name="Percent 84 4 3" xfId="55088"/>
    <cellStyle name="Percent 84 4 4" xfId="55089"/>
    <cellStyle name="Percent 84 4 5" xfId="55090"/>
    <cellStyle name="Percent 84 4 6" xfId="55091"/>
    <cellStyle name="Percent 84 5" xfId="55092"/>
    <cellStyle name="Percent 84 6" xfId="55093"/>
    <cellStyle name="Percent 84 7" xfId="55094"/>
    <cellStyle name="Percent 84 8" xfId="55095"/>
    <cellStyle name="Percent 84 9" xfId="55096"/>
    <cellStyle name="Percent 85" xfId="55097"/>
    <cellStyle name="Percent 85 2" xfId="55098"/>
    <cellStyle name="Percent 85 2 2" xfId="55099"/>
    <cellStyle name="Percent 85 2 2 2" xfId="55100"/>
    <cellStyle name="Percent 85 2 2 2 2" xfId="55101"/>
    <cellStyle name="Percent 85 2 2 2 3" xfId="55102"/>
    <cellStyle name="Percent 85 2 2 2 4" xfId="55103"/>
    <cellStyle name="Percent 85 2 2 2 5" xfId="55104"/>
    <cellStyle name="Percent 85 2 2 2 6" xfId="55105"/>
    <cellStyle name="Percent 85 2 2 3" xfId="55106"/>
    <cellStyle name="Percent 85 2 2 4" xfId="55107"/>
    <cellStyle name="Percent 85 2 2 5" xfId="55108"/>
    <cellStyle name="Percent 85 2 2 6" xfId="55109"/>
    <cellStyle name="Percent 85 2 2 7" xfId="55110"/>
    <cellStyle name="Percent 85 2 3" xfId="55111"/>
    <cellStyle name="Percent 85 2 3 2" xfId="55112"/>
    <cellStyle name="Percent 85 2 3 3" xfId="55113"/>
    <cellStyle name="Percent 85 2 3 4" xfId="55114"/>
    <cellStyle name="Percent 85 2 3 5" xfId="55115"/>
    <cellStyle name="Percent 85 2 3 6" xfId="55116"/>
    <cellStyle name="Percent 85 2 4" xfId="55117"/>
    <cellStyle name="Percent 85 2 5" xfId="55118"/>
    <cellStyle name="Percent 85 2 6" xfId="55119"/>
    <cellStyle name="Percent 85 2 7" xfId="55120"/>
    <cellStyle name="Percent 85 2 8" xfId="55121"/>
    <cellStyle name="Percent 85 3" xfId="55122"/>
    <cellStyle name="Percent 85 3 2" xfId="55123"/>
    <cellStyle name="Percent 85 3 2 2" xfId="55124"/>
    <cellStyle name="Percent 85 3 2 3" xfId="55125"/>
    <cellStyle name="Percent 85 3 2 4" xfId="55126"/>
    <cellStyle name="Percent 85 3 2 5" xfId="55127"/>
    <cellStyle name="Percent 85 3 2 6" xfId="55128"/>
    <cellStyle name="Percent 85 3 3" xfId="55129"/>
    <cellStyle name="Percent 85 3 4" xfId="55130"/>
    <cellStyle name="Percent 85 3 5" xfId="55131"/>
    <cellStyle name="Percent 85 3 6" xfId="55132"/>
    <cellStyle name="Percent 85 3 7" xfId="55133"/>
    <cellStyle name="Percent 85 4" xfId="55134"/>
    <cellStyle name="Percent 85 4 2" xfId="55135"/>
    <cellStyle name="Percent 85 4 3" xfId="55136"/>
    <cellStyle name="Percent 85 4 4" xfId="55137"/>
    <cellStyle name="Percent 85 4 5" xfId="55138"/>
    <cellStyle name="Percent 85 4 6" xfId="55139"/>
    <cellStyle name="Percent 85 5" xfId="55140"/>
    <cellStyle name="Percent 85 6" xfId="55141"/>
    <cellStyle name="Percent 85 7" xfId="55142"/>
    <cellStyle name="Percent 85 8" xfId="55143"/>
    <cellStyle name="Percent 85 9" xfId="55144"/>
    <cellStyle name="Percent 86" xfId="55145"/>
    <cellStyle name="Percent 86 2" xfId="55146"/>
    <cellStyle name="Percent 86 2 2" xfId="55147"/>
    <cellStyle name="Percent 86 2 2 2" xfId="55148"/>
    <cellStyle name="Percent 86 2 2 2 2" xfId="55149"/>
    <cellStyle name="Percent 86 2 2 2 3" xfId="55150"/>
    <cellStyle name="Percent 86 2 2 2 4" xfId="55151"/>
    <cellStyle name="Percent 86 2 2 2 5" xfId="55152"/>
    <cellStyle name="Percent 86 2 2 2 6" xfId="55153"/>
    <cellStyle name="Percent 86 2 2 3" xfId="55154"/>
    <cellStyle name="Percent 86 2 2 4" xfId="55155"/>
    <cellStyle name="Percent 86 2 2 5" xfId="55156"/>
    <cellStyle name="Percent 86 2 2 6" xfId="55157"/>
    <cellStyle name="Percent 86 2 2 7" xfId="55158"/>
    <cellStyle name="Percent 86 2 3" xfId="55159"/>
    <cellStyle name="Percent 86 2 3 2" xfId="55160"/>
    <cellStyle name="Percent 86 2 3 3" xfId="55161"/>
    <cellStyle name="Percent 86 2 3 4" xfId="55162"/>
    <cellStyle name="Percent 86 2 3 5" xfId="55163"/>
    <cellStyle name="Percent 86 2 3 6" xfId="55164"/>
    <cellStyle name="Percent 86 2 4" xfId="55165"/>
    <cellStyle name="Percent 86 2 5" xfId="55166"/>
    <cellStyle name="Percent 86 2 6" xfId="55167"/>
    <cellStyle name="Percent 86 2 7" xfId="55168"/>
    <cellStyle name="Percent 86 2 8" xfId="55169"/>
    <cellStyle name="Percent 86 3" xfId="55170"/>
    <cellStyle name="Percent 86 3 2" xfId="55171"/>
    <cellStyle name="Percent 86 3 2 2" xfId="55172"/>
    <cellStyle name="Percent 86 3 2 3" xfId="55173"/>
    <cellStyle name="Percent 86 3 2 4" xfId="55174"/>
    <cellStyle name="Percent 86 3 2 5" xfId="55175"/>
    <cellStyle name="Percent 86 3 2 6" xfId="55176"/>
    <cellStyle name="Percent 86 3 3" xfId="55177"/>
    <cellStyle name="Percent 86 3 4" xfId="55178"/>
    <cellStyle name="Percent 86 3 5" xfId="55179"/>
    <cellStyle name="Percent 86 3 6" xfId="55180"/>
    <cellStyle name="Percent 86 3 7" xfId="55181"/>
    <cellStyle name="Percent 86 4" xfId="55182"/>
    <cellStyle name="Percent 86 4 2" xfId="55183"/>
    <cellStyle name="Percent 86 4 3" xfId="55184"/>
    <cellStyle name="Percent 86 4 4" xfId="55185"/>
    <cellStyle name="Percent 86 4 5" xfId="55186"/>
    <cellStyle name="Percent 86 4 6" xfId="55187"/>
    <cellStyle name="Percent 86 5" xfId="55188"/>
    <cellStyle name="Percent 86 6" xfId="55189"/>
    <cellStyle name="Percent 86 7" xfId="55190"/>
    <cellStyle name="Percent 86 8" xfId="55191"/>
    <cellStyle name="Percent 86 9" xfId="55192"/>
    <cellStyle name="Percent 87" xfId="55193"/>
    <cellStyle name="Percent 87 2" xfId="55194"/>
    <cellStyle name="Percent 87 2 2" xfId="55195"/>
    <cellStyle name="Percent 87 2 2 2" xfId="55196"/>
    <cellStyle name="Percent 87 2 2 2 2" xfId="55197"/>
    <cellStyle name="Percent 87 2 2 2 3" xfId="55198"/>
    <cellStyle name="Percent 87 2 2 2 4" xfId="55199"/>
    <cellStyle name="Percent 87 2 2 2 5" xfId="55200"/>
    <cellStyle name="Percent 87 2 2 2 6" xfId="55201"/>
    <cellStyle name="Percent 87 2 2 3" xfId="55202"/>
    <cellStyle name="Percent 87 2 2 4" xfId="55203"/>
    <cellStyle name="Percent 87 2 2 5" xfId="55204"/>
    <cellStyle name="Percent 87 2 2 6" xfId="55205"/>
    <cellStyle name="Percent 87 2 2 7" xfId="55206"/>
    <cellStyle name="Percent 87 2 3" xfId="55207"/>
    <cellStyle name="Percent 87 2 3 2" xfId="55208"/>
    <cellStyle name="Percent 87 2 3 3" xfId="55209"/>
    <cellStyle name="Percent 87 2 3 4" xfId="55210"/>
    <cellStyle name="Percent 87 2 3 5" xfId="55211"/>
    <cellStyle name="Percent 87 2 3 6" xfId="55212"/>
    <cellStyle name="Percent 87 2 4" xfId="55213"/>
    <cellStyle name="Percent 87 2 5" xfId="55214"/>
    <cellStyle name="Percent 87 2 6" xfId="55215"/>
    <cellStyle name="Percent 87 2 7" xfId="55216"/>
    <cellStyle name="Percent 87 2 8" xfId="55217"/>
    <cellStyle name="Percent 87 3" xfId="55218"/>
    <cellStyle name="Percent 87 3 2" xfId="55219"/>
    <cellStyle name="Percent 87 3 2 2" xfId="55220"/>
    <cellStyle name="Percent 87 3 2 3" xfId="55221"/>
    <cellStyle name="Percent 87 3 2 4" xfId="55222"/>
    <cellStyle name="Percent 87 3 2 5" xfId="55223"/>
    <cellStyle name="Percent 87 3 2 6" xfId="55224"/>
    <cellStyle name="Percent 87 3 3" xfId="55225"/>
    <cellStyle name="Percent 87 3 4" xfId="55226"/>
    <cellStyle name="Percent 87 3 5" xfId="55227"/>
    <cellStyle name="Percent 87 3 6" xfId="55228"/>
    <cellStyle name="Percent 87 3 7" xfId="55229"/>
    <cellStyle name="Percent 87 4" xfId="55230"/>
    <cellStyle name="Percent 87 4 2" xfId="55231"/>
    <cellStyle name="Percent 87 4 3" xfId="55232"/>
    <cellStyle name="Percent 87 4 4" xfId="55233"/>
    <cellStyle name="Percent 87 4 5" xfId="55234"/>
    <cellStyle name="Percent 87 4 6" xfId="55235"/>
    <cellStyle name="Percent 87 5" xfId="55236"/>
    <cellStyle name="Percent 87 6" xfId="55237"/>
    <cellStyle name="Percent 87 7" xfId="55238"/>
    <cellStyle name="Percent 87 8" xfId="55239"/>
    <cellStyle name="Percent 87 9" xfId="55240"/>
    <cellStyle name="Percent 88" xfId="55241"/>
    <cellStyle name="Percent 88 2" xfId="55242"/>
    <cellStyle name="Percent 88 2 2" xfId="55243"/>
    <cellStyle name="Percent 88 2 2 2" xfId="55244"/>
    <cellStyle name="Percent 88 2 2 2 2" xfId="55245"/>
    <cellStyle name="Percent 88 2 2 2 3" xfId="55246"/>
    <cellStyle name="Percent 88 2 2 2 4" xfId="55247"/>
    <cellStyle name="Percent 88 2 2 2 5" xfId="55248"/>
    <cellStyle name="Percent 88 2 2 2 6" xfId="55249"/>
    <cellStyle name="Percent 88 2 2 3" xfId="55250"/>
    <cellStyle name="Percent 88 2 2 4" xfId="55251"/>
    <cellStyle name="Percent 88 2 2 5" xfId="55252"/>
    <cellStyle name="Percent 88 2 2 6" xfId="55253"/>
    <cellStyle name="Percent 88 2 2 7" xfId="55254"/>
    <cellStyle name="Percent 88 2 3" xfId="55255"/>
    <cellStyle name="Percent 88 2 3 2" xfId="55256"/>
    <cellStyle name="Percent 88 2 3 3" xfId="55257"/>
    <cellStyle name="Percent 88 2 3 4" xfId="55258"/>
    <cellStyle name="Percent 88 2 3 5" xfId="55259"/>
    <cellStyle name="Percent 88 2 3 6" xfId="55260"/>
    <cellStyle name="Percent 88 2 4" xfId="55261"/>
    <cellStyle name="Percent 88 2 5" xfId="55262"/>
    <cellStyle name="Percent 88 2 6" xfId="55263"/>
    <cellStyle name="Percent 88 2 7" xfId="55264"/>
    <cellStyle name="Percent 88 2 8" xfId="55265"/>
    <cellStyle name="Percent 88 3" xfId="55266"/>
    <cellStyle name="Percent 88 3 2" xfId="55267"/>
    <cellStyle name="Percent 88 3 2 2" xfId="55268"/>
    <cellStyle name="Percent 88 3 2 3" xfId="55269"/>
    <cellStyle name="Percent 88 3 2 4" xfId="55270"/>
    <cellStyle name="Percent 88 3 2 5" xfId="55271"/>
    <cellStyle name="Percent 88 3 2 6" xfId="55272"/>
    <cellStyle name="Percent 88 3 3" xfId="55273"/>
    <cellStyle name="Percent 88 3 4" xfId="55274"/>
    <cellStyle name="Percent 88 3 5" xfId="55275"/>
    <cellStyle name="Percent 88 3 6" xfId="55276"/>
    <cellStyle name="Percent 88 3 7" xfId="55277"/>
    <cellStyle name="Percent 88 4" xfId="55278"/>
    <cellStyle name="Percent 88 4 2" xfId="55279"/>
    <cellStyle name="Percent 88 4 3" xfId="55280"/>
    <cellStyle name="Percent 88 4 4" xfId="55281"/>
    <cellStyle name="Percent 88 4 5" xfId="55282"/>
    <cellStyle name="Percent 88 4 6" xfId="55283"/>
    <cellStyle name="Percent 88 5" xfId="55284"/>
    <cellStyle name="Percent 88 6" xfId="55285"/>
    <cellStyle name="Percent 88 7" xfId="55286"/>
    <cellStyle name="Percent 88 8" xfId="55287"/>
    <cellStyle name="Percent 88 9" xfId="55288"/>
    <cellStyle name="Percent 89" xfId="55289"/>
    <cellStyle name="Percent 89 2" xfId="55290"/>
    <cellStyle name="Percent 89 2 2" xfId="55291"/>
    <cellStyle name="Percent 89 2 2 2" xfId="55292"/>
    <cellStyle name="Percent 89 2 2 2 2" xfId="55293"/>
    <cellStyle name="Percent 89 2 2 2 3" xfId="55294"/>
    <cellStyle name="Percent 89 2 2 2 4" xfId="55295"/>
    <cellStyle name="Percent 89 2 2 2 5" xfId="55296"/>
    <cellStyle name="Percent 89 2 2 2 6" xfId="55297"/>
    <cellStyle name="Percent 89 2 2 3" xfId="55298"/>
    <cellStyle name="Percent 89 2 2 4" xfId="55299"/>
    <cellStyle name="Percent 89 2 2 5" xfId="55300"/>
    <cellStyle name="Percent 89 2 2 6" xfId="55301"/>
    <cellStyle name="Percent 89 2 2 7" xfId="55302"/>
    <cellStyle name="Percent 89 2 3" xfId="55303"/>
    <cellStyle name="Percent 89 2 3 2" xfId="55304"/>
    <cellStyle name="Percent 89 2 3 3" xfId="55305"/>
    <cellStyle name="Percent 89 2 3 4" xfId="55306"/>
    <cellStyle name="Percent 89 2 3 5" xfId="55307"/>
    <cellStyle name="Percent 89 2 3 6" xfId="55308"/>
    <cellStyle name="Percent 89 2 4" xfId="55309"/>
    <cellStyle name="Percent 89 2 5" xfId="55310"/>
    <cellStyle name="Percent 89 2 6" xfId="55311"/>
    <cellStyle name="Percent 89 2 7" xfId="55312"/>
    <cellStyle name="Percent 89 2 8" xfId="55313"/>
    <cellStyle name="Percent 89 3" xfId="55314"/>
    <cellStyle name="Percent 89 3 2" xfId="55315"/>
    <cellStyle name="Percent 89 3 2 2" xfId="55316"/>
    <cellStyle name="Percent 89 3 2 3" xfId="55317"/>
    <cellStyle name="Percent 89 3 2 4" xfId="55318"/>
    <cellStyle name="Percent 89 3 2 5" xfId="55319"/>
    <cellStyle name="Percent 89 3 2 6" xfId="55320"/>
    <cellStyle name="Percent 89 3 3" xfId="55321"/>
    <cellStyle name="Percent 89 3 4" xfId="55322"/>
    <cellStyle name="Percent 89 3 5" xfId="55323"/>
    <cellStyle name="Percent 89 3 6" xfId="55324"/>
    <cellStyle name="Percent 89 3 7" xfId="55325"/>
    <cellStyle name="Percent 89 4" xfId="55326"/>
    <cellStyle name="Percent 89 4 2" xfId="55327"/>
    <cellStyle name="Percent 89 4 3" xfId="55328"/>
    <cellStyle name="Percent 89 4 4" xfId="55329"/>
    <cellStyle name="Percent 89 4 5" xfId="55330"/>
    <cellStyle name="Percent 89 4 6" xfId="55331"/>
    <cellStyle name="Percent 89 5" xfId="55332"/>
    <cellStyle name="Percent 89 6" xfId="55333"/>
    <cellStyle name="Percent 89 7" xfId="55334"/>
    <cellStyle name="Percent 89 8" xfId="55335"/>
    <cellStyle name="Percent 89 9" xfId="55336"/>
    <cellStyle name="Percent 9" xfId="55337"/>
    <cellStyle name="Percent 9 2" xfId="55338"/>
    <cellStyle name="Percent 9 2 2" xfId="55339"/>
    <cellStyle name="Percent 9 3" xfId="55340"/>
    <cellStyle name="Percent 90" xfId="55341"/>
    <cellStyle name="Percent 90 2" xfId="55342"/>
    <cellStyle name="Percent 90 2 2" xfId="55343"/>
    <cellStyle name="Percent 90 2 2 2" xfId="55344"/>
    <cellStyle name="Percent 90 2 2 2 2" xfId="55345"/>
    <cellStyle name="Percent 90 2 2 2 3" xfId="55346"/>
    <cellStyle name="Percent 90 2 2 2 4" xfId="55347"/>
    <cellStyle name="Percent 90 2 2 2 5" xfId="55348"/>
    <cellStyle name="Percent 90 2 2 2 6" xfId="55349"/>
    <cellStyle name="Percent 90 2 2 3" xfId="55350"/>
    <cellStyle name="Percent 90 2 2 4" xfId="55351"/>
    <cellStyle name="Percent 90 2 2 5" xfId="55352"/>
    <cellStyle name="Percent 90 2 2 6" xfId="55353"/>
    <cellStyle name="Percent 90 2 2 7" xfId="55354"/>
    <cellStyle name="Percent 90 2 3" xfId="55355"/>
    <cellStyle name="Percent 90 2 3 2" xfId="55356"/>
    <cellStyle name="Percent 90 2 3 3" xfId="55357"/>
    <cellStyle name="Percent 90 2 3 4" xfId="55358"/>
    <cellStyle name="Percent 90 2 3 5" xfId="55359"/>
    <cellStyle name="Percent 90 2 3 6" xfId="55360"/>
    <cellStyle name="Percent 90 2 4" xfId="55361"/>
    <cellStyle name="Percent 90 2 5" xfId="55362"/>
    <cellStyle name="Percent 90 2 6" xfId="55363"/>
    <cellStyle name="Percent 90 2 7" xfId="55364"/>
    <cellStyle name="Percent 90 2 8" xfId="55365"/>
    <cellStyle name="Percent 90 3" xfId="55366"/>
    <cellStyle name="Percent 90 3 2" xfId="55367"/>
    <cellStyle name="Percent 90 3 2 2" xfId="55368"/>
    <cellStyle name="Percent 90 3 2 3" xfId="55369"/>
    <cellStyle name="Percent 90 3 2 4" xfId="55370"/>
    <cellStyle name="Percent 90 3 2 5" xfId="55371"/>
    <cellStyle name="Percent 90 3 2 6" xfId="55372"/>
    <cellStyle name="Percent 90 3 3" xfId="55373"/>
    <cellStyle name="Percent 90 3 4" xfId="55374"/>
    <cellStyle name="Percent 90 3 5" xfId="55375"/>
    <cellStyle name="Percent 90 3 6" xfId="55376"/>
    <cellStyle name="Percent 90 3 7" xfId="55377"/>
    <cellStyle name="Percent 90 4" xfId="55378"/>
    <cellStyle name="Percent 90 4 2" xfId="55379"/>
    <cellStyle name="Percent 90 4 3" xfId="55380"/>
    <cellStyle name="Percent 90 4 4" xfId="55381"/>
    <cellStyle name="Percent 90 4 5" xfId="55382"/>
    <cellStyle name="Percent 90 4 6" xfId="55383"/>
    <cellStyle name="Percent 90 5" xfId="55384"/>
    <cellStyle name="Percent 90 6" xfId="55385"/>
    <cellStyle name="Percent 90 7" xfId="55386"/>
    <cellStyle name="Percent 90 8" xfId="55387"/>
    <cellStyle name="Percent 90 9" xfId="55388"/>
    <cellStyle name="Percent 91" xfId="55389"/>
    <cellStyle name="Percent 91 2" xfId="55390"/>
    <cellStyle name="Percent 91 2 2" xfId="55391"/>
    <cellStyle name="Percent 91 2 2 2" xfId="55392"/>
    <cellStyle name="Percent 91 2 2 2 2" xfId="55393"/>
    <cellStyle name="Percent 91 2 2 2 3" xfId="55394"/>
    <cellStyle name="Percent 91 2 2 2 4" xfId="55395"/>
    <cellStyle name="Percent 91 2 2 2 5" xfId="55396"/>
    <cellStyle name="Percent 91 2 2 2 6" xfId="55397"/>
    <cellStyle name="Percent 91 2 2 3" xfId="55398"/>
    <cellStyle name="Percent 91 2 2 4" xfId="55399"/>
    <cellStyle name="Percent 91 2 2 5" xfId="55400"/>
    <cellStyle name="Percent 91 2 2 6" xfId="55401"/>
    <cellStyle name="Percent 91 2 2 7" xfId="55402"/>
    <cellStyle name="Percent 91 2 3" xfId="55403"/>
    <cellStyle name="Percent 91 2 3 2" xfId="55404"/>
    <cellStyle name="Percent 91 2 3 3" xfId="55405"/>
    <cellStyle name="Percent 91 2 3 4" xfId="55406"/>
    <cellStyle name="Percent 91 2 3 5" xfId="55407"/>
    <cellStyle name="Percent 91 2 3 6" xfId="55408"/>
    <cellStyle name="Percent 91 2 4" xfId="55409"/>
    <cellStyle name="Percent 91 2 5" xfId="55410"/>
    <cellStyle name="Percent 91 2 6" xfId="55411"/>
    <cellStyle name="Percent 91 2 7" xfId="55412"/>
    <cellStyle name="Percent 91 2 8" xfId="55413"/>
    <cellStyle name="Percent 91 3" xfId="55414"/>
    <cellStyle name="Percent 91 3 2" xfId="55415"/>
    <cellStyle name="Percent 91 3 2 2" xfId="55416"/>
    <cellStyle name="Percent 91 3 2 3" xfId="55417"/>
    <cellStyle name="Percent 91 3 2 4" xfId="55418"/>
    <cellStyle name="Percent 91 3 2 5" xfId="55419"/>
    <cellStyle name="Percent 91 3 2 6" xfId="55420"/>
    <cellStyle name="Percent 91 3 3" xfId="55421"/>
    <cellStyle name="Percent 91 3 4" xfId="55422"/>
    <cellStyle name="Percent 91 3 5" xfId="55423"/>
    <cellStyle name="Percent 91 3 6" xfId="55424"/>
    <cellStyle name="Percent 91 3 7" xfId="55425"/>
    <cellStyle name="Percent 91 4" xfId="55426"/>
    <cellStyle name="Percent 91 4 2" xfId="55427"/>
    <cellStyle name="Percent 91 4 3" xfId="55428"/>
    <cellStyle name="Percent 91 4 4" xfId="55429"/>
    <cellStyle name="Percent 91 4 5" xfId="55430"/>
    <cellStyle name="Percent 91 4 6" xfId="55431"/>
    <cellStyle name="Percent 91 5" xfId="55432"/>
    <cellStyle name="Percent 91 6" xfId="55433"/>
    <cellStyle name="Percent 91 7" xfId="55434"/>
    <cellStyle name="Percent 91 8" xfId="55435"/>
    <cellStyle name="Percent 91 9" xfId="55436"/>
    <cellStyle name="Percent 92" xfId="55437"/>
    <cellStyle name="Percent 92 2" xfId="55438"/>
    <cellStyle name="Percent 92 2 2" xfId="55439"/>
    <cellStyle name="Percent 92 2 2 2" xfId="55440"/>
    <cellStyle name="Percent 92 2 2 2 2" xfId="55441"/>
    <cellStyle name="Percent 92 2 2 2 3" xfId="55442"/>
    <cellStyle name="Percent 92 2 2 2 4" xfId="55443"/>
    <cellStyle name="Percent 92 2 2 2 5" xfId="55444"/>
    <cellStyle name="Percent 92 2 2 2 6" xfId="55445"/>
    <cellStyle name="Percent 92 2 2 3" xfId="55446"/>
    <cellStyle name="Percent 92 2 2 4" xfId="55447"/>
    <cellStyle name="Percent 92 2 2 5" xfId="55448"/>
    <cellStyle name="Percent 92 2 2 6" xfId="55449"/>
    <cellStyle name="Percent 92 2 2 7" xfId="55450"/>
    <cellStyle name="Percent 92 2 3" xfId="55451"/>
    <cellStyle name="Percent 92 2 3 2" xfId="55452"/>
    <cellStyle name="Percent 92 2 3 3" xfId="55453"/>
    <cellStyle name="Percent 92 2 3 4" xfId="55454"/>
    <cellStyle name="Percent 92 2 3 5" xfId="55455"/>
    <cellStyle name="Percent 92 2 3 6" xfId="55456"/>
    <cellStyle name="Percent 92 2 4" xfId="55457"/>
    <cellStyle name="Percent 92 2 5" xfId="55458"/>
    <cellStyle name="Percent 92 2 6" xfId="55459"/>
    <cellStyle name="Percent 92 2 7" xfId="55460"/>
    <cellStyle name="Percent 92 2 8" xfId="55461"/>
    <cellStyle name="Percent 92 3" xfId="55462"/>
    <cellStyle name="Percent 92 3 2" xfId="55463"/>
    <cellStyle name="Percent 92 3 2 2" xfId="55464"/>
    <cellStyle name="Percent 92 3 2 3" xfId="55465"/>
    <cellStyle name="Percent 92 3 2 4" xfId="55466"/>
    <cellStyle name="Percent 92 3 2 5" xfId="55467"/>
    <cellStyle name="Percent 92 3 2 6" xfId="55468"/>
    <cellStyle name="Percent 92 3 3" xfId="55469"/>
    <cellStyle name="Percent 92 3 4" xfId="55470"/>
    <cellStyle name="Percent 92 3 5" xfId="55471"/>
    <cellStyle name="Percent 92 3 6" xfId="55472"/>
    <cellStyle name="Percent 92 3 7" xfId="55473"/>
    <cellStyle name="Percent 92 4" xfId="55474"/>
    <cellStyle name="Percent 92 4 2" xfId="55475"/>
    <cellStyle name="Percent 92 4 3" xfId="55476"/>
    <cellStyle name="Percent 92 4 4" xfId="55477"/>
    <cellStyle name="Percent 92 4 5" xfId="55478"/>
    <cellStyle name="Percent 92 4 6" xfId="55479"/>
    <cellStyle name="Percent 92 5" xfId="55480"/>
    <cellStyle name="Percent 92 6" xfId="55481"/>
    <cellStyle name="Percent 92 7" xfId="55482"/>
    <cellStyle name="Percent 92 8" xfId="55483"/>
    <cellStyle name="Percent 92 9" xfId="55484"/>
    <cellStyle name="Percent 93" xfId="55485"/>
    <cellStyle name="Percent 93 2" xfId="55486"/>
    <cellStyle name="Percent 93 2 2" xfId="55487"/>
    <cellStyle name="Percent 93 2 2 2" xfId="55488"/>
    <cellStyle name="Percent 93 2 2 2 2" xfId="55489"/>
    <cellStyle name="Percent 93 2 2 2 3" xfId="55490"/>
    <cellStyle name="Percent 93 2 2 2 4" xfId="55491"/>
    <cellStyle name="Percent 93 2 2 2 5" xfId="55492"/>
    <cellStyle name="Percent 93 2 2 2 6" xfId="55493"/>
    <cellStyle name="Percent 93 2 2 3" xfId="55494"/>
    <cellStyle name="Percent 93 2 2 4" xfId="55495"/>
    <cellStyle name="Percent 93 2 2 5" xfId="55496"/>
    <cellStyle name="Percent 93 2 2 6" xfId="55497"/>
    <cellStyle name="Percent 93 2 2 7" xfId="55498"/>
    <cellStyle name="Percent 93 2 3" xfId="55499"/>
    <cellStyle name="Percent 93 2 3 2" xfId="55500"/>
    <cellStyle name="Percent 93 2 3 3" xfId="55501"/>
    <cellStyle name="Percent 93 2 3 4" xfId="55502"/>
    <cellStyle name="Percent 93 2 3 5" xfId="55503"/>
    <cellStyle name="Percent 93 2 3 6" xfId="55504"/>
    <cellStyle name="Percent 93 2 4" xfId="55505"/>
    <cellStyle name="Percent 93 2 5" xfId="55506"/>
    <cellStyle name="Percent 93 2 6" xfId="55507"/>
    <cellStyle name="Percent 93 2 7" xfId="55508"/>
    <cellStyle name="Percent 93 2 8" xfId="55509"/>
    <cellStyle name="Percent 93 3" xfId="55510"/>
    <cellStyle name="Percent 93 3 2" xfId="55511"/>
    <cellStyle name="Percent 93 3 2 2" xfId="55512"/>
    <cellStyle name="Percent 93 3 2 3" xfId="55513"/>
    <cellStyle name="Percent 93 3 2 4" xfId="55514"/>
    <cellStyle name="Percent 93 3 2 5" xfId="55515"/>
    <cellStyle name="Percent 93 3 2 6" xfId="55516"/>
    <cellStyle name="Percent 93 3 3" xfId="55517"/>
    <cellStyle name="Percent 93 3 4" xfId="55518"/>
    <cellStyle name="Percent 93 3 5" xfId="55519"/>
    <cellStyle name="Percent 93 3 6" xfId="55520"/>
    <cellStyle name="Percent 93 3 7" xfId="55521"/>
    <cellStyle name="Percent 93 4" xfId="55522"/>
    <cellStyle name="Percent 93 4 2" xfId="55523"/>
    <cellStyle name="Percent 93 4 3" xfId="55524"/>
    <cellStyle name="Percent 93 4 4" xfId="55525"/>
    <cellStyle name="Percent 93 4 5" xfId="55526"/>
    <cellStyle name="Percent 93 4 6" xfId="55527"/>
    <cellStyle name="Percent 93 5" xfId="55528"/>
    <cellStyle name="Percent 93 6" xfId="55529"/>
    <cellStyle name="Percent 93 7" xfId="55530"/>
    <cellStyle name="Percent 93 8" xfId="55531"/>
    <cellStyle name="Percent 93 9" xfId="55532"/>
    <cellStyle name="Percent 94" xfId="55533"/>
    <cellStyle name="Percent 94 2" xfId="55534"/>
    <cellStyle name="Percent 94 2 2" xfId="55535"/>
    <cellStyle name="Percent 94 2 2 2" xfId="55536"/>
    <cellStyle name="Percent 94 2 2 2 2" xfId="55537"/>
    <cellStyle name="Percent 94 2 2 2 3" xfId="55538"/>
    <cellStyle name="Percent 94 2 2 2 4" xfId="55539"/>
    <cellStyle name="Percent 94 2 2 2 5" xfId="55540"/>
    <cellStyle name="Percent 94 2 2 2 6" xfId="55541"/>
    <cellStyle name="Percent 94 2 2 3" xfId="55542"/>
    <cellStyle name="Percent 94 2 2 4" xfId="55543"/>
    <cellStyle name="Percent 94 2 2 5" xfId="55544"/>
    <cellStyle name="Percent 94 2 2 6" xfId="55545"/>
    <cellStyle name="Percent 94 2 2 7" xfId="55546"/>
    <cellStyle name="Percent 94 2 3" xfId="55547"/>
    <cellStyle name="Percent 94 2 3 2" xfId="55548"/>
    <cellStyle name="Percent 94 2 3 3" xfId="55549"/>
    <cellStyle name="Percent 94 2 3 4" xfId="55550"/>
    <cellStyle name="Percent 94 2 3 5" xfId="55551"/>
    <cellStyle name="Percent 94 2 3 6" xfId="55552"/>
    <cellStyle name="Percent 94 2 4" xfId="55553"/>
    <cellStyle name="Percent 94 2 5" xfId="55554"/>
    <cellStyle name="Percent 94 2 6" xfId="55555"/>
    <cellStyle name="Percent 94 2 7" xfId="55556"/>
    <cellStyle name="Percent 94 2 8" xfId="55557"/>
    <cellStyle name="Percent 94 3" xfId="55558"/>
    <cellStyle name="Percent 94 3 2" xfId="55559"/>
    <cellStyle name="Percent 94 3 2 2" xfId="55560"/>
    <cellStyle name="Percent 94 3 2 3" xfId="55561"/>
    <cellStyle name="Percent 94 3 2 4" xfId="55562"/>
    <cellStyle name="Percent 94 3 2 5" xfId="55563"/>
    <cellStyle name="Percent 94 3 2 6" xfId="55564"/>
    <cellStyle name="Percent 94 3 3" xfId="55565"/>
    <cellStyle name="Percent 94 3 4" xfId="55566"/>
    <cellStyle name="Percent 94 3 5" xfId="55567"/>
    <cellStyle name="Percent 94 3 6" xfId="55568"/>
    <cellStyle name="Percent 94 3 7" xfId="55569"/>
    <cellStyle name="Percent 94 4" xfId="55570"/>
    <cellStyle name="Percent 94 4 2" xfId="55571"/>
    <cellStyle name="Percent 94 4 3" xfId="55572"/>
    <cellStyle name="Percent 94 4 4" xfId="55573"/>
    <cellStyle name="Percent 94 4 5" xfId="55574"/>
    <cellStyle name="Percent 94 4 6" xfId="55575"/>
    <cellStyle name="Percent 94 5" xfId="55576"/>
    <cellStyle name="Percent 94 6" xfId="55577"/>
    <cellStyle name="Percent 94 7" xfId="55578"/>
    <cellStyle name="Percent 94 8" xfId="55579"/>
    <cellStyle name="Percent 94 9" xfId="55580"/>
    <cellStyle name="Percent 95" xfId="55581"/>
    <cellStyle name="Percent 95 2" xfId="55582"/>
    <cellStyle name="Percent 95 2 2" xfId="55583"/>
    <cellStyle name="Percent 95 2 2 2" xfId="55584"/>
    <cellStyle name="Percent 95 2 2 2 2" xfId="55585"/>
    <cellStyle name="Percent 95 2 2 2 3" xfId="55586"/>
    <cellStyle name="Percent 95 2 2 2 4" xfId="55587"/>
    <cellStyle name="Percent 95 2 2 2 5" xfId="55588"/>
    <cellStyle name="Percent 95 2 2 2 6" xfId="55589"/>
    <cellStyle name="Percent 95 2 2 3" xfId="55590"/>
    <cellStyle name="Percent 95 2 2 4" xfId="55591"/>
    <cellStyle name="Percent 95 2 2 5" xfId="55592"/>
    <cellStyle name="Percent 95 2 2 6" xfId="55593"/>
    <cellStyle name="Percent 95 2 2 7" xfId="55594"/>
    <cellStyle name="Percent 95 2 3" xfId="55595"/>
    <cellStyle name="Percent 95 2 3 2" xfId="55596"/>
    <cellStyle name="Percent 95 2 3 3" xfId="55597"/>
    <cellStyle name="Percent 95 2 3 4" xfId="55598"/>
    <cellStyle name="Percent 95 2 3 5" xfId="55599"/>
    <cellStyle name="Percent 95 2 3 6" xfId="55600"/>
    <cellStyle name="Percent 95 2 4" xfId="55601"/>
    <cellStyle name="Percent 95 2 5" xfId="55602"/>
    <cellStyle name="Percent 95 2 6" xfId="55603"/>
    <cellStyle name="Percent 95 2 7" xfId="55604"/>
    <cellStyle name="Percent 95 2 8" xfId="55605"/>
    <cellStyle name="Percent 95 3" xfId="55606"/>
    <cellStyle name="Percent 95 3 2" xfId="55607"/>
    <cellStyle name="Percent 95 3 2 2" xfId="55608"/>
    <cellStyle name="Percent 95 3 2 3" xfId="55609"/>
    <cellStyle name="Percent 95 3 2 4" xfId="55610"/>
    <cellStyle name="Percent 95 3 2 5" xfId="55611"/>
    <cellStyle name="Percent 95 3 2 6" xfId="55612"/>
    <cellStyle name="Percent 95 3 3" xfId="55613"/>
    <cellStyle name="Percent 95 3 4" xfId="55614"/>
    <cellStyle name="Percent 95 3 5" xfId="55615"/>
    <cellStyle name="Percent 95 3 6" xfId="55616"/>
    <cellStyle name="Percent 95 3 7" xfId="55617"/>
    <cellStyle name="Percent 95 4" xfId="55618"/>
    <cellStyle name="Percent 95 4 2" xfId="55619"/>
    <cellStyle name="Percent 95 4 3" xfId="55620"/>
    <cellStyle name="Percent 95 4 4" xfId="55621"/>
    <cellStyle name="Percent 95 4 5" xfId="55622"/>
    <cellStyle name="Percent 95 4 6" xfId="55623"/>
    <cellStyle name="Percent 95 5" xfId="55624"/>
    <cellStyle name="Percent 95 6" xfId="55625"/>
    <cellStyle name="Percent 95 7" xfId="55626"/>
    <cellStyle name="Percent 95 8" xfId="55627"/>
    <cellStyle name="Percent 95 9" xfId="55628"/>
    <cellStyle name="Percent 96" xfId="55629"/>
    <cellStyle name="Percent 96 2" xfId="55630"/>
    <cellStyle name="Percent 96 2 2" xfId="55631"/>
    <cellStyle name="Percent 96 2 2 2" xfId="55632"/>
    <cellStyle name="Percent 96 2 2 2 2" xfId="55633"/>
    <cellStyle name="Percent 96 2 2 2 3" xfId="55634"/>
    <cellStyle name="Percent 96 2 2 2 4" xfId="55635"/>
    <cellStyle name="Percent 96 2 2 2 5" xfId="55636"/>
    <cellStyle name="Percent 96 2 2 2 6" xfId="55637"/>
    <cellStyle name="Percent 96 2 2 3" xfId="55638"/>
    <cellStyle name="Percent 96 2 2 4" xfId="55639"/>
    <cellStyle name="Percent 96 2 2 5" xfId="55640"/>
    <cellStyle name="Percent 96 2 2 6" xfId="55641"/>
    <cellStyle name="Percent 96 2 2 7" xfId="55642"/>
    <cellStyle name="Percent 96 2 3" xfId="55643"/>
    <cellStyle name="Percent 96 2 3 2" xfId="55644"/>
    <cellStyle name="Percent 96 2 3 3" xfId="55645"/>
    <cellStyle name="Percent 96 2 3 4" xfId="55646"/>
    <cellStyle name="Percent 96 2 3 5" xfId="55647"/>
    <cellStyle name="Percent 96 2 3 6" xfId="55648"/>
    <cellStyle name="Percent 96 2 4" xfId="55649"/>
    <cellStyle name="Percent 96 2 5" xfId="55650"/>
    <cellStyle name="Percent 96 2 6" xfId="55651"/>
    <cellStyle name="Percent 96 2 7" xfId="55652"/>
    <cellStyle name="Percent 96 2 8" xfId="55653"/>
    <cellStyle name="Percent 96 3" xfId="55654"/>
    <cellStyle name="Percent 96 3 2" xfId="55655"/>
    <cellStyle name="Percent 96 3 2 2" xfId="55656"/>
    <cellStyle name="Percent 96 3 2 3" xfId="55657"/>
    <cellStyle name="Percent 96 3 2 4" xfId="55658"/>
    <cellStyle name="Percent 96 3 2 5" xfId="55659"/>
    <cellStyle name="Percent 96 3 2 6" xfId="55660"/>
    <cellStyle name="Percent 96 3 3" xfId="55661"/>
    <cellStyle name="Percent 96 3 4" xfId="55662"/>
    <cellStyle name="Percent 96 3 5" xfId="55663"/>
    <cellStyle name="Percent 96 3 6" xfId="55664"/>
    <cellStyle name="Percent 96 3 7" xfId="55665"/>
    <cellStyle name="Percent 96 4" xfId="55666"/>
    <cellStyle name="Percent 96 4 2" xfId="55667"/>
    <cellStyle name="Percent 96 4 3" xfId="55668"/>
    <cellStyle name="Percent 96 4 4" xfId="55669"/>
    <cellStyle name="Percent 96 4 5" xfId="55670"/>
    <cellStyle name="Percent 96 4 6" xfId="55671"/>
    <cellStyle name="Percent 96 5" xfId="55672"/>
    <cellStyle name="Percent 96 6" xfId="55673"/>
    <cellStyle name="Percent 96 7" xfId="55674"/>
    <cellStyle name="Percent 96 8" xfId="55675"/>
    <cellStyle name="Percent 96 9" xfId="55676"/>
    <cellStyle name="Percent 97" xfId="55677"/>
    <cellStyle name="Percent 97 2" xfId="55678"/>
    <cellStyle name="Percent 97 2 2" xfId="55679"/>
    <cellStyle name="Percent 97 2 2 2" xfId="55680"/>
    <cellStyle name="Percent 97 2 2 2 2" xfId="55681"/>
    <cellStyle name="Percent 97 2 2 2 3" xfId="55682"/>
    <cellStyle name="Percent 97 2 2 2 4" xfId="55683"/>
    <cellStyle name="Percent 97 2 2 2 5" xfId="55684"/>
    <cellStyle name="Percent 97 2 2 2 6" xfId="55685"/>
    <cellStyle name="Percent 97 2 2 3" xfId="55686"/>
    <cellStyle name="Percent 97 2 2 4" xfId="55687"/>
    <cellStyle name="Percent 97 2 2 5" xfId="55688"/>
    <cellStyle name="Percent 97 2 2 6" xfId="55689"/>
    <cellStyle name="Percent 97 2 2 7" xfId="55690"/>
    <cellStyle name="Percent 97 2 3" xfId="55691"/>
    <cellStyle name="Percent 97 2 3 2" xfId="55692"/>
    <cellStyle name="Percent 97 2 3 3" xfId="55693"/>
    <cellStyle name="Percent 97 2 3 4" xfId="55694"/>
    <cellStyle name="Percent 97 2 3 5" xfId="55695"/>
    <cellStyle name="Percent 97 2 3 6" xfId="55696"/>
    <cellStyle name="Percent 97 2 4" xfId="55697"/>
    <cellStyle name="Percent 97 2 5" xfId="55698"/>
    <cellStyle name="Percent 97 2 6" xfId="55699"/>
    <cellStyle name="Percent 97 2 7" xfId="55700"/>
    <cellStyle name="Percent 97 2 8" xfId="55701"/>
    <cellStyle name="Percent 97 3" xfId="55702"/>
    <cellStyle name="Percent 97 3 2" xfId="55703"/>
    <cellStyle name="Percent 97 3 2 2" xfId="55704"/>
    <cellStyle name="Percent 97 3 2 3" xfId="55705"/>
    <cellStyle name="Percent 97 3 2 4" xfId="55706"/>
    <cellStyle name="Percent 97 3 2 5" xfId="55707"/>
    <cellStyle name="Percent 97 3 2 6" xfId="55708"/>
    <cellStyle name="Percent 97 3 3" xfId="55709"/>
    <cellStyle name="Percent 97 3 4" xfId="55710"/>
    <cellStyle name="Percent 97 3 5" xfId="55711"/>
    <cellStyle name="Percent 97 3 6" xfId="55712"/>
    <cellStyle name="Percent 97 3 7" xfId="55713"/>
    <cellStyle name="Percent 97 4" xfId="55714"/>
    <cellStyle name="Percent 97 4 2" xfId="55715"/>
    <cellStyle name="Percent 97 4 3" xfId="55716"/>
    <cellStyle name="Percent 97 4 4" xfId="55717"/>
    <cellStyle name="Percent 97 4 5" xfId="55718"/>
    <cellStyle name="Percent 97 4 6" xfId="55719"/>
    <cellStyle name="Percent 97 5" xfId="55720"/>
    <cellStyle name="Percent 97 6" xfId="55721"/>
    <cellStyle name="Percent 97 7" xfId="55722"/>
    <cellStyle name="Percent 97 8" xfId="55723"/>
    <cellStyle name="Percent 97 9" xfId="55724"/>
    <cellStyle name="Percent 98" xfId="55725"/>
    <cellStyle name="Percent 98 2" xfId="55726"/>
    <cellStyle name="Percent 98 2 2" xfId="55727"/>
    <cellStyle name="Percent 98 2 2 2" xfId="55728"/>
    <cellStyle name="Percent 98 2 2 2 2" xfId="55729"/>
    <cellStyle name="Percent 98 2 2 2 3" xfId="55730"/>
    <cellStyle name="Percent 98 2 2 2 4" xfId="55731"/>
    <cellStyle name="Percent 98 2 2 2 5" xfId="55732"/>
    <cellStyle name="Percent 98 2 2 2 6" xfId="55733"/>
    <cellStyle name="Percent 98 2 2 3" xfId="55734"/>
    <cellStyle name="Percent 98 2 2 4" xfId="55735"/>
    <cellStyle name="Percent 98 2 2 5" xfId="55736"/>
    <cellStyle name="Percent 98 2 2 6" xfId="55737"/>
    <cellStyle name="Percent 98 2 2 7" xfId="55738"/>
    <cellStyle name="Percent 98 2 3" xfId="55739"/>
    <cellStyle name="Percent 98 2 3 2" xfId="55740"/>
    <cellStyle name="Percent 98 2 3 3" xfId="55741"/>
    <cellStyle name="Percent 98 2 3 4" xfId="55742"/>
    <cellStyle name="Percent 98 2 3 5" xfId="55743"/>
    <cellStyle name="Percent 98 2 3 6" xfId="55744"/>
    <cellStyle name="Percent 98 2 4" xfId="55745"/>
    <cellStyle name="Percent 98 2 5" xfId="55746"/>
    <cellStyle name="Percent 98 2 6" xfId="55747"/>
    <cellStyle name="Percent 98 2 7" xfId="55748"/>
    <cellStyle name="Percent 98 2 8" xfId="55749"/>
    <cellStyle name="Percent 98 3" xfId="55750"/>
    <cellStyle name="Percent 98 3 2" xfId="55751"/>
    <cellStyle name="Percent 98 3 2 2" xfId="55752"/>
    <cellStyle name="Percent 98 3 2 3" xfId="55753"/>
    <cellStyle name="Percent 98 3 2 4" xfId="55754"/>
    <cellStyle name="Percent 98 3 2 5" xfId="55755"/>
    <cellStyle name="Percent 98 3 2 6" xfId="55756"/>
    <cellStyle name="Percent 98 3 3" xfId="55757"/>
    <cellStyle name="Percent 98 3 4" xfId="55758"/>
    <cellStyle name="Percent 98 3 5" xfId="55759"/>
    <cellStyle name="Percent 98 3 6" xfId="55760"/>
    <cellStyle name="Percent 98 3 7" xfId="55761"/>
    <cellStyle name="Percent 98 4" xfId="55762"/>
    <cellStyle name="Percent 98 4 2" xfId="55763"/>
    <cellStyle name="Percent 98 4 3" xfId="55764"/>
    <cellStyle name="Percent 98 4 4" xfId="55765"/>
    <cellStyle name="Percent 98 4 5" xfId="55766"/>
    <cellStyle name="Percent 98 4 6" xfId="55767"/>
    <cellStyle name="Percent 98 5" xfId="55768"/>
    <cellStyle name="Percent 98 6" xfId="55769"/>
    <cellStyle name="Percent 98 7" xfId="55770"/>
    <cellStyle name="Percent 98 8" xfId="55771"/>
    <cellStyle name="Percent 98 9" xfId="55772"/>
    <cellStyle name="Percent 99" xfId="55773"/>
    <cellStyle name="Percent 99 2" xfId="55774"/>
    <cellStyle name="Percent 99 2 2" xfId="55775"/>
    <cellStyle name="Percent 99 2 2 2" xfId="55776"/>
    <cellStyle name="Percent 99 2 2 2 2" xfId="55777"/>
    <cellStyle name="Percent 99 2 2 2 3" xfId="55778"/>
    <cellStyle name="Percent 99 2 2 2 4" xfId="55779"/>
    <cellStyle name="Percent 99 2 2 2 5" xfId="55780"/>
    <cellStyle name="Percent 99 2 2 2 6" xfId="55781"/>
    <cellStyle name="Percent 99 2 2 3" xfId="55782"/>
    <cellStyle name="Percent 99 2 2 4" xfId="55783"/>
    <cellStyle name="Percent 99 2 2 5" xfId="55784"/>
    <cellStyle name="Percent 99 2 2 6" xfId="55785"/>
    <cellStyle name="Percent 99 2 2 7" xfId="55786"/>
    <cellStyle name="Percent 99 2 3" xfId="55787"/>
    <cellStyle name="Percent 99 2 3 2" xfId="55788"/>
    <cellStyle name="Percent 99 2 3 3" xfId="55789"/>
    <cellStyle name="Percent 99 2 3 4" xfId="55790"/>
    <cellStyle name="Percent 99 2 3 5" xfId="55791"/>
    <cellStyle name="Percent 99 2 3 6" xfId="55792"/>
    <cellStyle name="Percent 99 2 4" xfId="55793"/>
    <cellStyle name="Percent 99 2 5" xfId="55794"/>
    <cellStyle name="Percent 99 2 6" xfId="55795"/>
    <cellStyle name="Percent 99 2 7" xfId="55796"/>
    <cellStyle name="Percent 99 2 8" xfId="55797"/>
    <cellStyle name="Percent 99 3" xfId="55798"/>
    <cellStyle name="Percent 99 3 2" xfId="55799"/>
    <cellStyle name="Percent 99 3 2 2" xfId="55800"/>
    <cellStyle name="Percent 99 3 2 3" xfId="55801"/>
    <cellStyle name="Percent 99 3 2 4" xfId="55802"/>
    <cellStyle name="Percent 99 3 2 5" xfId="55803"/>
    <cellStyle name="Percent 99 3 2 6" xfId="55804"/>
    <cellStyle name="Percent 99 3 3" xfId="55805"/>
    <cellStyle name="Percent 99 3 4" xfId="55806"/>
    <cellStyle name="Percent 99 3 5" xfId="55807"/>
    <cellStyle name="Percent 99 3 6" xfId="55808"/>
    <cellStyle name="Percent 99 3 7" xfId="55809"/>
    <cellStyle name="Percent 99 4" xfId="55810"/>
    <cellStyle name="Percent 99 4 2" xfId="55811"/>
    <cellStyle name="Percent 99 4 3" xfId="55812"/>
    <cellStyle name="Percent 99 4 4" xfId="55813"/>
    <cellStyle name="Percent 99 4 5" xfId="55814"/>
    <cellStyle name="Percent 99 4 6" xfId="55815"/>
    <cellStyle name="Percent 99 5" xfId="55816"/>
    <cellStyle name="Percent 99 6" xfId="55817"/>
    <cellStyle name="Percent 99 7" xfId="55818"/>
    <cellStyle name="Percent 99 8" xfId="55819"/>
    <cellStyle name="Percent 99 9" xfId="55820"/>
    <cellStyle name="Percentage" xfId="55821"/>
    <cellStyle name="Percentage." xfId="55822"/>
    <cellStyle name="Percentage. 2" xfId="55823"/>
    <cellStyle name="Period Title" xfId="55824"/>
    <cellStyle name="Period Title 2" xfId="55825"/>
    <cellStyle name="Period Title 3" xfId="55826"/>
    <cellStyle name="Period Title 4" xfId="55827"/>
    <cellStyle name="Period Title." xfId="55828"/>
    <cellStyle name="Period Title. 2" xfId="55829"/>
    <cellStyle name="Presentation Currency" xfId="55830"/>
    <cellStyle name="Presentation Currency 2" xfId="55831"/>
    <cellStyle name="Presentation Currency." xfId="55832"/>
    <cellStyle name="Presentation Currency. 2" xfId="55833"/>
    <cellStyle name="Presentation Currency_Current_Yr" xfId="55834"/>
    <cellStyle name="Presentation Date" xfId="55835"/>
    <cellStyle name="Presentation Date 2" xfId="55836"/>
    <cellStyle name="Presentation Date." xfId="55837"/>
    <cellStyle name="Presentation Date. 2" xfId="55838"/>
    <cellStyle name="Presentation Date_Current_Yr" xfId="55839"/>
    <cellStyle name="Presentation Heading 1" xfId="55840"/>
    <cellStyle name="Presentation Heading 1 2" xfId="55841"/>
    <cellStyle name="Presentation Heading 1." xfId="55842"/>
    <cellStyle name="Presentation Heading 1. 2" xfId="55843"/>
    <cellStyle name="Presentation Heading 1_Current_Yr" xfId="55844"/>
    <cellStyle name="Presentation Heading 2" xfId="55845"/>
    <cellStyle name="Presentation Heading 2 2" xfId="55846"/>
    <cellStyle name="Presentation Heading 2." xfId="55847"/>
    <cellStyle name="Presentation Heading 2. 2" xfId="55848"/>
    <cellStyle name="Presentation Heading 2_Current_Yr" xfId="55849"/>
    <cellStyle name="Presentation Heading 3" xfId="55850"/>
    <cellStyle name="Presentation Heading 3 2" xfId="55851"/>
    <cellStyle name="Presentation Heading 3." xfId="55852"/>
    <cellStyle name="Presentation Heading 3. 2" xfId="55853"/>
    <cellStyle name="Presentation Heading 3_Current_Yr" xfId="55854"/>
    <cellStyle name="Presentation Heading 4" xfId="55855"/>
    <cellStyle name="Presentation Heading 4 2" xfId="55856"/>
    <cellStyle name="Presentation Heading 4." xfId="55857"/>
    <cellStyle name="Presentation Heading 4. 2" xfId="55858"/>
    <cellStyle name="Presentation Heading 4_Current_Yr" xfId="55859"/>
    <cellStyle name="Presentation Hyperlink Arrow" xfId="55860"/>
    <cellStyle name="Presentation Hyperlink Arrow 2" xfId="55861"/>
    <cellStyle name="Presentation Hyperlink Arrow." xfId="55862"/>
    <cellStyle name="Presentation Hyperlink Arrow_Current_Yr" xfId="55863"/>
    <cellStyle name="Presentation Hyperlink Check" xfId="55864"/>
    <cellStyle name="Presentation Hyperlink Check 2" xfId="55865"/>
    <cellStyle name="Presentation Hyperlink Check." xfId="55866"/>
    <cellStyle name="Presentation Hyperlink Check_Current_Yr" xfId="55867"/>
    <cellStyle name="Presentation Hyperlink Text" xfId="55868"/>
    <cellStyle name="Presentation Hyperlink Text 2" xfId="55869"/>
    <cellStyle name="Presentation Hyperlink Text." xfId="55870"/>
    <cellStyle name="Presentation Hyperlink Text. 2" xfId="55871"/>
    <cellStyle name="Presentation Hyperlink Text_Current_Yr" xfId="55872"/>
    <cellStyle name="Presentation Model Name" xfId="55873"/>
    <cellStyle name="Presentation Model Name 2" xfId="55874"/>
    <cellStyle name="Presentation Model Name." xfId="55875"/>
    <cellStyle name="Presentation Model Name. 2" xfId="55876"/>
    <cellStyle name="Presentation Model Name_Current_Yr" xfId="55877"/>
    <cellStyle name="Presentation Multiple" xfId="55878"/>
    <cellStyle name="Presentation Multiple 2" xfId="55879"/>
    <cellStyle name="Presentation Multiple." xfId="55880"/>
    <cellStyle name="Presentation Multiple. 2" xfId="55881"/>
    <cellStyle name="Presentation Multiple_Current_Yr" xfId="55882"/>
    <cellStyle name="Presentation Normal" xfId="55883"/>
    <cellStyle name="Presentation Normal 2" xfId="55884"/>
    <cellStyle name="Presentation Normal." xfId="55885"/>
    <cellStyle name="Presentation Normal. 2" xfId="55886"/>
    <cellStyle name="Presentation Normal_Current_Yr" xfId="55887"/>
    <cellStyle name="Presentation Number" xfId="55888"/>
    <cellStyle name="Presentation Number 2" xfId="55889"/>
    <cellStyle name="Presentation Number." xfId="55890"/>
    <cellStyle name="Presentation Number. 2" xfId="55891"/>
    <cellStyle name="Presentation Number_Current_Yr" xfId="55892"/>
    <cellStyle name="Presentation Percentage" xfId="55893"/>
    <cellStyle name="Presentation Percentage 2" xfId="55894"/>
    <cellStyle name="Presentation Percentage." xfId="55895"/>
    <cellStyle name="Presentation Percentage. 2" xfId="55896"/>
    <cellStyle name="Presentation Percentage_Current_Yr" xfId="55897"/>
    <cellStyle name="Presentation Period Title" xfId="55898"/>
    <cellStyle name="Presentation Period Title 2" xfId="55899"/>
    <cellStyle name="Presentation Period Title." xfId="55900"/>
    <cellStyle name="Presentation Period Title. 2" xfId="55901"/>
    <cellStyle name="Presentation Period Title_Current_Yr" xfId="55902"/>
    <cellStyle name="Presentation Section Number" xfId="55903"/>
    <cellStyle name="Presentation Section Number 2" xfId="55904"/>
    <cellStyle name="Presentation Section Number." xfId="55905"/>
    <cellStyle name="Presentation Section Number. 2" xfId="55906"/>
    <cellStyle name="Presentation Section Number_Current_Yr" xfId="55907"/>
    <cellStyle name="Presentation Sheet Title" xfId="55908"/>
    <cellStyle name="Presentation Sheet Title 2" xfId="55909"/>
    <cellStyle name="Presentation Sheet Title." xfId="55910"/>
    <cellStyle name="Presentation Sheet Title. 2" xfId="55911"/>
    <cellStyle name="Presentation Sheet Title_Current_Yr" xfId="55912"/>
    <cellStyle name="Presentation Sub Total." xfId="55913"/>
    <cellStyle name="Presentation Sub Total. 2" xfId="55914"/>
    <cellStyle name="Presentation TOC 1." xfId="55915"/>
    <cellStyle name="Presentation TOC 2." xfId="55916"/>
    <cellStyle name="Presentation TOC 2. 2" xfId="55917"/>
    <cellStyle name="Presentation TOC 3." xfId="55918"/>
    <cellStyle name="Presentation TOC 3. 2" xfId="55919"/>
    <cellStyle name="Presentation TOC 4." xfId="55920"/>
    <cellStyle name="Presentation TOC 4. 2" xfId="55921"/>
    <cellStyle name="Presentation Year" xfId="55922"/>
    <cellStyle name="Presentation Year 2" xfId="55923"/>
    <cellStyle name="Presentation Year." xfId="55924"/>
    <cellStyle name="Presentation Year. 2" xfId="55925"/>
    <cellStyle name="Presentation Year_Current_Yr" xfId="55926"/>
    <cellStyle name="PSChar" xfId="55927"/>
    <cellStyle name="PSChar 2" xfId="55928"/>
    <cellStyle name="PSChar 2 2" xfId="55929"/>
    <cellStyle name="PSChar 3" xfId="55930"/>
    <cellStyle name="PSChar 3 2" xfId="55931"/>
    <cellStyle name="PSChar 4" xfId="55932"/>
    <cellStyle name="PSChar 4 2" xfId="55933"/>
    <cellStyle name="PSDate" xfId="55934"/>
    <cellStyle name="PSDate 2" xfId="55935"/>
    <cellStyle name="PSDate 2 2" xfId="55936"/>
    <cellStyle name="PSDate 3" xfId="55937"/>
    <cellStyle name="PSDate 3 2" xfId="55938"/>
    <cellStyle name="PSDate 4" xfId="55939"/>
    <cellStyle name="PSDate 4 2" xfId="55940"/>
    <cellStyle name="PSDec" xfId="55941"/>
    <cellStyle name="PSDec 2" xfId="55942"/>
    <cellStyle name="PSDec 2 2" xfId="55943"/>
    <cellStyle name="PSDec 3" xfId="55944"/>
    <cellStyle name="PSDec 3 2" xfId="55945"/>
    <cellStyle name="PSDec 4" xfId="55946"/>
    <cellStyle name="PSDec 4 2" xfId="55947"/>
    <cellStyle name="PSDetail" xfId="55948"/>
    <cellStyle name="PSDetail 2" xfId="55949"/>
    <cellStyle name="PSDetail 2 2" xfId="55950"/>
    <cellStyle name="PSDetail 2 2 2" xfId="55951"/>
    <cellStyle name="PSDetail 2 3" xfId="55952"/>
    <cellStyle name="PSDetail 3" xfId="55953"/>
    <cellStyle name="PSDetail 3 2" xfId="55954"/>
    <cellStyle name="PSDetail 3 2 2" xfId="55955"/>
    <cellStyle name="PSDetail 3 2 2 2" xfId="55956"/>
    <cellStyle name="PSDetail 3 2 3" xfId="55957"/>
    <cellStyle name="PSDetail 3 3" xfId="55958"/>
    <cellStyle name="PSHeading" xfId="55959"/>
    <cellStyle name="PSHeading 2" xfId="55960"/>
    <cellStyle name="PSHeading 2 2" xfId="55961"/>
    <cellStyle name="PSHeading 3" xfId="55962"/>
    <cellStyle name="PSHeading 3 2" xfId="55963"/>
    <cellStyle name="PSHeading 4" xfId="55964"/>
    <cellStyle name="PSHeading 4 2" xfId="55965"/>
    <cellStyle name="PSInt" xfId="55966"/>
    <cellStyle name="PSInt 2" xfId="55967"/>
    <cellStyle name="PSInt 2 2" xfId="55968"/>
    <cellStyle name="PSInt 3" xfId="55969"/>
    <cellStyle name="PSInt 3 2" xfId="55970"/>
    <cellStyle name="PSInt 4" xfId="55971"/>
    <cellStyle name="PSInt 4 2" xfId="55972"/>
    <cellStyle name="PSSpacer" xfId="55973"/>
    <cellStyle name="PSSpacer 2" xfId="55974"/>
    <cellStyle name="PSSpacer 2 2" xfId="55975"/>
    <cellStyle name="PSSpacer 3" xfId="55976"/>
    <cellStyle name="PSSpacer 3 2" xfId="55977"/>
    <cellStyle name="PSSpacer 4" xfId="55978"/>
    <cellStyle name="PSSpacer 4 2" xfId="55979"/>
    <cellStyle name="Ratio" xfId="55980"/>
    <cellStyle name="Ratio 2" xfId="55981"/>
    <cellStyle name="Red Font" xfId="58846"/>
    <cellStyle name="Right Currency" xfId="55982"/>
    <cellStyle name="Right Currency 2" xfId="55983"/>
    <cellStyle name="Right Currency 3" xfId="55984"/>
    <cellStyle name="Right Currency 4" xfId="55985"/>
    <cellStyle name="Right Date" xfId="55986"/>
    <cellStyle name="Right Date 2" xfId="55987"/>
    <cellStyle name="Right Date 2 2" xfId="55988"/>
    <cellStyle name="Right Date 3" xfId="55989"/>
    <cellStyle name="Right Date 3 2" xfId="55990"/>
    <cellStyle name="Right Date 4" xfId="55991"/>
    <cellStyle name="Right Multiple" xfId="55992"/>
    <cellStyle name="Right Multiple 2" xfId="55993"/>
    <cellStyle name="Right Multiple 3" xfId="55994"/>
    <cellStyle name="Right Multiple 4" xfId="55995"/>
    <cellStyle name="Right Number" xfId="55996"/>
    <cellStyle name="Right Number 2" xfId="55997"/>
    <cellStyle name="Right Number 2 2" xfId="55998"/>
    <cellStyle name="Right Number 3" xfId="55999"/>
    <cellStyle name="Right Number 3 2" xfId="56000"/>
    <cellStyle name="Right Number 4" xfId="56001"/>
    <cellStyle name="Right Percentage" xfId="56002"/>
    <cellStyle name="Right Percentage 2" xfId="56003"/>
    <cellStyle name="Right Percentage 3" xfId="56004"/>
    <cellStyle name="Right Percentage 4" xfId="56005"/>
    <cellStyle name="Right Year" xfId="56006"/>
    <cellStyle name="Right Year 2" xfId="56007"/>
    <cellStyle name="Right Year 2 2" xfId="56008"/>
    <cellStyle name="Right Year 3" xfId="56009"/>
    <cellStyle name="Right Year 4" xfId="56010"/>
    <cellStyle name="SAPBorder" xfId="19"/>
    <cellStyle name="SAPDataCell" xfId="20"/>
    <cellStyle name="SAPDataTotalCell" xfId="21"/>
    <cellStyle name="SAPDimensionCell" xfId="22"/>
    <cellStyle name="SAPEditableDataCell" xfId="23"/>
    <cellStyle name="SAPEditableDataTotalCell" xfId="24"/>
    <cellStyle name="SAPEmphasized" xfId="25"/>
    <cellStyle name="SAPEmphasizedEditableDataCell" xfId="26"/>
    <cellStyle name="SAPEmphasizedEditableDataTotalCell" xfId="27"/>
    <cellStyle name="SAPEmphasizedLockedDataCell" xfId="28"/>
    <cellStyle name="SAPEmphasizedLockedDataTotalCell" xfId="29"/>
    <cellStyle name="SAPEmphasizedReadonlyDataCell" xfId="30"/>
    <cellStyle name="SAPEmphasizedReadonlyDataTotalCell" xfId="31"/>
    <cellStyle name="SAPEmphasizedTotal" xfId="32"/>
    <cellStyle name="SAPError" xfId="56011"/>
    <cellStyle name="SAPError 2" xfId="56012"/>
    <cellStyle name="SAPExceptionLevel1" xfId="33"/>
    <cellStyle name="SAPExceptionLevel2" xfId="34"/>
    <cellStyle name="SAPExceptionLevel3" xfId="35"/>
    <cellStyle name="SAPExceptionLevel4" xfId="36"/>
    <cellStyle name="SAPExceptionLevel5" xfId="37"/>
    <cellStyle name="SAPExceptionLevel6" xfId="38"/>
    <cellStyle name="SAPExceptionLevel7" xfId="39"/>
    <cellStyle name="SAPExceptionLevel8" xfId="40"/>
    <cellStyle name="SAPExceptionLevel9" xfId="41"/>
    <cellStyle name="SAPHierarchyCell0" xfId="42"/>
    <cellStyle name="SAPHierarchyCell1" xfId="43"/>
    <cellStyle name="SAPHierarchyCell2" xfId="44"/>
    <cellStyle name="SAPHierarchyCell3" xfId="45"/>
    <cellStyle name="SAPHierarchyCell4" xfId="46"/>
    <cellStyle name="SAPKey" xfId="56013"/>
    <cellStyle name="SAPKey 2" xfId="56014"/>
    <cellStyle name="SAPLocked" xfId="56015"/>
    <cellStyle name="SAPLocked 2" xfId="56016"/>
    <cellStyle name="SAPLockedDataCell" xfId="47"/>
    <cellStyle name="SAPLockedDataTotalCell" xfId="48"/>
    <cellStyle name="SAPMemberCell" xfId="49"/>
    <cellStyle name="SAPMemberTotalCell" xfId="50"/>
    <cellStyle name="SAPOutput" xfId="56017"/>
    <cellStyle name="SAPOutput 2" xfId="56018"/>
    <cellStyle name="SAPReadonlyDataCell" xfId="51"/>
    <cellStyle name="SAPReadonlyDataTotalCell" xfId="52"/>
    <cellStyle name="SAPSpace" xfId="56019"/>
    <cellStyle name="SAPSpace 2" xfId="56020"/>
    <cellStyle name="SAPText" xfId="56021"/>
    <cellStyle name="SAPText 2" xfId="56022"/>
    <cellStyle name="SAPUnLocked" xfId="56023"/>
    <cellStyle name="SAPUnLocked 2" xfId="56024"/>
    <cellStyle name="Section Number" xfId="56025"/>
    <cellStyle name="Section Number 2" xfId="56026"/>
    <cellStyle name="Section Number 3" xfId="56027"/>
    <cellStyle name="Section Number 4" xfId="56028"/>
    <cellStyle name="Section Number." xfId="56029"/>
    <cellStyle name="Section Number. 2" xfId="56030"/>
    <cellStyle name="Section Number_Current_Yr" xfId="56031"/>
    <cellStyle name="Sheet Title" xfId="56032"/>
    <cellStyle name="Sheet Title 2" xfId="56033"/>
    <cellStyle name="Sheet Title 2 2" xfId="56034"/>
    <cellStyle name="Sheet Title 3" xfId="56035"/>
    <cellStyle name="Sheet Title 4" xfId="56036"/>
    <cellStyle name="Sheet Title 5" xfId="56037"/>
    <cellStyle name="Sheet Title." xfId="56038"/>
    <cellStyle name="Sheet Title. 2" xfId="56039"/>
    <cellStyle name="Sheet Title_Current_Yr" xfId="56040"/>
    <cellStyle name="Style 1" xfId="56041"/>
    <cellStyle name="Style 1 2" xfId="56042"/>
    <cellStyle name="Style 1_JGN HY Forecast FY13-33 20120914_JJ" xfId="58847"/>
    <cellStyle name="Style2" xfId="56043"/>
    <cellStyle name="Style3" xfId="56044"/>
    <cellStyle name="Style4" xfId="56045"/>
    <cellStyle name="Style4 2" xfId="56046"/>
    <cellStyle name="Style5" xfId="56047"/>
    <cellStyle name="Style5 2" xfId="56048"/>
    <cellStyle name="Sub Total." xfId="56049"/>
    <cellStyle name="Sub Total. 2" xfId="56050"/>
    <cellStyle name="Table Head" xfId="56051"/>
    <cellStyle name="Table Head Aligned" xfId="56052"/>
    <cellStyle name="Table Head Aligned 2" xfId="56053"/>
    <cellStyle name="Table Head Aligned 2 2" xfId="56054"/>
    <cellStyle name="Table Head Aligned 2 2 2" xfId="56055"/>
    <cellStyle name="Table Head Aligned 3" xfId="56056"/>
    <cellStyle name="Table Head Aligned 3 2" xfId="56057"/>
    <cellStyle name="Table Head Blue" xfId="56058"/>
    <cellStyle name="Table Head Green" xfId="56059"/>
    <cellStyle name="Table Head Green 2" xfId="56060"/>
    <cellStyle name="Table Head Green 2 2" xfId="56061"/>
    <cellStyle name="Table Head Green 3" xfId="56062"/>
    <cellStyle name="Table Head Green 3 2" xfId="56063"/>
    <cellStyle name="Table Head Green 3 2 2" xfId="56064"/>
    <cellStyle name="Table Head_pldt" xfId="56065"/>
    <cellStyle name="Table Source" xfId="56066"/>
    <cellStyle name="Table Title" xfId="56067"/>
    <cellStyle name="Table Units" xfId="56068"/>
    <cellStyle name="Table Units 2" xfId="56069"/>
    <cellStyle name="Table Units 2 2" xfId="56070"/>
    <cellStyle name="Table Units 2 2 2" xfId="56071"/>
    <cellStyle name="Table Units 2 3" xfId="56072"/>
    <cellStyle name="Table Units 3" xfId="56073"/>
    <cellStyle name="Table Units 3 2" xfId="56074"/>
    <cellStyle name="Text" xfId="56075"/>
    <cellStyle name="Text 2" xfId="56076"/>
    <cellStyle name="Text 3" xfId="56077"/>
    <cellStyle name="Text Head 1" xfId="56078"/>
    <cellStyle name="Text Head 2" xfId="56079"/>
    <cellStyle name="Text Indent 2" xfId="56080"/>
    <cellStyle name="Theirs" xfId="56081"/>
    <cellStyle name="Title 2" xfId="56082"/>
    <cellStyle name="Title 3" xfId="56083"/>
    <cellStyle name="Title 4" xfId="56084"/>
    <cellStyle name="Title 5" xfId="56085"/>
    <cellStyle name="Title 6" xfId="56086"/>
    <cellStyle name="TOC 1" xfId="56087"/>
    <cellStyle name="TOC 1 2" xfId="56088"/>
    <cellStyle name="TOC 2" xfId="56089"/>
    <cellStyle name="TOC 2 2" xfId="56090"/>
    <cellStyle name="TOC 2 3" xfId="56091"/>
    <cellStyle name="TOC 2 4" xfId="56092"/>
    <cellStyle name="TOC 3" xfId="56093"/>
    <cellStyle name="TOC 3 2" xfId="56094"/>
    <cellStyle name="TOC 4" xfId="56095"/>
    <cellStyle name="TOC 4 2" xfId="56096"/>
    <cellStyle name="Total 10" xfId="56097"/>
    <cellStyle name="Total 10 10" xfId="56098"/>
    <cellStyle name="Total 10 11" xfId="56099"/>
    <cellStyle name="Total 10 12" xfId="56100"/>
    <cellStyle name="Total 10 13" xfId="56101"/>
    <cellStyle name="Total 10 2" xfId="56102"/>
    <cellStyle name="Total 10 2 10" xfId="56103"/>
    <cellStyle name="Total 10 2 11" xfId="56104"/>
    <cellStyle name="Total 10 2 12" xfId="56105"/>
    <cellStyle name="Total 10 2 2" xfId="56106"/>
    <cellStyle name="Total 10 2 2 10" xfId="56107"/>
    <cellStyle name="Total 10 2 2 11" xfId="56108"/>
    <cellStyle name="Total 10 2 2 2" xfId="56109"/>
    <cellStyle name="Total 10 2 2 2 10" xfId="56110"/>
    <cellStyle name="Total 10 2 2 2 11" xfId="56111"/>
    <cellStyle name="Total 10 2 2 2 2" xfId="56112"/>
    <cellStyle name="Total 10 2 2 2 3" xfId="56113"/>
    <cellStyle name="Total 10 2 2 2 4" xfId="56114"/>
    <cellStyle name="Total 10 2 2 2 5" xfId="56115"/>
    <cellStyle name="Total 10 2 2 2 6" xfId="56116"/>
    <cellStyle name="Total 10 2 2 2 7" xfId="56117"/>
    <cellStyle name="Total 10 2 2 2 8" xfId="56118"/>
    <cellStyle name="Total 10 2 2 2 9" xfId="56119"/>
    <cellStyle name="Total 10 2 2 3" xfId="56120"/>
    <cellStyle name="Total 10 2 2 4" xfId="56121"/>
    <cellStyle name="Total 10 2 2 5" xfId="56122"/>
    <cellStyle name="Total 10 2 2 6" xfId="56123"/>
    <cellStyle name="Total 10 2 2 7" xfId="56124"/>
    <cellStyle name="Total 10 2 2 8" xfId="56125"/>
    <cellStyle name="Total 10 2 2 9" xfId="56126"/>
    <cellStyle name="Total 10 2 3" xfId="56127"/>
    <cellStyle name="Total 10 2 3 10" xfId="56128"/>
    <cellStyle name="Total 10 2 3 11" xfId="56129"/>
    <cellStyle name="Total 10 2 3 2" xfId="56130"/>
    <cellStyle name="Total 10 2 3 3" xfId="56131"/>
    <cellStyle name="Total 10 2 3 4" xfId="56132"/>
    <cellStyle name="Total 10 2 3 5" xfId="56133"/>
    <cellStyle name="Total 10 2 3 6" xfId="56134"/>
    <cellStyle name="Total 10 2 3 7" xfId="56135"/>
    <cellStyle name="Total 10 2 3 8" xfId="56136"/>
    <cellStyle name="Total 10 2 3 9" xfId="56137"/>
    <cellStyle name="Total 10 2 4" xfId="56138"/>
    <cellStyle name="Total 10 2 5" xfId="56139"/>
    <cellStyle name="Total 10 2 6" xfId="56140"/>
    <cellStyle name="Total 10 2 7" xfId="56141"/>
    <cellStyle name="Total 10 2 8" xfId="56142"/>
    <cellStyle name="Total 10 2 9" xfId="56143"/>
    <cellStyle name="Total 10 3" xfId="56144"/>
    <cellStyle name="Total 10 3 10" xfId="56145"/>
    <cellStyle name="Total 10 3 11" xfId="56146"/>
    <cellStyle name="Total 10 3 2" xfId="56147"/>
    <cellStyle name="Total 10 3 2 10" xfId="56148"/>
    <cellStyle name="Total 10 3 2 11" xfId="56149"/>
    <cellStyle name="Total 10 3 2 2" xfId="56150"/>
    <cellStyle name="Total 10 3 2 3" xfId="56151"/>
    <cellStyle name="Total 10 3 2 4" xfId="56152"/>
    <cellStyle name="Total 10 3 2 5" xfId="56153"/>
    <cellStyle name="Total 10 3 2 6" xfId="56154"/>
    <cellStyle name="Total 10 3 2 7" xfId="56155"/>
    <cellStyle name="Total 10 3 2 8" xfId="56156"/>
    <cellStyle name="Total 10 3 2 9" xfId="56157"/>
    <cellStyle name="Total 10 3 3" xfId="56158"/>
    <cellStyle name="Total 10 3 4" xfId="56159"/>
    <cellStyle name="Total 10 3 5" xfId="56160"/>
    <cellStyle name="Total 10 3 6" xfId="56161"/>
    <cellStyle name="Total 10 3 7" xfId="56162"/>
    <cellStyle name="Total 10 3 8" xfId="56163"/>
    <cellStyle name="Total 10 3 9" xfId="56164"/>
    <cellStyle name="Total 10 4" xfId="56165"/>
    <cellStyle name="Total 10 4 10" xfId="56166"/>
    <cellStyle name="Total 10 4 11" xfId="56167"/>
    <cellStyle name="Total 10 4 2" xfId="56168"/>
    <cellStyle name="Total 10 4 3" xfId="56169"/>
    <cellStyle name="Total 10 4 4" xfId="56170"/>
    <cellStyle name="Total 10 4 5" xfId="56171"/>
    <cellStyle name="Total 10 4 6" xfId="56172"/>
    <cellStyle name="Total 10 4 7" xfId="56173"/>
    <cellStyle name="Total 10 4 8" xfId="56174"/>
    <cellStyle name="Total 10 4 9" xfId="56175"/>
    <cellStyle name="Total 10 5" xfId="56176"/>
    <cellStyle name="Total 10 6" xfId="56177"/>
    <cellStyle name="Total 10 7" xfId="56178"/>
    <cellStyle name="Total 10 8" xfId="56179"/>
    <cellStyle name="Total 10 9" xfId="56180"/>
    <cellStyle name="Total 11" xfId="56181"/>
    <cellStyle name="Total 11 10" xfId="56182"/>
    <cellStyle name="Total 11 11" xfId="56183"/>
    <cellStyle name="Total 11 12" xfId="56184"/>
    <cellStyle name="Total 11 13" xfId="56185"/>
    <cellStyle name="Total 11 2" xfId="56186"/>
    <cellStyle name="Total 11 2 10" xfId="56187"/>
    <cellStyle name="Total 11 2 11" xfId="56188"/>
    <cellStyle name="Total 11 2 12" xfId="56189"/>
    <cellStyle name="Total 11 2 2" xfId="56190"/>
    <cellStyle name="Total 11 2 2 10" xfId="56191"/>
    <cellStyle name="Total 11 2 2 11" xfId="56192"/>
    <cellStyle name="Total 11 2 2 2" xfId="56193"/>
    <cellStyle name="Total 11 2 2 2 10" xfId="56194"/>
    <cellStyle name="Total 11 2 2 2 11" xfId="56195"/>
    <cellStyle name="Total 11 2 2 2 2" xfId="56196"/>
    <cellStyle name="Total 11 2 2 2 3" xfId="56197"/>
    <cellStyle name="Total 11 2 2 2 4" xfId="56198"/>
    <cellStyle name="Total 11 2 2 2 5" xfId="56199"/>
    <cellStyle name="Total 11 2 2 2 6" xfId="56200"/>
    <cellStyle name="Total 11 2 2 2 7" xfId="56201"/>
    <cellStyle name="Total 11 2 2 2 8" xfId="56202"/>
    <cellStyle name="Total 11 2 2 2 9" xfId="56203"/>
    <cellStyle name="Total 11 2 2 3" xfId="56204"/>
    <cellStyle name="Total 11 2 2 4" xfId="56205"/>
    <cellStyle name="Total 11 2 2 5" xfId="56206"/>
    <cellStyle name="Total 11 2 2 6" xfId="56207"/>
    <cellStyle name="Total 11 2 2 7" xfId="56208"/>
    <cellStyle name="Total 11 2 2 8" xfId="56209"/>
    <cellStyle name="Total 11 2 2 9" xfId="56210"/>
    <cellStyle name="Total 11 2 3" xfId="56211"/>
    <cellStyle name="Total 11 2 3 10" xfId="56212"/>
    <cellStyle name="Total 11 2 3 11" xfId="56213"/>
    <cellStyle name="Total 11 2 3 2" xfId="56214"/>
    <cellStyle name="Total 11 2 3 3" xfId="56215"/>
    <cellStyle name="Total 11 2 3 4" xfId="56216"/>
    <cellStyle name="Total 11 2 3 5" xfId="56217"/>
    <cellStyle name="Total 11 2 3 6" xfId="56218"/>
    <cellStyle name="Total 11 2 3 7" xfId="56219"/>
    <cellStyle name="Total 11 2 3 8" xfId="56220"/>
    <cellStyle name="Total 11 2 3 9" xfId="56221"/>
    <cellStyle name="Total 11 2 4" xfId="56222"/>
    <cellStyle name="Total 11 2 5" xfId="56223"/>
    <cellStyle name="Total 11 2 6" xfId="56224"/>
    <cellStyle name="Total 11 2 7" xfId="56225"/>
    <cellStyle name="Total 11 2 8" xfId="56226"/>
    <cellStyle name="Total 11 2 9" xfId="56227"/>
    <cellStyle name="Total 11 3" xfId="56228"/>
    <cellStyle name="Total 11 3 10" xfId="56229"/>
    <cellStyle name="Total 11 3 11" xfId="56230"/>
    <cellStyle name="Total 11 3 2" xfId="56231"/>
    <cellStyle name="Total 11 3 2 10" xfId="56232"/>
    <cellStyle name="Total 11 3 2 11" xfId="56233"/>
    <cellStyle name="Total 11 3 2 2" xfId="56234"/>
    <cellStyle name="Total 11 3 2 3" xfId="56235"/>
    <cellStyle name="Total 11 3 2 4" xfId="56236"/>
    <cellStyle name="Total 11 3 2 5" xfId="56237"/>
    <cellStyle name="Total 11 3 2 6" xfId="56238"/>
    <cellStyle name="Total 11 3 2 7" xfId="56239"/>
    <cellStyle name="Total 11 3 2 8" xfId="56240"/>
    <cellStyle name="Total 11 3 2 9" xfId="56241"/>
    <cellStyle name="Total 11 3 3" xfId="56242"/>
    <cellStyle name="Total 11 3 4" xfId="56243"/>
    <cellStyle name="Total 11 3 5" xfId="56244"/>
    <cellStyle name="Total 11 3 6" xfId="56245"/>
    <cellStyle name="Total 11 3 7" xfId="56246"/>
    <cellStyle name="Total 11 3 8" xfId="56247"/>
    <cellStyle name="Total 11 3 9" xfId="56248"/>
    <cellStyle name="Total 11 4" xfId="56249"/>
    <cellStyle name="Total 11 4 10" xfId="56250"/>
    <cellStyle name="Total 11 4 11" xfId="56251"/>
    <cellStyle name="Total 11 4 2" xfId="56252"/>
    <cellStyle name="Total 11 4 3" xfId="56253"/>
    <cellStyle name="Total 11 4 4" xfId="56254"/>
    <cellStyle name="Total 11 4 5" xfId="56255"/>
    <cellStyle name="Total 11 4 6" xfId="56256"/>
    <cellStyle name="Total 11 4 7" xfId="56257"/>
    <cellStyle name="Total 11 4 8" xfId="56258"/>
    <cellStyle name="Total 11 4 9" xfId="56259"/>
    <cellStyle name="Total 11 5" xfId="56260"/>
    <cellStyle name="Total 11 6" xfId="56261"/>
    <cellStyle name="Total 11 7" xfId="56262"/>
    <cellStyle name="Total 11 8" xfId="56263"/>
    <cellStyle name="Total 11 9" xfId="56264"/>
    <cellStyle name="Total 12" xfId="56265"/>
    <cellStyle name="Total 12 10" xfId="56266"/>
    <cellStyle name="Total 12 11" xfId="56267"/>
    <cellStyle name="Total 12 12" xfId="56268"/>
    <cellStyle name="Total 12 2" xfId="56269"/>
    <cellStyle name="Total 12 2 10" xfId="56270"/>
    <cellStyle name="Total 12 2 11" xfId="56271"/>
    <cellStyle name="Total 12 2 2" xfId="56272"/>
    <cellStyle name="Total 12 2 2 10" xfId="56273"/>
    <cellStyle name="Total 12 2 2 11" xfId="56274"/>
    <cellStyle name="Total 12 2 2 2" xfId="56275"/>
    <cellStyle name="Total 12 2 2 3" xfId="56276"/>
    <cellStyle name="Total 12 2 2 4" xfId="56277"/>
    <cellStyle name="Total 12 2 2 5" xfId="56278"/>
    <cellStyle name="Total 12 2 2 6" xfId="56279"/>
    <cellStyle name="Total 12 2 2 7" xfId="56280"/>
    <cellStyle name="Total 12 2 2 8" xfId="56281"/>
    <cellStyle name="Total 12 2 2 9" xfId="56282"/>
    <cellStyle name="Total 12 2 3" xfId="56283"/>
    <cellStyle name="Total 12 2 4" xfId="56284"/>
    <cellStyle name="Total 12 2 5" xfId="56285"/>
    <cellStyle name="Total 12 2 6" xfId="56286"/>
    <cellStyle name="Total 12 2 7" xfId="56287"/>
    <cellStyle name="Total 12 2 8" xfId="56288"/>
    <cellStyle name="Total 12 2 9" xfId="56289"/>
    <cellStyle name="Total 12 3" xfId="56290"/>
    <cellStyle name="Total 12 3 10" xfId="56291"/>
    <cellStyle name="Total 12 3 11" xfId="56292"/>
    <cellStyle name="Total 12 3 2" xfId="56293"/>
    <cellStyle name="Total 12 3 3" xfId="56294"/>
    <cellStyle name="Total 12 3 4" xfId="56295"/>
    <cellStyle name="Total 12 3 5" xfId="56296"/>
    <cellStyle name="Total 12 3 6" xfId="56297"/>
    <cellStyle name="Total 12 3 7" xfId="56298"/>
    <cellStyle name="Total 12 3 8" xfId="56299"/>
    <cellStyle name="Total 12 3 9" xfId="56300"/>
    <cellStyle name="Total 12 4" xfId="56301"/>
    <cellStyle name="Total 12 5" xfId="56302"/>
    <cellStyle name="Total 12 6" xfId="56303"/>
    <cellStyle name="Total 12 7" xfId="56304"/>
    <cellStyle name="Total 12 8" xfId="56305"/>
    <cellStyle name="Total 12 9" xfId="56306"/>
    <cellStyle name="Total 13" xfId="56307"/>
    <cellStyle name="Total 13 10" xfId="56308"/>
    <cellStyle name="Total 13 11" xfId="56309"/>
    <cellStyle name="Total 13 12" xfId="56310"/>
    <cellStyle name="Total 13 2" xfId="56311"/>
    <cellStyle name="Total 13 2 10" xfId="56312"/>
    <cellStyle name="Total 13 2 11" xfId="56313"/>
    <cellStyle name="Total 13 2 2" xfId="56314"/>
    <cellStyle name="Total 13 2 2 10" xfId="56315"/>
    <cellStyle name="Total 13 2 2 11" xfId="56316"/>
    <cellStyle name="Total 13 2 2 2" xfId="56317"/>
    <cellStyle name="Total 13 2 2 3" xfId="56318"/>
    <cellStyle name="Total 13 2 2 4" xfId="56319"/>
    <cellStyle name="Total 13 2 2 5" xfId="56320"/>
    <cellStyle name="Total 13 2 2 6" xfId="56321"/>
    <cellStyle name="Total 13 2 2 7" xfId="56322"/>
    <cellStyle name="Total 13 2 2 8" xfId="56323"/>
    <cellStyle name="Total 13 2 2 9" xfId="56324"/>
    <cellStyle name="Total 13 2 3" xfId="56325"/>
    <cellStyle name="Total 13 2 4" xfId="56326"/>
    <cellStyle name="Total 13 2 5" xfId="56327"/>
    <cellStyle name="Total 13 2 6" xfId="56328"/>
    <cellStyle name="Total 13 2 7" xfId="56329"/>
    <cellStyle name="Total 13 2 8" xfId="56330"/>
    <cellStyle name="Total 13 2 9" xfId="56331"/>
    <cellStyle name="Total 13 3" xfId="56332"/>
    <cellStyle name="Total 13 3 10" xfId="56333"/>
    <cellStyle name="Total 13 3 11" xfId="56334"/>
    <cellStyle name="Total 13 3 2" xfId="56335"/>
    <cellStyle name="Total 13 3 3" xfId="56336"/>
    <cellStyle name="Total 13 3 4" xfId="56337"/>
    <cellStyle name="Total 13 3 5" xfId="56338"/>
    <cellStyle name="Total 13 3 6" xfId="56339"/>
    <cellStyle name="Total 13 3 7" xfId="56340"/>
    <cellStyle name="Total 13 3 8" xfId="56341"/>
    <cellStyle name="Total 13 3 9" xfId="56342"/>
    <cellStyle name="Total 13 4" xfId="56343"/>
    <cellStyle name="Total 13 5" xfId="56344"/>
    <cellStyle name="Total 13 6" xfId="56345"/>
    <cellStyle name="Total 13 7" xfId="56346"/>
    <cellStyle name="Total 13 8" xfId="56347"/>
    <cellStyle name="Total 13 9" xfId="56348"/>
    <cellStyle name="Total 14" xfId="56349"/>
    <cellStyle name="Total 14 10" xfId="56350"/>
    <cellStyle name="Total 14 11" xfId="56351"/>
    <cellStyle name="Total 14 2" xfId="56352"/>
    <cellStyle name="Total 14 3" xfId="56353"/>
    <cellStyle name="Total 14 4" xfId="56354"/>
    <cellStyle name="Total 14 5" xfId="56355"/>
    <cellStyle name="Total 14 6" xfId="56356"/>
    <cellStyle name="Total 14 7" xfId="56357"/>
    <cellStyle name="Total 14 8" xfId="56358"/>
    <cellStyle name="Total 14 9" xfId="56359"/>
    <cellStyle name="Total 15" xfId="56360"/>
    <cellStyle name="Total 16" xfId="56361"/>
    <cellStyle name="Total 2" xfId="56362"/>
    <cellStyle name="Total 2 10" xfId="56363"/>
    <cellStyle name="Total 2 10 10" xfId="56364"/>
    <cellStyle name="Total 2 10 11" xfId="56365"/>
    <cellStyle name="Total 2 10 2" xfId="56366"/>
    <cellStyle name="Total 2 10 3" xfId="56367"/>
    <cellStyle name="Total 2 10 4" xfId="56368"/>
    <cellStyle name="Total 2 10 5" xfId="56369"/>
    <cellStyle name="Total 2 10 6" xfId="56370"/>
    <cellStyle name="Total 2 10 7" xfId="56371"/>
    <cellStyle name="Total 2 10 8" xfId="56372"/>
    <cellStyle name="Total 2 10 9" xfId="56373"/>
    <cellStyle name="Total 2 11" xfId="56374"/>
    <cellStyle name="Total 2 12" xfId="56375"/>
    <cellStyle name="Total 2 2" xfId="56376"/>
    <cellStyle name="Total 2 2 10" xfId="56377"/>
    <cellStyle name="Total 2 2 11" xfId="56378"/>
    <cellStyle name="Total 2 2 12" xfId="56379"/>
    <cellStyle name="Total 2 2 13" xfId="56380"/>
    <cellStyle name="Total 2 2 2" xfId="56381"/>
    <cellStyle name="Total 2 2 2 10" xfId="56382"/>
    <cellStyle name="Total 2 2 2 11" xfId="56383"/>
    <cellStyle name="Total 2 2 2 12" xfId="56384"/>
    <cellStyle name="Total 2 2 2 2" xfId="56385"/>
    <cellStyle name="Total 2 2 2 2 10" xfId="56386"/>
    <cellStyle name="Total 2 2 2 2 11" xfId="56387"/>
    <cellStyle name="Total 2 2 2 2 2" xfId="56388"/>
    <cellStyle name="Total 2 2 2 2 2 10" xfId="56389"/>
    <cellStyle name="Total 2 2 2 2 2 11" xfId="56390"/>
    <cellStyle name="Total 2 2 2 2 2 2" xfId="56391"/>
    <cellStyle name="Total 2 2 2 2 2 3" xfId="56392"/>
    <cellStyle name="Total 2 2 2 2 2 4" xfId="56393"/>
    <cellStyle name="Total 2 2 2 2 2 5" xfId="56394"/>
    <cellStyle name="Total 2 2 2 2 2 6" xfId="56395"/>
    <cellStyle name="Total 2 2 2 2 2 7" xfId="56396"/>
    <cellStyle name="Total 2 2 2 2 2 8" xfId="56397"/>
    <cellStyle name="Total 2 2 2 2 2 9" xfId="56398"/>
    <cellStyle name="Total 2 2 2 2 3" xfId="56399"/>
    <cellStyle name="Total 2 2 2 2 4" xfId="56400"/>
    <cellStyle name="Total 2 2 2 2 5" xfId="56401"/>
    <cellStyle name="Total 2 2 2 2 6" xfId="56402"/>
    <cellStyle name="Total 2 2 2 2 7" xfId="56403"/>
    <cellStyle name="Total 2 2 2 2 8" xfId="56404"/>
    <cellStyle name="Total 2 2 2 2 9" xfId="56405"/>
    <cellStyle name="Total 2 2 2 3" xfId="56406"/>
    <cellStyle name="Total 2 2 2 3 10" xfId="56407"/>
    <cellStyle name="Total 2 2 2 3 11" xfId="56408"/>
    <cellStyle name="Total 2 2 2 3 2" xfId="56409"/>
    <cellStyle name="Total 2 2 2 3 3" xfId="56410"/>
    <cellStyle name="Total 2 2 2 3 4" xfId="56411"/>
    <cellStyle name="Total 2 2 2 3 5" xfId="56412"/>
    <cellStyle name="Total 2 2 2 3 6" xfId="56413"/>
    <cellStyle name="Total 2 2 2 3 7" xfId="56414"/>
    <cellStyle name="Total 2 2 2 3 8" xfId="56415"/>
    <cellStyle name="Total 2 2 2 3 9" xfId="56416"/>
    <cellStyle name="Total 2 2 2 4" xfId="56417"/>
    <cellStyle name="Total 2 2 2 5" xfId="56418"/>
    <cellStyle name="Total 2 2 2 6" xfId="56419"/>
    <cellStyle name="Total 2 2 2 7" xfId="56420"/>
    <cellStyle name="Total 2 2 2 8" xfId="56421"/>
    <cellStyle name="Total 2 2 2 9" xfId="56422"/>
    <cellStyle name="Total 2 2 3" xfId="56423"/>
    <cellStyle name="Total 2 2 3 10" xfId="56424"/>
    <cellStyle name="Total 2 2 3 11" xfId="56425"/>
    <cellStyle name="Total 2 2 3 2" xfId="56426"/>
    <cellStyle name="Total 2 2 3 2 10" xfId="56427"/>
    <cellStyle name="Total 2 2 3 2 11" xfId="56428"/>
    <cellStyle name="Total 2 2 3 2 2" xfId="56429"/>
    <cellStyle name="Total 2 2 3 2 3" xfId="56430"/>
    <cellStyle name="Total 2 2 3 2 4" xfId="56431"/>
    <cellStyle name="Total 2 2 3 2 5" xfId="56432"/>
    <cellStyle name="Total 2 2 3 2 6" xfId="56433"/>
    <cellStyle name="Total 2 2 3 2 7" xfId="56434"/>
    <cellStyle name="Total 2 2 3 2 8" xfId="56435"/>
    <cellStyle name="Total 2 2 3 2 9" xfId="56436"/>
    <cellStyle name="Total 2 2 3 3" xfId="56437"/>
    <cellStyle name="Total 2 2 3 4" xfId="56438"/>
    <cellStyle name="Total 2 2 3 5" xfId="56439"/>
    <cellStyle name="Total 2 2 3 6" xfId="56440"/>
    <cellStyle name="Total 2 2 3 7" xfId="56441"/>
    <cellStyle name="Total 2 2 3 8" xfId="56442"/>
    <cellStyle name="Total 2 2 3 9" xfId="56443"/>
    <cellStyle name="Total 2 2 4" xfId="56444"/>
    <cellStyle name="Total 2 2 4 10" xfId="56445"/>
    <cellStyle name="Total 2 2 4 11" xfId="56446"/>
    <cellStyle name="Total 2 2 4 2" xfId="56447"/>
    <cellStyle name="Total 2 2 4 3" xfId="56448"/>
    <cellStyle name="Total 2 2 4 4" xfId="56449"/>
    <cellStyle name="Total 2 2 4 5" xfId="56450"/>
    <cellStyle name="Total 2 2 4 6" xfId="56451"/>
    <cellStyle name="Total 2 2 4 7" xfId="56452"/>
    <cellStyle name="Total 2 2 4 8" xfId="56453"/>
    <cellStyle name="Total 2 2 4 9" xfId="56454"/>
    <cellStyle name="Total 2 2 5" xfId="56455"/>
    <cellStyle name="Total 2 2 6" xfId="56456"/>
    <cellStyle name="Total 2 2 7" xfId="56457"/>
    <cellStyle name="Total 2 2 8" xfId="56458"/>
    <cellStyle name="Total 2 2 9" xfId="56459"/>
    <cellStyle name="Total 2 3" xfId="56460"/>
    <cellStyle name="Total 2 3 10" xfId="56461"/>
    <cellStyle name="Total 2 3 11" xfId="56462"/>
    <cellStyle name="Total 2 3 12" xfId="56463"/>
    <cellStyle name="Total 2 3 13" xfId="56464"/>
    <cellStyle name="Total 2 3 2" xfId="56465"/>
    <cellStyle name="Total 2 3 2 10" xfId="56466"/>
    <cellStyle name="Total 2 3 2 11" xfId="56467"/>
    <cellStyle name="Total 2 3 2 12" xfId="56468"/>
    <cellStyle name="Total 2 3 2 2" xfId="56469"/>
    <cellStyle name="Total 2 3 2 2 10" xfId="56470"/>
    <cellStyle name="Total 2 3 2 2 11" xfId="56471"/>
    <cellStyle name="Total 2 3 2 2 2" xfId="56472"/>
    <cellStyle name="Total 2 3 2 2 2 10" xfId="56473"/>
    <cellStyle name="Total 2 3 2 2 2 11" xfId="56474"/>
    <cellStyle name="Total 2 3 2 2 2 2" xfId="56475"/>
    <cellStyle name="Total 2 3 2 2 2 3" xfId="56476"/>
    <cellStyle name="Total 2 3 2 2 2 4" xfId="56477"/>
    <cellStyle name="Total 2 3 2 2 2 5" xfId="56478"/>
    <cellStyle name="Total 2 3 2 2 2 6" xfId="56479"/>
    <cellStyle name="Total 2 3 2 2 2 7" xfId="56480"/>
    <cellStyle name="Total 2 3 2 2 2 8" xfId="56481"/>
    <cellStyle name="Total 2 3 2 2 2 9" xfId="56482"/>
    <cellStyle name="Total 2 3 2 2 3" xfId="56483"/>
    <cellStyle name="Total 2 3 2 2 4" xfId="56484"/>
    <cellStyle name="Total 2 3 2 2 5" xfId="56485"/>
    <cellStyle name="Total 2 3 2 2 6" xfId="56486"/>
    <cellStyle name="Total 2 3 2 2 7" xfId="56487"/>
    <cellStyle name="Total 2 3 2 2 8" xfId="56488"/>
    <cellStyle name="Total 2 3 2 2 9" xfId="56489"/>
    <cellStyle name="Total 2 3 2 3" xfId="56490"/>
    <cellStyle name="Total 2 3 2 3 10" xfId="56491"/>
    <cellStyle name="Total 2 3 2 3 11" xfId="56492"/>
    <cellStyle name="Total 2 3 2 3 2" xfId="56493"/>
    <cellStyle name="Total 2 3 2 3 3" xfId="56494"/>
    <cellStyle name="Total 2 3 2 3 4" xfId="56495"/>
    <cellStyle name="Total 2 3 2 3 5" xfId="56496"/>
    <cellStyle name="Total 2 3 2 3 6" xfId="56497"/>
    <cellStyle name="Total 2 3 2 3 7" xfId="56498"/>
    <cellStyle name="Total 2 3 2 3 8" xfId="56499"/>
    <cellStyle name="Total 2 3 2 3 9" xfId="56500"/>
    <cellStyle name="Total 2 3 2 4" xfId="56501"/>
    <cellStyle name="Total 2 3 2 5" xfId="56502"/>
    <cellStyle name="Total 2 3 2 6" xfId="56503"/>
    <cellStyle name="Total 2 3 2 7" xfId="56504"/>
    <cellStyle name="Total 2 3 2 8" xfId="56505"/>
    <cellStyle name="Total 2 3 2 9" xfId="56506"/>
    <cellStyle name="Total 2 3 3" xfId="56507"/>
    <cellStyle name="Total 2 3 3 10" xfId="56508"/>
    <cellStyle name="Total 2 3 3 11" xfId="56509"/>
    <cellStyle name="Total 2 3 3 2" xfId="56510"/>
    <cellStyle name="Total 2 3 3 2 10" xfId="56511"/>
    <cellStyle name="Total 2 3 3 2 11" xfId="56512"/>
    <cellStyle name="Total 2 3 3 2 2" xfId="56513"/>
    <cellStyle name="Total 2 3 3 2 3" xfId="56514"/>
    <cellStyle name="Total 2 3 3 2 4" xfId="56515"/>
    <cellStyle name="Total 2 3 3 2 5" xfId="56516"/>
    <cellStyle name="Total 2 3 3 2 6" xfId="56517"/>
    <cellStyle name="Total 2 3 3 2 7" xfId="56518"/>
    <cellStyle name="Total 2 3 3 2 8" xfId="56519"/>
    <cellStyle name="Total 2 3 3 2 9" xfId="56520"/>
    <cellStyle name="Total 2 3 3 3" xfId="56521"/>
    <cellStyle name="Total 2 3 3 4" xfId="56522"/>
    <cellStyle name="Total 2 3 3 5" xfId="56523"/>
    <cellStyle name="Total 2 3 3 6" xfId="56524"/>
    <cellStyle name="Total 2 3 3 7" xfId="56525"/>
    <cellStyle name="Total 2 3 3 8" xfId="56526"/>
    <cellStyle name="Total 2 3 3 9" xfId="56527"/>
    <cellStyle name="Total 2 3 4" xfId="56528"/>
    <cellStyle name="Total 2 3 4 10" xfId="56529"/>
    <cellStyle name="Total 2 3 4 11" xfId="56530"/>
    <cellStyle name="Total 2 3 4 2" xfId="56531"/>
    <cellStyle name="Total 2 3 4 3" xfId="56532"/>
    <cellStyle name="Total 2 3 4 4" xfId="56533"/>
    <cellStyle name="Total 2 3 4 5" xfId="56534"/>
    <cellStyle name="Total 2 3 4 6" xfId="56535"/>
    <cellStyle name="Total 2 3 4 7" xfId="56536"/>
    <cellStyle name="Total 2 3 4 8" xfId="56537"/>
    <cellStyle name="Total 2 3 4 9" xfId="56538"/>
    <cellStyle name="Total 2 3 5" xfId="56539"/>
    <cellStyle name="Total 2 3 6" xfId="56540"/>
    <cellStyle name="Total 2 3 7" xfId="56541"/>
    <cellStyle name="Total 2 3 8" xfId="56542"/>
    <cellStyle name="Total 2 3 9" xfId="56543"/>
    <cellStyle name="Total 2 4" xfId="56544"/>
    <cellStyle name="Total 2 4 10" xfId="56545"/>
    <cellStyle name="Total 2 4 11" xfId="56546"/>
    <cellStyle name="Total 2 4 12" xfId="56547"/>
    <cellStyle name="Total 2 4 13" xfId="56548"/>
    <cellStyle name="Total 2 4 2" xfId="56549"/>
    <cellStyle name="Total 2 4 2 10" xfId="56550"/>
    <cellStyle name="Total 2 4 2 11" xfId="56551"/>
    <cellStyle name="Total 2 4 2 12" xfId="56552"/>
    <cellStyle name="Total 2 4 2 2" xfId="56553"/>
    <cellStyle name="Total 2 4 2 2 10" xfId="56554"/>
    <cellStyle name="Total 2 4 2 2 11" xfId="56555"/>
    <cellStyle name="Total 2 4 2 2 2" xfId="56556"/>
    <cellStyle name="Total 2 4 2 2 2 10" xfId="56557"/>
    <cellStyle name="Total 2 4 2 2 2 11" xfId="56558"/>
    <cellStyle name="Total 2 4 2 2 2 2" xfId="56559"/>
    <cellStyle name="Total 2 4 2 2 2 3" xfId="56560"/>
    <cellStyle name="Total 2 4 2 2 2 4" xfId="56561"/>
    <cellStyle name="Total 2 4 2 2 2 5" xfId="56562"/>
    <cellStyle name="Total 2 4 2 2 2 6" xfId="56563"/>
    <cellStyle name="Total 2 4 2 2 2 7" xfId="56564"/>
    <cellStyle name="Total 2 4 2 2 2 8" xfId="56565"/>
    <cellStyle name="Total 2 4 2 2 2 9" xfId="56566"/>
    <cellStyle name="Total 2 4 2 2 3" xfId="56567"/>
    <cellStyle name="Total 2 4 2 2 4" xfId="56568"/>
    <cellStyle name="Total 2 4 2 2 5" xfId="56569"/>
    <cellStyle name="Total 2 4 2 2 6" xfId="56570"/>
    <cellStyle name="Total 2 4 2 2 7" xfId="56571"/>
    <cellStyle name="Total 2 4 2 2 8" xfId="56572"/>
    <cellStyle name="Total 2 4 2 2 9" xfId="56573"/>
    <cellStyle name="Total 2 4 2 3" xfId="56574"/>
    <cellStyle name="Total 2 4 2 3 10" xfId="56575"/>
    <cellStyle name="Total 2 4 2 3 11" xfId="56576"/>
    <cellStyle name="Total 2 4 2 3 2" xfId="56577"/>
    <cellStyle name="Total 2 4 2 3 3" xfId="56578"/>
    <cellStyle name="Total 2 4 2 3 4" xfId="56579"/>
    <cellStyle name="Total 2 4 2 3 5" xfId="56580"/>
    <cellStyle name="Total 2 4 2 3 6" xfId="56581"/>
    <cellStyle name="Total 2 4 2 3 7" xfId="56582"/>
    <cellStyle name="Total 2 4 2 3 8" xfId="56583"/>
    <cellStyle name="Total 2 4 2 3 9" xfId="56584"/>
    <cellStyle name="Total 2 4 2 4" xfId="56585"/>
    <cellStyle name="Total 2 4 2 5" xfId="56586"/>
    <cellStyle name="Total 2 4 2 6" xfId="56587"/>
    <cellStyle name="Total 2 4 2 7" xfId="56588"/>
    <cellStyle name="Total 2 4 2 8" xfId="56589"/>
    <cellStyle name="Total 2 4 2 9" xfId="56590"/>
    <cellStyle name="Total 2 4 3" xfId="56591"/>
    <cellStyle name="Total 2 4 3 10" xfId="56592"/>
    <cellStyle name="Total 2 4 3 11" xfId="56593"/>
    <cellStyle name="Total 2 4 3 2" xfId="56594"/>
    <cellStyle name="Total 2 4 3 2 10" xfId="56595"/>
    <cellStyle name="Total 2 4 3 2 11" xfId="56596"/>
    <cellStyle name="Total 2 4 3 2 2" xfId="56597"/>
    <cellStyle name="Total 2 4 3 2 3" xfId="56598"/>
    <cellStyle name="Total 2 4 3 2 4" xfId="56599"/>
    <cellStyle name="Total 2 4 3 2 5" xfId="56600"/>
    <cellStyle name="Total 2 4 3 2 6" xfId="56601"/>
    <cellStyle name="Total 2 4 3 2 7" xfId="56602"/>
    <cellStyle name="Total 2 4 3 2 8" xfId="56603"/>
    <cellStyle name="Total 2 4 3 2 9" xfId="56604"/>
    <cellStyle name="Total 2 4 3 3" xfId="56605"/>
    <cellStyle name="Total 2 4 3 4" xfId="56606"/>
    <cellStyle name="Total 2 4 3 5" xfId="56607"/>
    <cellStyle name="Total 2 4 3 6" xfId="56608"/>
    <cellStyle name="Total 2 4 3 7" xfId="56609"/>
    <cellStyle name="Total 2 4 3 8" xfId="56610"/>
    <cellStyle name="Total 2 4 3 9" xfId="56611"/>
    <cellStyle name="Total 2 4 4" xfId="56612"/>
    <cellStyle name="Total 2 4 4 10" xfId="56613"/>
    <cellStyle name="Total 2 4 4 11" xfId="56614"/>
    <cellStyle name="Total 2 4 4 2" xfId="56615"/>
    <cellStyle name="Total 2 4 4 3" xfId="56616"/>
    <cellStyle name="Total 2 4 4 4" xfId="56617"/>
    <cellStyle name="Total 2 4 4 5" xfId="56618"/>
    <cellStyle name="Total 2 4 4 6" xfId="56619"/>
    <cellStyle name="Total 2 4 4 7" xfId="56620"/>
    <cellStyle name="Total 2 4 4 8" xfId="56621"/>
    <cellStyle name="Total 2 4 4 9" xfId="56622"/>
    <cellStyle name="Total 2 4 5" xfId="56623"/>
    <cellStyle name="Total 2 4 6" xfId="56624"/>
    <cellStyle name="Total 2 4 7" xfId="56625"/>
    <cellStyle name="Total 2 4 8" xfId="56626"/>
    <cellStyle name="Total 2 4 9" xfId="56627"/>
    <cellStyle name="Total 2 5" xfId="56628"/>
    <cellStyle name="Total 2 5 10" xfId="56629"/>
    <cellStyle name="Total 2 5 11" xfId="56630"/>
    <cellStyle name="Total 2 5 12" xfId="56631"/>
    <cellStyle name="Total 2 5 13" xfId="56632"/>
    <cellStyle name="Total 2 5 2" xfId="56633"/>
    <cellStyle name="Total 2 5 2 10" xfId="56634"/>
    <cellStyle name="Total 2 5 2 11" xfId="56635"/>
    <cellStyle name="Total 2 5 2 12" xfId="56636"/>
    <cellStyle name="Total 2 5 2 2" xfId="56637"/>
    <cellStyle name="Total 2 5 2 2 10" xfId="56638"/>
    <cellStyle name="Total 2 5 2 2 11" xfId="56639"/>
    <cellStyle name="Total 2 5 2 2 2" xfId="56640"/>
    <cellStyle name="Total 2 5 2 2 2 10" xfId="56641"/>
    <cellStyle name="Total 2 5 2 2 2 11" xfId="56642"/>
    <cellStyle name="Total 2 5 2 2 2 2" xfId="56643"/>
    <cellStyle name="Total 2 5 2 2 2 3" xfId="56644"/>
    <cellStyle name="Total 2 5 2 2 2 4" xfId="56645"/>
    <cellStyle name="Total 2 5 2 2 2 5" xfId="56646"/>
    <cellStyle name="Total 2 5 2 2 2 6" xfId="56647"/>
    <cellStyle name="Total 2 5 2 2 2 7" xfId="56648"/>
    <cellStyle name="Total 2 5 2 2 2 8" xfId="56649"/>
    <cellStyle name="Total 2 5 2 2 2 9" xfId="56650"/>
    <cellStyle name="Total 2 5 2 2 3" xfId="56651"/>
    <cellStyle name="Total 2 5 2 2 4" xfId="56652"/>
    <cellStyle name="Total 2 5 2 2 5" xfId="56653"/>
    <cellStyle name="Total 2 5 2 2 6" xfId="56654"/>
    <cellStyle name="Total 2 5 2 2 7" xfId="56655"/>
    <cellStyle name="Total 2 5 2 2 8" xfId="56656"/>
    <cellStyle name="Total 2 5 2 2 9" xfId="56657"/>
    <cellStyle name="Total 2 5 2 3" xfId="56658"/>
    <cellStyle name="Total 2 5 2 3 10" xfId="56659"/>
    <cellStyle name="Total 2 5 2 3 11" xfId="56660"/>
    <cellStyle name="Total 2 5 2 3 2" xfId="56661"/>
    <cellStyle name="Total 2 5 2 3 3" xfId="56662"/>
    <cellStyle name="Total 2 5 2 3 4" xfId="56663"/>
    <cellStyle name="Total 2 5 2 3 5" xfId="56664"/>
    <cellStyle name="Total 2 5 2 3 6" xfId="56665"/>
    <cellStyle name="Total 2 5 2 3 7" xfId="56666"/>
    <cellStyle name="Total 2 5 2 3 8" xfId="56667"/>
    <cellStyle name="Total 2 5 2 3 9" xfId="56668"/>
    <cellStyle name="Total 2 5 2 4" xfId="56669"/>
    <cellStyle name="Total 2 5 2 5" xfId="56670"/>
    <cellStyle name="Total 2 5 2 6" xfId="56671"/>
    <cellStyle name="Total 2 5 2 7" xfId="56672"/>
    <cellStyle name="Total 2 5 2 8" xfId="56673"/>
    <cellStyle name="Total 2 5 2 9" xfId="56674"/>
    <cellStyle name="Total 2 5 3" xfId="56675"/>
    <cellStyle name="Total 2 5 3 10" xfId="56676"/>
    <cellStyle name="Total 2 5 3 11" xfId="56677"/>
    <cellStyle name="Total 2 5 3 2" xfId="56678"/>
    <cellStyle name="Total 2 5 3 2 10" xfId="56679"/>
    <cellStyle name="Total 2 5 3 2 11" xfId="56680"/>
    <cellStyle name="Total 2 5 3 2 2" xfId="56681"/>
    <cellStyle name="Total 2 5 3 2 3" xfId="56682"/>
    <cellStyle name="Total 2 5 3 2 4" xfId="56683"/>
    <cellStyle name="Total 2 5 3 2 5" xfId="56684"/>
    <cellStyle name="Total 2 5 3 2 6" xfId="56685"/>
    <cellStyle name="Total 2 5 3 2 7" xfId="56686"/>
    <cellStyle name="Total 2 5 3 2 8" xfId="56687"/>
    <cellStyle name="Total 2 5 3 2 9" xfId="56688"/>
    <cellStyle name="Total 2 5 3 3" xfId="56689"/>
    <cellStyle name="Total 2 5 3 4" xfId="56690"/>
    <cellStyle name="Total 2 5 3 5" xfId="56691"/>
    <cellStyle name="Total 2 5 3 6" xfId="56692"/>
    <cellStyle name="Total 2 5 3 7" xfId="56693"/>
    <cellStyle name="Total 2 5 3 8" xfId="56694"/>
    <cellStyle name="Total 2 5 3 9" xfId="56695"/>
    <cellStyle name="Total 2 5 4" xfId="56696"/>
    <cellStyle name="Total 2 5 4 10" xfId="56697"/>
    <cellStyle name="Total 2 5 4 11" xfId="56698"/>
    <cellStyle name="Total 2 5 4 2" xfId="56699"/>
    <cellStyle name="Total 2 5 4 3" xfId="56700"/>
    <cellStyle name="Total 2 5 4 4" xfId="56701"/>
    <cellStyle name="Total 2 5 4 5" xfId="56702"/>
    <cellStyle name="Total 2 5 4 6" xfId="56703"/>
    <cellStyle name="Total 2 5 4 7" xfId="56704"/>
    <cellStyle name="Total 2 5 4 8" xfId="56705"/>
    <cellStyle name="Total 2 5 4 9" xfId="56706"/>
    <cellStyle name="Total 2 5 5" xfId="56707"/>
    <cellStyle name="Total 2 5 6" xfId="56708"/>
    <cellStyle name="Total 2 5 7" xfId="56709"/>
    <cellStyle name="Total 2 5 8" xfId="56710"/>
    <cellStyle name="Total 2 5 9" xfId="56711"/>
    <cellStyle name="Total 2 6" xfId="56712"/>
    <cellStyle name="Total 2 6 10" xfId="56713"/>
    <cellStyle name="Total 2 6 11" xfId="56714"/>
    <cellStyle name="Total 2 6 12" xfId="56715"/>
    <cellStyle name="Total 2 6 13" xfId="56716"/>
    <cellStyle name="Total 2 6 2" xfId="56717"/>
    <cellStyle name="Total 2 6 2 10" xfId="56718"/>
    <cellStyle name="Total 2 6 2 11" xfId="56719"/>
    <cellStyle name="Total 2 6 2 12" xfId="56720"/>
    <cellStyle name="Total 2 6 2 2" xfId="56721"/>
    <cellStyle name="Total 2 6 2 2 10" xfId="56722"/>
    <cellStyle name="Total 2 6 2 2 11" xfId="56723"/>
    <cellStyle name="Total 2 6 2 2 2" xfId="56724"/>
    <cellStyle name="Total 2 6 2 2 2 10" xfId="56725"/>
    <cellStyle name="Total 2 6 2 2 2 11" xfId="56726"/>
    <cellStyle name="Total 2 6 2 2 2 2" xfId="56727"/>
    <cellStyle name="Total 2 6 2 2 2 3" xfId="56728"/>
    <cellStyle name="Total 2 6 2 2 2 4" xfId="56729"/>
    <cellStyle name="Total 2 6 2 2 2 5" xfId="56730"/>
    <cellStyle name="Total 2 6 2 2 2 6" xfId="56731"/>
    <cellStyle name="Total 2 6 2 2 2 7" xfId="56732"/>
    <cellStyle name="Total 2 6 2 2 2 8" xfId="56733"/>
    <cellStyle name="Total 2 6 2 2 2 9" xfId="56734"/>
    <cellStyle name="Total 2 6 2 2 3" xfId="56735"/>
    <cellStyle name="Total 2 6 2 2 4" xfId="56736"/>
    <cellStyle name="Total 2 6 2 2 5" xfId="56737"/>
    <cellStyle name="Total 2 6 2 2 6" xfId="56738"/>
    <cellStyle name="Total 2 6 2 2 7" xfId="56739"/>
    <cellStyle name="Total 2 6 2 2 8" xfId="56740"/>
    <cellStyle name="Total 2 6 2 2 9" xfId="56741"/>
    <cellStyle name="Total 2 6 2 3" xfId="56742"/>
    <cellStyle name="Total 2 6 2 3 10" xfId="56743"/>
    <cellStyle name="Total 2 6 2 3 11" xfId="56744"/>
    <cellStyle name="Total 2 6 2 3 2" xfId="56745"/>
    <cellStyle name="Total 2 6 2 3 3" xfId="56746"/>
    <cellStyle name="Total 2 6 2 3 4" xfId="56747"/>
    <cellStyle name="Total 2 6 2 3 5" xfId="56748"/>
    <cellStyle name="Total 2 6 2 3 6" xfId="56749"/>
    <cellStyle name="Total 2 6 2 3 7" xfId="56750"/>
    <cellStyle name="Total 2 6 2 3 8" xfId="56751"/>
    <cellStyle name="Total 2 6 2 3 9" xfId="56752"/>
    <cellStyle name="Total 2 6 2 4" xfId="56753"/>
    <cellStyle name="Total 2 6 2 5" xfId="56754"/>
    <cellStyle name="Total 2 6 2 6" xfId="56755"/>
    <cellStyle name="Total 2 6 2 7" xfId="56756"/>
    <cellStyle name="Total 2 6 2 8" xfId="56757"/>
    <cellStyle name="Total 2 6 2 9" xfId="56758"/>
    <cellStyle name="Total 2 6 3" xfId="56759"/>
    <cellStyle name="Total 2 6 3 10" xfId="56760"/>
    <cellStyle name="Total 2 6 3 11" xfId="56761"/>
    <cellStyle name="Total 2 6 3 2" xfId="56762"/>
    <cellStyle name="Total 2 6 3 2 10" xfId="56763"/>
    <cellStyle name="Total 2 6 3 2 11" xfId="56764"/>
    <cellStyle name="Total 2 6 3 2 2" xfId="56765"/>
    <cellStyle name="Total 2 6 3 2 3" xfId="56766"/>
    <cellStyle name="Total 2 6 3 2 4" xfId="56767"/>
    <cellStyle name="Total 2 6 3 2 5" xfId="56768"/>
    <cellStyle name="Total 2 6 3 2 6" xfId="56769"/>
    <cellStyle name="Total 2 6 3 2 7" xfId="56770"/>
    <cellStyle name="Total 2 6 3 2 8" xfId="56771"/>
    <cellStyle name="Total 2 6 3 2 9" xfId="56772"/>
    <cellStyle name="Total 2 6 3 3" xfId="56773"/>
    <cellStyle name="Total 2 6 3 4" xfId="56774"/>
    <cellStyle name="Total 2 6 3 5" xfId="56775"/>
    <cellStyle name="Total 2 6 3 6" xfId="56776"/>
    <cellStyle name="Total 2 6 3 7" xfId="56777"/>
    <cellStyle name="Total 2 6 3 8" xfId="56778"/>
    <cellStyle name="Total 2 6 3 9" xfId="56779"/>
    <cellStyle name="Total 2 6 4" xfId="56780"/>
    <cellStyle name="Total 2 6 4 10" xfId="56781"/>
    <cellStyle name="Total 2 6 4 11" xfId="56782"/>
    <cellStyle name="Total 2 6 4 2" xfId="56783"/>
    <cellStyle name="Total 2 6 4 3" xfId="56784"/>
    <cellStyle name="Total 2 6 4 4" xfId="56785"/>
    <cellStyle name="Total 2 6 4 5" xfId="56786"/>
    <cellStyle name="Total 2 6 4 6" xfId="56787"/>
    <cellStyle name="Total 2 6 4 7" xfId="56788"/>
    <cellStyle name="Total 2 6 4 8" xfId="56789"/>
    <cellStyle name="Total 2 6 4 9" xfId="56790"/>
    <cellStyle name="Total 2 6 5" xfId="56791"/>
    <cellStyle name="Total 2 6 6" xfId="56792"/>
    <cellStyle name="Total 2 6 7" xfId="56793"/>
    <cellStyle name="Total 2 6 8" xfId="56794"/>
    <cellStyle name="Total 2 6 9" xfId="56795"/>
    <cellStyle name="Total 2 7" xfId="56796"/>
    <cellStyle name="Total 2 7 10" xfId="56797"/>
    <cellStyle name="Total 2 7 11" xfId="56798"/>
    <cellStyle name="Total 2 7 12" xfId="56799"/>
    <cellStyle name="Total 2 7 13" xfId="56800"/>
    <cellStyle name="Total 2 7 2" xfId="56801"/>
    <cellStyle name="Total 2 7 2 10" xfId="56802"/>
    <cellStyle name="Total 2 7 2 11" xfId="56803"/>
    <cellStyle name="Total 2 7 2 12" xfId="56804"/>
    <cellStyle name="Total 2 7 2 2" xfId="56805"/>
    <cellStyle name="Total 2 7 2 2 10" xfId="56806"/>
    <cellStyle name="Total 2 7 2 2 11" xfId="56807"/>
    <cellStyle name="Total 2 7 2 2 2" xfId="56808"/>
    <cellStyle name="Total 2 7 2 2 2 10" xfId="56809"/>
    <cellStyle name="Total 2 7 2 2 2 11" xfId="56810"/>
    <cellStyle name="Total 2 7 2 2 2 2" xfId="56811"/>
    <cellStyle name="Total 2 7 2 2 2 3" xfId="56812"/>
    <cellStyle name="Total 2 7 2 2 2 4" xfId="56813"/>
    <cellStyle name="Total 2 7 2 2 2 5" xfId="56814"/>
    <cellStyle name="Total 2 7 2 2 2 6" xfId="56815"/>
    <cellStyle name="Total 2 7 2 2 2 7" xfId="56816"/>
    <cellStyle name="Total 2 7 2 2 2 8" xfId="56817"/>
    <cellStyle name="Total 2 7 2 2 2 9" xfId="56818"/>
    <cellStyle name="Total 2 7 2 2 3" xfId="56819"/>
    <cellStyle name="Total 2 7 2 2 4" xfId="56820"/>
    <cellStyle name="Total 2 7 2 2 5" xfId="56821"/>
    <cellStyle name="Total 2 7 2 2 6" xfId="56822"/>
    <cellStyle name="Total 2 7 2 2 7" xfId="56823"/>
    <cellStyle name="Total 2 7 2 2 8" xfId="56824"/>
    <cellStyle name="Total 2 7 2 2 9" xfId="56825"/>
    <cellStyle name="Total 2 7 2 3" xfId="56826"/>
    <cellStyle name="Total 2 7 2 3 10" xfId="56827"/>
    <cellStyle name="Total 2 7 2 3 11" xfId="56828"/>
    <cellStyle name="Total 2 7 2 3 2" xfId="56829"/>
    <cellStyle name="Total 2 7 2 3 3" xfId="56830"/>
    <cellStyle name="Total 2 7 2 3 4" xfId="56831"/>
    <cellStyle name="Total 2 7 2 3 5" xfId="56832"/>
    <cellStyle name="Total 2 7 2 3 6" xfId="56833"/>
    <cellStyle name="Total 2 7 2 3 7" xfId="56834"/>
    <cellStyle name="Total 2 7 2 3 8" xfId="56835"/>
    <cellStyle name="Total 2 7 2 3 9" xfId="56836"/>
    <cellStyle name="Total 2 7 2 4" xfId="56837"/>
    <cellStyle name="Total 2 7 2 5" xfId="56838"/>
    <cellStyle name="Total 2 7 2 6" xfId="56839"/>
    <cellStyle name="Total 2 7 2 7" xfId="56840"/>
    <cellStyle name="Total 2 7 2 8" xfId="56841"/>
    <cellStyle name="Total 2 7 2 9" xfId="56842"/>
    <cellStyle name="Total 2 7 3" xfId="56843"/>
    <cellStyle name="Total 2 7 3 10" xfId="56844"/>
    <cellStyle name="Total 2 7 3 11" xfId="56845"/>
    <cellStyle name="Total 2 7 3 2" xfId="56846"/>
    <cellStyle name="Total 2 7 3 2 10" xfId="56847"/>
    <cellStyle name="Total 2 7 3 2 11" xfId="56848"/>
    <cellStyle name="Total 2 7 3 2 2" xfId="56849"/>
    <cellStyle name="Total 2 7 3 2 3" xfId="56850"/>
    <cellStyle name="Total 2 7 3 2 4" xfId="56851"/>
    <cellStyle name="Total 2 7 3 2 5" xfId="56852"/>
    <cellStyle name="Total 2 7 3 2 6" xfId="56853"/>
    <cellStyle name="Total 2 7 3 2 7" xfId="56854"/>
    <cellStyle name="Total 2 7 3 2 8" xfId="56855"/>
    <cellStyle name="Total 2 7 3 2 9" xfId="56856"/>
    <cellStyle name="Total 2 7 3 3" xfId="56857"/>
    <cellStyle name="Total 2 7 3 4" xfId="56858"/>
    <cellStyle name="Total 2 7 3 5" xfId="56859"/>
    <cellStyle name="Total 2 7 3 6" xfId="56860"/>
    <cellStyle name="Total 2 7 3 7" xfId="56861"/>
    <cellStyle name="Total 2 7 3 8" xfId="56862"/>
    <cellStyle name="Total 2 7 3 9" xfId="56863"/>
    <cellStyle name="Total 2 7 4" xfId="56864"/>
    <cellStyle name="Total 2 7 4 10" xfId="56865"/>
    <cellStyle name="Total 2 7 4 11" xfId="56866"/>
    <cellStyle name="Total 2 7 4 2" xfId="56867"/>
    <cellStyle name="Total 2 7 4 3" xfId="56868"/>
    <cellStyle name="Total 2 7 4 4" xfId="56869"/>
    <cellStyle name="Total 2 7 4 5" xfId="56870"/>
    <cellStyle name="Total 2 7 4 6" xfId="56871"/>
    <cellStyle name="Total 2 7 4 7" xfId="56872"/>
    <cellStyle name="Total 2 7 4 8" xfId="56873"/>
    <cellStyle name="Total 2 7 4 9" xfId="56874"/>
    <cellStyle name="Total 2 7 5" xfId="56875"/>
    <cellStyle name="Total 2 7 6" xfId="56876"/>
    <cellStyle name="Total 2 7 7" xfId="56877"/>
    <cellStyle name="Total 2 7 8" xfId="56878"/>
    <cellStyle name="Total 2 7 9" xfId="56879"/>
    <cellStyle name="Total 2 8" xfId="56880"/>
    <cellStyle name="Total 2 8 10" xfId="56881"/>
    <cellStyle name="Total 2 8 11" xfId="56882"/>
    <cellStyle name="Total 2 8 12" xfId="56883"/>
    <cellStyle name="Total 2 8 13" xfId="56884"/>
    <cellStyle name="Total 2 8 2" xfId="56885"/>
    <cellStyle name="Total 2 8 2 10" xfId="56886"/>
    <cellStyle name="Total 2 8 2 11" xfId="56887"/>
    <cellStyle name="Total 2 8 2 12" xfId="56888"/>
    <cellStyle name="Total 2 8 2 2" xfId="56889"/>
    <cellStyle name="Total 2 8 2 2 10" xfId="56890"/>
    <cellStyle name="Total 2 8 2 2 11" xfId="56891"/>
    <cellStyle name="Total 2 8 2 2 2" xfId="56892"/>
    <cellStyle name="Total 2 8 2 2 2 10" xfId="56893"/>
    <cellStyle name="Total 2 8 2 2 2 11" xfId="56894"/>
    <cellStyle name="Total 2 8 2 2 2 2" xfId="56895"/>
    <cellStyle name="Total 2 8 2 2 2 3" xfId="56896"/>
    <cellStyle name="Total 2 8 2 2 2 4" xfId="56897"/>
    <cellStyle name="Total 2 8 2 2 2 5" xfId="56898"/>
    <cellStyle name="Total 2 8 2 2 2 6" xfId="56899"/>
    <cellStyle name="Total 2 8 2 2 2 7" xfId="56900"/>
    <cellStyle name="Total 2 8 2 2 2 8" xfId="56901"/>
    <cellStyle name="Total 2 8 2 2 2 9" xfId="56902"/>
    <cellStyle name="Total 2 8 2 2 3" xfId="56903"/>
    <cellStyle name="Total 2 8 2 2 4" xfId="56904"/>
    <cellStyle name="Total 2 8 2 2 5" xfId="56905"/>
    <cellStyle name="Total 2 8 2 2 6" xfId="56906"/>
    <cellStyle name="Total 2 8 2 2 7" xfId="56907"/>
    <cellStyle name="Total 2 8 2 2 8" xfId="56908"/>
    <cellStyle name="Total 2 8 2 2 9" xfId="56909"/>
    <cellStyle name="Total 2 8 2 3" xfId="56910"/>
    <cellStyle name="Total 2 8 2 3 10" xfId="56911"/>
    <cellStyle name="Total 2 8 2 3 11" xfId="56912"/>
    <cellStyle name="Total 2 8 2 3 2" xfId="56913"/>
    <cellStyle name="Total 2 8 2 3 3" xfId="56914"/>
    <cellStyle name="Total 2 8 2 3 4" xfId="56915"/>
    <cellStyle name="Total 2 8 2 3 5" xfId="56916"/>
    <cellStyle name="Total 2 8 2 3 6" xfId="56917"/>
    <cellStyle name="Total 2 8 2 3 7" xfId="56918"/>
    <cellStyle name="Total 2 8 2 3 8" xfId="56919"/>
    <cellStyle name="Total 2 8 2 3 9" xfId="56920"/>
    <cellStyle name="Total 2 8 2 4" xfId="56921"/>
    <cellStyle name="Total 2 8 2 5" xfId="56922"/>
    <cellStyle name="Total 2 8 2 6" xfId="56923"/>
    <cellStyle name="Total 2 8 2 7" xfId="56924"/>
    <cellStyle name="Total 2 8 2 8" xfId="56925"/>
    <cellStyle name="Total 2 8 2 9" xfId="56926"/>
    <cellStyle name="Total 2 8 3" xfId="56927"/>
    <cellStyle name="Total 2 8 3 10" xfId="56928"/>
    <cellStyle name="Total 2 8 3 11" xfId="56929"/>
    <cellStyle name="Total 2 8 3 2" xfId="56930"/>
    <cellStyle name="Total 2 8 3 2 10" xfId="56931"/>
    <cellStyle name="Total 2 8 3 2 11" xfId="56932"/>
    <cellStyle name="Total 2 8 3 2 2" xfId="56933"/>
    <cellStyle name="Total 2 8 3 2 3" xfId="56934"/>
    <cellStyle name="Total 2 8 3 2 4" xfId="56935"/>
    <cellStyle name="Total 2 8 3 2 5" xfId="56936"/>
    <cellStyle name="Total 2 8 3 2 6" xfId="56937"/>
    <cellStyle name="Total 2 8 3 2 7" xfId="56938"/>
    <cellStyle name="Total 2 8 3 2 8" xfId="56939"/>
    <cellStyle name="Total 2 8 3 2 9" xfId="56940"/>
    <cellStyle name="Total 2 8 3 3" xfId="56941"/>
    <cellStyle name="Total 2 8 3 4" xfId="56942"/>
    <cellStyle name="Total 2 8 3 5" xfId="56943"/>
    <cellStyle name="Total 2 8 3 6" xfId="56944"/>
    <cellStyle name="Total 2 8 3 7" xfId="56945"/>
    <cellStyle name="Total 2 8 3 8" xfId="56946"/>
    <cellStyle name="Total 2 8 3 9" xfId="56947"/>
    <cellStyle name="Total 2 8 4" xfId="56948"/>
    <cellStyle name="Total 2 8 4 10" xfId="56949"/>
    <cellStyle name="Total 2 8 4 11" xfId="56950"/>
    <cellStyle name="Total 2 8 4 2" xfId="56951"/>
    <cellStyle name="Total 2 8 4 3" xfId="56952"/>
    <cellStyle name="Total 2 8 4 4" xfId="56953"/>
    <cellStyle name="Total 2 8 4 5" xfId="56954"/>
    <cellStyle name="Total 2 8 4 6" xfId="56955"/>
    <cellStyle name="Total 2 8 4 7" xfId="56956"/>
    <cellStyle name="Total 2 8 4 8" xfId="56957"/>
    <cellStyle name="Total 2 8 4 9" xfId="56958"/>
    <cellStyle name="Total 2 8 5" xfId="56959"/>
    <cellStyle name="Total 2 8 6" xfId="56960"/>
    <cellStyle name="Total 2 8 7" xfId="56961"/>
    <cellStyle name="Total 2 8 8" xfId="56962"/>
    <cellStyle name="Total 2 8 9" xfId="56963"/>
    <cellStyle name="Total 2 9" xfId="56964"/>
    <cellStyle name="Total 2 9 10" xfId="56965"/>
    <cellStyle name="Total 2 9 11" xfId="56966"/>
    <cellStyle name="Total 2 9 12" xfId="56967"/>
    <cellStyle name="Total 2 9 2" xfId="56968"/>
    <cellStyle name="Total 2 9 2 10" xfId="56969"/>
    <cellStyle name="Total 2 9 2 11" xfId="56970"/>
    <cellStyle name="Total 2 9 2 2" xfId="56971"/>
    <cellStyle name="Total 2 9 2 2 10" xfId="56972"/>
    <cellStyle name="Total 2 9 2 2 11" xfId="56973"/>
    <cellStyle name="Total 2 9 2 2 2" xfId="56974"/>
    <cellStyle name="Total 2 9 2 2 3" xfId="56975"/>
    <cellStyle name="Total 2 9 2 2 4" xfId="56976"/>
    <cellStyle name="Total 2 9 2 2 5" xfId="56977"/>
    <cellStyle name="Total 2 9 2 2 6" xfId="56978"/>
    <cellStyle name="Total 2 9 2 2 7" xfId="56979"/>
    <cellStyle name="Total 2 9 2 2 8" xfId="56980"/>
    <cellStyle name="Total 2 9 2 2 9" xfId="56981"/>
    <cellStyle name="Total 2 9 2 3" xfId="56982"/>
    <cellStyle name="Total 2 9 2 4" xfId="56983"/>
    <cellStyle name="Total 2 9 2 5" xfId="56984"/>
    <cellStyle name="Total 2 9 2 6" xfId="56985"/>
    <cellStyle name="Total 2 9 2 7" xfId="56986"/>
    <cellStyle name="Total 2 9 2 8" xfId="56987"/>
    <cellStyle name="Total 2 9 2 9" xfId="56988"/>
    <cellStyle name="Total 2 9 3" xfId="56989"/>
    <cellStyle name="Total 2 9 3 10" xfId="56990"/>
    <cellStyle name="Total 2 9 3 11" xfId="56991"/>
    <cellStyle name="Total 2 9 3 2" xfId="56992"/>
    <cellStyle name="Total 2 9 3 3" xfId="56993"/>
    <cellStyle name="Total 2 9 3 4" xfId="56994"/>
    <cellStyle name="Total 2 9 3 5" xfId="56995"/>
    <cellStyle name="Total 2 9 3 6" xfId="56996"/>
    <cellStyle name="Total 2 9 3 7" xfId="56997"/>
    <cellStyle name="Total 2 9 3 8" xfId="56998"/>
    <cellStyle name="Total 2 9 3 9" xfId="56999"/>
    <cellStyle name="Total 2 9 4" xfId="57000"/>
    <cellStyle name="Total 2 9 5" xfId="57001"/>
    <cellStyle name="Total 2 9 6" xfId="57002"/>
    <cellStyle name="Total 2 9 7" xfId="57003"/>
    <cellStyle name="Total 2 9 8" xfId="57004"/>
    <cellStyle name="Total 2 9 9" xfId="57005"/>
    <cellStyle name="Total 3" xfId="57006"/>
    <cellStyle name="Total 3 10" xfId="57007"/>
    <cellStyle name="Total 3 10 10" xfId="57008"/>
    <cellStyle name="Total 3 10 11" xfId="57009"/>
    <cellStyle name="Total 3 10 2" xfId="57010"/>
    <cellStyle name="Total 3 10 3" xfId="57011"/>
    <cellStyle name="Total 3 10 4" xfId="57012"/>
    <cellStyle name="Total 3 10 5" xfId="57013"/>
    <cellStyle name="Total 3 10 6" xfId="57014"/>
    <cellStyle name="Total 3 10 7" xfId="57015"/>
    <cellStyle name="Total 3 10 8" xfId="57016"/>
    <cellStyle name="Total 3 10 9" xfId="57017"/>
    <cellStyle name="Total 3 11" xfId="57018"/>
    <cellStyle name="Total 3 12" xfId="57019"/>
    <cellStyle name="Total 3 2" xfId="57020"/>
    <cellStyle name="Total 3 2 10" xfId="57021"/>
    <cellStyle name="Total 3 2 11" xfId="57022"/>
    <cellStyle name="Total 3 2 12" xfId="57023"/>
    <cellStyle name="Total 3 2 13" xfId="57024"/>
    <cellStyle name="Total 3 2 2" xfId="57025"/>
    <cellStyle name="Total 3 2 2 10" xfId="57026"/>
    <cellStyle name="Total 3 2 2 11" xfId="57027"/>
    <cellStyle name="Total 3 2 2 12" xfId="57028"/>
    <cellStyle name="Total 3 2 2 2" xfId="57029"/>
    <cellStyle name="Total 3 2 2 2 10" xfId="57030"/>
    <cellStyle name="Total 3 2 2 2 11" xfId="57031"/>
    <cellStyle name="Total 3 2 2 2 2" xfId="57032"/>
    <cellStyle name="Total 3 2 2 2 2 10" xfId="57033"/>
    <cellStyle name="Total 3 2 2 2 2 11" xfId="57034"/>
    <cellStyle name="Total 3 2 2 2 2 2" xfId="57035"/>
    <cellStyle name="Total 3 2 2 2 2 3" xfId="57036"/>
    <cellStyle name="Total 3 2 2 2 2 4" xfId="57037"/>
    <cellStyle name="Total 3 2 2 2 2 5" xfId="57038"/>
    <cellStyle name="Total 3 2 2 2 2 6" xfId="57039"/>
    <cellStyle name="Total 3 2 2 2 2 7" xfId="57040"/>
    <cellStyle name="Total 3 2 2 2 2 8" xfId="57041"/>
    <cellStyle name="Total 3 2 2 2 2 9" xfId="57042"/>
    <cellStyle name="Total 3 2 2 2 3" xfId="57043"/>
    <cellStyle name="Total 3 2 2 2 4" xfId="57044"/>
    <cellStyle name="Total 3 2 2 2 5" xfId="57045"/>
    <cellStyle name="Total 3 2 2 2 6" xfId="57046"/>
    <cellStyle name="Total 3 2 2 2 7" xfId="57047"/>
    <cellStyle name="Total 3 2 2 2 8" xfId="57048"/>
    <cellStyle name="Total 3 2 2 2 9" xfId="57049"/>
    <cellStyle name="Total 3 2 2 3" xfId="57050"/>
    <cellStyle name="Total 3 2 2 3 10" xfId="57051"/>
    <cellStyle name="Total 3 2 2 3 11" xfId="57052"/>
    <cellStyle name="Total 3 2 2 3 2" xfId="57053"/>
    <cellStyle name="Total 3 2 2 3 3" xfId="57054"/>
    <cellStyle name="Total 3 2 2 3 4" xfId="57055"/>
    <cellStyle name="Total 3 2 2 3 5" xfId="57056"/>
    <cellStyle name="Total 3 2 2 3 6" xfId="57057"/>
    <cellStyle name="Total 3 2 2 3 7" xfId="57058"/>
    <cellStyle name="Total 3 2 2 3 8" xfId="57059"/>
    <cellStyle name="Total 3 2 2 3 9" xfId="57060"/>
    <cellStyle name="Total 3 2 2 4" xfId="57061"/>
    <cellStyle name="Total 3 2 2 5" xfId="57062"/>
    <cellStyle name="Total 3 2 2 6" xfId="57063"/>
    <cellStyle name="Total 3 2 2 7" xfId="57064"/>
    <cellStyle name="Total 3 2 2 8" xfId="57065"/>
    <cellStyle name="Total 3 2 2 9" xfId="57066"/>
    <cellStyle name="Total 3 2 3" xfId="57067"/>
    <cellStyle name="Total 3 2 3 10" xfId="57068"/>
    <cellStyle name="Total 3 2 3 11" xfId="57069"/>
    <cellStyle name="Total 3 2 3 2" xfId="57070"/>
    <cellStyle name="Total 3 2 3 2 10" xfId="57071"/>
    <cellStyle name="Total 3 2 3 2 11" xfId="57072"/>
    <cellStyle name="Total 3 2 3 2 2" xfId="57073"/>
    <cellStyle name="Total 3 2 3 2 3" xfId="57074"/>
    <cellStyle name="Total 3 2 3 2 4" xfId="57075"/>
    <cellStyle name="Total 3 2 3 2 5" xfId="57076"/>
    <cellStyle name="Total 3 2 3 2 6" xfId="57077"/>
    <cellStyle name="Total 3 2 3 2 7" xfId="57078"/>
    <cellStyle name="Total 3 2 3 2 8" xfId="57079"/>
    <cellStyle name="Total 3 2 3 2 9" xfId="57080"/>
    <cellStyle name="Total 3 2 3 3" xfId="57081"/>
    <cellStyle name="Total 3 2 3 4" xfId="57082"/>
    <cellStyle name="Total 3 2 3 5" xfId="57083"/>
    <cellStyle name="Total 3 2 3 6" xfId="57084"/>
    <cellStyle name="Total 3 2 3 7" xfId="57085"/>
    <cellStyle name="Total 3 2 3 8" xfId="57086"/>
    <cellStyle name="Total 3 2 3 9" xfId="57087"/>
    <cellStyle name="Total 3 2 4" xfId="57088"/>
    <cellStyle name="Total 3 2 4 10" xfId="57089"/>
    <cellStyle name="Total 3 2 4 11" xfId="57090"/>
    <cellStyle name="Total 3 2 4 2" xfId="57091"/>
    <cellStyle name="Total 3 2 4 3" xfId="57092"/>
    <cellStyle name="Total 3 2 4 4" xfId="57093"/>
    <cellStyle name="Total 3 2 4 5" xfId="57094"/>
    <cellStyle name="Total 3 2 4 6" xfId="57095"/>
    <cellStyle name="Total 3 2 4 7" xfId="57096"/>
    <cellStyle name="Total 3 2 4 8" xfId="57097"/>
    <cellStyle name="Total 3 2 4 9" xfId="57098"/>
    <cellStyle name="Total 3 2 5" xfId="57099"/>
    <cellStyle name="Total 3 2 6" xfId="57100"/>
    <cellStyle name="Total 3 2 7" xfId="57101"/>
    <cellStyle name="Total 3 2 8" xfId="57102"/>
    <cellStyle name="Total 3 2 9" xfId="57103"/>
    <cellStyle name="Total 3 3" xfId="57104"/>
    <cellStyle name="Total 3 3 10" xfId="57105"/>
    <cellStyle name="Total 3 3 11" xfId="57106"/>
    <cellStyle name="Total 3 3 12" xfId="57107"/>
    <cellStyle name="Total 3 3 13" xfId="57108"/>
    <cellStyle name="Total 3 3 2" xfId="57109"/>
    <cellStyle name="Total 3 3 2 10" xfId="57110"/>
    <cellStyle name="Total 3 3 2 11" xfId="57111"/>
    <cellStyle name="Total 3 3 2 12" xfId="57112"/>
    <cellStyle name="Total 3 3 2 2" xfId="57113"/>
    <cellStyle name="Total 3 3 2 2 10" xfId="57114"/>
    <cellStyle name="Total 3 3 2 2 11" xfId="57115"/>
    <cellStyle name="Total 3 3 2 2 2" xfId="57116"/>
    <cellStyle name="Total 3 3 2 2 2 10" xfId="57117"/>
    <cellStyle name="Total 3 3 2 2 2 11" xfId="57118"/>
    <cellStyle name="Total 3 3 2 2 2 2" xfId="57119"/>
    <cellStyle name="Total 3 3 2 2 2 3" xfId="57120"/>
    <cellStyle name="Total 3 3 2 2 2 4" xfId="57121"/>
    <cellStyle name="Total 3 3 2 2 2 5" xfId="57122"/>
    <cellStyle name="Total 3 3 2 2 2 6" xfId="57123"/>
    <cellStyle name="Total 3 3 2 2 2 7" xfId="57124"/>
    <cellStyle name="Total 3 3 2 2 2 8" xfId="57125"/>
    <cellStyle name="Total 3 3 2 2 2 9" xfId="57126"/>
    <cellStyle name="Total 3 3 2 2 3" xfId="57127"/>
    <cellStyle name="Total 3 3 2 2 4" xfId="57128"/>
    <cellStyle name="Total 3 3 2 2 5" xfId="57129"/>
    <cellStyle name="Total 3 3 2 2 6" xfId="57130"/>
    <cellStyle name="Total 3 3 2 2 7" xfId="57131"/>
    <cellStyle name="Total 3 3 2 2 8" xfId="57132"/>
    <cellStyle name="Total 3 3 2 2 9" xfId="57133"/>
    <cellStyle name="Total 3 3 2 3" xfId="57134"/>
    <cellStyle name="Total 3 3 2 3 10" xfId="57135"/>
    <cellStyle name="Total 3 3 2 3 11" xfId="57136"/>
    <cellStyle name="Total 3 3 2 3 2" xfId="57137"/>
    <cellStyle name="Total 3 3 2 3 3" xfId="57138"/>
    <cellStyle name="Total 3 3 2 3 4" xfId="57139"/>
    <cellStyle name="Total 3 3 2 3 5" xfId="57140"/>
    <cellStyle name="Total 3 3 2 3 6" xfId="57141"/>
    <cellStyle name="Total 3 3 2 3 7" xfId="57142"/>
    <cellStyle name="Total 3 3 2 3 8" xfId="57143"/>
    <cellStyle name="Total 3 3 2 3 9" xfId="57144"/>
    <cellStyle name="Total 3 3 2 4" xfId="57145"/>
    <cellStyle name="Total 3 3 2 5" xfId="57146"/>
    <cellStyle name="Total 3 3 2 6" xfId="57147"/>
    <cellStyle name="Total 3 3 2 7" xfId="57148"/>
    <cellStyle name="Total 3 3 2 8" xfId="57149"/>
    <cellStyle name="Total 3 3 2 9" xfId="57150"/>
    <cellStyle name="Total 3 3 3" xfId="57151"/>
    <cellStyle name="Total 3 3 3 10" xfId="57152"/>
    <cellStyle name="Total 3 3 3 11" xfId="57153"/>
    <cellStyle name="Total 3 3 3 2" xfId="57154"/>
    <cellStyle name="Total 3 3 3 2 10" xfId="57155"/>
    <cellStyle name="Total 3 3 3 2 11" xfId="57156"/>
    <cellStyle name="Total 3 3 3 2 2" xfId="57157"/>
    <cellStyle name="Total 3 3 3 2 3" xfId="57158"/>
    <cellStyle name="Total 3 3 3 2 4" xfId="57159"/>
    <cellStyle name="Total 3 3 3 2 5" xfId="57160"/>
    <cellStyle name="Total 3 3 3 2 6" xfId="57161"/>
    <cellStyle name="Total 3 3 3 2 7" xfId="57162"/>
    <cellStyle name="Total 3 3 3 2 8" xfId="57163"/>
    <cellStyle name="Total 3 3 3 2 9" xfId="57164"/>
    <cellStyle name="Total 3 3 3 3" xfId="57165"/>
    <cellStyle name="Total 3 3 3 4" xfId="57166"/>
    <cellStyle name="Total 3 3 3 5" xfId="57167"/>
    <cellStyle name="Total 3 3 3 6" xfId="57168"/>
    <cellStyle name="Total 3 3 3 7" xfId="57169"/>
    <cellStyle name="Total 3 3 3 8" xfId="57170"/>
    <cellStyle name="Total 3 3 3 9" xfId="57171"/>
    <cellStyle name="Total 3 3 4" xfId="57172"/>
    <cellStyle name="Total 3 3 4 10" xfId="57173"/>
    <cellStyle name="Total 3 3 4 11" xfId="57174"/>
    <cellStyle name="Total 3 3 4 2" xfId="57175"/>
    <cellStyle name="Total 3 3 4 3" xfId="57176"/>
    <cellStyle name="Total 3 3 4 4" xfId="57177"/>
    <cellStyle name="Total 3 3 4 5" xfId="57178"/>
    <cellStyle name="Total 3 3 4 6" xfId="57179"/>
    <cellStyle name="Total 3 3 4 7" xfId="57180"/>
    <cellStyle name="Total 3 3 4 8" xfId="57181"/>
    <cellStyle name="Total 3 3 4 9" xfId="57182"/>
    <cellStyle name="Total 3 3 5" xfId="57183"/>
    <cellStyle name="Total 3 3 6" xfId="57184"/>
    <cellStyle name="Total 3 3 7" xfId="57185"/>
    <cellStyle name="Total 3 3 8" xfId="57186"/>
    <cellStyle name="Total 3 3 9" xfId="57187"/>
    <cellStyle name="Total 3 4" xfId="57188"/>
    <cellStyle name="Total 3 4 10" xfId="57189"/>
    <cellStyle name="Total 3 4 11" xfId="57190"/>
    <cellStyle name="Total 3 4 12" xfId="57191"/>
    <cellStyle name="Total 3 4 13" xfId="57192"/>
    <cellStyle name="Total 3 4 2" xfId="57193"/>
    <cellStyle name="Total 3 4 2 10" xfId="57194"/>
    <cellStyle name="Total 3 4 2 11" xfId="57195"/>
    <cellStyle name="Total 3 4 2 12" xfId="57196"/>
    <cellStyle name="Total 3 4 2 2" xfId="57197"/>
    <cellStyle name="Total 3 4 2 2 10" xfId="57198"/>
    <cellStyle name="Total 3 4 2 2 11" xfId="57199"/>
    <cellStyle name="Total 3 4 2 2 2" xfId="57200"/>
    <cellStyle name="Total 3 4 2 2 2 10" xfId="57201"/>
    <cellStyle name="Total 3 4 2 2 2 11" xfId="57202"/>
    <cellStyle name="Total 3 4 2 2 2 2" xfId="57203"/>
    <cellStyle name="Total 3 4 2 2 2 3" xfId="57204"/>
    <cellStyle name="Total 3 4 2 2 2 4" xfId="57205"/>
    <cellStyle name="Total 3 4 2 2 2 5" xfId="57206"/>
    <cellStyle name="Total 3 4 2 2 2 6" xfId="57207"/>
    <cellStyle name="Total 3 4 2 2 2 7" xfId="57208"/>
    <cellStyle name="Total 3 4 2 2 2 8" xfId="57209"/>
    <cellStyle name="Total 3 4 2 2 2 9" xfId="57210"/>
    <cellStyle name="Total 3 4 2 2 3" xfId="57211"/>
    <cellStyle name="Total 3 4 2 2 4" xfId="57212"/>
    <cellStyle name="Total 3 4 2 2 5" xfId="57213"/>
    <cellStyle name="Total 3 4 2 2 6" xfId="57214"/>
    <cellStyle name="Total 3 4 2 2 7" xfId="57215"/>
    <cellStyle name="Total 3 4 2 2 8" xfId="57216"/>
    <cellStyle name="Total 3 4 2 2 9" xfId="57217"/>
    <cellStyle name="Total 3 4 2 3" xfId="57218"/>
    <cellStyle name="Total 3 4 2 3 10" xfId="57219"/>
    <cellStyle name="Total 3 4 2 3 11" xfId="57220"/>
    <cellStyle name="Total 3 4 2 3 2" xfId="57221"/>
    <cellStyle name="Total 3 4 2 3 3" xfId="57222"/>
    <cellStyle name="Total 3 4 2 3 4" xfId="57223"/>
    <cellStyle name="Total 3 4 2 3 5" xfId="57224"/>
    <cellStyle name="Total 3 4 2 3 6" xfId="57225"/>
    <cellStyle name="Total 3 4 2 3 7" xfId="57226"/>
    <cellStyle name="Total 3 4 2 3 8" xfId="57227"/>
    <cellStyle name="Total 3 4 2 3 9" xfId="57228"/>
    <cellStyle name="Total 3 4 2 4" xfId="57229"/>
    <cellStyle name="Total 3 4 2 5" xfId="57230"/>
    <cellStyle name="Total 3 4 2 6" xfId="57231"/>
    <cellStyle name="Total 3 4 2 7" xfId="57232"/>
    <cellStyle name="Total 3 4 2 8" xfId="57233"/>
    <cellStyle name="Total 3 4 2 9" xfId="57234"/>
    <cellStyle name="Total 3 4 3" xfId="57235"/>
    <cellStyle name="Total 3 4 3 10" xfId="57236"/>
    <cellStyle name="Total 3 4 3 11" xfId="57237"/>
    <cellStyle name="Total 3 4 3 2" xfId="57238"/>
    <cellStyle name="Total 3 4 3 2 10" xfId="57239"/>
    <cellStyle name="Total 3 4 3 2 11" xfId="57240"/>
    <cellStyle name="Total 3 4 3 2 2" xfId="57241"/>
    <cellStyle name="Total 3 4 3 2 3" xfId="57242"/>
    <cellStyle name="Total 3 4 3 2 4" xfId="57243"/>
    <cellStyle name="Total 3 4 3 2 5" xfId="57244"/>
    <cellStyle name="Total 3 4 3 2 6" xfId="57245"/>
    <cellStyle name="Total 3 4 3 2 7" xfId="57246"/>
    <cellStyle name="Total 3 4 3 2 8" xfId="57247"/>
    <cellStyle name="Total 3 4 3 2 9" xfId="57248"/>
    <cellStyle name="Total 3 4 3 3" xfId="57249"/>
    <cellStyle name="Total 3 4 3 4" xfId="57250"/>
    <cellStyle name="Total 3 4 3 5" xfId="57251"/>
    <cellStyle name="Total 3 4 3 6" xfId="57252"/>
    <cellStyle name="Total 3 4 3 7" xfId="57253"/>
    <cellStyle name="Total 3 4 3 8" xfId="57254"/>
    <cellStyle name="Total 3 4 3 9" xfId="57255"/>
    <cellStyle name="Total 3 4 4" xfId="57256"/>
    <cellStyle name="Total 3 4 4 10" xfId="57257"/>
    <cellStyle name="Total 3 4 4 11" xfId="57258"/>
    <cellStyle name="Total 3 4 4 2" xfId="57259"/>
    <cellStyle name="Total 3 4 4 3" xfId="57260"/>
    <cellStyle name="Total 3 4 4 4" xfId="57261"/>
    <cellStyle name="Total 3 4 4 5" xfId="57262"/>
    <cellStyle name="Total 3 4 4 6" xfId="57263"/>
    <cellStyle name="Total 3 4 4 7" xfId="57264"/>
    <cellStyle name="Total 3 4 4 8" xfId="57265"/>
    <cellStyle name="Total 3 4 4 9" xfId="57266"/>
    <cellStyle name="Total 3 4 5" xfId="57267"/>
    <cellStyle name="Total 3 4 6" xfId="57268"/>
    <cellStyle name="Total 3 4 7" xfId="57269"/>
    <cellStyle name="Total 3 4 8" xfId="57270"/>
    <cellStyle name="Total 3 4 9" xfId="57271"/>
    <cellStyle name="Total 3 5" xfId="57272"/>
    <cellStyle name="Total 3 5 10" xfId="57273"/>
    <cellStyle name="Total 3 5 11" xfId="57274"/>
    <cellStyle name="Total 3 5 12" xfId="57275"/>
    <cellStyle name="Total 3 5 13" xfId="57276"/>
    <cellStyle name="Total 3 5 2" xfId="57277"/>
    <cellStyle name="Total 3 5 2 10" xfId="57278"/>
    <cellStyle name="Total 3 5 2 11" xfId="57279"/>
    <cellStyle name="Total 3 5 2 12" xfId="57280"/>
    <cellStyle name="Total 3 5 2 2" xfId="57281"/>
    <cellStyle name="Total 3 5 2 2 10" xfId="57282"/>
    <cellStyle name="Total 3 5 2 2 11" xfId="57283"/>
    <cellStyle name="Total 3 5 2 2 2" xfId="57284"/>
    <cellStyle name="Total 3 5 2 2 2 10" xfId="57285"/>
    <cellStyle name="Total 3 5 2 2 2 11" xfId="57286"/>
    <cellStyle name="Total 3 5 2 2 2 2" xfId="57287"/>
    <cellStyle name="Total 3 5 2 2 2 3" xfId="57288"/>
    <cellStyle name="Total 3 5 2 2 2 4" xfId="57289"/>
    <cellStyle name="Total 3 5 2 2 2 5" xfId="57290"/>
    <cellStyle name="Total 3 5 2 2 2 6" xfId="57291"/>
    <cellStyle name="Total 3 5 2 2 2 7" xfId="57292"/>
    <cellStyle name="Total 3 5 2 2 2 8" xfId="57293"/>
    <cellStyle name="Total 3 5 2 2 2 9" xfId="57294"/>
    <cellStyle name="Total 3 5 2 2 3" xfId="57295"/>
    <cellStyle name="Total 3 5 2 2 4" xfId="57296"/>
    <cellStyle name="Total 3 5 2 2 5" xfId="57297"/>
    <cellStyle name="Total 3 5 2 2 6" xfId="57298"/>
    <cellStyle name="Total 3 5 2 2 7" xfId="57299"/>
    <cellStyle name="Total 3 5 2 2 8" xfId="57300"/>
    <cellStyle name="Total 3 5 2 2 9" xfId="57301"/>
    <cellStyle name="Total 3 5 2 3" xfId="57302"/>
    <cellStyle name="Total 3 5 2 3 10" xfId="57303"/>
    <cellStyle name="Total 3 5 2 3 11" xfId="57304"/>
    <cellStyle name="Total 3 5 2 3 2" xfId="57305"/>
    <cellStyle name="Total 3 5 2 3 3" xfId="57306"/>
    <cellStyle name="Total 3 5 2 3 4" xfId="57307"/>
    <cellStyle name="Total 3 5 2 3 5" xfId="57308"/>
    <cellStyle name="Total 3 5 2 3 6" xfId="57309"/>
    <cellStyle name="Total 3 5 2 3 7" xfId="57310"/>
    <cellStyle name="Total 3 5 2 3 8" xfId="57311"/>
    <cellStyle name="Total 3 5 2 3 9" xfId="57312"/>
    <cellStyle name="Total 3 5 2 4" xfId="57313"/>
    <cellStyle name="Total 3 5 2 5" xfId="57314"/>
    <cellStyle name="Total 3 5 2 6" xfId="57315"/>
    <cellStyle name="Total 3 5 2 7" xfId="57316"/>
    <cellStyle name="Total 3 5 2 8" xfId="57317"/>
    <cellStyle name="Total 3 5 2 9" xfId="57318"/>
    <cellStyle name="Total 3 5 3" xfId="57319"/>
    <cellStyle name="Total 3 5 3 10" xfId="57320"/>
    <cellStyle name="Total 3 5 3 11" xfId="57321"/>
    <cellStyle name="Total 3 5 3 2" xfId="57322"/>
    <cellStyle name="Total 3 5 3 2 10" xfId="57323"/>
    <cellStyle name="Total 3 5 3 2 11" xfId="57324"/>
    <cellStyle name="Total 3 5 3 2 2" xfId="57325"/>
    <cellStyle name="Total 3 5 3 2 3" xfId="57326"/>
    <cellStyle name="Total 3 5 3 2 4" xfId="57327"/>
    <cellStyle name="Total 3 5 3 2 5" xfId="57328"/>
    <cellStyle name="Total 3 5 3 2 6" xfId="57329"/>
    <cellStyle name="Total 3 5 3 2 7" xfId="57330"/>
    <cellStyle name="Total 3 5 3 2 8" xfId="57331"/>
    <cellStyle name="Total 3 5 3 2 9" xfId="57332"/>
    <cellStyle name="Total 3 5 3 3" xfId="57333"/>
    <cellStyle name="Total 3 5 3 4" xfId="57334"/>
    <cellStyle name="Total 3 5 3 5" xfId="57335"/>
    <cellStyle name="Total 3 5 3 6" xfId="57336"/>
    <cellStyle name="Total 3 5 3 7" xfId="57337"/>
    <cellStyle name="Total 3 5 3 8" xfId="57338"/>
    <cellStyle name="Total 3 5 3 9" xfId="57339"/>
    <cellStyle name="Total 3 5 4" xfId="57340"/>
    <cellStyle name="Total 3 5 4 10" xfId="57341"/>
    <cellStyle name="Total 3 5 4 11" xfId="57342"/>
    <cellStyle name="Total 3 5 4 2" xfId="57343"/>
    <cellStyle name="Total 3 5 4 3" xfId="57344"/>
    <cellStyle name="Total 3 5 4 4" xfId="57345"/>
    <cellStyle name="Total 3 5 4 5" xfId="57346"/>
    <cellStyle name="Total 3 5 4 6" xfId="57347"/>
    <cellStyle name="Total 3 5 4 7" xfId="57348"/>
    <cellStyle name="Total 3 5 4 8" xfId="57349"/>
    <cellStyle name="Total 3 5 4 9" xfId="57350"/>
    <cellStyle name="Total 3 5 5" xfId="57351"/>
    <cellStyle name="Total 3 5 6" xfId="57352"/>
    <cellStyle name="Total 3 5 7" xfId="57353"/>
    <cellStyle name="Total 3 5 8" xfId="57354"/>
    <cellStyle name="Total 3 5 9" xfId="57355"/>
    <cellStyle name="Total 3 6" xfId="57356"/>
    <cellStyle name="Total 3 6 10" xfId="57357"/>
    <cellStyle name="Total 3 6 11" xfId="57358"/>
    <cellStyle name="Total 3 6 12" xfId="57359"/>
    <cellStyle name="Total 3 6 13" xfId="57360"/>
    <cellStyle name="Total 3 6 2" xfId="57361"/>
    <cellStyle name="Total 3 6 2 10" xfId="57362"/>
    <cellStyle name="Total 3 6 2 11" xfId="57363"/>
    <cellStyle name="Total 3 6 2 12" xfId="57364"/>
    <cellStyle name="Total 3 6 2 2" xfId="57365"/>
    <cellStyle name="Total 3 6 2 2 10" xfId="57366"/>
    <cellStyle name="Total 3 6 2 2 11" xfId="57367"/>
    <cellStyle name="Total 3 6 2 2 2" xfId="57368"/>
    <cellStyle name="Total 3 6 2 2 2 10" xfId="57369"/>
    <cellStyle name="Total 3 6 2 2 2 11" xfId="57370"/>
    <cellStyle name="Total 3 6 2 2 2 2" xfId="57371"/>
    <cellStyle name="Total 3 6 2 2 2 3" xfId="57372"/>
    <cellStyle name="Total 3 6 2 2 2 4" xfId="57373"/>
    <cellStyle name="Total 3 6 2 2 2 5" xfId="57374"/>
    <cellStyle name="Total 3 6 2 2 2 6" xfId="57375"/>
    <cellStyle name="Total 3 6 2 2 2 7" xfId="57376"/>
    <cellStyle name="Total 3 6 2 2 2 8" xfId="57377"/>
    <cellStyle name="Total 3 6 2 2 2 9" xfId="57378"/>
    <cellStyle name="Total 3 6 2 2 3" xfId="57379"/>
    <cellStyle name="Total 3 6 2 2 4" xfId="57380"/>
    <cellStyle name="Total 3 6 2 2 5" xfId="57381"/>
    <cellStyle name="Total 3 6 2 2 6" xfId="57382"/>
    <cellStyle name="Total 3 6 2 2 7" xfId="57383"/>
    <cellStyle name="Total 3 6 2 2 8" xfId="57384"/>
    <cellStyle name="Total 3 6 2 2 9" xfId="57385"/>
    <cellStyle name="Total 3 6 2 3" xfId="57386"/>
    <cellStyle name="Total 3 6 2 3 10" xfId="57387"/>
    <cellStyle name="Total 3 6 2 3 11" xfId="57388"/>
    <cellStyle name="Total 3 6 2 3 2" xfId="57389"/>
    <cellStyle name="Total 3 6 2 3 3" xfId="57390"/>
    <cellStyle name="Total 3 6 2 3 4" xfId="57391"/>
    <cellStyle name="Total 3 6 2 3 5" xfId="57392"/>
    <cellStyle name="Total 3 6 2 3 6" xfId="57393"/>
    <cellStyle name="Total 3 6 2 3 7" xfId="57394"/>
    <cellStyle name="Total 3 6 2 3 8" xfId="57395"/>
    <cellStyle name="Total 3 6 2 3 9" xfId="57396"/>
    <cellStyle name="Total 3 6 2 4" xfId="57397"/>
    <cellStyle name="Total 3 6 2 5" xfId="57398"/>
    <cellStyle name="Total 3 6 2 6" xfId="57399"/>
    <cellStyle name="Total 3 6 2 7" xfId="57400"/>
    <cellStyle name="Total 3 6 2 8" xfId="57401"/>
    <cellStyle name="Total 3 6 2 9" xfId="57402"/>
    <cellStyle name="Total 3 6 3" xfId="57403"/>
    <cellStyle name="Total 3 6 3 10" xfId="57404"/>
    <cellStyle name="Total 3 6 3 11" xfId="57405"/>
    <cellStyle name="Total 3 6 3 2" xfId="57406"/>
    <cellStyle name="Total 3 6 3 2 10" xfId="57407"/>
    <cellStyle name="Total 3 6 3 2 11" xfId="57408"/>
    <cellStyle name="Total 3 6 3 2 2" xfId="57409"/>
    <cellStyle name="Total 3 6 3 2 3" xfId="57410"/>
    <cellStyle name="Total 3 6 3 2 4" xfId="57411"/>
    <cellStyle name="Total 3 6 3 2 5" xfId="57412"/>
    <cellStyle name="Total 3 6 3 2 6" xfId="57413"/>
    <cellStyle name="Total 3 6 3 2 7" xfId="57414"/>
    <cellStyle name="Total 3 6 3 2 8" xfId="57415"/>
    <cellStyle name="Total 3 6 3 2 9" xfId="57416"/>
    <cellStyle name="Total 3 6 3 3" xfId="57417"/>
    <cellStyle name="Total 3 6 3 4" xfId="57418"/>
    <cellStyle name="Total 3 6 3 5" xfId="57419"/>
    <cellStyle name="Total 3 6 3 6" xfId="57420"/>
    <cellStyle name="Total 3 6 3 7" xfId="57421"/>
    <cellStyle name="Total 3 6 3 8" xfId="57422"/>
    <cellStyle name="Total 3 6 3 9" xfId="57423"/>
    <cellStyle name="Total 3 6 4" xfId="57424"/>
    <cellStyle name="Total 3 6 4 10" xfId="57425"/>
    <cellStyle name="Total 3 6 4 11" xfId="57426"/>
    <cellStyle name="Total 3 6 4 2" xfId="57427"/>
    <cellStyle name="Total 3 6 4 3" xfId="57428"/>
    <cellStyle name="Total 3 6 4 4" xfId="57429"/>
    <cellStyle name="Total 3 6 4 5" xfId="57430"/>
    <cellStyle name="Total 3 6 4 6" xfId="57431"/>
    <cellStyle name="Total 3 6 4 7" xfId="57432"/>
    <cellStyle name="Total 3 6 4 8" xfId="57433"/>
    <cellStyle name="Total 3 6 4 9" xfId="57434"/>
    <cellStyle name="Total 3 6 5" xfId="57435"/>
    <cellStyle name="Total 3 6 6" xfId="57436"/>
    <cellStyle name="Total 3 6 7" xfId="57437"/>
    <cellStyle name="Total 3 6 8" xfId="57438"/>
    <cellStyle name="Total 3 6 9" xfId="57439"/>
    <cellStyle name="Total 3 7" xfId="57440"/>
    <cellStyle name="Total 3 7 10" xfId="57441"/>
    <cellStyle name="Total 3 7 11" xfId="57442"/>
    <cellStyle name="Total 3 7 12" xfId="57443"/>
    <cellStyle name="Total 3 7 13" xfId="57444"/>
    <cellStyle name="Total 3 7 2" xfId="57445"/>
    <cellStyle name="Total 3 7 2 10" xfId="57446"/>
    <cellStyle name="Total 3 7 2 11" xfId="57447"/>
    <cellStyle name="Total 3 7 2 12" xfId="57448"/>
    <cellStyle name="Total 3 7 2 2" xfId="57449"/>
    <cellStyle name="Total 3 7 2 2 10" xfId="57450"/>
    <cellStyle name="Total 3 7 2 2 11" xfId="57451"/>
    <cellStyle name="Total 3 7 2 2 2" xfId="57452"/>
    <cellStyle name="Total 3 7 2 2 2 10" xfId="57453"/>
    <cellStyle name="Total 3 7 2 2 2 11" xfId="57454"/>
    <cellStyle name="Total 3 7 2 2 2 2" xfId="57455"/>
    <cellStyle name="Total 3 7 2 2 2 3" xfId="57456"/>
    <cellStyle name="Total 3 7 2 2 2 4" xfId="57457"/>
    <cellStyle name="Total 3 7 2 2 2 5" xfId="57458"/>
    <cellStyle name="Total 3 7 2 2 2 6" xfId="57459"/>
    <cellStyle name="Total 3 7 2 2 2 7" xfId="57460"/>
    <cellStyle name="Total 3 7 2 2 2 8" xfId="57461"/>
    <cellStyle name="Total 3 7 2 2 2 9" xfId="57462"/>
    <cellStyle name="Total 3 7 2 2 3" xfId="57463"/>
    <cellStyle name="Total 3 7 2 2 4" xfId="57464"/>
    <cellStyle name="Total 3 7 2 2 5" xfId="57465"/>
    <cellStyle name="Total 3 7 2 2 6" xfId="57466"/>
    <cellStyle name="Total 3 7 2 2 7" xfId="57467"/>
    <cellStyle name="Total 3 7 2 2 8" xfId="57468"/>
    <cellStyle name="Total 3 7 2 2 9" xfId="57469"/>
    <cellStyle name="Total 3 7 2 3" xfId="57470"/>
    <cellStyle name="Total 3 7 2 3 10" xfId="57471"/>
    <cellStyle name="Total 3 7 2 3 11" xfId="57472"/>
    <cellStyle name="Total 3 7 2 3 2" xfId="57473"/>
    <cellStyle name="Total 3 7 2 3 3" xfId="57474"/>
    <cellStyle name="Total 3 7 2 3 4" xfId="57475"/>
    <cellStyle name="Total 3 7 2 3 5" xfId="57476"/>
    <cellStyle name="Total 3 7 2 3 6" xfId="57477"/>
    <cellStyle name="Total 3 7 2 3 7" xfId="57478"/>
    <cellStyle name="Total 3 7 2 3 8" xfId="57479"/>
    <cellStyle name="Total 3 7 2 3 9" xfId="57480"/>
    <cellStyle name="Total 3 7 2 4" xfId="57481"/>
    <cellStyle name="Total 3 7 2 5" xfId="57482"/>
    <cellStyle name="Total 3 7 2 6" xfId="57483"/>
    <cellStyle name="Total 3 7 2 7" xfId="57484"/>
    <cellStyle name="Total 3 7 2 8" xfId="57485"/>
    <cellStyle name="Total 3 7 2 9" xfId="57486"/>
    <cellStyle name="Total 3 7 3" xfId="57487"/>
    <cellStyle name="Total 3 7 3 10" xfId="57488"/>
    <cellStyle name="Total 3 7 3 11" xfId="57489"/>
    <cellStyle name="Total 3 7 3 2" xfId="57490"/>
    <cellStyle name="Total 3 7 3 2 10" xfId="57491"/>
    <cellStyle name="Total 3 7 3 2 11" xfId="57492"/>
    <cellStyle name="Total 3 7 3 2 2" xfId="57493"/>
    <cellStyle name="Total 3 7 3 2 3" xfId="57494"/>
    <cellStyle name="Total 3 7 3 2 4" xfId="57495"/>
    <cellStyle name="Total 3 7 3 2 5" xfId="57496"/>
    <cellStyle name="Total 3 7 3 2 6" xfId="57497"/>
    <cellStyle name="Total 3 7 3 2 7" xfId="57498"/>
    <cellStyle name="Total 3 7 3 2 8" xfId="57499"/>
    <cellStyle name="Total 3 7 3 2 9" xfId="57500"/>
    <cellStyle name="Total 3 7 3 3" xfId="57501"/>
    <cellStyle name="Total 3 7 3 4" xfId="57502"/>
    <cellStyle name="Total 3 7 3 5" xfId="57503"/>
    <cellStyle name="Total 3 7 3 6" xfId="57504"/>
    <cellStyle name="Total 3 7 3 7" xfId="57505"/>
    <cellStyle name="Total 3 7 3 8" xfId="57506"/>
    <cellStyle name="Total 3 7 3 9" xfId="57507"/>
    <cellStyle name="Total 3 7 4" xfId="57508"/>
    <cellStyle name="Total 3 7 4 10" xfId="57509"/>
    <cellStyle name="Total 3 7 4 11" xfId="57510"/>
    <cellStyle name="Total 3 7 4 2" xfId="57511"/>
    <cellStyle name="Total 3 7 4 3" xfId="57512"/>
    <cellStyle name="Total 3 7 4 4" xfId="57513"/>
    <cellStyle name="Total 3 7 4 5" xfId="57514"/>
    <cellStyle name="Total 3 7 4 6" xfId="57515"/>
    <cellStyle name="Total 3 7 4 7" xfId="57516"/>
    <cellStyle name="Total 3 7 4 8" xfId="57517"/>
    <cellStyle name="Total 3 7 4 9" xfId="57518"/>
    <cellStyle name="Total 3 7 5" xfId="57519"/>
    <cellStyle name="Total 3 7 6" xfId="57520"/>
    <cellStyle name="Total 3 7 7" xfId="57521"/>
    <cellStyle name="Total 3 7 8" xfId="57522"/>
    <cellStyle name="Total 3 7 9" xfId="57523"/>
    <cellStyle name="Total 3 8" xfId="57524"/>
    <cellStyle name="Total 3 8 10" xfId="57525"/>
    <cellStyle name="Total 3 8 11" xfId="57526"/>
    <cellStyle name="Total 3 8 12" xfId="57527"/>
    <cellStyle name="Total 3 8 13" xfId="57528"/>
    <cellStyle name="Total 3 8 2" xfId="57529"/>
    <cellStyle name="Total 3 8 2 10" xfId="57530"/>
    <cellStyle name="Total 3 8 2 11" xfId="57531"/>
    <cellStyle name="Total 3 8 2 12" xfId="57532"/>
    <cellStyle name="Total 3 8 2 2" xfId="57533"/>
    <cellStyle name="Total 3 8 2 2 10" xfId="57534"/>
    <cellStyle name="Total 3 8 2 2 11" xfId="57535"/>
    <cellStyle name="Total 3 8 2 2 2" xfId="57536"/>
    <cellStyle name="Total 3 8 2 2 2 10" xfId="57537"/>
    <cellStyle name="Total 3 8 2 2 2 11" xfId="57538"/>
    <cellStyle name="Total 3 8 2 2 2 2" xfId="57539"/>
    <cellStyle name="Total 3 8 2 2 2 3" xfId="57540"/>
    <cellStyle name="Total 3 8 2 2 2 4" xfId="57541"/>
    <cellStyle name="Total 3 8 2 2 2 5" xfId="57542"/>
    <cellStyle name="Total 3 8 2 2 2 6" xfId="57543"/>
    <cellStyle name="Total 3 8 2 2 2 7" xfId="57544"/>
    <cellStyle name="Total 3 8 2 2 2 8" xfId="57545"/>
    <cellStyle name="Total 3 8 2 2 2 9" xfId="57546"/>
    <cellStyle name="Total 3 8 2 2 3" xfId="57547"/>
    <cellStyle name="Total 3 8 2 2 4" xfId="57548"/>
    <cellStyle name="Total 3 8 2 2 5" xfId="57549"/>
    <cellStyle name="Total 3 8 2 2 6" xfId="57550"/>
    <cellStyle name="Total 3 8 2 2 7" xfId="57551"/>
    <cellStyle name="Total 3 8 2 2 8" xfId="57552"/>
    <cellStyle name="Total 3 8 2 2 9" xfId="57553"/>
    <cellStyle name="Total 3 8 2 3" xfId="57554"/>
    <cellStyle name="Total 3 8 2 3 10" xfId="57555"/>
    <cellStyle name="Total 3 8 2 3 11" xfId="57556"/>
    <cellStyle name="Total 3 8 2 3 2" xfId="57557"/>
    <cellStyle name="Total 3 8 2 3 3" xfId="57558"/>
    <cellStyle name="Total 3 8 2 3 4" xfId="57559"/>
    <cellStyle name="Total 3 8 2 3 5" xfId="57560"/>
    <cellStyle name="Total 3 8 2 3 6" xfId="57561"/>
    <cellStyle name="Total 3 8 2 3 7" xfId="57562"/>
    <cellStyle name="Total 3 8 2 3 8" xfId="57563"/>
    <cellStyle name="Total 3 8 2 3 9" xfId="57564"/>
    <cellStyle name="Total 3 8 2 4" xfId="57565"/>
    <cellStyle name="Total 3 8 2 5" xfId="57566"/>
    <cellStyle name="Total 3 8 2 6" xfId="57567"/>
    <cellStyle name="Total 3 8 2 7" xfId="57568"/>
    <cellStyle name="Total 3 8 2 8" xfId="57569"/>
    <cellStyle name="Total 3 8 2 9" xfId="57570"/>
    <cellStyle name="Total 3 8 3" xfId="57571"/>
    <cellStyle name="Total 3 8 3 10" xfId="57572"/>
    <cellStyle name="Total 3 8 3 11" xfId="57573"/>
    <cellStyle name="Total 3 8 3 2" xfId="57574"/>
    <cellStyle name="Total 3 8 3 2 10" xfId="57575"/>
    <cellStyle name="Total 3 8 3 2 11" xfId="57576"/>
    <cellStyle name="Total 3 8 3 2 2" xfId="57577"/>
    <cellStyle name="Total 3 8 3 2 3" xfId="57578"/>
    <cellStyle name="Total 3 8 3 2 4" xfId="57579"/>
    <cellStyle name="Total 3 8 3 2 5" xfId="57580"/>
    <cellStyle name="Total 3 8 3 2 6" xfId="57581"/>
    <cellStyle name="Total 3 8 3 2 7" xfId="57582"/>
    <cellStyle name="Total 3 8 3 2 8" xfId="57583"/>
    <cellStyle name="Total 3 8 3 2 9" xfId="57584"/>
    <cellStyle name="Total 3 8 3 3" xfId="57585"/>
    <cellStyle name="Total 3 8 3 4" xfId="57586"/>
    <cellStyle name="Total 3 8 3 5" xfId="57587"/>
    <cellStyle name="Total 3 8 3 6" xfId="57588"/>
    <cellStyle name="Total 3 8 3 7" xfId="57589"/>
    <cellStyle name="Total 3 8 3 8" xfId="57590"/>
    <cellStyle name="Total 3 8 3 9" xfId="57591"/>
    <cellStyle name="Total 3 8 4" xfId="57592"/>
    <cellStyle name="Total 3 8 4 10" xfId="57593"/>
    <cellStyle name="Total 3 8 4 11" xfId="57594"/>
    <cellStyle name="Total 3 8 4 2" xfId="57595"/>
    <cellStyle name="Total 3 8 4 3" xfId="57596"/>
    <cellStyle name="Total 3 8 4 4" xfId="57597"/>
    <cellStyle name="Total 3 8 4 5" xfId="57598"/>
    <cellStyle name="Total 3 8 4 6" xfId="57599"/>
    <cellStyle name="Total 3 8 4 7" xfId="57600"/>
    <cellStyle name="Total 3 8 4 8" xfId="57601"/>
    <cellStyle name="Total 3 8 4 9" xfId="57602"/>
    <cellStyle name="Total 3 8 5" xfId="57603"/>
    <cellStyle name="Total 3 8 6" xfId="57604"/>
    <cellStyle name="Total 3 8 7" xfId="57605"/>
    <cellStyle name="Total 3 8 8" xfId="57606"/>
    <cellStyle name="Total 3 8 9" xfId="57607"/>
    <cellStyle name="Total 3 9" xfId="57608"/>
    <cellStyle name="Total 3 9 10" xfId="57609"/>
    <cellStyle name="Total 3 9 11" xfId="57610"/>
    <cellStyle name="Total 3 9 12" xfId="57611"/>
    <cellStyle name="Total 3 9 2" xfId="57612"/>
    <cellStyle name="Total 3 9 2 10" xfId="57613"/>
    <cellStyle name="Total 3 9 2 11" xfId="57614"/>
    <cellStyle name="Total 3 9 2 2" xfId="57615"/>
    <cellStyle name="Total 3 9 2 2 10" xfId="57616"/>
    <cellStyle name="Total 3 9 2 2 11" xfId="57617"/>
    <cellStyle name="Total 3 9 2 2 2" xfId="57618"/>
    <cellStyle name="Total 3 9 2 2 3" xfId="57619"/>
    <cellStyle name="Total 3 9 2 2 4" xfId="57620"/>
    <cellStyle name="Total 3 9 2 2 5" xfId="57621"/>
    <cellStyle name="Total 3 9 2 2 6" xfId="57622"/>
    <cellStyle name="Total 3 9 2 2 7" xfId="57623"/>
    <cellStyle name="Total 3 9 2 2 8" xfId="57624"/>
    <cellStyle name="Total 3 9 2 2 9" xfId="57625"/>
    <cellStyle name="Total 3 9 2 3" xfId="57626"/>
    <cellStyle name="Total 3 9 2 4" xfId="57627"/>
    <cellStyle name="Total 3 9 2 5" xfId="57628"/>
    <cellStyle name="Total 3 9 2 6" xfId="57629"/>
    <cellStyle name="Total 3 9 2 7" xfId="57630"/>
    <cellStyle name="Total 3 9 2 8" xfId="57631"/>
    <cellStyle name="Total 3 9 2 9" xfId="57632"/>
    <cellStyle name="Total 3 9 3" xfId="57633"/>
    <cellStyle name="Total 3 9 3 10" xfId="57634"/>
    <cellStyle name="Total 3 9 3 11" xfId="57635"/>
    <cellStyle name="Total 3 9 3 2" xfId="57636"/>
    <cellStyle name="Total 3 9 3 3" xfId="57637"/>
    <cellStyle name="Total 3 9 3 4" xfId="57638"/>
    <cellStyle name="Total 3 9 3 5" xfId="57639"/>
    <cellStyle name="Total 3 9 3 6" xfId="57640"/>
    <cellStyle name="Total 3 9 3 7" xfId="57641"/>
    <cellStyle name="Total 3 9 3 8" xfId="57642"/>
    <cellStyle name="Total 3 9 3 9" xfId="57643"/>
    <cellStyle name="Total 3 9 4" xfId="57644"/>
    <cellStyle name="Total 3 9 5" xfId="57645"/>
    <cellStyle name="Total 3 9 6" xfId="57646"/>
    <cellStyle name="Total 3 9 7" xfId="57647"/>
    <cellStyle name="Total 3 9 8" xfId="57648"/>
    <cellStyle name="Total 3 9 9" xfId="57649"/>
    <cellStyle name="Total 4" xfId="57650"/>
    <cellStyle name="Total 4 10" xfId="57651"/>
    <cellStyle name="Total 4 10 10" xfId="57652"/>
    <cellStyle name="Total 4 10 11" xfId="57653"/>
    <cellStyle name="Total 4 10 2" xfId="57654"/>
    <cellStyle name="Total 4 10 3" xfId="57655"/>
    <cellStyle name="Total 4 10 4" xfId="57656"/>
    <cellStyle name="Total 4 10 5" xfId="57657"/>
    <cellStyle name="Total 4 10 6" xfId="57658"/>
    <cellStyle name="Total 4 10 7" xfId="57659"/>
    <cellStyle name="Total 4 10 8" xfId="57660"/>
    <cellStyle name="Total 4 10 9" xfId="57661"/>
    <cellStyle name="Total 4 11" xfId="57662"/>
    <cellStyle name="Total 4 12" xfId="57663"/>
    <cellStyle name="Total 4 2" xfId="57664"/>
    <cellStyle name="Total 4 2 10" xfId="57665"/>
    <cellStyle name="Total 4 2 11" xfId="57666"/>
    <cellStyle name="Total 4 2 12" xfId="57667"/>
    <cellStyle name="Total 4 2 13" xfId="57668"/>
    <cellStyle name="Total 4 2 2" xfId="57669"/>
    <cellStyle name="Total 4 2 2 10" xfId="57670"/>
    <cellStyle name="Total 4 2 2 11" xfId="57671"/>
    <cellStyle name="Total 4 2 2 12" xfId="57672"/>
    <cellStyle name="Total 4 2 2 2" xfId="57673"/>
    <cellStyle name="Total 4 2 2 2 10" xfId="57674"/>
    <cellStyle name="Total 4 2 2 2 11" xfId="57675"/>
    <cellStyle name="Total 4 2 2 2 2" xfId="57676"/>
    <cellStyle name="Total 4 2 2 2 2 10" xfId="57677"/>
    <cellStyle name="Total 4 2 2 2 2 11" xfId="57678"/>
    <cellStyle name="Total 4 2 2 2 2 2" xfId="57679"/>
    <cellStyle name="Total 4 2 2 2 2 3" xfId="57680"/>
    <cellStyle name="Total 4 2 2 2 2 4" xfId="57681"/>
    <cellStyle name="Total 4 2 2 2 2 5" xfId="57682"/>
    <cellStyle name="Total 4 2 2 2 2 6" xfId="57683"/>
    <cellStyle name="Total 4 2 2 2 2 7" xfId="57684"/>
    <cellStyle name="Total 4 2 2 2 2 8" xfId="57685"/>
    <cellStyle name="Total 4 2 2 2 2 9" xfId="57686"/>
    <cellStyle name="Total 4 2 2 2 3" xfId="57687"/>
    <cellStyle name="Total 4 2 2 2 4" xfId="57688"/>
    <cellStyle name="Total 4 2 2 2 5" xfId="57689"/>
    <cellStyle name="Total 4 2 2 2 6" xfId="57690"/>
    <cellStyle name="Total 4 2 2 2 7" xfId="57691"/>
    <cellStyle name="Total 4 2 2 2 8" xfId="57692"/>
    <cellStyle name="Total 4 2 2 2 9" xfId="57693"/>
    <cellStyle name="Total 4 2 2 3" xfId="57694"/>
    <cellStyle name="Total 4 2 2 3 10" xfId="57695"/>
    <cellStyle name="Total 4 2 2 3 11" xfId="57696"/>
    <cellStyle name="Total 4 2 2 3 2" xfId="57697"/>
    <cellStyle name="Total 4 2 2 3 3" xfId="57698"/>
    <cellStyle name="Total 4 2 2 3 4" xfId="57699"/>
    <cellStyle name="Total 4 2 2 3 5" xfId="57700"/>
    <cellStyle name="Total 4 2 2 3 6" xfId="57701"/>
    <cellStyle name="Total 4 2 2 3 7" xfId="57702"/>
    <cellStyle name="Total 4 2 2 3 8" xfId="57703"/>
    <cellStyle name="Total 4 2 2 3 9" xfId="57704"/>
    <cellStyle name="Total 4 2 2 4" xfId="57705"/>
    <cellStyle name="Total 4 2 2 5" xfId="57706"/>
    <cellStyle name="Total 4 2 2 6" xfId="57707"/>
    <cellStyle name="Total 4 2 2 7" xfId="57708"/>
    <cellStyle name="Total 4 2 2 8" xfId="57709"/>
    <cellStyle name="Total 4 2 2 9" xfId="57710"/>
    <cellStyle name="Total 4 2 3" xfId="57711"/>
    <cellStyle name="Total 4 2 3 10" xfId="57712"/>
    <cellStyle name="Total 4 2 3 11" xfId="57713"/>
    <cellStyle name="Total 4 2 3 2" xfId="57714"/>
    <cellStyle name="Total 4 2 3 2 10" xfId="57715"/>
    <cellStyle name="Total 4 2 3 2 11" xfId="57716"/>
    <cellStyle name="Total 4 2 3 2 2" xfId="57717"/>
    <cellStyle name="Total 4 2 3 2 3" xfId="57718"/>
    <cellStyle name="Total 4 2 3 2 4" xfId="57719"/>
    <cellStyle name="Total 4 2 3 2 5" xfId="57720"/>
    <cellStyle name="Total 4 2 3 2 6" xfId="57721"/>
    <cellStyle name="Total 4 2 3 2 7" xfId="57722"/>
    <cellStyle name="Total 4 2 3 2 8" xfId="57723"/>
    <cellStyle name="Total 4 2 3 2 9" xfId="57724"/>
    <cellStyle name="Total 4 2 3 3" xfId="57725"/>
    <cellStyle name="Total 4 2 3 4" xfId="57726"/>
    <cellStyle name="Total 4 2 3 5" xfId="57727"/>
    <cellStyle name="Total 4 2 3 6" xfId="57728"/>
    <cellStyle name="Total 4 2 3 7" xfId="57729"/>
    <cellStyle name="Total 4 2 3 8" xfId="57730"/>
    <cellStyle name="Total 4 2 3 9" xfId="57731"/>
    <cellStyle name="Total 4 2 4" xfId="57732"/>
    <cellStyle name="Total 4 2 4 10" xfId="57733"/>
    <cellStyle name="Total 4 2 4 11" xfId="57734"/>
    <cellStyle name="Total 4 2 4 2" xfId="57735"/>
    <cellStyle name="Total 4 2 4 3" xfId="57736"/>
    <cellStyle name="Total 4 2 4 4" xfId="57737"/>
    <cellStyle name="Total 4 2 4 5" xfId="57738"/>
    <cellStyle name="Total 4 2 4 6" xfId="57739"/>
    <cellStyle name="Total 4 2 4 7" xfId="57740"/>
    <cellStyle name="Total 4 2 4 8" xfId="57741"/>
    <cellStyle name="Total 4 2 4 9" xfId="57742"/>
    <cellStyle name="Total 4 2 5" xfId="57743"/>
    <cellStyle name="Total 4 2 6" xfId="57744"/>
    <cellStyle name="Total 4 2 7" xfId="57745"/>
    <cellStyle name="Total 4 2 8" xfId="57746"/>
    <cellStyle name="Total 4 2 9" xfId="57747"/>
    <cellStyle name="Total 4 3" xfId="57748"/>
    <cellStyle name="Total 4 3 10" xfId="57749"/>
    <cellStyle name="Total 4 3 11" xfId="57750"/>
    <cellStyle name="Total 4 3 12" xfId="57751"/>
    <cellStyle name="Total 4 3 13" xfId="57752"/>
    <cellStyle name="Total 4 3 2" xfId="57753"/>
    <cellStyle name="Total 4 3 2 10" xfId="57754"/>
    <cellStyle name="Total 4 3 2 11" xfId="57755"/>
    <cellStyle name="Total 4 3 2 12" xfId="57756"/>
    <cellStyle name="Total 4 3 2 2" xfId="57757"/>
    <cellStyle name="Total 4 3 2 2 10" xfId="57758"/>
    <cellStyle name="Total 4 3 2 2 11" xfId="57759"/>
    <cellStyle name="Total 4 3 2 2 2" xfId="57760"/>
    <cellStyle name="Total 4 3 2 2 2 10" xfId="57761"/>
    <cellStyle name="Total 4 3 2 2 2 11" xfId="57762"/>
    <cellStyle name="Total 4 3 2 2 2 2" xfId="57763"/>
    <cellStyle name="Total 4 3 2 2 2 3" xfId="57764"/>
    <cellStyle name="Total 4 3 2 2 2 4" xfId="57765"/>
    <cellStyle name="Total 4 3 2 2 2 5" xfId="57766"/>
    <cellStyle name="Total 4 3 2 2 2 6" xfId="57767"/>
    <cellStyle name="Total 4 3 2 2 2 7" xfId="57768"/>
    <cellStyle name="Total 4 3 2 2 2 8" xfId="57769"/>
    <cellStyle name="Total 4 3 2 2 2 9" xfId="57770"/>
    <cellStyle name="Total 4 3 2 2 3" xfId="57771"/>
    <cellStyle name="Total 4 3 2 2 4" xfId="57772"/>
    <cellStyle name="Total 4 3 2 2 5" xfId="57773"/>
    <cellStyle name="Total 4 3 2 2 6" xfId="57774"/>
    <cellStyle name="Total 4 3 2 2 7" xfId="57775"/>
    <cellStyle name="Total 4 3 2 2 8" xfId="57776"/>
    <cellStyle name="Total 4 3 2 2 9" xfId="57777"/>
    <cellStyle name="Total 4 3 2 3" xfId="57778"/>
    <cellStyle name="Total 4 3 2 3 10" xfId="57779"/>
    <cellStyle name="Total 4 3 2 3 11" xfId="57780"/>
    <cellStyle name="Total 4 3 2 3 2" xfId="57781"/>
    <cellStyle name="Total 4 3 2 3 3" xfId="57782"/>
    <cellStyle name="Total 4 3 2 3 4" xfId="57783"/>
    <cellStyle name="Total 4 3 2 3 5" xfId="57784"/>
    <cellStyle name="Total 4 3 2 3 6" xfId="57785"/>
    <cellStyle name="Total 4 3 2 3 7" xfId="57786"/>
    <cellStyle name="Total 4 3 2 3 8" xfId="57787"/>
    <cellStyle name="Total 4 3 2 3 9" xfId="57788"/>
    <cellStyle name="Total 4 3 2 4" xfId="57789"/>
    <cellStyle name="Total 4 3 2 5" xfId="57790"/>
    <cellStyle name="Total 4 3 2 6" xfId="57791"/>
    <cellStyle name="Total 4 3 2 7" xfId="57792"/>
    <cellStyle name="Total 4 3 2 8" xfId="57793"/>
    <cellStyle name="Total 4 3 2 9" xfId="57794"/>
    <cellStyle name="Total 4 3 3" xfId="57795"/>
    <cellStyle name="Total 4 3 3 10" xfId="57796"/>
    <cellStyle name="Total 4 3 3 11" xfId="57797"/>
    <cellStyle name="Total 4 3 3 2" xfId="57798"/>
    <cellStyle name="Total 4 3 3 2 10" xfId="57799"/>
    <cellStyle name="Total 4 3 3 2 11" xfId="57800"/>
    <cellStyle name="Total 4 3 3 2 2" xfId="57801"/>
    <cellStyle name="Total 4 3 3 2 3" xfId="57802"/>
    <cellStyle name="Total 4 3 3 2 4" xfId="57803"/>
    <cellStyle name="Total 4 3 3 2 5" xfId="57804"/>
    <cellStyle name="Total 4 3 3 2 6" xfId="57805"/>
    <cellStyle name="Total 4 3 3 2 7" xfId="57806"/>
    <cellStyle name="Total 4 3 3 2 8" xfId="57807"/>
    <cellStyle name="Total 4 3 3 2 9" xfId="57808"/>
    <cellStyle name="Total 4 3 3 3" xfId="57809"/>
    <cellStyle name="Total 4 3 3 4" xfId="57810"/>
    <cellStyle name="Total 4 3 3 5" xfId="57811"/>
    <cellStyle name="Total 4 3 3 6" xfId="57812"/>
    <cellStyle name="Total 4 3 3 7" xfId="57813"/>
    <cellStyle name="Total 4 3 3 8" xfId="57814"/>
    <cellStyle name="Total 4 3 3 9" xfId="57815"/>
    <cellStyle name="Total 4 3 4" xfId="57816"/>
    <cellStyle name="Total 4 3 4 10" xfId="57817"/>
    <cellStyle name="Total 4 3 4 11" xfId="57818"/>
    <cellStyle name="Total 4 3 4 2" xfId="57819"/>
    <cellStyle name="Total 4 3 4 3" xfId="57820"/>
    <cellStyle name="Total 4 3 4 4" xfId="57821"/>
    <cellStyle name="Total 4 3 4 5" xfId="57822"/>
    <cellStyle name="Total 4 3 4 6" xfId="57823"/>
    <cellStyle name="Total 4 3 4 7" xfId="57824"/>
    <cellStyle name="Total 4 3 4 8" xfId="57825"/>
    <cellStyle name="Total 4 3 4 9" xfId="57826"/>
    <cellStyle name="Total 4 3 5" xfId="57827"/>
    <cellStyle name="Total 4 3 6" xfId="57828"/>
    <cellStyle name="Total 4 3 7" xfId="57829"/>
    <cellStyle name="Total 4 3 8" xfId="57830"/>
    <cellStyle name="Total 4 3 9" xfId="57831"/>
    <cellStyle name="Total 4 4" xfId="57832"/>
    <cellStyle name="Total 4 4 10" xfId="57833"/>
    <cellStyle name="Total 4 4 11" xfId="57834"/>
    <cellStyle name="Total 4 4 12" xfId="57835"/>
    <cellStyle name="Total 4 4 13" xfId="57836"/>
    <cellStyle name="Total 4 4 2" xfId="57837"/>
    <cellStyle name="Total 4 4 2 10" xfId="57838"/>
    <cellStyle name="Total 4 4 2 11" xfId="57839"/>
    <cellStyle name="Total 4 4 2 12" xfId="57840"/>
    <cellStyle name="Total 4 4 2 2" xfId="57841"/>
    <cellStyle name="Total 4 4 2 2 10" xfId="57842"/>
    <cellStyle name="Total 4 4 2 2 11" xfId="57843"/>
    <cellStyle name="Total 4 4 2 2 2" xfId="57844"/>
    <cellStyle name="Total 4 4 2 2 2 10" xfId="57845"/>
    <cellStyle name="Total 4 4 2 2 2 11" xfId="57846"/>
    <cellStyle name="Total 4 4 2 2 2 2" xfId="57847"/>
    <cellStyle name="Total 4 4 2 2 2 3" xfId="57848"/>
    <cellStyle name="Total 4 4 2 2 2 4" xfId="57849"/>
    <cellStyle name="Total 4 4 2 2 2 5" xfId="57850"/>
    <cellStyle name="Total 4 4 2 2 2 6" xfId="57851"/>
    <cellStyle name="Total 4 4 2 2 2 7" xfId="57852"/>
    <cellStyle name="Total 4 4 2 2 2 8" xfId="57853"/>
    <cellStyle name="Total 4 4 2 2 2 9" xfId="57854"/>
    <cellStyle name="Total 4 4 2 2 3" xfId="57855"/>
    <cellStyle name="Total 4 4 2 2 4" xfId="57856"/>
    <cellStyle name="Total 4 4 2 2 5" xfId="57857"/>
    <cellStyle name="Total 4 4 2 2 6" xfId="57858"/>
    <cellStyle name="Total 4 4 2 2 7" xfId="57859"/>
    <cellStyle name="Total 4 4 2 2 8" xfId="57860"/>
    <cellStyle name="Total 4 4 2 2 9" xfId="57861"/>
    <cellStyle name="Total 4 4 2 3" xfId="57862"/>
    <cellStyle name="Total 4 4 2 3 10" xfId="57863"/>
    <cellStyle name="Total 4 4 2 3 11" xfId="57864"/>
    <cellStyle name="Total 4 4 2 3 2" xfId="57865"/>
    <cellStyle name="Total 4 4 2 3 3" xfId="57866"/>
    <cellStyle name="Total 4 4 2 3 4" xfId="57867"/>
    <cellStyle name="Total 4 4 2 3 5" xfId="57868"/>
    <cellStyle name="Total 4 4 2 3 6" xfId="57869"/>
    <cellStyle name="Total 4 4 2 3 7" xfId="57870"/>
    <cellStyle name="Total 4 4 2 3 8" xfId="57871"/>
    <cellStyle name="Total 4 4 2 3 9" xfId="57872"/>
    <cellStyle name="Total 4 4 2 4" xfId="57873"/>
    <cellStyle name="Total 4 4 2 5" xfId="57874"/>
    <cellStyle name="Total 4 4 2 6" xfId="57875"/>
    <cellStyle name="Total 4 4 2 7" xfId="57876"/>
    <cellStyle name="Total 4 4 2 8" xfId="57877"/>
    <cellStyle name="Total 4 4 2 9" xfId="57878"/>
    <cellStyle name="Total 4 4 3" xfId="57879"/>
    <cellStyle name="Total 4 4 3 10" xfId="57880"/>
    <cellStyle name="Total 4 4 3 11" xfId="57881"/>
    <cellStyle name="Total 4 4 3 2" xfId="57882"/>
    <cellStyle name="Total 4 4 3 2 10" xfId="57883"/>
    <cellStyle name="Total 4 4 3 2 11" xfId="57884"/>
    <cellStyle name="Total 4 4 3 2 2" xfId="57885"/>
    <cellStyle name="Total 4 4 3 2 3" xfId="57886"/>
    <cellStyle name="Total 4 4 3 2 4" xfId="57887"/>
    <cellStyle name="Total 4 4 3 2 5" xfId="57888"/>
    <cellStyle name="Total 4 4 3 2 6" xfId="57889"/>
    <cellStyle name="Total 4 4 3 2 7" xfId="57890"/>
    <cellStyle name="Total 4 4 3 2 8" xfId="57891"/>
    <cellStyle name="Total 4 4 3 2 9" xfId="57892"/>
    <cellStyle name="Total 4 4 3 3" xfId="57893"/>
    <cellStyle name="Total 4 4 3 4" xfId="57894"/>
    <cellStyle name="Total 4 4 3 5" xfId="57895"/>
    <cellStyle name="Total 4 4 3 6" xfId="57896"/>
    <cellStyle name="Total 4 4 3 7" xfId="57897"/>
    <cellStyle name="Total 4 4 3 8" xfId="57898"/>
    <cellStyle name="Total 4 4 3 9" xfId="57899"/>
    <cellStyle name="Total 4 4 4" xfId="57900"/>
    <cellStyle name="Total 4 4 4 10" xfId="57901"/>
    <cellStyle name="Total 4 4 4 11" xfId="57902"/>
    <cellStyle name="Total 4 4 4 2" xfId="57903"/>
    <cellStyle name="Total 4 4 4 3" xfId="57904"/>
    <cellStyle name="Total 4 4 4 4" xfId="57905"/>
    <cellStyle name="Total 4 4 4 5" xfId="57906"/>
    <cellStyle name="Total 4 4 4 6" xfId="57907"/>
    <cellStyle name="Total 4 4 4 7" xfId="57908"/>
    <cellStyle name="Total 4 4 4 8" xfId="57909"/>
    <cellStyle name="Total 4 4 4 9" xfId="57910"/>
    <cellStyle name="Total 4 4 5" xfId="57911"/>
    <cellStyle name="Total 4 4 6" xfId="57912"/>
    <cellStyle name="Total 4 4 7" xfId="57913"/>
    <cellStyle name="Total 4 4 8" xfId="57914"/>
    <cellStyle name="Total 4 4 9" xfId="57915"/>
    <cellStyle name="Total 4 5" xfId="57916"/>
    <cellStyle name="Total 4 5 10" xfId="57917"/>
    <cellStyle name="Total 4 5 11" xfId="57918"/>
    <cellStyle name="Total 4 5 12" xfId="57919"/>
    <cellStyle name="Total 4 5 13" xfId="57920"/>
    <cellStyle name="Total 4 5 2" xfId="57921"/>
    <cellStyle name="Total 4 5 2 10" xfId="57922"/>
    <cellStyle name="Total 4 5 2 11" xfId="57923"/>
    <cellStyle name="Total 4 5 2 12" xfId="57924"/>
    <cellStyle name="Total 4 5 2 2" xfId="57925"/>
    <cellStyle name="Total 4 5 2 2 10" xfId="57926"/>
    <cellStyle name="Total 4 5 2 2 11" xfId="57927"/>
    <cellStyle name="Total 4 5 2 2 2" xfId="57928"/>
    <cellStyle name="Total 4 5 2 2 2 10" xfId="57929"/>
    <cellStyle name="Total 4 5 2 2 2 11" xfId="57930"/>
    <cellStyle name="Total 4 5 2 2 2 2" xfId="57931"/>
    <cellStyle name="Total 4 5 2 2 2 3" xfId="57932"/>
    <cellStyle name="Total 4 5 2 2 2 4" xfId="57933"/>
    <cellStyle name="Total 4 5 2 2 2 5" xfId="57934"/>
    <cellStyle name="Total 4 5 2 2 2 6" xfId="57935"/>
    <cellStyle name="Total 4 5 2 2 2 7" xfId="57936"/>
    <cellStyle name="Total 4 5 2 2 2 8" xfId="57937"/>
    <cellStyle name="Total 4 5 2 2 2 9" xfId="57938"/>
    <cellStyle name="Total 4 5 2 2 3" xfId="57939"/>
    <cellStyle name="Total 4 5 2 2 4" xfId="57940"/>
    <cellStyle name="Total 4 5 2 2 5" xfId="57941"/>
    <cellStyle name="Total 4 5 2 2 6" xfId="57942"/>
    <cellStyle name="Total 4 5 2 2 7" xfId="57943"/>
    <cellStyle name="Total 4 5 2 2 8" xfId="57944"/>
    <cellStyle name="Total 4 5 2 2 9" xfId="57945"/>
    <cellStyle name="Total 4 5 2 3" xfId="57946"/>
    <cellStyle name="Total 4 5 2 3 10" xfId="57947"/>
    <cellStyle name="Total 4 5 2 3 11" xfId="57948"/>
    <cellStyle name="Total 4 5 2 3 2" xfId="57949"/>
    <cellStyle name="Total 4 5 2 3 3" xfId="57950"/>
    <cellStyle name="Total 4 5 2 3 4" xfId="57951"/>
    <cellStyle name="Total 4 5 2 3 5" xfId="57952"/>
    <cellStyle name="Total 4 5 2 3 6" xfId="57953"/>
    <cellStyle name="Total 4 5 2 3 7" xfId="57954"/>
    <cellStyle name="Total 4 5 2 3 8" xfId="57955"/>
    <cellStyle name="Total 4 5 2 3 9" xfId="57956"/>
    <cellStyle name="Total 4 5 2 4" xfId="57957"/>
    <cellStyle name="Total 4 5 2 5" xfId="57958"/>
    <cellStyle name="Total 4 5 2 6" xfId="57959"/>
    <cellStyle name="Total 4 5 2 7" xfId="57960"/>
    <cellStyle name="Total 4 5 2 8" xfId="57961"/>
    <cellStyle name="Total 4 5 2 9" xfId="57962"/>
    <cellStyle name="Total 4 5 3" xfId="57963"/>
    <cellStyle name="Total 4 5 3 10" xfId="57964"/>
    <cellStyle name="Total 4 5 3 11" xfId="57965"/>
    <cellStyle name="Total 4 5 3 2" xfId="57966"/>
    <cellStyle name="Total 4 5 3 2 10" xfId="57967"/>
    <cellStyle name="Total 4 5 3 2 11" xfId="57968"/>
    <cellStyle name="Total 4 5 3 2 2" xfId="57969"/>
    <cellStyle name="Total 4 5 3 2 3" xfId="57970"/>
    <cellStyle name="Total 4 5 3 2 4" xfId="57971"/>
    <cellStyle name="Total 4 5 3 2 5" xfId="57972"/>
    <cellStyle name="Total 4 5 3 2 6" xfId="57973"/>
    <cellStyle name="Total 4 5 3 2 7" xfId="57974"/>
    <cellStyle name="Total 4 5 3 2 8" xfId="57975"/>
    <cellStyle name="Total 4 5 3 2 9" xfId="57976"/>
    <cellStyle name="Total 4 5 3 3" xfId="57977"/>
    <cellStyle name="Total 4 5 3 4" xfId="57978"/>
    <cellStyle name="Total 4 5 3 5" xfId="57979"/>
    <cellStyle name="Total 4 5 3 6" xfId="57980"/>
    <cellStyle name="Total 4 5 3 7" xfId="57981"/>
    <cellStyle name="Total 4 5 3 8" xfId="57982"/>
    <cellStyle name="Total 4 5 3 9" xfId="57983"/>
    <cellStyle name="Total 4 5 4" xfId="57984"/>
    <cellStyle name="Total 4 5 4 10" xfId="57985"/>
    <cellStyle name="Total 4 5 4 11" xfId="57986"/>
    <cellStyle name="Total 4 5 4 2" xfId="57987"/>
    <cellStyle name="Total 4 5 4 3" xfId="57988"/>
    <cellStyle name="Total 4 5 4 4" xfId="57989"/>
    <cellStyle name="Total 4 5 4 5" xfId="57990"/>
    <cellStyle name="Total 4 5 4 6" xfId="57991"/>
    <cellStyle name="Total 4 5 4 7" xfId="57992"/>
    <cellStyle name="Total 4 5 4 8" xfId="57993"/>
    <cellStyle name="Total 4 5 4 9" xfId="57994"/>
    <cellStyle name="Total 4 5 5" xfId="57995"/>
    <cellStyle name="Total 4 5 6" xfId="57996"/>
    <cellStyle name="Total 4 5 7" xfId="57997"/>
    <cellStyle name="Total 4 5 8" xfId="57998"/>
    <cellStyle name="Total 4 5 9" xfId="57999"/>
    <cellStyle name="Total 4 6" xfId="58000"/>
    <cellStyle name="Total 4 6 10" xfId="58001"/>
    <cellStyle name="Total 4 6 11" xfId="58002"/>
    <cellStyle name="Total 4 6 12" xfId="58003"/>
    <cellStyle name="Total 4 6 13" xfId="58004"/>
    <cellStyle name="Total 4 6 2" xfId="58005"/>
    <cellStyle name="Total 4 6 2 10" xfId="58006"/>
    <cellStyle name="Total 4 6 2 11" xfId="58007"/>
    <cellStyle name="Total 4 6 2 12" xfId="58008"/>
    <cellStyle name="Total 4 6 2 2" xfId="58009"/>
    <cellStyle name="Total 4 6 2 2 10" xfId="58010"/>
    <cellStyle name="Total 4 6 2 2 11" xfId="58011"/>
    <cellStyle name="Total 4 6 2 2 2" xfId="58012"/>
    <cellStyle name="Total 4 6 2 2 2 10" xfId="58013"/>
    <cellStyle name="Total 4 6 2 2 2 11" xfId="58014"/>
    <cellStyle name="Total 4 6 2 2 2 2" xfId="58015"/>
    <cellStyle name="Total 4 6 2 2 2 3" xfId="58016"/>
    <cellStyle name="Total 4 6 2 2 2 4" xfId="58017"/>
    <cellStyle name="Total 4 6 2 2 2 5" xfId="58018"/>
    <cellStyle name="Total 4 6 2 2 2 6" xfId="58019"/>
    <cellStyle name="Total 4 6 2 2 2 7" xfId="58020"/>
    <cellStyle name="Total 4 6 2 2 2 8" xfId="58021"/>
    <cellStyle name="Total 4 6 2 2 2 9" xfId="58022"/>
    <cellStyle name="Total 4 6 2 2 3" xfId="58023"/>
    <cellStyle name="Total 4 6 2 2 4" xfId="58024"/>
    <cellStyle name="Total 4 6 2 2 5" xfId="58025"/>
    <cellStyle name="Total 4 6 2 2 6" xfId="58026"/>
    <cellStyle name="Total 4 6 2 2 7" xfId="58027"/>
    <cellStyle name="Total 4 6 2 2 8" xfId="58028"/>
    <cellStyle name="Total 4 6 2 2 9" xfId="58029"/>
    <cellStyle name="Total 4 6 2 3" xfId="58030"/>
    <cellStyle name="Total 4 6 2 3 10" xfId="58031"/>
    <cellStyle name="Total 4 6 2 3 11" xfId="58032"/>
    <cellStyle name="Total 4 6 2 3 2" xfId="58033"/>
    <cellStyle name="Total 4 6 2 3 3" xfId="58034"/>
    <cellStyle name="Total 4 6 2 3 4" xfId="58035"/>
    <cellStyle name="Total 4 6 2 3 5" xfId="58036"/>
    <cellStyle name="Total 4 6 2 3 6" xfId="58037"/>
    <cellStyle name="Total 4 6 2 3 7" xfId="58038"/>
    <cellStyle name="Total 4 6 2 3 8" xfId="58039"/>
    <cellStyle name="Total 4 6 2 3 9" xfId="58040"/>
    <cellStyle name="Total 4 6 2 4" xfId="58041"/>
    <cellStyle name="Total 4 6 2 5" xfId="58042"/>
    <cellStyle name="Total 4 6 2 6" xfId="58043"/>
    <cellStyle name="Total 4 6 2 7" xfId="58044"/>
    <cellStyle name="Total 4 6 2 8" xfId="58045"/>
    <cellStyle name="Total 4 6 2 9" xfId="58046"/>
    <cellStyle name="Total 4 6 3" xfId="58047"/>
    <cellStyle name="Total 4 6 3 10" xfId="58048"/>
    <cellStyle name="Total 4 6 3 11" xfId="58049"/>
    <cellStyle name="Total 4 6 3 2" xfId="58050"/>
    <cellStyle name="Total 4 6 3 2 10" xfId="58051"/>
    <cellStyle name="Total 4 6 3 2 11" xfId="58052"/>
    <cellStyle name="Total 4 6 3 2 2" xfId="58053"/>
    <cellStyle name="Total 4 6 3 2 3" xfId="58054"/>
    <cellStyle name="Total 4 6 3 2 4" xfId="58055"/>
    <cellStyle name="Total 4 6 3 2 5" xfId="58056"/>
    <cellStyle name="Total 4 6 3 2 6" xfId="58057"/>
    <cellStyle name="Total 4 6 3 2 7" xfId="58058"/>
    <cellStyle name="Total 4 6 3 2 8" xfId="58059"/>
    <cellStyle name="Total 4 6 3 2 9" xfId="58060"/>
    <cellStyle name="Total 4 6 3 3" xfId="58061"/>
    <cellStyle name="Total 4 6 3 4" xfId="58062"/>
    <cellStyle name="Total 4 6 3 5" xfId="58063"/>
    <cellStyle name="Total 4 6 3 6" xfId="58064"/>
    <cellStyle name="Total 4 6 3 7" xfId="58065"/>
    <cellStyle name="Total 4 6 3 8" xfId="58066"/>
    <cellStyle name="Total 4 6 3 9" xfId="58067"/>
    <cellStyle name="Total 4 6 4" xfId="58068"/>
    <cellStyle name="Total 4 6 4 10" xfId="58069"/>
    <cellStyle name="Total 4 6 4 11" xfId="58070"/>
    <cellStyle name="Total 4 6 4 2" xfId="58071"/>
    <cellStyle name="Total 4 6 4 3" xfId="58072"/>
    <cellStyle name="Total 4 6 4 4" xfId="58073"/>
    <cellStyle name="Total 4 6 4 5" xfId="58074"/>
    <cellStyle name="Total 4 6 4 6" xfId="58075"/>
    <cellStyle name="Total 4 6 4 7" xfId="58076"/>
    <cellStyle name="Total 4 6 4 8" xfId="58077"/>
    <cellStyle name="Total 4 6 4 9" xfId="58078"/>
    <cellStyle name="Total 4 6 5" xfId="58079"/>
    <cellStyle name="Total 4 6 6" xfId="58080"/>
    <cellStyle name="Total 4 6 7" xfId="58081"/>
    <cellStyle name="Total 4 6 8" xfId="58082"/>
    <cellStyle name="Total 4 6 9" xfId="58083"/>
    <cellStyle name="Total 4 7" xfId="58084"/>
    <cellStyle name="Total 4 7 10" xfId="58085"/>
    <cellStyle name="Total 4 7 11" xfId="58086"/>
    <cellStyle name="Total 4 7 12" xfId="58087"/>
    <cellStyle name="Total 4 7 13" xfId="58088"/>
    <cellStyle name="Total 4 7 2" xfId="58089"/>
    <cellStyle name="Total 4 7 2 10" xfId="58090"/>
    <cellStyle name="Total 4 7 2 11" xfId="58091"/>
    <cellStyle name="Total 4 7 2 12" xfId="58092"/>
    <cellStyle name="Total 4 7 2 2" xfId="58093"/>
    <cellStyle name="Total 4 7 2 2 10" xfId="58094"/>
    <cellStyle name="Total 4 7 2 2 11" xfId="58095"/>
    <cellStyle name="Total 4 7 2 2 2" xfId="58096"/>
    <cellStyle name="Total 4 7 2 2 2 10" xfId="58097"/>
    <cellStyle name="Total 4 7 2 2 2 11" xfId="58098"/>
    <cellStyle name="Total 4 7 2 2 2 2" xfId="58099"/>
    <cellStyle name="Total 4 7 2 2 2 3" xfId="58100"/>
    <cellStyle name="Total 4 7 2 2 2 4" xfId="58101"/>
    <cellStyle name="Total 4 7 2 2 2 5" xfId="58102"/>
    <cellStyle name="Total 4 7 2 2 2 6" xfId="58103"/>
    <cellStyle name="Total 4 7 2 2 2 7" xfId="58104"/>
    <cellStyle name="Total 4 7 2 2 2 8" xfId="58105"/>
    <cellStyle name="Total 4 7 2 2 2 9" xfId="58106"/>
    <cellStyle name="Total 4 7 2 2 3" xfId="58107"/>
    <cellStyle name="Total 4 7 2 2 4" xfId="58108"/>
    <cellStyle name="Total 4 7 2 2 5" xfId="58109"/>
    <cellStyle name="Total 4 7 2 2 6" xfId="58110"/>
    <cellStyle name="Total 4 7 2 2 7" xfId="58111"/>
    <cellStyle name="Total 4 7 2 2 8" xfId="58112"/>
    <cellStyle name="Total 4 7 2 2 9" xfId="58113"/>
    <cellStyle name="Total 4 7 2 3" xfId="58114"/>
    <cellStyle name="Total 4 7 2 3 10" xfId="58115"/>
    <cellStyle name="Total 4 7 2 3 11" xfId="58116"/>
    <cellStyle name="Total 4 7 2 3 2" xfId="58117"/>
    <cellStyle name="Total 4 7 2 3 3" xfId="58118"/>
    <cellStyle name="Total 4 7 2 3 4" xfId="58119"/>
    <cellStyle name="Total 4 7 2 3 5" xfId="58120"/>
    <cellStyle name="Total 4 7 2 3 6" xfId="58121"/>
    <cellStyle name="Total 4 7 2 3 7" xfId="58122"/>
    <cellStyle name="Total 4 7 2 3 8" xfId="58123"/>
    <cellStyle name="Total 4 7 2 3 9" xfId="58124"/>
    <cellStyle name="Total 4 7 2 4" xfId="58125"/>
    <cellStyle name="Total 4 7 2 5" xfId="58126"/>
    <cellStyle name="Total 4 7 2 6" xfId="58127"/>
    <cellStyle name="Total 4 7 2 7" xfId="58128"/>
    <cellStyle name="Total 4 7 2 8" xfId="58129"/>
    <cellStyle name="Total 4 7 2 9" xfId="58130"/>
    <cellStyle name="Total 4 7 3" xfId="58131"/>
    <cellStyle name="Total 4 7 3 10" xfId="58132"/>
    <cellStyle name="Total 4 7 3 11" xfId="58133"/>
    <cellStyle name="Total 4 7 3 2" xfId="58134"/>
    <cellStyle name="Total 4 7 3 2 10" xfId="58135"/>
    <cellStyle name="Total 4 7 3 2 11" xfId="58136"/>
    <cellStyle name="Total 4 7 3 2 2" xfId="58137"/>
    <cellStyle name="Total 4 7 3 2 3" xfId="58138"/>
    <cellStyle name="Total 4 7 3 2 4" xfId="58139"/>
    <cellStyle name="Total 4 7 3 2 5" xfId="58140"/>
    <cellStyle name="Total 4 7 3 2 6" xfId="58141"/>
    <cellStyle name="Total 4 7 3 2 7" xfId="58142"/>
    <cellStyle name="Total 4 7 3 2 8" xfId="58143"/>
    <cellStyle name="Total 4 7 3 2 9" xfId="58144"/>
    <cellStyle name="Total 4 7 3 3" xfId="58145"/>
    <cellStyle name="Total 4 7 3 4" xfId="58146"/>
    <cellStyle name="Total 4 7 3 5" xfId="58147"/>
    <cellStyle name="Total 4 7 3 6" xfId="58148"/>
    <cellStyle name="Total 4 7 3 7" xfId="58149"/>
    <cellStyle name="Total 4 7 3 8" xfId="58150"/>
    <cellStyle name="Total 4 7 3 9" xfId="58151"/>
    <cellStyle name="Total 4 7 4" xfId="58152"/>
    <cellStyle name="Total 4 7 4 10" xfId="58153"/>
    <cellStyle name="Total 4 7 4 11" xfId="58154"/>
    <cellStyle name="Total 4 7 4 2" xfId="58155"/>
    <cellStyle name="Total 4 7 4 3" xfId="58156"/>
    <cellStyle name="Total 4 7 4 4" xfId="58157"/>
    <cellStyle name="Total 4 7 4 5" xfId="58158"/>
    <cellStyle name="Total 4 7 4 6" xfId="58159"/>
    <cellStyle name="Total 4 7 4 7" xfId="58160"/>
    <cellStyle name="Total 4 7 4 8" xfId="58161"/>
    <cellStyle name="Total 4 7 4 9" xfId="58162"/>
    <cellStyle name="Total 4 7 5" xfId="58163"/>
    <cellStyle name="Total 4 7 6" xfId="58164"/>
    <cellStyle name="Total 4 7 7" xfId="58165"/>
    <cellStyle name="Total 4 7 8" xfId="58166"/>
    <cellStyle name="Total 4 7 9" xfId="58167"/>
    <cellStyle name="Total 4 8" xfId="58168"/>
    <cellStyle name="Total 4 8 10" xfId="58169"/>
    <cellStyle name="Total 4 8 11" xfId="58170"/>
    <cellStyle name="Total 4 8 12" xfId="58171"/>
    <cellStyle name="Total 4 8 13" xfId="58172"/>
    <cellStyle name="Total 4 8 2" xfId="58173"/>
    <cellStyle name="Total 4 8 2 10" xfId="58174"/>
    <cellStyle name="Total 4 8 2 11" xfId="58175"/>
    <cellStyle name="Total 4 8 2 12" xfId="58176"/>
    <cellStyle name="Total 4 8 2 2" xfId="58177"/>
    <cellStyle name="Total 4 8 2 2 10" xfId="58178"/>
    <cellStyle name="Total 4 8 2 2 11" xfId="58179"/>
    <cellStyle name="Total 4 8 2 2 2" xfId="58180"/>
    <cellStyle name="Total 4 8 2 2 2 10" xfId="58181"/>
    <cellStyle name="Total 4 8 2 2 2 11" xfId="58182"/>
    <cellStyle name="Total 4 8 2 2 2 2" xfId="58183"/>
    <cellStyle name="Total 4 8 2 2 2 3" xfId="58184"/>
    <cellStyle name="Total 4 8 2 2 2 4" xfId="58185"/>
    <cellStyle name="Total 4 8 2 2 2 5" xfId="58186"/>
    <cellStyle name="Total 4 8 2 2 2 6" xfId="58187"/>
    <cellStyle name="Total 4 8 2 2 2 7" xfId="58188"/>
    <cellStyle name="Total 4 8 2 2 2 8" xfId="58189"/>
    <cellStyle name="Total 4 8 2 2 2 9" xfId="58190"/>
    <cellStyle name="Total 4 8 2 2 3" xfId="58191"/>
    <cellStyle name="Total 4 8 2 2 4" xfId="58192"/>
    <cellStyle name="Total 4 8 2 2 5" xfId="58193"/>
    <cellStyle name="Total 4 8 2 2 6" xfId="58194"/>
    <cellStyle name="Total 4 8 2 2 7" xfId="58195"/>
    <cellStyle name="Total 4 8 2 2 8" xfId="58196"/>
    <cellStyle name="Total 4 8 2 2 9" xfId="58197"/>
    <cellStyle name="Total 4 8 2 3" xfId="58198"/>
    <cellStyle name="Total 4 8 2 3 10" xfId="58199"/>
    <cellStyle name="Total 4 8 2 3 11" xfId="58200"/>
    <cellStyle name="Total 4 8 2 3 2" xfId="58201"/>
    <cellStyle name="Total 4 8 2 3 3" xfId="58202"/>
    <cellStyle name="Total 4 8 2 3 4" xfId="58203"/>
    <cellStyle name="Total 4 8 2 3 5" xfId="58204"/>
    <cellStyle name="Total 4 8 2 3 6" xfId="58205"/>
    <cellStyle name="Total 4 8 2 3 7" xfId="58206"/>
    <cellStyle name="Total 4 8 2 3 8" xfId="58207"/>
    <cellStyle name="Total 4 8 2 3 9" xfId="58208"/>
    <cellStyle name="Total 4 8 2 4" xfId="58209"/>
    <cellStyle name="Total 4 8 2 5" xfId="58210"/>
    <cellStyle name="Total 4 8 2 6" xfId="58211"/>
    <cellStyle name="Total 4 8 2 7" xfId="58212"/>
    <cellStyle name="Total 4 8 2 8" xfId="58213"/>
    <cellStyle name="Total 4 8 2 9" xfId="58214"/>
    <cellStyle name="Total 4 8 3" xfId="58215"/>
    <cellStyle name="Total 4 8 3 10" xfId="58216"/>
    <cellStyle name="Total 4 8 3 11" xfId="58217"/>
    <cellStyle name="Total 4 8 3 2" xfId="58218"/>
    <cellStyle name="Total 4 8 3 2 10" xfId="58219"/>
    <cellStyle name="Total 4 8 3 2 11" xfId="58220"/>
    <cellStyle name="Total 4 8 3 2 2" xfId="58221"/>
    <cellStyle name="Total 4 8 3 2 3" xfId="58222"/>
    <cellStyle name="Total 4 8 3 2 4" xfId="58223"/>
    <cellStyle name="Total 4 8 3 2 5" xfId="58224"/>
    <cellStyle name="Total 4 8 3 2 6" xfId="58225"/>
    <cellStyle name="Total 4 8 3 2 7" xfId="58226"/>
    <cellStyle name="Total 4 8 3 2 8" xfId="58227"/>
    <cellStyle name="Total 4 8 3 2 9" xfId="58228"/>
    <cellStyle name="Total 4 8 3 3" xfId="58229"/>
    <cellStyle name="Total 4 8 3 4" xfId="58230"/>
    <cellStyle name="Total 4 8 3 5" xfId="58231"/>
    <cellStyle name="Total 4 8 3 6" xfId="58232"/>
    <cellStyle name="Total 4 8 3 7" xfId="58233"/>
    <cellStyle name="Total 4 8 3 8" xfId="58234"/>
    <cellStyle name="Total 4 8 3 9" xfId="58235"/>
    <cellStyle name="Total 4 8 4" xfId="58236"/>
    <cellStyle name="Total 4 8 4 10" xfId="58237"/>
    <cellStyle name="Total 4 8 4 11" xfId="58238"/>
    <cellStyle name="Total 4 8 4 2" xfId="58239"/>
    <cellStyle name="Total 4 8 4 3" xfId="58240"/>
    <cellStyle name="Total 4 8 4 4" xfId="58241"/>
    <cellStyle name="Total 4 8 4 5" xfId="58242"/>
    <cellStyle name="Total 4 8 4 6" xfId="58243"/>
    <cellStyle name="Total 4 8 4 7" xfId="58244"/>
    <cellStyle name="Total 4 8 4 8" xfId="58245"/>
    <cellStyle name="Total 4 8 4 9" xfId="58246"/>
    <cellStyle name="Total 4 8 5" xfId="58247"/>
    <cellStyle name="Total 4 8 6" xfId="58248"/>
    <cellStyle name="Total 4 8 7" xfId="58249"/>
    <cellStyle name="Total 4 8 8" xfId="58250"/>
    <cellStyle name="Total 4 8 9" xfId="58251"/>
    <cellStyle name="Total 4 9" xfId="58252"/>
    <cellStyle name="Total 4 9 10" xfId="58253"/>
    <cellStyle name="Total 4 9 11" xfId="58254"/>
    <cellStyle name="Total 4 9 12" xfId="58255"/>
    <cellStyle name="Total 4 9 2" xfId="58256"/>
    <cellStyle name="Total 4 9 2 10" xfId="58257"/>
    <cellStyle name="Total 4 9 2 11" xfId="58258"/>
    <cellStyle name="Total 4 9 2 2" xfId="58259"/>
    <cellStyle name="Total 4 9 2 2 10" xfId="58260"/>
    <cellStyle name="Total 4 9 2 2 11" xfId="58261"/>
    <cellStyle name="Total 4 9 2 2 2" xfId="58262"/>
    <cellStyle name="Total 4 9 2 2 3" xfId="58263"/>
    <cellStyle name="Total 4 9 2 2 4" xfId="58264"/>
    <cellStyle name="Total 4 9 2 2 5" xfId="58265"/>
    <cellStyle name="Total 4 9 2 2 6" xfId="58266"/>
    <cellStyle name="Total 4 9 2 2 7" xfId="58267"/>
    <cellStyle name="Total 4 9 2 2 8" xfId="58268"/>
    <cellStyle name="Total 4 9 2 2 9" xfId="58269"/>
    <cellStyle name="Total 4 9 2 3" xfId="58270"/>
    <cellStyle name="Total 4 9 2 4" xfId="58271"/>
    <cellStyle name="Total 4 9 2 5" xfId="58272"/>
    <cellStyle name="Total 4 9 2 6" xfId="58273"/>
    <cellStyle name="Total 4 9 2 7" xfId="58274"/>
    <cellStyle name="Total 4 9 2 8" xfId="58275"/>
    <cellStyle name="Total 4 9 2 9" xfId="58276"/>
    <cellStyle name="Total 4 9 3" xfId="58277"/>
    <cellStyle name="Total 4 9 3 10" xfId="58278"/>
    <cellStyle name="Total 4 9 3 11" xfId="58279"/>
    <cellStyle name="Total 4 9 3 2" xfId="58280"/>
    <cellStyle name="Total 4 9 3 3" xfId="58281"/>
    <cellStyle name="Total 4 9 3 4" xfId="58282"/>
    <cellStyle name="Total 4 9 3 5" xfId="58283"/>
    <cellStyle name="Total 4 9 3 6" xfId="58284"/>
    <cellStyle name="Total 4 9 3 7" xfId="58285"/>
    <cellStyle name="Total 4 9 3 8" xfId="58286"/>
    <cellStyle name="Total 4 9 3 9" xfId="58287"/>
    <cellStyle name="Total 4 9 4" xfId="58288"/>
    <cellStyle name="Total 4 9 5" xfId="58289"/>
    <cellStyle name="Total 4 9 6" xfId="58290"/>
    <cellStyle name="Total 4 9 7" xfId="58291"/>
    <cellStyle name="Total 4 9 8" xfId="58292"/>
    <cellStyle name="Total 4 9 9" xfId="58293"/>
    <cellStyle name="Total 5" xfId="58294"/>
    <cellStyle name="Total 5 10" xfId="58295"/>
    <cellStyle name="Total 5 11" xfId="58296"/>
    <cellStyle name="Total 5 12" xfId="58297"/>
    <cellStyle name="Total 5 13" xfId="58298"/>
    <cellStyle name="Total 5 14" xfId="58299"/>
    <cellStyle name="Total 5 2" xfId="58300"/>
    <cellStyle name="Total 5 2 10" xfId="58301"/>
    <cellStyle name="Total 5 2 11" xfId="58302"/>
    <cellStyle name="Total 5 2 12" xfId="58303"/>
    <cellStyle name="Total 5 2 13" xfId="58304"/>
    <cellStyle name="Total 5 2 2" xfId="58305"/>
    <cellStyle name="Total 5 2 2 10" xfId="58306"/>
    <cellStyle name="Total 5 2 2 11" xfId="58307"/>
    <cellStyle name="Total 5 2 2 12" xfId="58308"/>
    <cellStyle name="Total 5 2 2 2" xfId="58309"/>
    <cellStyle name="Total 5 2 2 2 10" xfId="58310"/>
    <cellStyle name="Total 5 2 2 2 11" xfId="58311"/>
    <cellStyle name="Total 5 2 2 2 2" xfId="58312"/>
    <cellStyle name="Total 5 2 2 2 2 10" xfId="58313"/>
    <cellStyle name="Total 5 2 2 2 2 11" xfId="58314"/>
    <cellStyle name="Total 5 2 2 2 2 2" xfId="58315"/>
    <cellStyle name="Total 5 2 2 2 2 3" xfId="58316"/>
    <cellStyle name="Total 5 2 2 2 2 4" xfId="58317"/>
    <cellStyle name="Total 5 2 2 2 2 5" xfId="58318"/>
    <cellStyle name="Total 5 2 2 2 2 6" xfId="58319"/>
    <cellStyle name="Total 5 2 2 2 2 7" xfId="58320"/>
    <cellStyle name="Total 5 2 2 2 2 8" xfId="58321"/>
    <cellStyle name="Total 5 2 2 2 2 9" xfId="58322"/>
    <cellStyle name="Total 5 2 2 2 3" xfId="58323"/>
    <cellStyle name="Total 5 2 2 2 4" xfId="58324"/>
    <cellStyle name="Total 5 2 2 2 5" xfId="58325"/>
    <cellStyle name="Total 5 2 2 2 6" xfId="58326"/>
    <cellStyle name="Total 5 2 2 2 7" xfId="58327"/>
    <cellStyle name="Total 5 2 2 2 8" xfId="58328"/>
    <cellStyle name="Total 5 2 2 2 9" xfId="58329"/>
    <cellStyle name="Total 5 2 2 3" xfId="58330"/>
    <cellStyle name="Total 5 2 2 3 10" xfId="58331"/>
    <cellStyle name="Total 5 2 2 3 11" xfId="58332"/>
    <cellStyle name="Total 5 2 2 3 2" xfId="58333"/>
    <cellStyle name="Total 5 2 2 3 3" xfId="58334"/>
    <cellStyle name="Total 5 2 2 3 4" xfId="58335"/>
    <cellStyle name="Total 5 2 2 3 5" xfId="58336"/>
    <cellStyle name="Total 5 2 2 3 6" xfId="58337"/>
    <cellStyle name="Total 5 2 2 3 7" xfId="58338"/>
    <cellStyle name="Total 5 2 2 3 8" xfId="58339"/>
    <cellStyle name="Total 5 2 2 3 9" xfId="58340"/>
    <cellStyle name="Total 5 2 2 4" xfId="58341"/>
    <cellStyle name="Total 5 2 2 5" xfId="58342"/>
    <cellStyle name="Total 5 2 2 6" xfId="58343"/>
    <cellStyle name="Total 5 2 2 7" xfId="58344"/>
    <cellStyle name="Total 5 2 2 8" xfId="58345"/>
    <cellStyle name="Total 5 2 2 9" xfId="58346"/>
    <cellStyle name="Total 5 2 3" xfId="58347"/>
    <cellStyle name="Total 5 2 3 10" xfId="58348"/>
    <cellStyle name="Total 5 2 3 11" xfId="58349"/>
    <cellStyle name="Total 5 2 3 2" xfId="58350"/>
    <cellStyle name="Total 5 2 3 2 10" xfId="58351"/>
    <cellStyle name="Total 5 2 3 2 11" xfId="58352"/>
    <cellStyle name="Total 5 2 3 2 2" xfId="58353"/>
    <cellStyle name="Total 5 2 3 2 3" xfId="58354"/>
    <cellStyle name="Total 5 2 3 2 4" xfId="58355"/>
    <cellStyle name="Total 5 2 3 2 5" xfId="58356"/>
    <cellStyle name="Total 5 2 3 2 6" xfId="58357"/>
    <cellStyle name="Total 5 2 3 2 7" xfId="58358"/>
    <cellStyle name="Total 5 2 3 2 8" xfId="58359"/>
    <cellStyle name="Total 5 2 3 2 9" xfId="58360"/>
    <cellStyle name="Total 5 2 3 3" xfId="58361"/>
    <cellStyle name="Total 5 2 3 4" xfId="58362"/>
    <cellStyle name="Total 5 2 3 5" xfId="58363"/>
    <cellStyle name="Total 5 2 3 6" xfId="58364"/>
    <cellStyle name="Total 5 2 3 7" xfId="58365"/>
    <cellStyle name="Total 5 2 3 8" xfId="58366"/>
    <cellStyle name="Total 5 2 3 9" xfId="58367"/>
    <cellStyle name="Total 5 2 4" xfId="58368"/>
    <cellStyle name="Total 5 2 4 10" xfId="58369"/>
    <cellStyle name="Total 5 2 4 11" xfId="58370"/>
    <cellStyle name="Total 5 2 4 2" xfId="58371"/>
    <cellStyle name="Total 5 2 4 3" xfId="58372"/>
    <cellStyle name="Total 5 2 4 4" xfId="58373"/>
    <cellStyle name="Total 5 2 4 5" xfId="58374"/>
    <cellStyle name="Total 5 2 4 6" xfId="58375"/>
    <cellStyle name="Total 5 2 4 7" xfId="58376"/>
    <cellStyle name="Total 5 2 4 8" xfId="58377"/>
    <cellStyle name="Total 5 2 4 9" xfId="58378"/>
    <cellStyle name="Total 5 2 5" xfId="58379"/>
    <cellStyle name="Total 5 2 6" xfId="58380"/>
    <cellStyle name="Total 5 2 7" xfId="58381"/>
    <cellStyle name="Total 5 2 8" xfId="58382"/>
    <cellStyle name="Total 5 2 9" xfId="58383"/>
    <cellStyle name="Total 5 3" xfId="58384"/>
    <cellStyle name="Total 5 3 10" xfId="58385"/>
    <cellStyle name="Total 5 3 11" xfId="58386"/>
    <cellStyle name="Total 5 3 12" xfId="58387"/>
    <cellStyle name="Total 5 3 2" xfId="58388"/>
    <cellStyle name="Total 5 3 2 10" xfId="58389"/>
    <cellStyle name="Total 5 3 2 11" xfId="58390"/>
    <cellStyle name="Total 5 3 2 2" xfId="58391"/>
    <cellStyle name="Total 5 3 2 2 10" xfId="58392"/>
    <cellStyle name="Total 5 3 2 2 11" xfId="58393"/>
    <cellStyle name="Total 5 3 2 2 2" xfId="58394"/>
    <cellStyle name="Total 5 3 2 2 3" xfId="58395"/>
    <cellStyle name="Total 5 3 2 2 4" xfId="58396"/>
    <cellStyle name="Total 5 3 2 2 5" xfId="58397"/>
    <cellStyle name="Total 5 3 2 2 6" xfId="58398"/>
    <cellStyle name="Total 5 3 2 2 7" xfId="58399"/>
    <cellStyle name="Total 5 3 2 2 8" xfId="58400"/>
    <cellStyle name="Total 5 3 2 2 9" xfId="58401"/>
    <cellStyle name="Total 5 3 2 3" xfId="58402"/>
    <cellStyle name="Total 5 3 2 4" xfId="58403"/>
    <cellStyle name="Total 5 3 2 5" xfId="58404"/>
    <cellStyle name="Total 5 3 2 6" xfId="58405"/>
    <cellStyle name="Total 5 3 2 7" xfId="58406"/>
    <cellStyle name="Total 5 3 2 8" xfId="58407"/>
    <cellStyle name="Total 5 3 2 9" xfId="58408"/>
    <cellStyle name="Total 5 3 3" xfId="58409"/>
    <cellStyle name="Total 5 3 3 10" xfId="58410"/>
    <cellStyle name="Total 5 3 3 11" xfId="58411"/>
    <cellStyle name="Total 5 3 3 2" xfId="58412"/>
    <cellStyle name="Total 5 3 3 3" xfId="58413"/>
    <cellStyle name="Total 5 3 3 4" xfId="58414"/>
    <cellStyle name="Total 5 3 3 5" xfId="58415"/>
    <cellStyle name="Total 5 3 3 6" xfId="58416"/>
    <cellStyle name="Total 5 3 3 7" xfId="58417"/>
    <cellStyle name="Total 5 3 3 8" xfId="58418"/>
    <cellStyle name="Total 5 3 3 9" xfId="58419"/>
    <cellStyle name="Total 5 3 4" xfId="58420"/>
    <cellStyle name="Total 5 3 5" xfId="58421"/>
    <cellStyle name="Total 5 3 6" xfId="58422"/>
    <cellStyle name="Total 5 3 7" xfId="58423"/>
    <cellStyle name="Total 5 3 8" xfId="58424"/>
    <cellStyle name="Total 5 3 9" xfId="58425"/>
    <cellStyle name="Total 5 4" xfId="58426"/>
    <cellStyle name="Total 5 4 10" xfId="58427"/>
    <cellStyle name="Total 5 4 11" xfId="58428"/>
    <cellStyle name="Total 5 4 2" xfId="58429"/>
    <cellStyle name="Total 5 4 2 10" xfId="58430"/>
    <cellStyle name="Total 5 4 2 11" xfId="58431"/>
    <cellStyle name="Total 5 4 2 2" xfId="58432"/>
    <cellStyle name="Total 5 4 2 3" xfId="58433"/>
    <cellStyle name="Total 5 4 2 4" xfId="58434"/>
    <cellStyle name="Total 5 4 2 5" xfId="58435"/>
    <cellStyle name="Total 5 4 2 6" xfId="58436"/>
    <cellStyle name="Total 5 4 2 7" xfId="58437"/>
    <cellStyle name="Total 5 4 2 8" xfId="58438"/>
    <cellStyle name="Total 5 4 2 9" xfId="58439"/>
    <cellStyle name="Total 5 4 3" xfId="58440"/>
    <cellStyle name="Total 5 4 4" xfId="58441"/>
    <cellStyle name="Total 5 4 5" xfId="58442"/>
    <cellStyle name="Total 5 4 6" xfId="58443"/>
    <cellStyle name="Total 5 4 7" xfId="58444"/>
    <cellStyle name="Total 5 4 8" xfId="58445"/>
    <cellStyle name="Total 5 4 9" xfId="58446"/>
    <cellStyle name="Total 5 5" xfId="58447"/>
    <cellStyle name="Total 5 5 10" xfId="58448"/>
    <cellStyle name="Total 5 5 11" xfId="58449"/>
    <cellStyle name="Total 5 5 2" xfId="58450"/>
    <cellStyle name="Total 5 5 3" xfId="58451"/>
    <cellStyle name="Total 5 5 4" xfId="58452"/>
    <cellStyle name="Total 5 5 5" xfId="58453"/>
    <cellStyle name="Total 5 5 6" xfId="58454"/>
    <cellStyle name="Total 5 5 7" xfId="58455"/>
    <cellStyle name="Total 5 5 8" xfId="58456"/>
    <cellStyle name="Total 5 5 9" xfId="58457"/>
    <cellStyle name="Total 5 6" xfId="58458"/>
    <cellStyle name="Total 5 7" xfId="58459"/>
    <cellStyle name="Total 5 8" xfId="58460"/>
    <cellStyle name="Total 5 9" xfId="58461"/>
    <cellStyle name="Total 6" xfId="58462"/>
    <cellStyle name="Total 6 10" xfId="58463"/>
    <cellStyle name="Total 6 11" xfId="58464"/>
    <cellStyle name="Total 6 12" xfId="58465"/>
    <cellStyle name="Total 6 13" xfId="58466"/>
    <cellStyle name="Total 6 2" xfId="58467"/>
    <cellStyle name="Total 6 2 10" xfId="58468"/>
    <cellStyle name="Total 6 2 11" xfId="58469"/>
    <cellStyle name="Total 6 2 12" xfId="58470"/>
    <cellStyle name="Total 6 2 2" xfId="58471"/>
    <cellStyle name="Total 6 2 2 10" xfId="58472"/>
    <cellStyle name="Total 6 2 2 11" xfId="58473"/>
    <cellStyle name="Total 6 2 2 2" xfId="58474"/>
    <cellStyle name="Total 6 2 2 2 10" xfId="58475"/>
    <cellStyle name="Total 6 2 2 2 11" xfId="58476"/>
    <cellStyle name="Total 6 2 2 2 2" xfId="58477"/>
    <cellStyle name="Total 6 2 2 2 3" xfId="58478"/>
    <cellStyle name="Total 6 2 2 2 4" xfId="58479"/>
    <cellStyle name="Total 6 2 2 2 5" xfId="58480"/>
    <cellStyle name="Total 6 2 2 2 6" xfId="58481"/>
    <cellStyle name="Total 6 2 2 2 7" xfId="58482"/>
    <cellStyle name="Total 6 2 2 2 8" xfId="58483"/>
    <cellStyle name="Total 6 2 2 2 9" xfId="58484"/>
    <cellStyle name="Total 6 2 2 3" xfId="58485"/>
    <cellStyle name="Total 6 2 2 4" xfId="58486"/>
    <cellStyle name="Total 6 2 2 5" xfId="58487"/>
    <cellStyle name="Total 6 2 2 6" xfId="58488"/>
    <cellStyle name="Total 6 2 2 7" xfId="58489"/>
    <cellStyle name="Total 6 2 2 8" xfId="58490"/>
    <cellStyle name="Total 6 2 2 9" xfId="58491"/>
    <cellStyle name="Total 6 2 3" xfId="58492"/>
    <cellStyle name="Total 6 2 3 10" xfId="58493"/>
    <cellStyle name="Total 6 2 3 11" xfId="58494"/>
    <cellStyle name="Total 6 2 3 2" xfId="58495"/>
    <cellStyle name="Total 6 2 3 3" xfId="58496"/>
    <cellStyle name="Total 6 2 3 4" xfId="58497"/>
    <cellStyle name="Total 6 2 3 5" xfId="58498"/>
    <cellStyle name="Total 6 2 3 6" xfId="58499"/>
    <cellStyle name="Total 6 2 3 7" xfId="58500"/>
    <cellStyle name="Total 6 2 3 8" xfId="58501"/>
    <cellStyle name="Total 6 2 3 9" xfId="58502"/>
    <cellStyle name="Total 6 2 4" xfId="58503"/>
    <cellStyle name="Total 6 2 5" xfId="58504"/>
    <cellStyle name="Total 6 2 6" xfId="58505"/>
    <cellStyle name="Total 6 2 7" xfId="58506"/>
    <cellStyle name="Total 6 2 8" xfId="58507"/>
    <cellStyle name="Total 6 2 9" xfId="58508"/>
    <cellStyle name="Total 6 3" xfId="58509"/>
    <cellStyle name="Total 6 3 10" xfId="58510"/>
    <cellStyle name="Total 6 3 11" xfId="58511"/>
    <cellStyle name="Total 6 3 2" xfId="58512"/>
    <cellStyle name="Total 6 3 2 10" xfId="58513"/>
    <cellStyle name="Total 6 3 2 11" xfId="58514"/>
    <cellStyle name="Total 6 3 2 2" xfId="58515"/>
    <cellStyle name="Total 6 3 2 3" xfId="58516"/>
    <cellStyle name="Total 6 3 2 4" xfId="58517"/>
    <cellStyle name="Total 6 3 2 5" xfId="58518"/>
    <cellStyle name="Total 6 3 2 6" xfId="58519"/>
    <cellStyle name="Total 6 3 2 7" xfId="58520"/>
    <cellStyle name="Total 6 3 2 8" xfId="58521"/>
    <cellStyle name="Total 6 3 2 9" xfId="58522"/>
    <cellStyle name="Total 6 3 3" xfId="58523"/>
    <cellStyle name="Total 6 3 4" xfId="58524"/>
    <cellStyle name="Total 6 3 5" xfId="58525"/>
    <cellStyle name="Total 6 3 6" xfId="58526"/>
    <cellStyle name="Total 6 3 7" xfId="58527"/>
    <cellStyle name="Total 6 3 8" xfId="58528"/>
    <cellStyle name="Total 6 3 9" xfId="58529"/>
    <cellStyle name="Total 6 4" xfId="58530"/>
    <cellStyle name="Total 6 4 10" xfId="58531"/>
    <cellStyle name="Total 6 4 11" xfId="58532"/>
    <cellStyle name="Total 6 4 2" xfId="58533"/>
    <cellStyle name="Total 6 4 3" xfId="58534"/>
    <cellStyle name="Total 6 4 4" xfId="58535"/>
    <cellStyle name="Total 6 4 5" xfId="58536"/>
    <cellStyle name="Total 6 4 6" xfId="58537"/>
    <cellStyle name="Total 6 4 7" xfId="58538"/>
    <cellStyle name="Total 6 4 8" xfId="58539"/>
    <cellStyle name="Total 6 4 9" xfId="58540"/>
    <cellStyle name="Total 6 5" xfId="58541"/>
    <cellStyle name="Total 6 6" xfId="58542"/>
    <cellStyle name="Total 6 7" xfId="58543"/>
    <cellStyle name="Total 6 8" xfId="58544"/>
    <cellStyle name="Total 6 9" xfId="58545"/>
    <cellStyle name="Total 7" xfId="58546"/>
    <cellStyle name="Total 7 10" xfId="58547"/>
    <cellStyle name="Total 7 11" xfId="58548"/>
    <cellStyle name="Total 7 12" xfId="58549"/>
    <cellStyle name="Total 7 13" xfId="58550"/>
    <cellStyle name="Total 7 2" xfId="58551"/>
    <cellStyle name="Total 7 2 10" xfId="58552"/>
    <cellStyle name="Total 7 2 11" xfId="58553"/>
    <cellStyle name="Total 7 2 12" xfId="58554"/>
    <cellStyle name="Total 7 2 2" xfId="58555"/>
    <cellStyle name="Total 7 2 2 10" xfId="58556"/>
    <cellStyle name="Total 7 2 2 11" xfId="58557"/>
    <cellStyle name="Total 7 2 2 2" xfId="58558"/>
    <cellStyle name="Total 7 2 2 2 10" xfId="58559"/>
    <cellStyle name="Total 7 2 2 2 11" xfId="58560"/>
    <cellStyle name="Total 7 2 2 2 2" xfId="58561"/>
    <cellStyle name="Total 7 2 2 2 3" xfId="58562"/>
    <cellStyle name="Total 7 2 2 2 4" xfId="58563"/>
    <cellStyle name="Total 7 2 2 2 5" xfId="58564"/>
    <cellStyle name="Total 7 2 2 2 6" xfId="58565"/>
    <cellStyle name="Total 7 2 2 2 7" xfId="58566"/>
    <cellStyle name="Total 7 2 2 2 8" xfId="58567"/>
    <cellStyle name="Total 7 2 2 2 9" xfId="58568"/>
    <cellStyle name="Total 7 2 2 3" xfId="58569"/>
    <cellStyle name="Total 7 2 2 4" xfId="58570"/>
    <cellStyle name="Total 7 2 2 5" xfId="58571"/>
    <cellStyle name="Total 7 2 2 6" xfId="58572"/>
    <cellStyle name="Total 7 2 2 7" xfId="58573"/>
    <cellStyle name="Total 7 2 2 8" xfId="58574"/>
    <cellStyle name="Total 7 2 2 9" xfId="58575"/>
    <cellStyle name="Total 7 2 3" xfId="58576"/>
    <cellStyle name="Total 7 2 3 10" xfId="58577"/>
    <cellStyle name="Total 7 2 3 11" xfId="58578"/>
    <cellStyle name="Total 7 2 3 2" xfId="58579"/>
    <cellStyle name="Total 7 2 3 3" xfId="58580"/>
    <cellStyle name="Total 7 2 3 4" xfId="58581"/>
    <cellStyle name="Total 7 2 3 5" xfId="58582"/>
    <cellStyle name="Total 7 2 3 6" xfId="58583"/>
    <cellStyle name="Total 7 2 3 7" xfId="58584"/>
    <cellStyle name="Total 7 2 3 8" xfId="58585"/>
    <cellStyle name="Total 7 2 3 9" xfId="58586"/>
    <cellStyle name="Total 7 2 4" xfId="58587"/>
    <cellStyle name="Total 7 2 5" xfId="58588"/>
    <cellStyle name="Total 7 2 6" xfId="58589"/>
    <cellStyle name="Total 7 2 7" xfId="58590"/>
    <cellStyle name="Total 7 2 8" xfId="58591"/>
    <cellStyle name="Total 7 2 9" xfId="58592"/>
    <cellStyle name="Total 7 3" xfId="58593"/>
    <cellStyle name="Total 7 3 10" xfId="58594"/>
    <cellStyle name="Total 7 3 11" xfId="58595"/>
    <cellStyle name="Total 7 3 2" xfId="58596"/>
    <cellStyle name="Total 7 3 2 10" xfId="58597"/>
    <cellStyle name="Total 7 3 2 11" xfId="58598"/>
    <cellStyle name="Total 7 3 2 2" xfId="58599"/>
    <cellStyle name="Total 7 3 2 3" xfId="58600"/>
    <cellStyle name="Total 7 3 2 4" xfId="58601"/>
    <cellStyle name="Total 7 3 2 5" xfId="58602"/>
    <cellStyle name="Total 7 3 2 6" xfId="58603"/>
    <cellStyle name="Total 7 3 2 7" xfId="58604"/>
    <cellStyle name="Total 7 3 2 8" xfId="58605"/>
    <cellStyle name="Total 7 3 2 9" xfId="58606"/>
    <cellStyle name="Total 7 3 3" xfId="58607"/>
    <cellStyle name="Total 7 3 4" xfId="58608"/>
    <cellStyle name="Total 7 3 5" xfId="58609"/>
    <cellStyle name="Total 7 3 6" xfId="58610"/>
    <cellStyle name="Total 7 3 7" xfId="58611"/>
    <cellStyle name="Total 7 3 8" xfId="58612"/>
    <cellStyle name="Total 7 3 9" xfId="58613"/>
    <cellStyle name="Total 7 4" xfId="58614"/>
    <cellStyle name="Total 7 4 10" xfId="58615"/>
    <cellStyle name="Total 7 4 11" xfId="58616"/>
    <cellStyle name="Total 7 4 2" xfId="58617"/>
    <cellStyle name="Total 7 4 3" xfId="58618"/>
    <cellStyle name="Total 7 4 4" xfId="58619"/>
    <cellStyle name="Total 7 4 5" xfId="58620"/>
    <cellStyle name="Total 7 4 6" xfId="58621"/>
    <cellStyle name="Total 7 4 7" xfId="58622"/>
    <cellStyle name="Total 7 4 8" xfId="58623"/>
    <cellStyle name="Total 7 4 9" xfId="58624"/>
    <cellStyle name="Total 7 5" xfId="58625"/>
    <cellStyle name="Total 7 6" xfId="58626"/>
    <cellStyle name="Total 7 7" xfId="58627"/>
    <cellStyle name="Total 7 8" xfId="58628"/>
    <cellStyle name="Total 7 9" xfId="58629"/>
    <cellStyle name="Total 8" xfId="58630"/>
    <cellStyle name="Total 8 10" xfId="58631"/>
    <cellStyle name="Total 8 11" xfId="58632"/>
    <cellStyle name="Total 8 12" xfId="58633"/>
    <cellStyle name="Total 8 13" xfId="58634"/>
    <cellStyle name="Total 8 2" xfId="58635"/>
    <cellStyle name="Total 8 2 10" xfId="58636"/>
    <cellStyle name="Total 8 2 11" xfId="58637"/>
    <cellStyle name="Total 8 2 12" xfId="58638"/>
    <cellStyle name="Total 8 2 2" xfId="58639"/>
    <cellStyle name="Total 8 2 2 10" xfId="58640"/>
    <cellStyle name="Total 8 2 2 11" xfId="58641"/>
    <cellStyle name="Total 8 2 2 2" xfId="58642"/>
    <cellStyle name="Total 8 2 2 2 10" xfId="58643"/>
    <cellStyle name="Total 8 2 2 2 11" xfId="58644"/>
    <cellStyle name="Total 8 2 2 2 2" xfId="58645"/>
    <cellStyle name="Total 8 2 2 2 3" xfId="58646"/>
    <cellStyle name="Total 8 2 2 2 4" xfId="58647"/>
    <cellStyle name="Total 8 2 2 2 5" xfId="58648"/>
    <cellStyle name="Total 8 2 2 2 6" xfId="58649"/>
    <cellStyle name="Total 8 2 2 2 7" xfId="58650"/>
    <cellStyle name="Total 8 2 2 2 8" xfId="58651"/>
    <cellStyle name="Total 8 2 2 2 9" xfId="58652"/>
    <cellStyle name="Total 8 2 2 3" xfId="58653"/>
    <cellStyle name="Total 8 2 2 4" xfId="58654"/>
    <cellStyle name="Total 8 2 2 5" xfId="58655"/>
    <cellStyle name="Total 8 2 2 6" xfId="58656"/>
    <cellStyle name="Total 8 2 2 7" xfId="58657"/>
    <cellStyle name="Total 8 2 2 8" xfId="58658"/>
    <cellStyle name="Total 8 2 2 9" xfId="58659"/>
    <cellStyle name="Total 8 2 3" xfId="58660"/>
    <cellStyle name="Total 8 2 3 10" xfId="58661"/>
    <cellStyle name="Total 8 2 3 11" xfId="58662"/>
    <cellStyle name="Total 8 2 3 2" xfId="58663"/>
    <cellStyle name="Total 8 2 3 3" xfId="58664"/>
    <cellStyle name="Total 8 2 3 4" xfId="58665"/>
    <cellStyle name="Total 8 2 3 5" xfId="58666"/>
    <cellStyle name="Total 8 2 3 6" xfId="58667"/>
    <cellStyle name="Total 8 2 3 7" xfId="58668"/>
    <cellStyle name="Total 8 2 3 8" xfId="58669"/>
    <cellStyle name="Total 8 2 3 9" xfId="58670"/>
    <cellStyle name="Total 8 2 4" xfId="58671"/>
    <cellStyle name="Total 8 2 5" xfId="58672"/>
    <cellStyle name="Total 8 2 6" xfId="58673"/>
    <cellStyle name="Total 8 2 7" xfId="58674"/>
    <cellStyle name="Total 8 2 8" xfId="58675"/>
    <cellStyle name="Total 8 2 9" xfId="58676"/>
    <cellStyle name="Total 8 3" xfId="58677"/>
    <cellStyle name="Total 8 3 10" xfId="58678"/>
    <cellStyle name="Total 8 3 11" xfId="58679"/>
    <cellStyle name="Total 8 3 2" xfId="58680"/>
    <cellStyle name="Total 8 3 2 10" xfId="58681"/>
    <cellStyle name="Total 8 3 2 11" xfId="58682"/>
    <cellStyle name="Total 8 3 2 2" xfId="58683"/>
    <cellStyle name="Total 8 3 2 3" xfId="58684"/>
    <cellStyle name="Total 8 3 2 4" xfId="58685"/>
    <cellStyle name="Total 8 3 2 5" xfId="58686"/>
    <cellStyle name="Total 8 3 2 6" xfId="58687"/>
    <cellStyle name="Total 8 3 2 7" xfId="58688"/>
    <cellStyle name="Total 8 3 2 8" xfId="58689"/>
    <cellStyle name="Total 8 3 2 9" xfId="58690"/>
    <cellStyle name="Total 8 3 3" xfId="58691"/>
    <cellStyle name="Total 8 3 4" xfId="58692"/>
    <cellStyle name="Total 8 3 5" xfId="58693"/>
    <cellStyle name="Total 8 3 6" xfId="58694"/>
    <cellStyle name="Total 8 3 7" xfId="58695"/>
    <cellStyle name="Total 8 3 8" xfId="58696"/>
    <cellStyle name="Total 8 3 9" xfId="58697"/>
    <cellStyle name="Total 8 4" xfId="58698"/>
    <cellStyle name="Total 8 4 10" xfId="58699"/>
    <cellStyle name="Total 8 4 11" xfId="58700"/>
    <cellStyle name="Total 8 4 2" xfId="58701"/>
    <cellStyle name="Total 8 4 3" xfId="58702"/>
    <cellStyle name="Total 8 4 4" xfId="58703"/>
    <cellStyle name="Total 8 4 5" xfId="58704"/>
    <cellStyle name="Total 8 4 6" xfId="58705"/>
    <cellStyle name="Total 8 4 7" xfId="58706"/>
    <cellStyle name="Total 8 4 8" xfId="58707"/>
    <cellStyle name="Total 8 4 9" xfId="58708"/>
    <cellStyle name="Total 8 5" xfId="58709"/>
    <cellStyle name="Total 8 6" xfId="58710"/>
    <cellStyle name="Total 8 7" xfId="58711"/>
    <cellStyle name="Total 8 8" xfId="58712"/>
    <cellStyle name="Total 8 9" xfId="58713"/>
    <cellStyle name="Total 9" xfId="58714"/>
    <cellStyle name="Total 9 10" xfId="58715"/>
    <cellStyle name="Total 9 11" xfId="58716"/>
    <cellStyle name="Total 9 12" xfId="58717"/>
    <cellStyle name="Total 9 13" xfId="58718"/>
    <cellStyle name="Total 9 2" xfId="58719"/>
    <cellStyle name="Total 9 2 10" xfId="58720"/>
    <cellStyle name="Total 9 2 11" xfId="58721"/>
    <cellStyle name="Total 9 2 12" xfId="58722"/>
    <cellStyle name="Total 9 2 2" xfId="58723"/>
    <cellStyle name="Total 9 2 2 10" xfId="58724"/>
    <cellStyle name="Total 9 2 2 11" xfId="58725"/>
    <cellStyle name="Total 9 2 2 2" xfId="58726"/>
    <cellStyle name="Total 9 2 2 2 10" xfId="58727"/>
    <cellStyle name="Total 9 2 2 2 11" xfId="58728"/>
    <cellStyle name="Total 9 2 2 2 2" xfId="58729"/>
    <cellStyle name="Total 9 2 2 2 3" xfId="58730"/>
    <cellStyle name="Total 9 2 2 2 4" xfId="58731"/>
    <cellStyle name="Total 9 2 2 2 5" xfId="58732"/>
    <cellStyle name="Total 9 2 2 2 6" xfId="58733"/>
    <cellStyle name="Total 9 2 2 2 7" xfId="58734"/>
    <cellStyle name="Total 9 2 2 2 8" xfId="58735"/>
    <cellStyle name="Total 9 2 2 2 9" xfId="58736"/>
    <cellStyle name="Total 9 2 2 3" xfId="58737"/>
    <cellStyle name="Total 9 2 2 4" xfId="58738"/>
    <cellStyle name="Total 9 2 2 5" xfId="58739"/>
    <cellStyle name="Total 9 2 2 6" xfId="58740"/>
    <cellStyle name="Total 9 2 2 7" xfId="58741"/>
    <cellStyle name="Total 9 2 2 8" xfId="58742"/>
    <cellStyle name="Total 9 2 2 9" xfId="58743"/>
    <cellStyle name="Total 9 2 3" xfId="58744"/>
    <cellStyle name="Total 9 2 3 10" xfId="58745"/>
    <cellStyle name="Total 9 2 3 11" xfId="58746"/>
    <cellStyle name="Total 9 2 3 2" xfId="58747"/>
    <cellStyle name="Total 9 2 3 3" xfId="58748"/>
    <cellStyle name="Total 9 2 3 4" xfId="58749"/>
    <cellStyle name="Total 9 2 3 5" xfId="58750"/>
    <cellStyle name="Total 9 2 3 6" xfId="58751"/>
    <cellStyle name="Total 9 2 3 7" xfId="58752"/>
    <cellStyle name="Total 9 2 3 8" xfId="58753"/>
    <cellStyle name="Total 9 2 3 9" xfId="58754"/>
    <cellStyle name="Total 9 2 4" xfId="58755"/>
    <cellStyle name="Total 9 2 5" xfId="58756"/>
    <cellStyle name="Total 9 2 6" xfId="58757"/>
    <cellStyle name="Total 9 2 7" xfId="58758"/>
    <cellStyle name="Total 9 2 8" xfId="58759"/>
    <cellStyle name="Total 9 2 9" xfId="58760"/>
    <cellStyle name="Total 9 3" xfId="58761"/>
    <cellStyle name="Total 9 3 10" xfId="58762"/>
    <cellStyle name="Total 9 3 11" xfId="58763"/>
    <cellStyle name="Total 9 3 2" xfId="58764"/>
    <cellStyle name="Total 9 3 2 10" xfId="58765"/>
    <cellStyle name="Total 9 3 2 11" xfId="58766"/>
    <cellStyle name="Total 9 3 2 2" xfId="58767"/>
    <cellStyle name="Total 9 3 2 3" xfId="58768"/>
    <cellStyle name="Total 9 3 2 4" xfId="58769"/>
    <cellStyle name="Total 9 3 2 5" xfId="58770"/>
    <cellStyle name="Total 9 3 2 6" xfId="58771"/>
    <cellStyle name="Total 9 3 2 7" xfId="58772"/>
    <cellStyle name="Total 9 3 2 8" xfId="58773"/>
    <cellStyle name="Total 9 3 2 9" xfId="58774"/>
    <cellStyle name="Total 9 3 3" xfId="58775"/>
    <cellStyle name="Total 9 3 4" xfId="58776"/>
    <cellStyle name="Total 9 3 5" xfId="58777"/>
    <cellStyle name="Total 9 3 6" xfId="58778"/>
    <cellStyle name="Total 9 3 7" xfId="58779"/>
    <cellStyle name="Total 9 3 8" xfId="58780"/>
    <cellStyle name="Total 9 3 9" xfId="58781"/>
    <cellStyle name="Total 9 4" xfId="58782"/>
    <cellStyle name="Total 9 4 10" xfId="58783"/>
    <cellStyle name="Total 9 4 11" xfId="58784"/>
    <cellStyle name="Total 9 4 2" xfId="58785"/>
    <cellStyle name="Total 9 4 3" xfId="58786"/>
    <cellStyle name="Total 9 4 4" xfId="58787"/>
    <cellStyle name="Total 9 4 5" xfId="58788"/>
    <cellStyle name="Total 9 4 6" xfId="58789"/>
    <cellStyle name="Total 9 4 7" xfId="58790"/>
    <cellStyle name="Total 9 4 8" xfId="58791"/>
    <cellStyle name="Total 9 4 9" xfId="58792"/>
    <cellStyle name="Total 9 5" xfId="58793"/>
    <cellStyle name="Total 9 6" xfId="58794"/>
    <cellStyle name="Total 9 7" xfId="58795"/>
    <cellStyle name="Total 9 8" xfId="58796"/>
    <cellStyle name="Total 9 9" xfId="58797"/>
    <cellStyle name="Warning Text 2" xfId="58798"/>
    <cellStyle name="Warning Text 3" xfId="58799"/>
    <cellStyle name="Warning Text 4" xfId="58800"/>
    <cellStyle name="Warning Text 5" xfId="58801"/>
    <cellStyle name="year" xfId="58802"/>
    <cellStyle name="year 2" xfId="58803"/>
    <cellStyle name="year 2 2" xfId="58804"/>
    <cellStyle name="year 2 2 2" xfId="58805"/>
    <cellStyle name="year 2 3" xfId="58806"/>
    <cellStyle name="year 3" xfId="58807"/>
    <cellStyle name="year 3 2" xfId="58808"/>
    <cellStyle name="year 4" xfId="58809"/>
    <cellStyle name="Year A" xfId="58848"/>
    <cellStyle name="Year E" xfId="58849"/>
    <cellStyle name="Year." xfId="58810"/>
    <cellStyle name="Year. 2" xfId="58811"/>
    <cellStyle name="YearA" xfId="58850"/>
    <cellStyle name="YearE" xfId="58851"/>
  </cellStyles>
  <dxfs count="0"/>
  <tableStyles count="0" defaultTableStyle="TableStyleMedium2" defaultPivotStyle="PivotStyleLight16"/>
  <colors>
    <mruColors>
      <color rgb="FFE5E5E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50" Type="http://schemas.openxmlformats.org/officeDocument/2006/relationships/externalLink" Target="externalLinks/externalLink10.xml"/><Relationship Id="rId55" Type="http://schemas.openxmlformats.org/officeDocument/2006/relationships/externalLink" Target="externalLinks/externalLink15.xml"/><Relationship Id="rId63" Type="http://schemas.openxmlformats.org/officeDocument/2006/relationships/externalLink" Target="externalLinks/externalLink2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3" Type="http://schemas.openxmlformats.org/officeDocument/2006/relationships/externalLink" Target="externalLinks/externalLink13.xml"/><Relationship Id="rId58" Type="http://schemas.openxmlformats.org/officeDocument/2006/relationships/externalLink" Target="externalLinks/externalLink1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9.xml"/><Relationship Id="rId57" Type="http://schemas.openxmlformats.org/officeDocument/2006/relationships/externalLink" Target="externalLinks/externalLink17.xml"/><Relationship Id="rId61" Type="http://schemas.openxmlformats.org/officeDocument/2006/relationships/externalLink" Target="externalLinks/externalLink2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externalLink" Target="externalLinks/externalLink12.xml"/><Relationship Id="rId60" Type="http://schemas.openxmlformats.org/officeDocument/2006/relationships/externalLink" Target="externalLinks/externalLink2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externalLink" Target="externalLinks/externalLink8.xml"/><Relationship Id="rId56" Type="http://schemas.openxmlformats.org/officeDocument/2006/relationships/externalLink" Target="externalLinks/externalLink16.xml"/><Relationship Id="rId64" Type="http://schemas.openxmlformats.org/officeDocument/2006/relationships/externalLink" Target="externalLinks/externalLink2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59" Type="http://schemas.openxmlformats.org/officeDocument/2006/relationships/externalLink" Target="externalLinks/externalLink1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54" Type="http://schemas.openxmlformats.org/officeDocument/2006/relationships/externalLink" Target="externalLinks/externalLink14.xml"/><Relationship Id="rId62" Type="http://schemas.openxmlformats.org/officeDocument/2006/relationships/externalLink" Target="externalLinks/externalLink22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02_CON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Modelling%20&amp;%20Analysis\Annual%20Business%20Plan\2014-15\Inputs\06%20Capex\Model\20131004%20Corp%20Capex_Forecasting%20Model%20FY%2015-19%202.1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rimdata\Offline%20Records%20(AC)\AGN%202016-21%20-%20Copy%20of%20Attachment%207.7_SA%20Opex%20Model%20-%20AER%20amendments%20-%20draft%20decision%20-%2016%20November%20201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uldrewa\AppData\Local\Microsoft\Windows\Temporary%20Internet%20Files\Content.Outlook\RUEV4R2R\Final%20RIN%20-%20AGN%20SA%20-%20Regulatory%20template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Modelling%20&amp;%20Analysis\Annual%20Business%20Plan\2015-16\Inputs\06%20Capex\Model\Corp%20Capex_Forecasting%20Model%20FY%2016-20%20MASTER%205.0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tantra\Local%20Settings\Temporary%20Internet%20Files\OLK14\T%20Customer%20extract%20Aug1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Kjo\Local%20Settings\Temporary%20Internet%20Files\OLK7B3\ARC%20Compliance%20Model%20-%202010-11%20ActewAG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&amp;P\NSD%20Finance\Regulatory%20Accounting%20&amp;%20Analysis\GAAR%202013-2017\Modelling\2013-2017%20GAAR%20modelling\2013-17%20GAAR%20model_13%2011-11-11%20Proposed%20c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Modelling%20&amp;%20Analysis\Annual%20Business%20Plan\2014-15\Scenarios\20130924%20ELT%2019%20Nov\Base\Corporate%20Mode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Modelling%20&amp;%20Analysis\Annual%20Business%20Plan\2015-16\Scenarios\20140925%20ELT%2020%20Nov\Base\Plan%20slides%20Linked%20to%20Presentation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IMDATA\TRIM\TEMP\CONTEXT.2816\AER11%202074%20%20Aurora%202012%20-%20multiple%20issues%20addressed%20%20-%20AER%20regulatory%20proposal%20-%20-%20RIN%20template%20confidential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jusli\AppData\Local\Microsoft\Windows\Temporary%20Internet%20Files\Content.Outlook\EKQWP3XN\Analysis\AA15%20-%20JGN%20Opex%20Forecast%20Model%20-%20v18%20-%2010%20Jan%2014%20-%20Reg%20Analysis.xlsb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hley%20Muldrew\SA%20AA\Reset%20RIN\Final%20RIN\Final%20from%20KPMG\Final%20from%20KPMG%20-%20for%20checking\Final%20RIN%20-%20AGN%20SA%20-%20Regulatory%20templates_apa_SPM_Recat_OH%2010%205v3%20-%20for%20KPMG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rzetic\AppData\Local\Microsoft\Windows\Temporary%20Internet%20Files\Content.Outlook\UXXYQDDK\Copy%20of%202012%20GAS%20PA%20Capex%20summary%20TP%20(2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&amp;P\Financial%20Modelling%20&amp;%20Analysis\Regulatory\Final%20Decision%202011-15\SP%20AusNet%20PTRM%20Final%20Decision%20v1.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Alinta34emu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burridg\AppData\Local\Microsoft\Windows\Temporary%20Internet%20Files\Content.Outlook\2KT1SUOH\(AER%20draft%20decision)_AST%20-%20Distribution%20GAAR%20Proposal%20Capex%20Model%20-%2020161216%20-%20Confidential%20(ESC)_S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ER\Gas%20team%202015\Final%20Decision%20Models\ActewAGL\(AER%20final%20decision)_ActewAGL%20Distribution%20-%20Revised%202016-21%20proposal%20-%20Appendix%206.01.01%20Capex%20Forecast%20Model-CONFIDENTIAL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ER\Opex%20modelling\Opex%20proposal%20decompositions\JGN%202014\JGN%20opex%20model%20-%20version%203%20-%20decomposed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moor\Desktop\Corporate%20Model%20SPV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lvana%20Alessandro\Misc\AGP%20AA%20capex%20model%20-%20201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mleco\Local%20Settings\Temporary%20Internet%20Files\OLK25AE\2010%2006%2028%20-%20AA%20-%20Template%20for%20data%20collectio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Modelling%20&amp;%20Analysis\Annual%20Business%20Plan\2015-16\Inputs\06%20Capex\Input%20by%20Sheet%20Name\4_Trans\Network%20Capex%20-%202015_16%20updated%20with%20Trans%20%202014101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&amp;P\Financial%20Modelling%20&amp;%20Analysis\Annual%20Business%20Plan\2011-12\Scenarios\20101217%20ELT%20Draft%205\Base\Corporate%20Mode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PL for BBJC"/>
      <sheetName val="PAR Cons PL"/>
      <sheetName val="PAR PL by Coy"/>
      <sheetName val="SS_CORT_ PL"/>
      <sheetName val="SS_AFIN_ PL"/>
      <sheetName val="PAR CapWork"/>
      <sheetName val="PAR BS by Coy"/>
      <sheetName val="PAR Cashflow"/>
      <sheetName val="HR&amp;SAFETY KPI"/>
      <sheetName val="SHARE KPI"/>
      <sheetName val="DataGraph"/>
      <sheetName val="DataAct"/>
      <sheetName val="DataBud"/>
      <sheetName val="DataActCORT"/>
      <sheetName val="DataBudCORT"/>
      <sheetName val="DataActAFIN"/>
      <sheetName val="DataBudAFIN"/>
      <sheetName val="DataAct Capex"/>
      <sheetName val="DataBud Capex"/>
      <sheetName val="Date"/>
      <sheetName val="PAR PL by Coy (copy)"/>
      <sheetName val="PAR Cashflow (copy)"/>
      <sheetName val="Menu"/>
      <sheetName val="Lookup|Tables"/>
      <sheetName val="Input|Assumptions"/>
      <sheetName val="Index"/>
      <sheetName val="Check|List"/>
      <sheetName val="Input|Escala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Ver_Contrl"/>
      <sheetName val="Assumptions_SC"/>
      <sheetName val="GA_BA"/>
      <sheetName val="Elec_D"/>
      <sheetName val="Gas_D"/>
      <sheetName val="Trans"/>
      <sheetName val="AMI"/>
      <sheetName val="IT"/>
      <sheetName val="General"/>
      <sheetName val="B'mark"/>
      <sheetName val="Current_Yr"/>
      <sheetName val="Calculation_SC"/>
      <sheetName val="Capex_No_FC"/>
      <sheetName val="CFC"/>
      <sheetName val="Capex_Mthly"/>
      <sheetName val="Capex_Fcast_BA_(Crp Mdl)"/>
      <sheetName val="Capex_Yrly"/>
      <sheetName val="Output_SC"/>
      <sheetName val="Capex_SP_FO"/>
      <sheetName val="Budget_FO"/>
      <sheetName val="Cap_OH_CFC_FO"/>
      <sheetName val="Benchmark"/>
      <sheetName val="Benchmark_IT"/>
      <sheetName val="Benchmark_General"/>
      <sheetName val="Lookup_SC"/>
      <sheetName val="Lookup_LU"/>
      <sheetName val="Error_Check"/>
    </sheetNames>
    <sheetDataSet>
      <sheetData sheetId="0">
        <row r="10">
          <cell r="C10" t="str">
            <v>Forecast Capex Spend 1 Error(s)</v>
          </cell>
        </row>
      </sheetData>
      <sheetData sheetId="1"/>
      <sheetData sheetId="2"/>
      <sheetData sheetId="3"/>
      <sheetData sheetId="4">
        <row r="8">
          <cell r="I8">
            <v>2015</v>
          </cell>
        </row>
        <row r="9">
          <cell r="I9">
            <v>3</v>
          </cell>
        </row>
        <row r="11">
          <cell r="I11">
            <v>2014</v>
          </cell>
        </row>
        <row r="13">
          <cell r="I13">
            <v>1000000</v>
          </cell>
        </row>
        <row r="69">
          <cell r="I69">
            <v>0.05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 - Base Year"/>
      <sheetName val="Input - O&amp;M"/>
      <sheetName val="Input - A&amp;G"/>
      <sheetName val="Input - Ntwk Devpmt"/>
      <sheetName val="Input - Non-Base Year Costs"/>
      <sheetName val="Input - Escalation"/>
      <sheetName val="Input - UAFG"/>
      <sheetName val="Input - ARS"/>
      <sheetName val="Input - Insurance"/>
      <sheetName val="Input - Incremental Cost"/>
      <sheetName val="Opex Forecast Summary"/>
      <sheetName val="PTRM Input"/>
      <sheetName val="27 - Customer numbers"/>
      <sheetName val="30 - Network characteristics"/>
      <sheetName val="AER working - throughpcustomers"/>
      <sheetName val="CPI"/>
      <sheetName val="Real nominal converter"/>
      <sheetName val="AGN 2016-21 - Copy of Attachmen"/>
      <sheetName val="AGN%202016-21%20-%20Copy%20of%2"/>
    </sheetNames>
    <definedNames>
      <definedName name="CRCP_y1" refersTo="#REF!"/>
      <definedName name="CRCP_y5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1">
          <cell r="M71">
            <v>1205</v>
          </cell>
        </row>
      </sheetData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2.Escalators"/>
      <sheetName val="3 - Capex summary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31 - Pass throughs"/>
      <sheetName val="7.5 EBSS (AGN)"/>
    </sheetNames>
    <sheetDataSet>
      <sheetData sheetId="0"/>
      <sheetData sheetId="1"/>
      <sheetData sheetId="2">
        <row r="1">
          <cell r="B1" t="str">
            <v>REGULATORY REPORTING STATEMENT</v>
          </cell>
        </row>
        <row r="14">
          <cell r="C14" t="str">
            <v>AGN</v>
          </cell>
        </row>
        <row r="27">
          <cell r="J27" t="str">
            <v>ActewAGL Distribution</v>
          </cell>
          <cell r="K27">
            <v>76670568688</v>
          </cell>
        </row>
        <row r="28">
          <cell r="J28" t="str">
            <v>AGN</v>
          </cell>
          <cell r="K28">
            <v>78551685</v>
          </cell>
        </row>
        <row r="29">
          <cell r="J29" t="str">
            <v>Ausgrid</v>
          </cell>
          <cell r="K29">
            <v>67505337385</v>
          </cell>
        </row>
        <row r="30">
          <cell r="J30" t="str">
            <v>AusNet (D)</v>
          </cell>
          <cell r="K30">
            <v>91064651118</v>
          </cell>
        </row>
        <row r="31">
          <cell r="J31" t="str">
            <v>AusNet (T)</v>
          </cell>
          <cell r="K31">
            <v>78079798173</v>
          </cell>
        </row>
        <row r="32">
          <cell r="J32" t="str">
            <v>Citipower</v>
          </cell>
          <cell r="K32">
            <v>76064651056</v>
          </cell>
        </row>
        <row r="33">
          <cell r="J33" t="str">
            <v>Electranet</v>
          </cell>
          <cell r="K33">
            <v>41094482416</v>
          </cell>
        </row>
        <row r="34">
          <cell r="J34" t="str">
            <v>Endeavour Energy</v>
          </cell>
          <cell r="K34">
            <v>59253130878</v>
          </cell>
        </row>
        <row r="35">
          <cell r="C35" t="str">
            <v>2016-17</v>
          </cell>
          <cell r="D35" t="str">
            <v>2017-18</v>
          </cell>
          <cell r="E35" t="str">
            <v>2018-19</v>
          </cell>
          <cell r="F35" t="str">
            <v>2019-20</v>
          </cell>
          <cell r="G35" t="str">
            <v>2020-21</v>
          </cell>
          <cell r="J35" t="str">
            <v>Energex</v>
          </cell>
          <cell r="K35">
            <v>40078849055</v>
          </cell>
        </row>
        <row r="36">
          <cell r="J36" t="str">
            <v>Ergon Energy</v>
          </cell>
          <cell r="K36">
            <v>50087646062</v>
          </cell>
        </row>
        <row r="37">
          <cell r="J37" t="str">
            <v>Essential Energy</v>
          </cell>
          <cell r="K37">
            <v>37428185226</v>
          </cell>
        </row>
        <row r="38">
          <cell r="C38" t="str">
            <v>2011-12</v>
          </cell>
          <cell r="D38" t="str">
            <v>2012-13</v>
          </cell>
          <cell r="E38" t="str">
            <v>2013-14</v>
          </cell>
          <cell r="F38" t="str">
            <v>2014-15</v>
          </cell>
          <cell r="G38" t="str">
            <v>2015-16</v>
          </cell>
          <cell r="J38" t="str">
            <v>Jemena Electricity</v>
          </cell>
          <cell r="K38">
            <v>82064651083</v>
          </cell>
        </row>
        <row r="39">
          <cell r="J39" t="str">
            <v>Powercor Australia</v>
          </cell>
          <cell r="K39">
            <v>89064651109</v>
          </cell>
        </row>
        <row r="40">
          <cell r="J40" t="str">
            <v>Powerlink</v>
          </cell>
          <cell r="K40">
            <v>82078849233</v>
          </cell>
        </row>
        <row r="41">
          <cell r="C41" t="str">
            <v>2006-07</v>
          </cell>
          <cell r="D41" t="str">
            <v>2007-08</v>
          </cell>
          <cell r="E41" t="str">
            <v>2008-09</v>
          </cell>
          <cell r="F41" t="str">
            <v>2009-10</v>
          </cell>
          <cell r="G41" t="str">
            <v>2010-11</v>
          </cell>
          <cell r="J41" t="str">
            <v>Qld,SA &amp;ACT Gas Reset</v>
          </cell>
          <cell r="K41">
            <v>22222222222</v>
          </cell>
        </row>
        <row r="42">
          <cell r="J42" t="str">
            <v>SA Power Networks</v>
          </cell>
          <cell r="K42">
            <v>13332330749</v>
          </cell>
        </row>
        <row r="43">
          <cell r="J43" t="str">
            <v>TasNetworks (D)</v>
          </cell>
          <cell r="K43">
            <v>24167357299</v>
          </cell>
        </row>
        <row r="44">
          <cell r="J44" t="str">
            <v>TasNetworks (T)</v>
          </cell>
          <cell r="K44">
            <v>24167357299</v>
          </cell>
        </row>
        <row r="45">
          <cell r="J45" t="str">
            <v>TransGrid</v>
          </cell>
          <cell r="K45">
            <v>19622755774</v>
          </cell>
        </row>
        <row r="46">
          <cell r="J46" t="str">
            <v>United Energy</v>
          </cell>
          <cell r="K46">
            <v>70064651029</v>
          </cell>
        </row>
        <row r="47">
          <cell r="J47" t="str">
            <v>Victorian DNSP Backcasting</v>
          </cell>
          <cell r="K47">
            <v>33333333666</v>
          </cell>
        </row>
        <row r="48">
          <cell r="C48" t="str">
            <v>Financial</v>
          </cell>
          <cell r="J48" t="str">
            <v xml:space="preserve">Victorian DNSP Reset </v>
          </cell>
          <cell r="K48">
            <v>33333333333</v>
          </cell>
        </row>
        <row r="49">
          <cell r="C49" t="str">
            <v>Reset</v>
          </cell>
        </row>
        <row r="55">
          <cell r="C55" t="str">
            <v>June 2016</v>
          </cell>
        </row>
        <row r="56">
          <cell r="C56" t="str">
            <v>June 2011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9">
          <cell r="B19" t="str">
            <v>Mains</v>
          </cell>
        </row>
        <row r="20">
          <cell r="B20" t="str">
            <v>Inlets</v>
          </cell>
        </row>
        <row r="21">
          <cell r="B21" t="str">
            <v>Meters</v>
          </cell>
        </row>
        <row r="22">
          <cell r="B22" t="str">
            <v>Telemetry</v>
          </cell>
        </row>
        <row r="23">
          <cell r="B23" t="str">
            <v>IT system</v>
          </cell>
        </row>
        <row r="24">
          <cell r="B24" t="str">
            <v>Other distribution equipment</v>
          </cell>
        </row>
        <row r="25">
          <cell r="B25" t="str">
            <v>Other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Ver_Contrl"/>
      <sheetName val="Change_Reco"/>
      <sheetName val="Assumptions_SC"/>
      <sheetName val="GA_BA"/>
      <sheetName val="Elec_D"/>
      <sheetName val="Gas_D"/>
      <sheetName val="Trans"/>
      <sheetName val="AMI"/>
      <sheetName val="IT"/>
      <sheetName val="General"/>
      <sheetName val="B'mark"/>
      <sheetName val="Current_Yr"/>
      <sheetName val="Calculation_SC"/>
      <sheetName val="Capex_No_FC"/>
      <sheetName val="CFC"/>
      <sheetName val="Capex_Mthly"/>
      <sheetName val="Capex_Fcast_BA_(Crp Mdl)"/>
      <sheetName val="Capex_Yrly"/>
      <sheetName val="Output_SC"/>
      <sheetName val="Cap_OH_CFC_FO"/>
      <sheetName val="Capex_SP_FO"/>
      <sheetName val="Benchmark"/>
      <sheetName val="Benchmark_Network"/>
      <sheetName val="Benchmark_IT"/>
      <sheetName val="Benchmark_General"/>
      <sheetName val="Benchmark Ex-Post"/>
      <sheetName val="ED_Cut_BO"/>
      <sheetName val="Lookup_SC"/>
      <sheetName val="Lookup_LU"/>
      <sheetName val="Sponsors_LU"/>
      <sheetName val="Error_Check"/>
    </sheetNames>
    <sheetDataSet>
      <sheetData sheetId="0">
        <row r="10">
          <cell r="C10" t="str">
            <v>Forecast Capex Spend 1 Error(s)</v>
          </cell>
        </row>
      </sheetData>
      <sheetData sheetId="1"/>
      <sheetData sheetId="2"/>
      <sheetData sheetId="3"/>
      <sheetData sheetId="4"/>
      <sheetData sheetId="5">
        <row r="8">
          <cell r="I8">
            <v>2016</v>
          </cell>
        </row>
        <row r="10">
          <cell r="I10">
            <v>2015</v>
          </cell>
        </row>
      </sheetData>
      <sheetData sheetId="6">
        <row r="67">
          <cell r="H67">
            <v>10122137.404580152</v>
          </cell>
        </row>
      </sheetData>
      <sheetData sheetId="7"/>
      <sheetData sheetId="8"/>
      <sheetData sheetId="9"/>
      <sheetData sheetId="10">
        <row r="62">
          <cell r="H62">
            <v>0</v>
          </cell>
        </row>
      </sheetData>
      <sheetData sheetId="11">
        <row r="49">
          <cell r="H49">
            <v>-11787387.946870489</v>
          </cell>
        </row>
      </sheetData>
      <sheetData sheetId="12">
        <row r="6">
          <cell r="H6">
            <v>2009</v>
          </cell>
        </row>
      </sheetData>
      <sheetData sheetId="13">
        <row r="52">
          <cell r="I52">
            <v>102.4666749557628</v>
          </cell>
        </row>
      </sheetData>
      <sheetData sheetId="14"/>
      <sheetData sheetId="15">
        <row r="145">
          <cell r="I145">
            <v>2015</v>
          </cell>
        </row>
      </sheetData>
      <sheetData sheetId="16"/>
      <sheetData sheetId="17">
        <row r="13">
          <cell r="E13" t="str">
            <v>Electricity Distribution Customer Initiated</v>
          </cell>
        </row>
      </sheetData>
      <sheetData sheetId="18"/>
      <sheetData sheetId="19">
        <row r="8">
          <cell r="H8">
            <v>2016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0">
          <cell r="K10">
            <v>2012</v>
          </cell>
        </row>
        <row r="40">
          <cell r="N40">
            <v>1.0277647058823529</v>
          </cell>
        </row>
      </sheetData>
      <sheetData sheetId="31"/>
      <sheetData sheetId="3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Data"/>
    </sheetNames>
    <sheetDataSet>
      <sheetData sheetId="0"/>
      <sheetData sheetId="1">
        <row r="1">
          <cell r="A1" t="str">
            <v>Area</v>
          </cell>
          <cell r="L1" t="str">
            <v>Ref</v>
          </cell>
        </row>
        <row r="2">
          <cell r="L2" t="str">
            <v>Z422</v>
          </cell>
        </row>
        <row r="3">
          <cell r="L3" t="str">
            <v>Z423</v>
          </cell>
        </row>
        <row r="4">
          <cell r="L4" t="str">
            <v>V4M1</v>
          </cell>
        </row>
        <row r="5">
          <cell r="L5" t="str">
            <v>V517</v>
          </cell>
        </row>
        <row r="6">
          <cell r="L6" t="str">
            <v>U448</v>
          </cell>
        </row>
        <row r="7">
          <cell r="L7" t="str">
            <v>U450</v>
          </cell>
        </row>
        <row r="8">
          <cell r="L8" t="str">
            <v>P375</v>
          </cell>
        </row>
        <row r="9">
          <cell r="L9" t="str">
            <v>P356</v>
          </cell>
        </row>
        <row r="10">
          <cell r="L10" t="str">
            <v>P463</v>
          </cell>
        </row>
        <row r="11">
          <cell r="L11" t="str">
            <v>P469</v>
          </cell>
        </row>
        <row r="12">
          <cell r="L12" t="str">
            <v>P534</v>
          </cell>
        </row>
        <row r="13">
          <cell r="L13" t="str">
            <v>U407</v>
          </cell>
        </row>
        <row r="14">
          <cell r="L14" t="str">
            <v>U345</v>
          </cell>
        </row>
        <row r="15">
          <cell r="L15" t="str">
            <v>U440</v>
          </cell>
        </row>
        <row r="16">
          <cell r="L16" t="str">
            <v>U534</v>
          </cell>
        </row>
        <row r="17">
          <cell r="L17" t="str">
            <v>V4B2</v>
          </cell>
        </row>
        <row r="18">
          <cell r="L18" t="str">
            <v>U410</v>
          </cell>
        </row>
        <row r="19">
          <cell r="L19" t="str">
            <v>U411</v>
          </cell>
        </row>
        <row r="20">
          <cell r="L20" t="str">
            <v>U414</v>
          </cell>
        </row>
        <row r="21">
          <cell r="L21" t="str">
            <v>U418</v>
          </cell>
        </row>
        <row r="22">
          <cell r="L22" t="str">
            <v>U421</v>
          </cell>
        </row>
        <row r="23">
          <cell r="L23" t="str">
            <v>U422</v>
          </cell>
        </row>
        <row r="24">
          <cell r="L24" t="str">
            <v>U423</v>
          </cell>
        </row>
        <row r="25">
          <cell r="L25" t="str">
            <v>U424</v>
          </cell>
        </row>
        <row r="26">
          <cell r="L26" t="str">
            <v>U426</v>
          </cell>
        </row>
        <row r="27">
          <cell r="L27" t="str">
            <v>U427</v>
          </cell>
        </row>
        <row r="28">
          <cell r="L28" t="str">
            <v>U437</v>
          </cell>
        </row>
        <row r="29">
          <cell r="L29" t="str">
            <v>U439</v>
          </cell>
        </row>
        <row r="30">
          <cell r="L30" t="str">
            <v>U444</v>
          </cell>
        </row>
        <row r="31">
          <cell r="L31" t="str">
            <v>U445</v>
          </cell>
        </row>
        <row r="32">
          <cell r="L32" t="str">
            <v>U451</v>
          </cell>
        </row>
        <row r="33">
          <cell r="L33" t="str">
            <v>U452</v>
          </cell>
        </row>
        <row r="34">
          <cell r="L34" t="str">
            <v>U455</v>
          </cell>
        </row>
        <row r="35">
          <cell r="L35" t="str">
            <v>U501</v>
          </cell>
        </row>
        <row r="36">
          <cell r="L36" t="str">
            <v>U504</v>
          </cell>
        </row>
        <row r="37">
          <cell r="L37" t="str">
            <v>U520</v>
          </cell>
        </row>
        <row r="38">
          <cell r="L38" t="str">
            <v>U524</v>
          </cell>
        </row>
        <row r="39">
          <cell r="L39" t="str">
            <v>U545</v>
          </cell>
        </row>
        <row r="40">
          <cell r="L40" t="str">
            <v>U301</v>
          </cell>
        </row>
        <row r="41">
          <cell r="L41" t="str">
            <v>U405</v>
          </cell>
        </row>
        <row r="42">
          <cell r="L42" t="str">
            <v>U432</v>
          </cell>
        </row>
        <row r="43">
          <cell r="L43" t="str">
            <v>U436</v>
          </cell>
        </row>
        <row r="44">
          <cell r="L44" t="str">
            <v>U453</v>
          </cell>
        </row>
        <row r="45">
          <cell r="L45" t="str">
            <v>U507</v>
          </cell>
        </row>
        <row r="46">
          <cell r="L46" t="str">
            <v>U514</v>
          </cell>
        </row>
        <row r="47">
          <cell r="L47" t="str">
            <v>U517</v>
          </cell>
        </row>
        <row r="48">
          <cell r="L48" t="str">
            <v>U518</v>
          </cell>
        </row>
        <row r="49">
          <cell r="L49" t="str">
            <v>U519</v>
          </cell>
        </row>
        <row r="50">
          <cell r="L50" t="str">
            <v>U521</v>
          </cell>
        </row>
        <row r="51">
          <cell r="L51" t="str">
            <v>U522</v>
          </cell>
        </row>
        <row r="52">
          <cell r="L52" t="str">
            <v>U523</v>
          </cell>
        </row>
        <row r="53">
          <cell r="L53" t="str">
            <v>U525</v>
          </cell>
        </row>
        <row r="54">
          <cell r="L54" t="str">
            <v>U526</v>
          </cell>
        </row>
        <row r="55">
          <cell r="L55" t="str">
            <v>U527</v>
          </cell>
        </row>
        <row r="56">
          <cell r="L56" t="str">
            <v>U528</v>
          </cell>
        </row>
        <row r="57">
          <cell r="L57" t="str">
            <v>U530</v>
          </cell>
        </row>
        <row r="58">
          <cell r="L58" t="str">
            <v>U535</v>
          </cell>
        </row>
        <row r="59">
          <cell r="L59" t="str">
            <v>U536</v>
          </cell>
        </row>
        <row r="60">
          <cell r="L60" t="str">
            <v>U537</v>
          </cell>
        </row>
        <row r="61">
          <cell r="L61" t="str">
            <v>U539</v>
          </cell>
        </row>
        <row r="62">
          <cell r="L62" t="str">
            <v>U540</v>
          </cell>
        </row>
        <row r="63">
          <cell r="L63" t="str">
            <v>U541</v>
          </cell>
        </row>
        <row r="64">
          <cell r="L64" t="str">
            <v>U542</v>
          </cell>
        </row>
        <row r="65">
          <cell r="L65" t="str">
            <v>U546</v>
          </cell>
        </row>
        <row r="66">
          <cell r="L66" t="str">
            <v>U548</v>
          </cell>
        </row>
        <row r="67">
          <cell r="L67" t="str">
            <v>U549</v>
          </cell>
        </row>
        <row r="68">
          <cell r="L68" t="str">
            <v>U550</v>
          </cell>
        </row>
        <row r="69">
          <cell r="L69" t="str">
            <v>U551</v>
          </cell>
        </row>
        <row r="70">
          <cell r="L70" t="str">
            <v>U552</v>
          </cell>
        </row>
        <row r="71">
          <cell r="L71" t="str">
            <v>U554</v>
          </cell>
        </row>
        <row r="72">
          <cell r="L72" t="str">
            <v>U556</v>
          </cell>
        </row>
        <row r="73">
          <cell r="L73" t="str">
            <v>U557</v>
          </cell>
        </row>
        <row r="74">
          <cell r="L74" t="str">
            <v>U605</v>
          </cell>
        </row>
        <row r="75">
          <cell r="L75" t="str">
            <v>U606</v>
          </cell>
        </row>
        <row r="76">
          <cell r="L76" t="str">
            <v>U616</v>
          </cell>
        </row>
        <row r="77">
          <cell r="L77" t="str">
            <v>U623</v>
          </cell>
        </row>
        <row r="78">
          <cell r="L78" t="str">
            <v>U630</v>
          </cell>
        </row>
        <row r="79">
          <cell r="L79" t="str">
            <v>U634</v>
          </cell>
        </row>
        <row r="80">
          <cell r="L80" t="str">
            <v>U635</v>
          </cell>
        </row>
        <row r="81">
          <cell r="L81" t="str">
            <v>U636</v>
          </cell>
        </row>
        <row r="82">
          <cell r="L82" t="str">
            <v>U637</v>
          </cell>
        </row>
        <row r="83">
          <cell r="L83" t="str">
            <v>U224</v>
          </cell>
        </row>
        <row r="84">
          <cell r="L84" t="str">
            <v>U302</v>
          </cell>
        </row>
        <row r="85">
          <cell r="L85" t="str">
            <v>U320</v>
          </cell>
        </row>
        <row r="86">
          <cell r="L86" t="str">
            <v>U344</v>
          </cell>
        </row>
        <row r="87">
          <cell r="L87" t="str">
            <v>U346</v>
          </cell>
        </row>
        <row r="88">
          <cell r="L88" t="str">
            <v>U352</v>
          </cell>
        </row>
        <row r="89">
          <cell r="L89" t="str">
            <v>U357</v>
          </cell>
        </row>
        <row r="90">
          <cell r="L90" t="str">
            <v>U403</v>
          </cell>
        </row>
        <row r="91">
          <cell r="L91" t="str">
            <v>U413</v>
          </cell>
        </row>
        <row r="92">
          <cell r="L92" t="str">
            <v>U415</v>
          </cell>
        </row>
        <row r="93">
          <cell r="L93" t="str">
            <v>U416</v>
          </cell>
        </row>
        <row r="94">
          <cell r="L94" t="str">
            <v>U417</v>
          </cell>
        </row>
        <row r="95">
          <cell r="L95" t="str">
            <v>U425</v>
          </cell>
        </row>
        <row r="96">
          <cell r="L96" t="str">
            <v>U429</v>
          </cell>
        </row>
        <row r="97">
          <cell r="L97" t="str">
            <v>U430</v>
          </cell>
        </row>
        <row r="98">
          <cell r="L98" t="str">
            <v>U433</v>
          </cell>
        </row>
        <row r="99">
          <cell r="L99" t="str">
            <v>U438</v>
          </cell>
        </row>
        <row r="100">
          <cell r="L100" t="str">
            <v>U441</v>
          </cell>
        </row>
        <row r="101">
          <cell r="L101" t="str">
            <v>U443</v>
          </cell>
        </row>
        <row r="102">
          <cell r="L102" t="str">
            <v>U449</v>
          </cell>
        </row>
        <row r="103">
          <cell r="L103" t="str">
            <v>U506</v>
          </cell>
        </row>
        <row r="104">
          <cell r="L104" t="str">
            <v>U626</v>
          </cell>
        </row>
        <row r="105">
          <cell r="L105" t="str">
            <v>S603</v>
          </cell>
        </row>
        <row r="106">
          <cell r="L106" t="str">
            <v>S604</v>
          </cell>
        </row>
        <row r="107">
          <cell r="L107" t="str">
            <v>S607</v>
          </cell>
        </row>
        <row r="108">
          <cell r="L108" t="str">
            <v>S608</v>
          </cell>
        </row>
        <row r="109">
          <cell r="L109" t="str">
            <v>S702</v>
          </cell>
        </row>
        <row r="110">
          <cell r="L110" t="str">
            <v>U609</v>
          </cell>
        </row>
        <row r="111">
          <cell r="L111" t="str">
            <v>U610</v>
          </cell>
        </row>
        <row r="112">
          <cell r="L112" t="str">
            <v>U612</v>
          </cell>
        </row>
        <row r="113">
          <cell r="L113" t="str">
            <v>U613</v>
          </cell>
        </row>
        <row r="114">
          <cell r="L114" t="str">
            <v>U615</v>
          </cell>
        </row>
        <row r="115">
          <cell r="L115" t="str">
            <v>U638</v>
          </cell>
        </row>
        <row r="116">
          <cell r="L116" t="str">
            <v>U516</v>
          </cell>
        </row>
        <row r="117">
          <cell r="L117" t="str">
            <v>U600</v>
          </cell>
        </row>
        <row r="118">
          <cell r="L118" t="str">
            <v>U601</v>
          </cell>
        </row>
        <row r="119">
          <cell r="L119" t="str">
            <v>U602</v>
          </cell>
        </row>
        <row r="120">
          <cell r="L120" t="str">
            <v>U603</v>
          </cell>
        </row>
        <row r="121">
          <cell r="L121" t="str">
            <v>U607</v>
          </cell>
        </row>
        <row r="122">
          <cell r="L122" t="str">
            <v>U611</v>
          </cell>
        </row>
        <row r="123">
          <cell r="L123" t="str">
            <v>U625</v>
          </cell>
        </row>
        <row r="124">
          <cell r="L124" t="str">
            <v>U639</v>
          </cell>
        </row>
        <row r="125">
          <cell r="L125" t="str">
            <v>V4H1</v>
          </cell>
        </row>
        <row r="126">
          <cell r="L126" t="str">
            <v>Z432</v>
          </cell>
        </row>
        <row r="127">
          <cell r="L127" t="str">
            <v>U442</v>
          </cell>
        </row>
        <row r="128">
          <cell r="L128" t="str">
            <v>V4A9</v>
          </cell>
        </row>
        <row r="129">
          <cell r="L129" t="str">
            <v>V4G8</v>
          </cell>
        </row>
        <row r="130">
          <cell r="L130" t="str">
            <v>W406</v>
          </cell>
        </row>
        <row r="131">
          <cell r="L131" t="str">
            <v>V4A5</v>
          </cell>
        </row>
        <row r="132">
          <cell r="L132" t="str">
            <v>V4E3</v>
          </cell>
        </row>
        <row r="133">
          <cell r="L133" t="str">
            <v>V4B3</v>
          </cell>
        </row>
        <row r="134">
          <cell r="L134" t="str">
            <v>V4B4</v>
          </cell>
        </row>
        <row r="135">
          <cell r="L135" t="str">
            <v>V4B5</v>
          </cell>
        </row>
        <row r="136">
          <cell r="L136" t="str">
            <v>V4C2</v>
          </cell>
        </row>
        <row r="137">
          <cell r="L137" t="str">
            <v>V4D5</v>
          </cell>
        </row>
        <row r="138">
          <cell r="L138" t="str">
            <v>V4D8</v>
          </cell>
        </row>
        <row r="139">
          <cell r="L139" t="str">
            <v>V4E5</v>
          </cell>
        </row>
        <row r="140">
          <cell r="L140" t="str">
            <v>V4F8</v>
          </cell>
        </row>
        <row r="141">
          <cell r="L141" t="str">
            <v>V4G7</v>
          </cell>
        </row>
        <row r="142">
          <cell r="L142" t="str">
            <v>V4K3</v>
          </cell>
        </row>
        <row r="143">
          <cell r="L143" t="str">
            <v>V4M7</v>
          </cell>
        </row>
        <row r="144">
          <cell r="L144" t="str">
            <v>V4R2</v>
          </cell>
        </row>
        <row r="145">
          <cell r="L145" t="str">
            <v>V592</v>
          </cell>
        </row>
        <row r="146">
          <cell r="L146" t="str">
            <v>V4F4</v>
          </cell>
        </row>
        <row r="147">
          <cell r="L147" t="str">
            <v>V520</v>
          </cell>
        </row>
        <row r="148">
          <cell r="L148" t="str">
            <v>V523</v>
          </cell>
        </row>
        <row r="149">
          <cell r="L149" t="str">
            <v>V4N2</v>
          </cell>
        </row>
        <row r="150">
          <cell r="L150" t="str">
            <v>V4N6</v>
          </cell>
        </row>
        <row r="151">
          <cell r="L151" t="str">
            <v>V4N7</v>
          </cell>
        </row>
        <row r="152">
          <cell r="L152" t="str">
            <v>V4J4</v>
          </cell>
        </row>
        <row r="153">
          <cell r="L153" t="str">
            <v>V4A7</v>
          </cell>
        </row>
        <row r="154">
          <cell r="L154" t="str">
            <v>Z323</v>
          </cell>
        </row>
        <row r="155">
          <cell r="L155" t="str">
            <v>Z425</v>
          </cell>
        </row>
        <row r="156">
          <cell r="L156" t="str">
            <v>Z427</v>
          </cell>
        </row>
        <row r="157">
          <cell r="L157" t="str">
            <v>V4F7</v>
          </cell>
        </row>
        <row r="158">
          <cell r="L158" t="str">
            <v>U510</v>
          </cell>
        </row>
        <row r="159">
          <cell r="L159" t="str">
            <v>U559</v>
          </cell>
        </row>
        <row r="160">
          <cell r="L160" t="str">
            <v>E700</v>
          </cell>
        </row>
        <row r="161">
          <cell r="L161" t="str">
            <v>V4A8</v>
          </cell>
        </row>
        <row r="162">
          <cell r="L162" t="str">
            <v>V4B6</v>
          </cell>
        </row>
        <row r="163">
          <cell r="L163" t="str">
            <v>V4B8</v>
          </cell>
        </row>
        <row r="164">
          <cell r="L164" t="str">
            <v>V4B9</v>
          </cell>
        </row>
        <row r="165">
          <cell r="L165" t="str">
            <v>V4E1</v>
          </cell>
        </row>
        <row r="166">
          <cell r="L166" t="str">
            <v>V4E7</v>
          </cell>
        </row>
        <row r="167">
          <cell r="L167" t="str">
            <v>V4H9</v>
          </cell>
        </row>
        <row r="168">
          <cell r="L168" t="str">
            <v>V4L8</v>
          </cell>
        </row>
        <row r="169">
          <cell r="L169" t="str">
            <v>V4G9</v>
          </cell>
        </row>
        <row r="170">
          <cell r="L170" t="str">
            <v>V4J7</v>
          </cell>
        </row>
        <row r="171">
          <cell r="L171" t="str">
            <v>V4K2</v>
          </cell>
        </row>
        <row r="172">
          <cell r="L172" t="str">
            <v>V4Q2</v>
          </cell>
        </row>
        <row r="173">
          <cell r="L173" t="str">
            <v>V4R0</v>
          </cell>
        </row>
        <row r="174">
          <cell r="L174" t="str">
            <v>V4L5</v>
          </cell>
        </row>
        <row r="175">
          <cell r="L175" t="str">
            <v>V4N0</v>
          </cell>
        </row>
        <row r="176">
          <cell r="L176" t="str">
            <v>V4J9</v>
          </cell>
        </row>
        <row r="177">
          <cell r="L177" t="str">
            <v>V4M9</v>
          </cell>
        </row>
        <row r="178">
          <cell r="L178" t="str">
            <v>V4J6</v>
          </cell>
        </row>
        <row r="179">
          <cell r="L179" t="str">
            <v>V4J8</v>
          </cell>
        </row>
        <row r="180">
          <cell r="L180" t="str">
            <v>V4L6</v>
          </cell>
        </row>
        <row r="181">
          <cell r="L181" t="str">
            <v>V4P3</v>
          </cell>
        </row>
        <row r="182">
          <cell r="L182" t="str">
            <v>V4Q1</v>
          </cell>
        </row>
        <row r="183">
          <cell r="L183" t="str">
            <v>V498</v>
          </cell>
        </row>
        <row r="184">
          <cell r="L184" t="str">
            <v>V4A3</v>
          </cell>
        </row>
        <row r="185">
          <cell r="L185" t="str">
            <v>V4D7</v>
          </cell>
        </row>
        <row r="186">
          <cell r="L186" t="str">
            <v>V4F2</v>
          </cell>
        </row>
        <row r="187">
          <cell r="L187" t="str">
            <v>V4N3</v>
          </cell>
        </row>
        <row r="188">
          <cell r="L188" t="str">
            <v>U412</v>
          </cell>
        </row>
        <row r="189">
          <cell r="L189" t="str">
            <v>U434</v>
          </cell>
        </row>
        <row r="190">
          <cell r="L190" t="str">
            <v>U435</v>
          </cell>
        </row>
        <row r="191">
          <cell r="L191" t="str">
            <v>Z426</v>
          </cell>
        </row>
        <row r="192">
          <cell r="L192" t="str">
            <v>V4H7</v>
          </cell>
        </row>
        <row r="193">
          <cell r="L193" t="str">
            <v>V4P0</v>
          </cell>
        </row>
        <row r="194">
          <cell r="L194" t="str">
            <v>V4Q8</v>
          </cell>
        </row>
        <row r="195">
          <cell r="L195" t="str">
            <v>V537</v>
          </cell>
        </row>
        <row r="196">
          <cell r="L196" t="str">
            <v>V512</v>
          </cell>
        </row>
        <row r="197">
          <cell r="L197" t="str">
            <v>X451</v>
          </cell>
        </row>
        <row r="198">
          <cell r="L198" t="str">
            <v>V4G4</v>
          </cell>
        </row>
        <row r="199">
          <cell r="L199" t="str">
            <v>V4A6</v>
          </cell>
        </row>
        <row r="200">
          <cell r="L200" t="str">
            <v>SVDM079</v>
          </cell>
        </row>
        <row r="201">
          <cell r="L201" t="str">
            <v>10075568</v>
          </cell>
        </row>
        <row r="202">
          <cell r="L202" t="str">
            <v>10080511</v>
          </cell>
        </row>
        <row r="203">
          <cell r="L203" t="str">
            <v>10349106</v>
          </cell>
        </row>
        <row r="204">
          <cell r="L204" t="str">
            <v>9100OAW</v>
          </cell>
        </row>
        <row r="205">
          <cell r="L205" t="str">
            <v>V4N1</v>
          </cell>
        </row>
        <row r="206">
          <cell r="L206" t="str">
            <v>74182155</v>
          </cell>
        </row>
        <row r="207">
          <cell r="L207" t="str">
            <v>74192470</v>
          </cell>
        </row>
        <row r="208">
          <cell r="L208" t="str">
            <v>74294702</v>
          </cell>
        </row>
        <row r="209">
          <cell r="L209" t="str">
            <v>80000613</v>
          </cell>
        </row>
        <row r="210">
          <cell r="L210" t="str">
            <v>74166130</v>
          </cell>
        </row>
        <row r="211">
          <cell r="L211" t="str">
            <v>74154614</v>
          </cell>
        </row>
        <row r="212">
          <cell r="L212" t="str">
            <v>74170560</v>
          </cell>
        </row>
        <row r="213">
          <cell r="L213" t="str">
            <v>80000923</v>
          </cell>
        </row>
        <row r="214">
          <cell r="L214" t="str">
            <v>80000683</v>
          </cell>
        </row>
        <row r="215">
          <cell r="L215" t="str">
            <v>74296549</v>
          </cell>
        </row>
        <row r="216">
          <cell r="L216" t="str">
            <v>DMSIMRO</v>
          </cell>
        </row>
        <row r="217">
          <cell r="L217" t="str">
            <v>DMSIMRO R&amp;D</v>
          </cell>
        </row>
        <row r="218">
          <cell r="L218" t="str">
            <v>BSMISCIT</v>
          </cell>
        </row>
        <row r="219">
          <cell r="L219" t="str">
            <v>FIREVEG9</v>
          </cell>
        </row>
        <row r="220">
          <cell r="L220" t="str">
            <v>74299924</v>
          </cell>
        </row>
        <row r="221">
          <cell r="L221" t="str">
            <v>74177369</v>
          </cell>
        </row>
        <row r="222">
          <cell r="L222" t="str">
            <v>74200469</v>
          </cell>
        </row>
        <row r="223">
          <cell r="L223" t="str">
            <v>74309123</v>
          </cell>
        </row>
        <row r="224">
          <cell r="L224" t="str">
            <v>74309124</v>
          </cell>
        </row>
        <row r="225">
          <cell r="L225" t="str">
            <v>74289502</v>
          </cell>
        </row>
        <row r="226">
          <cell r="L226" t="str">
            <v>010B2183</v>
          </cell>
        </row>
        <row r="227">
          <cell r="L227" t="str">
            <v>ZD9417</v>
          </cell>
        </row>
        <row r="228">
          <cell r="L228" t="str">
            <v>80000601</v>
          </cell>
        </row>
        <row r="229">
          <cell r="L229" t="str">
            <v>74177533</v>
          </cell>
        </row>
        <row r="230">
          <cell r="L230" t="str">
            <v>74247768</v>
          </cell>
        </row>
        <row r="231">
          <cell r="L231" t="str">
            <v>CDBS0174</v>
          </cell>
        </row>
        <row r="232">
          <cell r="L232" t="str">
            <v>CDBS0176</v>
          </cell>
        </row>
        <row r="233">
          <cell r="L233" t="str">
            <v>74274024</v>
          </cell>
        </row>
        <row r="234">
          <cell r="L234" t="str">
            <v>LA01</v>
          </cell>
        </row>
        <row r="235">
          <cell r="L235" t="str">
            <v>74294642</v>
          </cell>
        </row>
        <row r="236">
          <cell r="L236" t="str">
            <v>CDBS0012</v>
          </cell>
        </row>
        <row r="237">
          <cell r="L237" t="str">
            <v>74288104</v>
          </cell>
        </row>
        <row r="238">
          <cell r="L238" t="str">
            <v>74318884</v>
          </cell>
        </row>
        <row r="239">
          <cell r="L239" t="str">
            <v>Ddrawingings</v>
          </cell>
        </row>
        <row r="240">
          <cell r="L240" t="str">
            <v>80000419</v>
          </cell>
        </row>
        <row r="241">
          <cell r="L241" t="str">
            <v>74307879</v>
          </cell>
        </row>
        <row r="242">
          <cell r="L242" t="str">
            <v>74184798</v>
          </cell>
        </row>
        <row r="243">
          <cell r="L243" t="str">
            <v>74190888</v>
          </cell>
        </row>
        <row r="244">
          <cell r="L244" t="str">
            <v>74141181</v>
          </cell>
        </row>
        <row r="245">
          <cell r="L245" t="str">
            <v>80000261</v>
          </cell>
        </row>
        <row r="246">
          <cell r="L246" t="str">
            <v>74316703</v>
          </cell>
        </row>
        <row r="247">
          <cell r="L247" t="str">
            <v>74252226</v>
          </cell>
        </row>
        <row r="248">
          <cell r="L248" t="str">
            <v>DATADOTD</v>
          </cell>
        </row>
        <row r="249">
          <cell r="L249" t="str">
            <v>SUPEMGT</v>
          </cell>
        </row>
        <row r="250">
          <cell r="L250" t="str">
            <v>ZD8047</v>
          </cell>
        </row>
        <row r="251">
          <cell r="L251" t="str">
            <v>74218456</v>
          </cell>
        </row>
        <row r="252">
          <cell r="L252" t="str">
            <v>CD635</v>
          </cell>
        </row>
        <row r="253">
          <cell r="L253" t="str">
            <v>AMITRIALS2</v>
          </cell>
        </row>
        <row r="254">
          <cell r="L254" t="str">
            <v>74186848</v>
          </cell>
        </row>
        <row r="255">
          <cell r="L255" t="str">
            <v>74175555</v>
          </cell>
        </row>
        <row r="256">
          <cell r="L256" t="str">
            <v>Horsham Property Sale</v>
          </cell>
        </row>
        <row r="257">
          <cell r="L257" t="str">
            <v>74312233</v>
          </cell>
        </row>
        <row r="258">
          <cell r="L258" t="str">
            <v>74313023</v>
          </cell>
        </row>
        <row r="259">
          <cell r="L259" t="str">
            <v>74314526</v>
          </cell>
        </row>
        <row r="260">
          <cell r="L260" t="str">
            <v>74315006</v>
          </cell>
        </row>
        <row r="261">
          <cell r="L261" t="str">
            <v>74263719</v>
          </cell>
        </row>
        <row r="262">
          <cell r="L262" t="str">
            <v>74263722</v>
          </cell>
        </row>
        <row r="263">
          <cell r="L263" t="str">
            <v>74263740</v>
          </cell>
        </row>
        <row r="264">
          <cell r="L264" t="str">
            <v>74263759</v>
          </cell>
        </row>
        <row r="265">
          <cell r="L265" t="str">
            <v>74263760</v>
          </cell>
        </row>
        <row r="266">
          <cell r="L266" t="str">
            <v>74263781</v>
          </cell>
        </row>
        <row r="267">
          <cell r="L267" t="str">
            <v>74263782</v>
          </cell>
        </row>
        <row r="268">
          <cell r="L268" t="str">
            <v>74263783</v>
          </cell>
        </row>
        <row r="269">
          <cell r="L269" t="str">
            <v>74285773</v>
          </cell>
        </row>
        <row r="270">
          <cell r="L270" t="str">
            <v>74293587</v>
          </cell>
        </row>
        <row r="271">
          <cell r="L271" t="str">
            <v>74293594</v>
          </cell>
        </row>
        <row r="272">
          <cell r="L272" t="str">
            <v>74293597</v>
          </cell>
        </row>
        <row r="273">
          <cell r="L273" t="str">
            <v>74294482</v>
          </cell>
        </row>
        <row r="274">
          <cell r="L274" t="str">
            <v>74294483</v>
          </cell>
        </row>
        <row r="275">
          <cell r="L275" t="str">
            <v>74294502</v>
          </cell>
        </row>
        <row r="276">
          <cell r="L276" t="str">
            <v>74293586</v>
          </cell>
        </row>
        <row r="277">
          <cell r="L277" t="str">
            <v>74293596</v>
          </cell>
        </row>
        <row r="278">
          <cell r="L278" t="str">
            <v>74293599</v>
          </cell>
        </row>
        <row r="279">
          <cell r="L279" t="str">
            <v>74293619</v>
          </cell>
        </row>
        <row r="280">
          <cell r="L280" t="str">
            <v>74293664</v>
          </cell>
        </row>
        <row r="281">
          <cell r="L281" t="str">
            <v>74294481</v>
          </cell>
        </row>
        <row r="282">
          <cell r="L282" t="str">
            <v>74294499</v>
          </cell>
        </row>
        <row r="283">
          <cell r="L283" t="str">
            <v>74294500</v>
          </cell>
        </row>
        <row r="284">
          <cell r="L284" t="str">
            <v>ZD5482</v>
          </cell>
        </row>
        <row r="285">
          <cell r="L285" t="str">
            <v>74218438</v>
          </cell>
        </row>
        <row r="286">
          <cell r="L286" t="str">
            <v>FAIP</v>
          </cell>
        </row>
        <row r="287">
          <cell r="L287" t="str">
            <v>74320444</v>
          </cell>
        </row>
        <row r="288">
          <cell r="L288" t="str">
            <v>74196280</v>
          </cell>
        </row>
        <row r="289">
          <cell r="L289" t="str">
            <v>74322641</v>
          </cell>
        </row>
        <row r="290">
          <cell r="L290" t="str">
            <v>74290180</v>
          </cell>
        </row>
        <row r="291">
          <cell r="L291" t="str">
            <v>74155650</v>
          </cell>
        </row>
        <row r="292">
          <cell r="L292" t="str">
            <v>BATAUDTD</v>
          </cell>
        </row>
        <row r="293">
          <cell r="L293" t="str">
            <v>CBDBUILDFY11</v>
          </cell>
        </row>
        <row r="294">
          <cell r="L294" t="str">
            <v>V820</v>
          </cell>
        </row>
        <row r="295">
          <cell r="L295" t="str">
            <v>V777</v>
          </cell>
        </row>
        <row r="296">
          <cell r="L296" t="str">
            <v>V811</v>
          </cell>
        </row>
        <row r="297">
          <cell r="L297" t="str">
            <v>V854</v>
          </cell>
        </row>
        <row r="298">
          <cell r="L298" t="str">
            <v>VB01</v>
          </cell>
        </row>
        <row r="299">
          <cell r="L299" t="str">
            <v>EB03</v>
          </cell>
        </row>
        <row r="300">
          <cell r="L300" t="str">
            <v>VB61</v>
          </cell>
        </row>
        <row r="301">
          <cell r="L301" t="str">
            <v>E801</v>
          </cell>
        </row>
        <row r="302">
          <cell r="L302" t="str">
            <v>GA04</v>
          </cell>
        </row>
        <row r="303">
          <cell r="L303" t="str">
            <v>V733</v>
          </cell>
        </row>
        <row r="304">
          <cell r="L304" t="str">
            <v>U553</v>
          </cell>
        </row>
        <row r="305">
          <cell r="L305" t="str">
            <v>V834</v>
          </cell>
        </row>
        <row r="306">
          <cell r="L306" t="str">
            <v>V971</v>
          </cell>
        </row>
        <row r="307">
          <cell r="L307" t="str">
            <v>V996</v>
          </cell>
        </row>
        <row r="308">
          <cell r="L308" t="str">
            <v>V997</v>
          </cell>
        </row>
        <row r="309">
          <cell r="L309" t="str">
            <v>V970</v>
          </cell>
        </row>
        <row r="310">
          <cell r="L310" t="str">
            <v>V972</v>
          </cell>
        </row>
        <row r="311">
          <cell r="L311" t="str">
            <v>V974</v>
          </cell>
        </row>
        <row r="312">
          <cell r="L312" t="str">
            <v>V975</v>
          </cell>
        </row>
        <row r="313">
          <cell r="L313" t="str">
            <v>V976</v>
          </cell>
        </row>
        <row r="314">
          <cell r="L314" t="str">
            <v>V977</v>
          </cell>
        </row>
        <row r="315">
          <cell r="L315" t="str">
            <v>V978</v>
          </cell>
        </row>
        <row r="316">
          <cell r="L316" t="str">
            <v>V979</v>
          </cell>
        </row>
        <row r="317">
          <cell r="L317" t="str">
            <v>V982</v>
          </cell>
        </row>
        <row r="318">
          <cell r="L318" t="str">
            <v>V983</v>
          </cell>
        </row>
        <row r="319">
          <cell r="L319" t="str">
            <v>V984</v>
          </cell>
        </row>
        <row r="320">
          <cell r="L320" t="str">
            <v>V985</v>
          </cell>
        </row>
        <row r="321">
          <cell r="L321" t="str">
            <v>V986</v>
          </cell>
        </row>
        <row r="322">
          <cell r="L322" t="str">
            <v>V998</v>
          </cell>
        </row>
        <row r="323">
          <cell r="L323" t="str">
            <v>V667</v>
          </cell>
        </row>
        <row r="324">
          <cell r="L324" t="str">
            <v>V734</v>
          </cell>
        </row>
        <row r="325">
          <cell r="L325" t="str">
            <v>V759</v>
          </cell>
        </row>
        <row r="326">
          <cell r="L326" t="str">
            <v>V7B4</v>
          </cell>
        </row>
        <row r="327">
          <cell r="L327" t="str">
            <v>V955</v>
          </cell>
        </row>
        <row r="328">
          <cell r="L328" t="str">
            <v>V6A3</v>
          </cell>
        </row>
        <row r="329">
          <cell r="L329" t="str">
            <v>EB04</v>
          </cell>
        </row>
        <row r="330">
          <cell r="L330" t="str">
            <v>VB68</v>
          </cell>
        </row>
        <row r="331">
          <cell r="L331" t="str">
            <v>VA39</v>
          </cell>
        </row>
        <row r="332">
          <cell r="L332" t="str">
            <v>V766</v>
          </cell>
        </row>
        <row r="333">
          <cell r="L333" t="str">
            <v>V7A5</v>
          </cell>
        </row>
        <row r="334">
          <cell r="L334" t="str">
            <v>V989</v>
          </cell>
        </row>
        <row r="335">
          <cell r="L335" t="str">
            <v>VA31</v>
          </cell>
        </row>
        <row r="336">
          <cell r="L336" t="str">
            <v>XA21</v>
          </cell>
        </row>
        <row r="337">
          <cell r="L337" t="str">
            <v>V995</v>
          </cell>
        </row>
        <row r="338">
          <cell r="L338" t="str">
            <v>V610</v>
          </cell>
        </row>
        <row r="339">
          <cell r="L339" t="str">
            <v>V864</v>
          </cell>
        </row>
        <row r="340">
          <cell r="L340" t="str">
            <v>V849</v>
          </cell>
        </row>
        <row r="341">
          <cell r="L341" t="str">
            <v>V8A1</v>
          </cell>
        </row>
        <row r="342">
          <cell r="L342" t="str">
            <v>V839</v>
          </cell>
        </row>
        <row r="343">
          <cell r="L343" t="str">
            <v>V873</v>
          </cell>
        </row>
        <row r="344">
          <cell r="L344" t="str">
            <v>VB35</v>
          </cell>
        </row>
        <row r="345">
          <cell r="L345" t="str">
            <v>V721</v>
          </cell>
        </row>
        <row r="346">
          <cell r="L346" t="str">
            <v>U905</v>
          </cell>
        </row>
        <row r="347">
          <cell r="L347" t="str">
            <v>VB34</v>
          </cell>
        </row>
        <row r="348">
          <cell r="L348" t="str">
            <v>V860</v>
          </cell>
        </row>
        <row r="349">
          <cell r="L349" t="str">
            <v>V862</v>
          </cell>
        </row>
        <row r="350">
          <cell r="L350" t="str">
            <v>V865</v>
          </cell>
        </row>
        <row r="351">
          <cell r="L351" t="str">
            <v>V875</v>
          </cell>
        </row>
        <row r="352">
          <cell r="L352" t="str">
            <v>V529</v>
          </cell>
        </row>
        <row r="353">
          <cell r="L353" t="str">
            <v>V642</v>
          </cell>
        </row>
        <row r="354">
          <cell r="L354" t="str">
            <v>V868</v>
          </cell>
        </row>
        <row r="355">
          <cell r="L355" t="str">
            <v>V8D5</v>
          </cell>
        </row>
        <row r="356">
          <cell r="L356" t="str">
            <v>V895</v>
          </cell>
        </row>
        <row r="357">
          <cell r="L357" t="str">
            <v>V782</v>
          </cell>
        </row>
        <row r="358">
          <cell r="L358" t="str">
            <v>V838</v>
          </cell>
        </row>
        <row r="359">
          <cell r="L359" t="str">
            <v>V872</v>
          </cell>
        </row>
        <row r="360">
          <cell r="L360" t="str">
            <v>V568</v>
          </cell>
        </row>
        <row r="361">
          <cell r="L361" t="str">
            <v>V784</v>
          </cell>
        </row>
        <row r="362">
          <cell r="L362" t="str">
            <v>V787</v>
          </cell>
        </row>
        <row r="363">
          <cell r="L363" t="str">
            <v>V7A3</v>
          </cell>
        </row>
        <row r="364">
          <cell r="L364" t="str">
            <v>V7A7</v>
          </cell>
        </row>
        <row r="365">
          <cell r="L365" t="str">
            <v>V861</v>
          </cell>
        </row>
        <row r="366">
          <cell r="L366" t="str">
            <v>V866</v>
          </cell>
        </row>
        <row r="367">
          <cell r="L367" t="str">
            <v>V867</v>
          </cell>
        </row>
        <row r="368">
          <cell r="L368" t="str">
            <v>V869</v>
          </cell>
        </row>
        <row r="369">
          <cell r="L369" t="str">
            <v>V870</v>
          </cell>
        </row>
        <row r="370">
          <cell r="L370" t="str">
            <v>V871</v>
          </cell>
        </row>
        <row r="371">
          <cell r="L371" t="str">
            <v>VA04</v>
          </cell>
        </row>
        <row r="372">
          <cell r="L372" t="str">
            <v>V794</v>
          </cell>
        </row>
        <row r="373">
          <cell r="L373" t="str">
            <v>EA06</v>
          </cell>
        </row>
        <row r="374">
          <cell r="L374" t="str">
            <v>UA02</v>
          </cell>
        </row>
        <row r="375">
          <cell r="L375" t="str">
            <v>V541</v>
          </cell>
        </row>
        <row r="376">
          <cell r="L376" t="str">
            <v>VA56</v>
          </cell>
        </row>
        <row r="377">
          <cell r="L377" t="str">
            <v>V961</v>
          </cell>
        </row>
        <row r="378">
          <cell r="L378" t="str">
            <v>VA51</v>
          </cell>
        </row>
        <row r="379">
          <cell r="L379" t="str">
            <v>VA69</v>
          </cell>
        </row>
        <row r="380">
          <cell r="L380" t="str">
            <v>G917</v>
          </cell>
        </row>
        <row r="381">
          <cell r="L381" t="str">
            <v>V9B2</v>
          </cell>
        </row>
        <row r="382">
          <cell r="L382" t="str">
            <v>VA53</v>
          </cell>
        </row>
        <row r="383">
          <cell r="L383" t="str">
            <v>VB67</v>
          </cell>
        </row>
        <row r="384">
          <cell r="L384" t="str">
            <v>VA07</v>
          </cell>
        </row>
        <row r="385">
          <cell r="L385" t="str">
            <v>VA63</v>
          </cell>
        </row>
        <row r="386">
          <cell r="L386" t="str">
            <v>VB09</v>
          </cell>
        </row>
        <row r="387">
          <cell r="L387" t="str">
            <v>V9A9</v>
          </cell>
        </row>
        <row r="388">
          <cell r="L388" t="str">
            <v>V897</v>
          </cell>
        </row>
        <row r="389">
          <cell r="L389" t="str">
            <v>V962</v>
          </cell>
        </row>
        <row r="390">
          <cell r="L390" t="str">
            <v>V929</v>
          </cell>
        </row>
        <row r="391">
          <cell r="L391" t="str">
            <v>VA16</v>
          </cell>
        </row>
        <row r="392">
          <cell r="L392" t="str">
            <v>V821</v>
          </cell>
        </row>
        <row r="393">
          <cell r="L393" t="str">
            <v>V889</v>
          </cell>
        </row>
        <row r="394">
          <cell r="L394" t="str">
            <v>V930</v>
          </cell>
        </row>
        <row r="395">
          <cell r="L395" t="str">
            <v>V837</v>
          </cell>
        </row>
        <row r="396">
          <cell r="L396" t="str">
            <v>U903</v>
          </cell>
        </row>
        <row r="397">
          <cell r="L397" t="str">
            <v>UB03</v>
          </cell>
        </row>
        <row r="398">
          <cell r="L398" t="str">
            <v>UB07</v>
          </cell>
        </row>
        <row r="399">
          <cell r="L399" t="str">
            <v>U904</v>
          </cell>
        </row>
        <row r="400">
          <cell r="L400" t="str">
            <v>V916</v>
          </cell>
        </row>
        <row r="401">
          <cell r="L401" t="str">
            <v>V951</v>
          </cell>
        </row>
        <row r="402">
          <cell r="L402" t="str">
            <v>V953</v>
          </cell>
        </row>
        <row r="403">
          <cell r="L403" t="str">
            <v>V954</v>
          </cell>
        </row>
        <row r="404">
          <cell r="L404" t="str">
            <v>VA61</v>
          </cell>
        </row>
        <row r="405">
          <cell r="L405" t="str">
            <v>VB15</v>
          </cell>
        </row>
        <row r="406">
          <cell r="L406" t="str">
            <v>VB20</v>
          </cell>
        </row>
        <row r="407">
          <cell r="L407" t="str">
            <v>VB24</v>
          </cell>
        </row>
        <row r="408">
          <cell r="L408" t="str">
            <v>V8D2</v>
          </cell>
        </row>
        <row r="409">
          <cell r="L409" t="str">
            <v>VB31</v>
          </cell>
        </row>
        <row r="410">
          <cell r="L410" t="str">
            <v>VB63</v>
          </cell>
        </row>
        <row r="411">
          <cell r="L411" t="str">
            <v>VB54</v>
          </cell>
        </row>
        <row r="412">
          <cell r="L412" t="str">
            <v>VB38</v>
          </cell>
        </row>
        <row r="413">
          <cell r="L413" t="str">
            <v>VB44</v>
          </cell>
        </row>
        <row r="414">
          <cell r="L414" t="str">
            <v>VB18</v>
          </cell>
        </row>
        <row r="415">
          <cell r="L415" t="str">
            <v>VB40</v>
          </cell>
        </row>
        <row r="416">
          <cell r="L416" t="str">
            <v>VB42</v>
          </cell>
        </row>
        <row r="417">
          <cell r="L417" t="str">
            <v>VB45</v>
          </cell>
        </row>
        <row r="418">
          <cell r="L418" t="str">
            <v>VA73</v>
          </cell>
        </row>
        <row r="419">
          <cell r="L419" t="str">
            <v>VB03</v>
          </cell>
        </row>
        <row r="420">
          <cell r="L420" t="str">
            <v>VB10</v>
          </cell>
        </row>
        <row r="421">
          <cell r="L421" t="str">
            <v>VB14</v>
          </cell>
        </row>
        <row r="422">
          <cell r="L422" t="str">
            <v>VB22</v>
          </cell>
        </row>
        <row r="423">
          <cell r="L423" t="str">
            <v>VB43</v>
          </cell>
        </row>
        <row r="424">
          <cell r="L424" t="str">
            <v>VB37</v>
          </cell>
        </row>
        <row r="425">
          <cell r="L425" t="str">
            <v>VB12</v>
          </cell>
        </row>
        <row r="426">
          <cell r="L426" t="str">
            <v>VB17</v>
          </cell>
        </row>
        <row r="427">
          <cell r="L427" t="str">
            <v>VB32</v>
          </cell>
        </row>
        <row r="428">
          <cell r="L428" t="str">
            <v>UB08</v>
          </cell>
        </row>
        <row r="429">
          <cell r="L429" t="str">
            <v>UB02</v>
          </cell>
        </row>
        <row r="430">
          <cell r="L430" t="str">
            <v>VB00</v>
          </cell>
        </row>
        <row r="431">
          <cell r="L431" t="str">
            <v>VB04</v>
          </cell>
        </row>
        <row r="432">
          <cell r="L432" t="str">
            <v>VB19</v>
          </cell>
        </row>
        <row r="433">
          <cell r="L433" t="str">
            <v>VB39</v>
          </cell>
        </row>
        <row r="434">
          <cell r="L434" t="str">
            <v>VB23</v>
          </cell>
        </row>
        <row r="435">
          <cell r="L435" t="str">
            <v>VA32</v>
          </cell>
        </row>
        <row r="436">
          <cell r="L436" t="str">
            <v>V9B9</v>
          </cell>
        </row>
        <row r="437">
          <cell r="L437" t="str">
            <v>VA17</v>
          </cell>
        </row>
        <row r="438">
          <cell r="L438" t="str">
            <v>V9A1</v>
          </cell>
        </row>
        <row r="439">
          <cell r="L439" t="str">
            <v>VA70</v>
          </cell>
        </row>
        <row r="440">
          <cell r="L440" t="str">
            <v>VA00</v>
          </cell>
        </row>
        <row r="441">
          <cell r="L441" t="str">
            <v>V4J3</v>
          </cell>
        </row>
        <row r="442">
          <cell r="L442" t="str">
            <v>X369</v>
          </cell>
        </row>
        <row r="443">
          <cell r="L443" t="str">
            <v>X549</v>
          </cell>
        </row>
        <row r="444">
          <cell r="L444" t="str">
            <v>V687</v>
          </cell>
        </row>
        <row r="445">
          <cell r="L445" t="str">
            <v>V8B4</v>
          </cell>
        </row>
        <row r="446">
          <cell r="L446" t="str">
            <v>V699</v>
          </cell>
        </row>
        <row r="447">
          <cell r="L447" t="str">
            <v>V9B0</v>
          </cell>
        </row>
        <row r="448">
          <cell r="L448" t="str">
            <v>R701</v>
          </cell>
        </row>
        <row r="449">
          <cell r="L449" t="str">
            <v>S704</v>
          </cell>
        </row>
        <row r="450">
          <cell r="L450" t="str">
            <v>S705</v>
          </cell>
        </row>
        <row r="451">
          <cell r="L451" t="str">
            <v>S706</v>
          </cell>
        </row>
        <row r="452">
          <cell r="L452" t="str">
            <v>U619</v>
          </cell>
        </row>
        <row r="453">
          <cell r="L453" t="str">
            <v>R700</v>
          </cell>
        </row>
        <row r="454">
          <cell r="L454" t="str">
            <v>EA02</v>
          </cell>
        </row>
        <row r="455">
          <cell r="L455" t="str">
            <v>EA05</v>
          </cell>
        </row>
        <row r="456">
          <cell r="L456" t="str">
            <v>V885</v>
          </cell>
        </row>
        <row r="457">
          <cell r="L457" t="str">
            <v>VA02</v>
          </cell>
        </row>
        <row r="458">
          <cell r="L458" t="str">
            <v>V8E6</v>
          </cell>
        </row>
        <row r="459">
          <cell r="L459" t="str">
            <v>V925</v>
          </cell>
        </row>
        <row r="460">
          <cell r="L460" t="str">
            <v>V928</v>
          </cell>
        </row>
        <row r="461">
          <cell r="L461" t="str">
            <v>V753</v>
          </cell>
        </row>
        <row r="462">
          <cell r="L462" t="str">
            <v>V892</v>
          </cell>
        </row>
        <row r="463">
          <cell r="L463" t="str">
            <v>V893</v>
          </cell>
        </row>
        <row r="464">
          <cell r="L464" t="str">
            <v>V915</v>
          </cell>
        </row>
        <row r="465">
          <cell r="L465" t="str">
            <v>V936</v>
          </cell>
        </row>
        <row r="466">
          <cell r="L466" t="str">
            <v>V825</v>
          </cell>
        </row>
        <row r="467">
          <cell r="L467" t="str">
            <v>V914</v>
          </cell>
        </row>
        <row r="468">
          <cell r="L468" t="str">
            <v>VB47</v>
          </cell>
        </row>
        <row r="469">
          <cell r="L469" t="str">
            <v>EA03</v>
          </cell>
        </row>
        <row r="470">
          <cell r="L470" t="str">
            <v>EA04</v>
          </cell>
        </row>
        <row r="471">
          <cell r="L471" t="str">
            <v>VA62</v>
          </cell>
        </row>
        <row r="472">
          <cell r="L472" t="str">
            <v>VB62</v>
          </cell>
        </row>
        <row r="473">
          <cell r="L473" t="str">
            <v>VB64</v>
          </cell>
        </row>
        <row r="474">
          <cell r="L474" t="str">
            <v>VB65</v>
          </cell>
        </row>
        <row r="475">
          <cell r="L475" t="str">
            <v>XA68</v>
          </cell>
        </row>
        <row r="476">
          <cell r="L476" t="str">
            <v>VB46</v>
          </cell>
        </row>
        <row r="477">
          <cell r="L477" t="str">
            <v>V703</v>
          </cell>
        </row>
        <row r="478">
          <cell r="L478" t="str">
            <v>V7A8</v>
          </cell>
        </row>
        <row r="479">
          <cell r="L479" t="str">
            <v>VB28</v>
          </cell>
        </row>
        <row r="480">
          <cell r="L480" t="str">
            <v>VB33</v>
          </cell>
        </row>
        <row r="481">
          <cell r="L481" t="str">
            <v>V669</v>
          </cell>
        </row>
        <row r="482">
          <cell r="L482" t="str">
            <v>E708</v>
          </cell>
        </row>
        <row r="483">
          <cell r="L483" t="str">
            <v>V615</v>
          </cell>
        </row>
        <row r="484">
          <cell r="L484" t="str">
            <v>E806</v>
          </cell>
        </row>
        <row r="485">
          <cell r="L485" t="str">
            <v>EB02</v>
          </cell>
        </row>
        <row r="486">
          <cell r="L486" t="str">
            <v>V751</v>
          </cell>
        </row>
        <row r="487">
          <cell r="L487" t="str">
            <v>V801</v>
          </cell>
        </row>
        <row r="488">
          <cell r="L488" t="str">
            <v>V810</v>
          </cell>
        </row>
        <row r="489">
          <cell r="L489" t="str">
            <v>V846</v>
          </cell>
        </row>
        <row r="490">
          <cell r="L490" t="str">
            <v>V898</v>
          </cell>
        </row>
        <row r="491">
          <cell r="L491" t="str">
            <v>V8A5</v>
          </cell>
        </row>
        <row r="492">
          <cell r="L492" t="str">
            <v>V8A6</v>
          </cell>
        </row>
        <row r="493">
          <cell r="L493" t="str">
            <v>V8D7</v>
          </cell>
        </row>
        <row r="494">
          <cell r="L494" t="str">
            <v>VA68</v>
          </cell>
        </row>
        <row r="495">
          <cell r="L495" t="str">
            <v>VB30</v>
          </cell>
        </row>
        <row r="496">
          <cell r="L496" t="str">
            <v>E712</v>
          </cell>
        </row>
        <row r="497">
          <cell r="L497" t="str">
            <v>V5C3</v>
          </cell>
        </row>
        <row r="498">
          <cell r="L498" t="str">
            <v>V694</v>
          </cell>
        </row>
        <row r="499">
          <cell r="L499" t="str">
            <v>V924</v>
          </cell>
        </row>
        <row r="500">
          <cell r="L500" t="str">
            <v>V6A8</v>
          </cell>
        </row>
        <row r="501">
          <cell r="L501" t="str">
            <v>V4M8</v>
          </cell>
        </row>
        <row r="502">
          <cell r="L502" t="str">
            <v>V505</v>
          </cell>
        </row>
        <row r="503">
          <cell r="L503" t="str">
            <v>V653</v>
          </cell>
        </row>
        <row r="504">
          <cell r="L504" t="str">
            <v>V605</v>
          </cell>
        </row>
        <row r="505">
          <cell r="L505" t="str">
            <v>E803</v>
          </cell>
        </row>
        <row r="506">
          <cell r="L506" t="str">
            <v>E814</v>
          </cell>
        </row>
        <row r="507">
          <cell r="L507" t="str">
            <v>V752</v>
          </cell>
        </row>
        <row r="508">
          <cell r="L508" t="str">
            <v>E802</v>
          </cell>
        </row>
        <row r="509">
          <cell r="L509" t="str">
            <v>V695</v>
          </cell>
        </row>
        <row r="510">
          <cell r="L510" t="str">
            <v>V727</v>
          </cell>
        </row>
        <row r="511">
          <cell r="L511" t="str">
            <v>V730</v>
          </cell>
        </row>
        <row r="512">
          <cell r="L512" t="str">
            <v>E711</v>
          </cell>
        </row>
        <row r="513">
          <cell r="L513" t="str">
            <v>XA16</v>
          </cell>
        </row>
        <row r="514">
          <cell r="L514" t="str">
            <v>EB01</v>
          </cell>
        </row>
        <row r="515">
          <cell r="L515" t="str">
            <v>EA01</v>
          </cell>
        </row>
        <row r="516">
          <cell r="L516" t="str">
            <v>UB00</v>
          </cell>
        </row>
        <row r="517">
          <cell r="L517" t="str">
            <v>VA60</v>
          </cell>
        </row>
        <row r="518">
          <cell r="L518" t="str">
            <v>V8C6</v>
          </cell>
        </row>
        <row r="519">
          <cell r="L519" t="str">
            <v>V654</v>
          </cell>
        </row>
        <row r="520">
          <cell r="L520" t="str">
            <v>V8D0</v>
          </cell>
        </row>
        <row r="521">
          <cell r="L521" t="str">
            <v>V8E5</v>
          </cell>
        </row>
        <row r="522">
          <cell r="L522" t="str">
            <v>VA33</v>
          </cell>
        </row>
        <row r="523">
          <cell r="L523" t="str">
            <v>V8D1</v>
          </cell>
        </row>
        <row r="524">
          <cell r="L524" t="str">
            <v>V993</v>
          </cell>
        </row>
        <row r="525">
          <cell r="L525" t="str">
            <v>V923</v>
          </cell>
        </row>
        <row r="526">
          <cell r="L526" t="str">
            <v>V957</v>
          </cell>
        </row>
        <row r="527">
          <cell r="L527" t="str">
            <v>VA28</v>
          </cell>
        </row>
        <row r="528">
          <cell r="L528" t="str">
            <v>V886</v>
          </cell>
        </row>
        <row r="529">
          <cell r="L529" t="str">
            <v>V8C1</v>
          </cell>
        </row>
        <row r="530">
          <cell r="L530" t="str">
            <v>V8E2</v>
          </cell>
        </row>
        <row r="531">
          <cell r="L531" t="str">
            <v>V937</v>
          </cell>
        </row>
        <row r="532">
          <cell r="L532" t="str">
            <v>V833</v>
          </cell>
        </row>
        <row r="533">
          <cell r="L533" t="str">
            <v>V999</v>
          </cell>
        </row>
        <row r="534">
          <cell r="L534" t="str">
            <v>V904</v>
          </cell>
        </row>
        <row r="535">
          <cell r="L535" t="str">
            <v>V890</v>
          </cell>
        </row>
        <row r="536">
          <cell r="L536" t="str">
            <v>V634</v>
          </cell>
        </row>
        <row r="537">
          <cell r="L537" t="str">
            <v>V646</v>
          </cell>
        </row>
        <row r="538">
          <cell r="L538" t="str">
            <v>V647</v>
          </cell>
        </row>
        <row r="539">
          <cell r="L539" t="str">
            <v>V4J0</v>
          </cell>
        </row>
        <row r="540">
          <cell r="L540" t="str">
            <v>V693</v>
          </cell>
        </row>
        <row r="541">
          <cell r="L541" t="str">
            <v>V710</v>
          </cell>
        </row>
        <row r="542">
          <cell r="L542" t="str">
            <v>VA50</v>
          </cell>
        </row>
        <row r="543">
          <cell r="L543" t="str">
            <v>VB21</v>
          </cell>
        </row>
        <row r="544">
          <cell r="L544" t="str">
            <v>V927</v>
          </cell>
        </row>
        <row r="545">
          <cell r="L545" t="str">
            <v>VA47</v>
          </cell>
        </row>
        <row r="546">
          <cell r="L546" t="str">
            <v>VA05</v>
          </cell>
        </row>
        <row r="547">
          <cell r="L547" t="str">
            <v>V6B2</v>
          </cell>
        </row>
        <row r="548">
          <cell r="L548" t="str">
            <v>V5A1</v>
          </cell>
        </row>
        <row r="549">
          <cell r="L549" t="str">
            <v>V6B0</v>
          </cell>
        </row>
        <row r="550">
          <cell r="L550" t="str">
            <v>V809</v>
          </cell>
        </row>
        <row r="551">
          <cell r="L551" t="str">
            <v>V741</v>
          </cell>
        </row>
        <row r="552">
          <cell r="L552" t="str">
            <v>V795</v>
          </cell>
        </row>
        <row r="553">
          <cell r="L553" t="str">
            <v>V922</v>
          </cell>
        </row>
        <row r="554">
          <cell r="L554" t="str">
            <v>V926</v>
          </cell>
        </row>
        <row r="555">
          <cell r="L555" t="str">
            <v>V948</v>
          </cell>
        </row>
        <row r="556">
          <cell r="L556" t="str">
            <v>V963</v>
          </cell>
        </row>
        <row r="557">
          <cell r="L557" t="str">
            <v>V988</v>
          </cell>
        </row>
        <row r="558">
          <cell r="L558" t="str">
            <v>V9A2</v>
          </cell>
        </row>
        <row r="559">
          <cell r="L559" t="str">
            <v>VA40</v>
          </cell>
        </row>
        <row r="560">
          <cell r="L560" t="str">
            <v>V852</v>
          </cell>
        </row>
        <row r="561">
          <cell r="L561" t="str">
            <v>V964</v>
          </cell>
        </row>
        <row r="562">
          <cell r="L562" t="str">
            <v>V9A6</v>
          </cell>
        </row>
        <row r="563">
          <cell r="L563" t="str">
            <v>V9B3</v>
          </cell>
        </row>
        <row r="564">
          <cell r="L564" t="str">
            <v>V9C0</v>
          </cell>
        </row>
        <row r="565">
          <cell r="L565" t="str">
            <v>V496</v>
          </cell>
        </row>
        <row r="566">
          <cell r="L566" t="str">
            <v>V8C4</v>
          </cell>
        </row>
        <row r="567">
          <cell r="L567" t="str">
            <v>V952</v>
          </cell>
        </row>
        <row r="568">
          <cell r="L568" t="str">
            <v>V965</v>
          </cell>
        </row>
        <row r="569">
          <cell r="L569" t="str">
            <v>V987</v>
          </cell>
        </row>
        <row r="570">
          <cell r="L570" t="str">
            <v>V9B8</v>
          </cell>
        </row>
        <row r="571">
          <cell r="L571" t="str">
            <v>VB66</v>
          </cell>
        </row>
        <row r="572">
          <cell r="L572" t="str">
            <v>V228</v>
          </cell>
        </row>
        <row r="573">
          <cell r="L573" t="str">
            <v>VA20</v>
          </cell>
        </row>
        <row r="574">
          <cell r="L574" t="str">
            <v>VA22</v>
          </cell>
        </row>
        <row r="575">
          <cell r="L575" t="str">
            <v>V8A0</v>
          </cell>
        </row>
        <row r="576">
          <cell r="L576" t="str">
            <v>V9B7</v>
          </cell>
        </row>
        <row r="577">
          <cell r="L577" t="str">
            <v>U604</v>
          </cell>
        </row>
        <row r="578">
          <cell r="L578" t="str">
            <v>U803</v>
          </cell>
        </row>
        <row r="579">
          <cell r="L579" t="str">
            <v>U802</v>
          </cell>
        </row>
        <row r="580">
          <cell r="L580" t="str">
            <v>V981</v>
          </cell>
        </row>
        <row r="581">
          <cell r="L581" t="str">
            <v>VA12</v>
          </cell>
        </row>
        <row r="582">
          <cell r="L582" t="str">
            <v>VA34</v>
          </cell>
        </row>
        <row r="583">
          <cell r="L583" t="str">
            <v>VB16</v>
          </cell>
        </row>
        <row r="584">
          <cell r="L584" t="str">
            <v>VA10</v>
          </cell>
        </row>
        <row r="585">
          <cell r="L585" t="str">
            <v>VA18</v>
          </cell>
        </row>
        <row r="586">
          <cell r="L586" t="str">
            <v>VB11</v>
          </cell>
        </row>
        <row r="587">
          <cell r="L587" t="str">
            <v>V5C9</v>
          </cell>
        </row>
        <row r="588">
          <cell r="L588" t="str">
            <v>V805</v>
          </cell>
        </row>
        <row r="589">
          <cell r="L589" t="str">
            <v>V8A3</v>
          </cell>
        </row>
        <row r="590">
          <cell r="L590" t="str">
            <v>V8B6</v>
          </cell>
        </row>
        <row r="591">
          <cell r="L591" t="str">
            <v>VA19</v>
          </cell>
        </row>
        <row r="592">
          <cell r="L592" t="str">
            <v>V9B4</v>
          </cell>
        </row>
        <row r="593">
          <cell r="L593" t="str">
            <v>V950</v>
          </cell>
        </row>
        <row r="594">
          <cell r="L594" t="str">
            <v>VA41</v>
          </cell>
        </row>
        <row r="595">
          <cell r="L595" t="str">
            <v>V506</v>
          </cell>
        </row>
        <row r="596">
          <cell r="L596" t="str">
            <v>V5A6</v>
          </cell>
        </row>
        <row r="597">
          <cell r="L597" t="str">
            <v>V722</v>
          </cell>
        </row>
        <row r="598">
          <cell r="L598" t="str">
            <v>V4C1</v>
          </cell>
        </row>
        <row r="599">
          <cell r="L599" t="str">
            <v>V7B5</v>
          </cell>
        </row>
        <row r="600">
          <cell r="L600" t="str">
            <v>V670</v>
          </cell>
        </row>
        <row r="601">
          <cell r="L601" t="str">
            <v>V823</v>
          </cell>
        </row>
        <row r="602">
          <cell r="L602" t="str">
            <v>V7B6</v>
          </cell>
        </row>
        <row r="603">
          <cell r="L603" t="str">
            <v>V822</v>
          </cell>
        </row>
        <row r="604">
          <cell r="L604" t="str">
            <v>V6A1</v>
          </cell>
        </row>
        <row r="605">
          <cell r="L605" t="str">
            <v>VA67</v>
          </cell>
        </row>
        <row r="606">
          <cell r="L606" t="str">
            <v>VB13</v>
          </cell>
        </row>
        <row r="607">
          <cell r="L607" t="str">
            <v>VA72</v>
          </cell>
        </row>
        <row r="608">
          <cell r="L608" t="str">
            <v>VA06</v>
          </cell>
        </row>
        <row r="609">
          <cell r="L609" t="str">
            <v>V902</v>
          </cell>
        </row>
        <row r="610">
          <cell r="L610" t="str">
            <v>VA09</v>
          </cell>
        </row>
        <row r="611">
          <cell r="L611" t="str">
            <v>VB57</v>
          </cell>
        </row>
        <row r="612">
          <cell r="L612" t="str">
            <v>VB53</v>
          </cell>
        </row>
        <row r="613">
          <cell r="L613" t="str">
            <v>V804</v>
          </cell>
        </row>
        <row r="614">
          <cell r="L614" t="str">
            <v>U801</v>
          </cell>
        </row>
        <row r="615">
          <cell r="L615" t="str">
            <v>VA45</v>
          </cell>
        </row>
        <row r="616">
          <cell r="L616" t="str">
            <v>VB69</v>
          </cell>
        </row>
        <row r="617">
          <cell r="L617" t="str">
            <v>G918</v>
          </cell>
        </row>
        <row r="618">
          <cell r="L618" t="str">
            <v>V991</v>
          </cell>
        </row>
        <row r="619">
          <cell r="L619" t="str">
            <v>VA29</v>
          </cell>
        </row>
        <row r="620">
          <cell r="L620" t="str">
            <v>V967</v>
          </cell>
        </row>
        <row r="621">
          <cell r="L621" t="str">
            <v>V968</v>
          </cell>
        </row>
        <row r="622">
          <cell r="L622" t="str">
            <v>V8F0</v>
          </cell>
        </row>
        <row r="623">
          <cell r="L623" t="str">
            <v>V913</v>
          </cell>
        </row>
        <row r="624">
          <cell r="L624" t="str">
            <v>V9A4</v>
          </cell>
        </row>
        <row r="625">
          <cell r="L625" t="str">
            <v>UA01</v>
          </cell>
        </row>
        <row r="626">
          <cell r="L626" t="str">
            <v>UA05</v>
          </cell>
        </row>
        <row r="627">
          <cell r="L627" t="str">
            <v>U800</v>
          </cell>
        </row>
        <row r="628">
          <cell r="L628" t="str">
            <v>UA00</v>
          </cell>
        </row>
        <row r="629">
          <cell r="L629" t="str">
            <v>UB04</v>
          </cell>
        </row>
        <row r="630">
          <cell r="L630" t="str">
            <v>VB02</v>
          </cell>
        </row>
        <row r="631">
          <cell r="L631" t="str">
            <v>VA24</v>
          </cell>
        </row>
        <row r="632">
          <cell r="L632" t="str">
            <v>V8F1</v>
          </cell>
        </row>
        <row r="633">
          <cell r="L633" t="str">
            <v>VA57</v>
          </cell>
        </row>
        <row r="634">
          <cell r="L634" t="str">
            <v>EB00</v>
          </cell>
        </row>
        <row r="635">
          <cell r="L635" t="str">
            <v>VB27</v>
          </cell>
        </row>
        <row r="636">
          <cell r="L636" t="str">
            <v>E702</v>
          </cell>
        </row>
        <row r="637">
          <cell r="L637" t="str">
            <v>XB37</v>
          </cell>
        </row>
        <row r="638">
          <cell r="L638" t="str">
            <v>V882</v>
          </cell>
        </row>
        <row r="639">
          <cell r="L639" t="str">
            <v>V958</v>
          </cell>
        </row>
        <row r="640">
          <cell r="L640" t="str">
            <v>V881</v>
          </cell>
        </row>
        <row r="641">
          <cell r="L641" t="str">
            <v>V903</v>
          </cell>
        </row>
        <row r="642">
          <cell r="L642" t="str">
            <v>V9B6</v>
          </cell>
        </row>
        <row r="643">
          <cell r="L643" t="str">
            <v>V8B7</v>
          </cell>
        </row>
        <row r="644">
          <cell r="L644" t="str">
            <v>V8C9</v>
          </cell>
        </row>
        <row r="645">
          <cell r="L645" t="str">
            <v>V8A9</v>
          </cell>
        </row>
        <row r="646">
          <cell r="L646" t="str">
            <v>V845</v>
          </cell>
        </row>
        <row r="647">
          <cell r="L647" t="str">
            <v>V883</v>
          </cell>
        </row>
        <row r="648">
          <cell r="L648" t="str">
            <v>V884</v>
          </cell>
        </row>
        <row r="649">
          <cell r="L649" t="str">
            <v>V8C0</v>
          </cell>
        </row>
        <row r="650">
          <cell r="L650" t="str">
            <v>E605</v>
          </cell>
        </row>
        <row r="651">
          <cell r="L651" t="str">
            <v>UB01</v>
          </cell>
        </row>
        <row r="652">
          <cell r="L652" t="str">
            <v>V673</v>
          </cell>
        </row>
        <row r="653">
          <cell r="L653" t="str">
            <v>V819</v>
          </cell>
        </row>
        <row r="654">
          <cell r="L654" t="str">
            <v>VA44</v>
          </cell>
        </row>
        <row r="655">
          <cell r="L655" t="str">
            <v>VA66</v>
          </cell>
        </row>
        <row r="656">
          <cell r="L656" t="str">
            <v>VB41</v>
          </cell>
        </row>
        <row r="657">
          <cell r="L657" t="str">
            <v>VA36</v>
          </cell>
        </row>
        <row r="658">
          <cell r="L658" t="str">
            <v>VA11</v>
          </cell>
        </row>
        <row r="659">
          <cell r="L659" t="str">
            <v>V990</v>
          </cell>
        </row>
        <row r="660">
          <cell r="L660" t="str">
            <v>V910</v>
          </cell>
        </row>
        <row r="661">
          <cell r="L661" t="str">
            <v>VA08</v>
          </cell>
        </row>
        <row r="662">
          <cell r="L662" t="str">
            <v>VA48</v>
          </cell>
        </row>
        <row r="663">
          <cell r="L663" t="str">
            <v>V724</v>
          </cell>
        </row>
        <row r="664">
          <cell r="L664" t="str">
            <v>V725</v>
          </cell>
        </row>
        <row r="665">
          <cell r="L665" t="str">
            <v>V992</v>
          </cell>
        </row>
        <row r="666">
          <cell r="L666" t="str">
            <v>V638</v>
          </cell>
        </row>
        <row r="667">
          <cell r="L667" t="str">
            <v>V671</v>
          </cell>
        </row>
        <row r="668">
          <cell r="L668" t="str">
            <v>V686</v>
          </cell>
        </row>
        <row r="669">
          <cell r="L669" t="str">
            <v>V708</v>
          </cell>
        </row>
        <row r="670">
          <cell r="L670" t="str">
            <v>V709</v>
          </cell>
        </row>
        <row r="671">
          <cell r="L671" t="str">
            <v>V755</v>
          </cell>
        </row>
        <row r="672">
          <cell r="L672" t="str">
            <v>V783</v>
          </cell>
        </row>
        <row r="673">
          <cell r="L673" t="str">
            <v>V786</v>
          </cell>
        </row>
        <row r="674">
          <cell r="L674" t="str">
            <v>V791</v>
          </cell>
        </row>
        <row r="675">
          <cell r="L675" t="str">
            <v>V8B1</v>
          </cell>
        </row>
        <row r="676">
          <cell r="L676" t="str">
            <v>V907</v>
          </cell>
        </row>
        <row r="677">
          <cell r="L677" t="str">
            <v>V908</v>
          </cell>
        </row>
        <row r="678">
          <cell r="L678" t="str">
            <v>V911</v>
          </cell>
        </row>
        <row r="679">
          <cell r="L679" t="str">
            <v>V917</v>
          </cell>
        </row>
        <row r="680">
          <cell r="L680" t="str">
            <v>V938</v>
          </cell>
        </row>
        <row r="681">
          <cell r="L681" t="str">
            <v>VA15</v>
          </cell>
        </row>
        <row r="682">
          <cell r="L682" t="str">
            <v>VA71</v>
          </cell>
        </row>
        <row r="683">
          <cell r="L683" t="str">
            <v>V617</v>
          </cell>
        </row>
        <row r="684">
          <cell r="L684" t="str">
            <v>V643</v>
          </cell>
        </row>
        <row r="685">
          <cell r="L685" t="str">
            <v>V712</v>
          </cell>
        </row>
        <row r="686">
          <cell r="L686" t="str">
            <v>V773</v>
          </cell>
        </row>
        <row r="687">
          <cell r="L687" t="str">
            <v>V785</v>
          </cell>
        </row>
        <row r="688">
          <cell r="L688" t="str">
            <v>V918</v>
          </cell>
        </row>
        <row r="689">
          <cell r="L689" t="str">
            <v>V935</v>
          </cell>
        </row>
        <row r="690">
          <cell r="L690" t="str">
            <v>V9A3</v>
          </cell>
        </row>
        <row r="691">
          <cell r="L691" t="str">
            <v>V9A8</v>
          </cell>
        </row>
        <row r="692">
          <cell r="L692" t="str">
            <v>VB05</v>
          </cell>
        </row>
        <row r="693">
          <cell r="L693" t="str">
            <v>V6A5</v>
          </cell>
        </row>
        <row r="694">
          <cell r="L694" t="str">
            <v>V858</v>
          </cell>
        </row>
        <row r="695">
          <cell r="L695" t="str">
            <v>VB70</v>
          </cell>
        </row>
        <row r="696">
          <cell r="L696" t="str">
            <v>VB55</v>
          </cell>
        </row>
        <row r="697">
          <cell r="L697" t="str">
            <v>V672</v>
          </cell>
        </row>
        <row r="698">
          <cell r="L698" t="str">
            <v>V698</v>
          </cell>
        </row>
        <row r="699">
          <cell r="L699" t="str">
            <v>V9A5</v>
          </cell>
        </row>
        <row r="700">
          <cell r="L700" t="str">
            <v>VA25</v>
          </cell>
        </row>
        <row r="701">
          <cell r="L701" t="str">
            <v>VB60</v>
          </cell>
        </row>
        <row r="702">
          <cell r="L702" t="str">
            <v>VA46</v>
          </cell>
        </row>
        <row r="703">
          <cell r="L703" t="str">
            <v>VA64</v>
          </cell>
        </row>
        <row r="704">
          <cell r="L704" t="str">
            <v>V717</v>
          </cell>
        </row>
        <row r="705">
          <cell r="L705" t="str">
            <v>V8E4</v>
          </cell>
        </row>
        <row r="706">
          <cell r="L706" t="str">
            <v>V8F2</v>
          </cell>
        </row>
        <row r="707">
          <cell r="L707" t="str">
            <v>V966</v>
          </cell>
        </row>
        <row r="708">
          <cell r="L708" t="str">
            <v>V9A0</v>
          </cell>
        </row>
        <row r="709">
          <cell r="L709" t="str">
            <v>VA37</v>
          </cell>
        </row>
        <row r="710">
          <cell r="L710" t="str">
            <v>VB06</v>
          </cell>
        </row>
        <row r="711">
          <cell r="L711" t="str">
            <v>VB07</v>
          </cell>
        </row>
        <row r="712">
          <cell r="L712" t="str">
            <v>VB25</v>
          </cell>
        </row>
        <row r="713">
          <cell r="L713" t="str">
            <v>VB26</v>
          </cell>
        </row>
        <row r="714">
          <cell r="L714" t="str">
            <v>VB56</v>
          </cell>
        </row>
        <row r="715">
          <cell r="L715" t="str">
            <v>V4S2</v>
          </cell>
        </row>
        <row r="716">
          <cell r="L716" t="str">
            <v>VA59</v>
          </cell>
        </row>
        <row r="717">
          <cell r="L717" t="str">
            <v>VA65</v>
          </cell>
        </row>
        <row r="718">
          <cell r="L718" t="str">
            <v>V7A0</v>
          </cell>
        </row>
        <row r="719">
          <cell r="L719" t="str">
            <v>V826</v>
          </cell>
        </row>
        <row r="720">
          <cell r="L720" t="str">
            <v>V8D6</v>
          </cell>
        </row>
        <row r="721">
          <cell r="L721" t="str">
            <v>VB48</v>
          </cell>
        </row>
        <row r="722">
          <cell r="L722" t="str">
            <v>VA13</v>
          </cell>
        </row>
        <row r="723">
          <cell r="L723" t="str">
            <v>V680</v>
          </cell>
        </row>
        <row r="724">
          <cell r="L724" t="str">
            <v>V645</v>
          </cell>
        </row>
        <row r="725">
          <cell r="L725" t="str">
            <v>V763</v>
          </cell>
        </row>
        <row r="726">
          <cell r="L726" t="str">
            <v>V764</v>
          </cell>
        </row>
        <row r="727">
          <cell r="L727" t="str">
            <v>V829</v>
          </cell>
        </row>
        <row r="728">
          <cell r="L728" t="str">
            <v>V880</v>
          </cell>
        </row>
        <row r="729">
          <cell r="L729" t="str">
            <v>V8B0</v>
          </cell>
        </row>
        <row r="730">
          <cell r="L730" t="str">
            <v>V8D9</v>
          </cell>
        </row>
        <row r="731">
          <cell r="L731" t="str">
            <v>V920</v>
          </cell>
        </row>
        <row r="732">
          <cell r="L732" t="str">
            <v>V8A7</v>
          </cell>
        </row>
        <row r="733">
          <cell r="L733" t="str">
            <v>V8A8</v>
          </cell>
        </row>
        <row r="734">
          <cell r="L734" t="str">
            <v>V8B3</v>
          </cell>
        </row>
        <row r="735">
          <cell r="L735" t="str">
            <v>V8D8</v>
          </cell>
        </row>
        <row r="736">
          <cell r="L736" t="str">
            <v>V8E0</v>
          </cell>
        </row>
        <row r="737">
          <cell r="L737" t="str">
            <v>V8E1</v>
          </cell>
        </row>
        <row r="738">
          <cell r="L738" t="str">
            <v>V8E7</v>
          </cell>
        </row>
        <row r="739">
          <cell r="L739" t="str">
            <v>V8E8</v>
          </cell>
        </row>
        <row r="740">
          <cell r="L740" t="str">
            <v>V8F3</v>
          </cell>
        </row>
        <row r="741">
          <cell r="L741" t="str">
            <v>V901</v>
          </cell>
        </row>
        <row r="742">
          <cell r="L742" t="str">
            <v>V905</v>
          </cell>
        </row>
        <row r="743">
          <cell r="L743" t="str">
            <v>V934</v>
          </cell>
        </row>
        <row r="744">
          <cell r="L744" t="str">
            <v>V939</v>
          </cell>
        </row>
        <row r="745">
          <cell r="L745" t="str">
            <v>V8B2</v>
          </cell>
        </row>
        <row r="746">
          <cell r="L746" t="str">
            <v>V8E9</v>
          </cell>
        </row>
        <row r="747">
          <cell r="L747" t="str">
            <v>V899</v>
          </cell>
        </row>
        <row r="748">
          <cell r="L748" t="str">
            <v>V813</v>
          </cell>
        </row>
        <row r="749">
          <cell r="L749" t="str">
            <v>V851</v>
          </cell>
        </row>
        <row r="750">
          <cell r="L750" t="str">
            <v>V879</v>
          </cell>
        </row>
        <row r="751">
          <cell r="L751" t="str">
            <v>V896</v>
          </cell>
        </row>
        <row r="752">
          <cell r="L752" t="str">
            <v>V8B8</v>
          </cell>
        </row>
        <row r="753">
          <cell r="L753" t="str">
            <v>V8B9</v>
          </cell>
        </row>
        <row r="754">
          <cell r="L754" t="str">
            <v>V8C2</v>
          </cell>
        </row>
        <row r="755">
          <cell r="L755" t="str">
            <v>V8C7</v>
          </cell>
        </row>
        <row r="756">
          <cell r="L756" t="str">
            <v>V8C8</v>
          </cell>
        </row>
        <row r="757">
          <cell r="L757" t="str">
            <v>V8E3</v>
          </cell>
        </row>
        <row r="758">
          <cell r="L758" t="str">
            <v>V8F4</v>
          </cell>
        </row>
        <row r="759">
          <cell r="L759" t="str">
            <v>V906</v>
          </cell>
        </row>
        <row r="760">
          <cell r="L760" t="str">
            <v>V931</v>
          </cell>
        </row>
        <row r="761">
          <cell r="L761" t="str">
            <v>V932</v>
          </cell>
        </row>
        <row r="762">
          <cell r="L762" t="str">
            <v>V933</v>
          </cell>
        </row>
        <row r="763">
          <cell r="L763" t="str">
            <v>V941</v>
          </cell>
        </row>
        <row r="764">
          <cell r="L764" t="str">
            <v>V790</v>
          </cell>
        </row>
        <row r="765">
          <cell r="L765" t="str">
            <v>V818</v>
          </cell>
        </row>
        <row r="766">
          <cell r="L766" t="str">
            <v>V711</v>
          </cell>
        </row>
        <row r="767">
          <cell r="L767" t="str">
            <v>V8D4</v>
          </cell>
        </row>
        <row r="768">
          <cell r="L768" t="str">
            <v>V658</v>
          </cell>
        </row>
        <row r="769">
          <cell r="L769" t="str">
            <v>V909</v>
          </cell>
        </row>
        <row r="770">
          <cell r="L770" t="str">
            <v>V8C3</v>
          </cell>
        </row>
        <row r="771">
          <cell r="L771" t="str">
            <v>V652</v>
          </cell>
        </row>
        <row r="772">
          <cell r="L772" t="str">
            <v>V8D3</v>
          </cell>
        </row>
        <row r="773">
          <cell r="L773" t="str">
            <v>V850</v>
          </cell>
        </row>
        <row r="774">
          <cell r="L774" t="str">
            <v>V940</v>
          </cell>
        </row>
        <row r="775">
          <cell r="L775" t="str">
            <v>V4E4</v>
          </cell>
        </row>
        <row r="776">
          <cell r="L776" t="str">
            <v>V4H4</v>
          </cell>
        </row>
        <row r="777">
          <cell r="L777" t="str">
            <v>V540</v>
          </cell>
        </row>
        <row r="778">
          <cell r="L778" t="str">
            <v>V675</v>
          </cell>
        </row>
        <row r="779">
          <cell r="L779" t="str">
            <v>V413</v>
          </cell>
        </row>
        <row r="780">
          <cell r="L780" t="str">
            <v>V539</v>
          </cell>
        </row>
        <row r="781">
          <cell r="L781" t="str">
            <v>V606</v>
          </cell>
        </row>
        <row r="782">
          <cell r="L782" t="str">
            <v>V796</v>
          </cell>
        </row>
        <row r="783">
          <cell r="L783" t="str">
            <v>VB59</v>
          </cell>
        </row>
        <row r="784">
          <cell r="L784" t="str">
            <v>UB05</v>
          </cell>
        </row>
        <row r="785">
          <cell r="L785" t="str">
            <v>V900</v>
          </cell>
        </row>
        <row r="786">
          <cell r="L786" t="str">
            <v>VA38</v>
          </cell>
        </row>
        <row r="787">
          <cell r="L787" t="str">
            <v>V746</v>
          </cell>
        </row>
        <row r="788">
          <cell r="L788" t="str">
            <v>VA55</v>
          </cell>
        </row>
        <row r="789">
          <cell r="L789" t="str">
            <v>V9A7</v>
          </cell>
        </row>
        <row r="790">
          <cell r="L790" t="str">
            <v>V831</v>
          </cell>
        </row>
        <row r="791">
          <cell r="L791" t="str">
            <v>V564</v>
          </cell>
        </row>
        <row r="792">
          <cell r="L792" t="str">
            <v>VA42</v>
          </cell>
        </row>
        <row r="793">
          <cell r="L793" t="str">
            <v>VA43</v>
          </cell>
        </row>
        <row r="794">
          <cell r="L794" t="str">
            <v>XB39</v>
          </cell>
        </row>
        <row r="795">
          <cell r="L795" t="str">
            <v>VB08</v>
          </cell>
        </row>
        <row r="796">
          <cell r="L796" t="str">
            <v>V715</v>
          </cell>
        </row>
        <row r="797">
          <cell r="L797" t="str">
            <v>VA27</v>
          </cell>
        </row>
        <row r="798">
          <cell r="L798" t="str">
            <v>VA26</v>
          </cell>
        </row>
        <row r="799">
          <cell r="L799" t="str">
            <v>V799</v>
          </cell>
        </row>
        <row r="800">
          <cell r="L800" t="str">
            <v>V8C5</v>
          </cell>
        </row>
        <row r="801">
          <cell r="L801" t="str">
            <v>V633</v>
          </cell>
        </row>
        <row r="802">
          <cell r="L802" t="str">
            <v>VA23</v>
          </cell>
        </row>
        <row r="803">
          <cell r="L803" t="str">
            <v>VA30</v>
          </cell>
        </row>
        <row r="804">
          <cell r="L804" t="str">
            <v>U804</v>
          </cell>
        </row>
        <row r="805">
          <cell r="L805" t="str">
            <v>U805</v>
          </cell>
        </row>
        <row r="806">
          <cell r="L806" t="str">
            <v>U900</v>
          </cell>
        </row>
        <row r="807">
          <cell r="L807" t="str">
            <v>V736</v>
          </cell>
        </row>
        <row r="808">
          <cell r="L808" t="str">
            <v>V735</v>
          </cell>
        </row>
        <row r="809">
          <cell r="L809" t="str">
            <v>V856</v>
          </cell>
        </row>
        <row r="810">
          <cell r="L810" t="str">
            <v>V947</v>
          </cell>
        </row>
        <row r="811">
          <cell r="L811" t="str">
            <v>V9B5</v>
          </cell>
        </row>
        <row r="812">
          <cell r="L812" t="str">
            <v>V949</v>
          </cell>
        </row>
        <row r="813">
          <cell r="L813" t="str">
            <v>V943</v>
          </cell>
        </row>
        <row r="814">
          <cell r="L814" t="str">
            <v>UA03</v>
          </cell>
        </row>
        <row r="815">
          <cell r="L815" t="str">
            <v>V781</v>
          </cell>
        </row>
        <row r="816">
          <cell r="L816" t="str">
            <v>V855</v>
          </cell>
        </row>
        <row r="817">
          <cell r="L817" t="str">
            <v>V844</v>
          </cell>
        </row>
        <row r="818">
          <cell r="L818" t="str">
            <v>V946</v>
          </cell>
        </row>
        <row r="819">
          <cell r="L819" t="str">
            <v>V857</v>
          </cell>
        </row>
        <row r="820">
          <cell r="L820" t="str">
            <v>U901</v>
          </cell>
        </row>
        <row r="821">
          <cell r="L821" t="str">
            <v>V944</v>
          </cell>
        </row>
        <row r="822">
          <cell r="L822" t="str">
            <v>V945</v>
          </cell>
        </row>
        <row r="823">
          <cell r="L823" t="str">
            <v>V994</v>
          </cell>
        </row>
        <row r="824">
          <cell r="L824" t="str">
            <v>VB29</v>
          </cell>
        </row>
        <row r="825">
          <cell r="L825" t="str">
            <v>V9B1</v>
          </cell>
        </row>
        <row r="826">
          <cell r="L826" t="str">
            <v>VA14</v>
          </cell>
        </row>
        <row r="827">
          <cell r="L827" t="str">
            <v>VA21</v>
          </cell>
        </row>
        <row r="828">
          <cell r="L828" t="str">
            <v>VA35</v>
          </cell>
        </row>
        <row r="829">
          <cell r="L829" t="str">
            <v>VA49</v>
          </cell>
        </row>
        <row r="830">
          <cell r="L830" t="str">
            <v>VA52</v>
          </cell>
        </row>
        <row r="831">
          <cell r="L831" t="str">
            <v>VB36</v>
          </cell>
        </row>
        <row r="832">
          <cell r="L832" t="str">
            <v>VB50</v>
          </cell>
        </row>
        <row r="833">
          <cell r="L833" t="str">
            <v>VB52</v>
          </cell>
        </row>
        <row r="834">
          <cell r="L834" t="str">
            <v>VB71</v>
          </cell>
        </row>
        <row r="835">
          <cell r="L835" t="str">
            <v>VA54</v>
          </cell>
        </row>
        <row r="836">
          <cell r="L836" t="str">
            <v>VB49</v>
          </cell>
        </row>
        <row r="837">
          <cell r="L837" t="str">
            <v>VB51</v>
          </cell>
        </row>
        <row r="838">
          <cell r="L838" t="str">
            <v>UA04</v>
          </cell>
        </row>
        <row r="839">
          <cell r="L839" t="str">
            <v>UA06</v>
          </cell>
        </row>
        <row r="840">
          <cell r="L840" t="str">
            <v>UA07</v>
          </cell>
        </row>
        <row r="841">
          <cell r="L841" t="str">
            <v>UB06</v>
          </cell>
        </row>
        <row r="842">
          <cell r="L842" t="str">
            <v>VB58</v>
          </cell>
        </row>
        <row r="843">
          <cell r="L843" t="str">
            <v>XB55</v>
          </cell>
        </row>
        <row r="844">
          <cell r="L844" t="str">
            <v>V5C0</v>
          </cell>
        </row>
        <row r="845">
          <cell r="L845" t="str">
            <v>V619</v>
          </cell>
        </row>
        <row r="846">
          <cell r="L846" t="str">
            <v>V959</v>
          </cell>
        </row>
        <row r="847">
          <cell r="L847" t="str">
            <v>V942</v>
          </cell>
        </row>
        <row r="848">
          <cell r="L848" t="str">
            <v>V808</v>
          </cell>
        </row>
        <row r="849">
          <cell r="L849" t="str">
            <v>V832</v>
          </cell>
        </row>
        <row r="850">
          <cell r="L850" t="str">
            <v>V960</v>
          </cell>
        </row>
        <row r="851">
          <cell r="L851" t="str">
            <v>V7B3</v>
          </cell>
        </row>
        <row r="852">
          <cell r="L852" t="str">
            <v>V7A6</v>
          </cell>
        </row>
        <row r="853">
          <cell r="L853" t="str">
            <v>E703</v>
          </cell>
        </row>
        <row r="854">
          <cell r="L854" t="str">
            <v>V4E0</v>
          </cell>
        </row>
        <row r="855">
          <cell r="L855" t="str">
            <v>AMI IT PW</v>
          </cell>
        </row>
        <row r="856">
          <cell r="L856" t="str">
            <v>02PSP07T</v>
          </cell>
        </row>
        <row r="857">
          <cell r="L857" t="str">
            <v>02PSP15</v>
          </cell>
        </row>
        <row r="858">
          <cell r="L858" t="str">
            <v>BD2907206</v>
          </cell>
        </row>
        <row r="859">
          <cell r="L859" t="str">
            <v>BD3111206</v>
          </cell>
        </row>
        <row r="860">
          <cell r="L860" t="str">
            <v>BD4541206</v>
          </cell>
        </row>
        <row r="861">
          <cell r="L861" t="str">
            <v>BD7999206</v>
          </cell>
        </row>
        <row r="862">
          <cell r="L862" t="str">
            <v>BDDMS206</v>
          </cell>
        </row>
        <row r="863">
          <cell r="L863" t="str">
            <v>CDBS206</v>
          </cell>
        </row>
        <row r="864">
          <cell r="L864" t="str">
            <v>CDAMIINF</v>
          </cell>
        </row>
        <row r="865">
          <cell r="L865" t="str">
            <v>02PSP11</v>
          </cell>
        </row>
        <row r="866">
          <cell r="L866" t="str">
            <v>02PSP06</v>
          </cell>
        </row>
        <row r="867">
          <cell r="L867" t="str">
            <v>00MARS01</v>
          </cell>
        </row>
        <row r="868">
          <cell r="L868" t="str">
            <v>01PSP01</v>
          </cell>
        </row>
        <row r="869">
          <cell r="L869" t="str">
            <v>01PSP02</v>
          </cell>
        </row>
        <row r="870">
          <cell r="L870" t="str">
            <v>01PSP03</v>
          </cell>
        </row>
        <row r="871">
          <cell r="L871" t="str">
            <v>01PSP04</v>
          </cell>
        </row>
        <row r="872">
          <cell r="L872" t="str">
            <v>02PSP01</v>
          </cell>
        </row>
        <row r="873">
          <cell r="L873" t="str">
            <v>02PSP03</v>
          </cell>
        </row>
        <row r="874">
          <cell r="L874" t="str">
            <v>02PSP04</v>
          </cell>
        </row>
        <row r="875">
          <cell r="L875" t="str">
            <v>02PSP07</v>
          </cell>
        </row>
        <row r="876">
          <cell r="L876" t="str">
            <v>02PSP08</v>
          </cell>
        </row>
        <row r="877">
          <cell r="L877" t="str">
            <v>02PSP09</v>
          </cell>
        </row>
        <row r="878">
          <cell r="L878" t="str">
            <v>02PSP10</v>
          </cell>
        </row>
        <row r="879">
          <cell r="L879" t="str">
            <v>02PSP12</v>
          </cell>
        </row>
        <row r="880">
          <cell r="L880" t="str">
            <v>02PSP13</v>
          </cell>
        </row>
        <row r="881">
          <cell r="L881" t="str">
            <v>02PSP14</v>
          </cell>
        </row>
        <row r="882">
          <cell r="L882" t="str">
            <v>02PSP05</v>
          </cell>
        </row>
        <row r="883">
          <cell r="L883" t="str">
            <v>G610</v>
          </cell>
        </row>
        <row r="884">
          <cell r="L884" t="str">
            <v>3642CAP</v>
          </cell>
        </row>
        <row r="885">
          <cell r="L885" t="str">
            <v>80000970</v>
          </cell>
        </row>
        <row r="886">
          <cell r="L886" t="str">
            <v>80000973</v>
          </cell>
        </row>
        <row r="887">
          <cell r="L887" t="str">
            <v>80004137</v>
          </cell>
        </row>
        <row r="888">
          <cell r="L888" t="str">
            <v>80004233</v>
          </cell>
        </row>
        <row r="889">
          <cell r="L889" t="str">
            <v>80004265</v>
          </cell>
        </row>
        <row r="890">
          <cell r="L890" t="str">
            <v>80004282</v>
          </cell>
        </row>
        <row r="891">
          <cell r="L891" t="str">
            <v>80004284</v>
          </cell>
        </row>
        <row r="892">
          <cell r="L892" t="str">
            <v>80004285</v>
          </cell>
        </row>
        <row r="893">
          <cell r="L893" t="str">
            <v>80004290</v>
          </cell>
        </row>
        <row r="894">
          <cell r="L894" t="str">
            <v>80004305</v>
          </cell>
        </row>
        <row r="895">
          <cell r="L895" t="str">
            <v>80004306</v>
          </cell>
        </row>
        <row r="896">
          <cell r="L896" t="str">
            <v>80004308</v>
          </cell>
        </row>
        <row r="897">
          <cell r="L897" t="str">
            <v>80004330</v>
          </cell>
        </row>
        <row r="898">
          <cell r="L898" t="str">
            <v>80004352</v>
          </cell>
        </row>
        <row r="899">
          <cell r="L899" t="str">
            <v>80004371</v>
          </cell>
        </row>
        <row r="900">
          <cell r="L900" t="str">
            <v>80004373</v>
          </cell>
        </row>
        <row r="901">
          <cell r="L901" t="str">
            <v>80004375</v>
          </cell>
        </row>
        <row r="902">
          <cell r="L902" t="str">
            <v>80004386</v>
          </cell>
        </row>
        <row r="903">
          <cell r="L903" t="str">
            <v>80004391</v>
          </cell>
        </row>
        <row r="904">
          <cell r="L904" t="str">
            <v>80004393</v>
          </cell>
        </row>
        <row r="905">
          <cell r="L905" t="str">
            <v>80004398</v>
          </cell>
        </row>
        <row r="906">
          <cell r="L906" t="str">
            <v>80004399</v>
          </cell>
        </row>
        <row r="907">
          <cell r="L907" t="str">
            <v>80005003</v>
          </cell>
        </row>
        <row r="908">
          <cell r="L908" t="str">
            <v>80005005</v>
          </cell>
        </row>
        <row r="909">
          <cell r="L909" t="str">
            <v>80005008</v>
          </cell>
        </row>
        <row r="910">
          <cell r="L910" t="str">
            <v>80005010</v>
          </cell>
        </row>
        <row r="911">
          <cell r="L911" t="str">
            <v>80005011</v>
          </cell>
        </row>
        <row r="912">
          <cell r="L912" t="str">
            <v>80005014</v>
          </cell>
        </row>
        <row r="913">
          <cell r="L913" t="str">
            <v>80005020</v>
          </cell>
        </row>
        <row r="914">
          <cell r="L914" t="str">
            <v>80005023</v>
          </cell>
        </row>
        <row r="915">
          <cell r="L915" t="str">
            <v>80005026</v>
          </cell>
        </row>
        <row r="916">
          <cell r="L916" t="str">
            <v>80005031</v>
          </cell>
        </row>
        <row r="917">
          <cell r="L917" t="str">
            <v>80005032</v>
          </cell>
        </row>
        <row r="918">
          <cell r="L918" t="str">
            <v>80005033</v>
          </cell>
        </row>
        <row r="919">
          <cell r="L919" t="str">
            <v>80005035</v>
          </cell>
        </row>
        <row r="920">
          <cell r="L920" t="str">
            <v>80005038</v>
          </cell>
        </row>
        <row r="921">
          <cell r="L921" t="str">
            <v>80005047</v>
          </cell>
        </row>
        <row r="922">
          <cell r="L922" t="str">
            <v>80005048</v>
          </cell>
        </row>
        <row r="923">
          <cell r="L923" t="str">
            <v>80005058</v>
          </cell>
        </row>
        <row r="924">
          <cell r="L924" t="str">
            <v>80005059</v>
          </cell>
        </row>
        <row r="925">
          <cell r="L925" t="str">
            <v>80005060</v>
          </cell>
        </row>
        <row r="926">
          <cell r="L926" t="str">
            <v>80005061</v>
          </cell>
        </row>
        <row r="927">
          <cell r="L927" t="str">
            <v>80005064</v>
          </cell>
        </row>
        <row r="928">
          <cell r="L928" t="str">
            <v>80005065</v>
          </cell>
        </row>
        <row r="929">
          <cell r="L929" t="str">
            <v>AMSCR910</v>
          </cell>
        </row>
        <row r="930">
          <cell r="L930" t="str">
            <v>BD1014210</v>
          </cell>
        </row>
        <row r="931">
          <cell r="L931" t="str">
            <v>BD1724200</v>
          </cell>
        </row>
        <row r="932">
          <cell r="L932" t="str">
            <v>BD2015210</v>
          </cell>
        </row>
        <row r="933">
          <cell r="L933" t="str">
            <v>BD2488200</v>
          </cell>
        </row>
        <row r="934">
          <cell r="L934" t="str">
            <v>BD3602207</v>
          </cell>
        </row>
        <row r="935">
          <cell r="L935" t="str">
            <v>BD3642210</v>
          </cell>
        </row>
        <row r="936">
          <cell r="L936" t="str">
            <v>BD4300200</v>
          </cell>
        </row>
        <row r="937">
          <cell r="L937" t="str">
            <v>BD4527207</v>
          </cell>
        </row>
        <row r="938">
          <cell r="L938" t="str">
            <v>BD4541180</v>
          </cell>
        </row>
        <row r="939">
          <cell r="L939" t="str">
            <v>BD4597170</v>
          </cell>
        </row>
        <row r="940">
          <cell r="L940" t="str">
            <v>BD5068200</v>
          </cell>
        </row>
        <row r="941">
          <cell r="L941" t="str">
            <v>BD5342200</v>
          </cell>
        </row>
        <row r="942">
          <cell r="L942" t="str">
            <v>BD5342207</v>
          </cell>
        </row>
        <row r="943">
          <cell r="L943" t="str">
            <v>BD5342210</v>
          </cell>
        </row>
        <row r="944">
          <cell r="L944" t="str">
            <v>BD5917200</v>
          </cell>
        </row>
        <row r="945">
          <cell r="L945" t="str">
            <v>BD5917210</v>
          </cell>
        </row>
        <row r="946">
          <cell r="L946" t="str">
            <v>BD6060190</v>
          </cell>
        </row>
        <row r="947">
          <cell r="L947" t="str">
            <v>BD6060210</v>
          </cell>
        </row>
        <row r="948">
          <cell r="L948" t="str">
            <v>BD6909212</v>
          </cell>
        </row>
        <row r="949">
          <cell r="L949" t="str">
            <v>BD6965212</v>
          </cell>
        </row>
        <row r="950">
          <cell r="L950" t="str">
            <v>BD7190170</v>
          </cell>
        </row>
        <row r="951">
          <cell r="L951" t="str">
            <v>BD7482180</v>
          </cell>
        </row>
        <row r="952">
          <cell r="L952" t="str">
            <v>BD8047210</v>
          </cell>
        </row>
        <row r="953">
          <cell r="L953" t="str">
            <v>BD8473207</v>
          </cell>
        </row>
        <row r="954">
          <cell r="L954" t="str">
            <v>BD8731210</v>
          </cell>
        </row>
        <row r="955">
          <cell r="L955" t="str">
            <v>BD9042212</v>
          </cell>
        </row>
        <row r="956">
          <cell r="L956" t="str">
            <v>BT1724200</v>
          </cell>
        </row>
        <row r="957">
          <cell r="L957" t="str">
            <v>BT2275207</v>
          </cell>
        </row>
        <row r="958">
          <cell r="L958" t="str">
            <v>BT3602207</v>
          </cell>
        </row>
        <row r="959">
          <cell r="L959" t="str">
            <v>BT4527207</v>
          </cell>
        </row>
        <row r="960">
          <cell r="L960" t="str">
            <v>CAIEMAS2</v>
          </cell>
        </row>
        <row r="961">
          <cell r="L961" t="str">
            <v>CAILILY</v>
          </cell>
        </row>
        <row r="962">
          <cell r="L962" t="str">
            <v>CAISPANV</v>
          </cell>
        </row>
        <row r="963">
          <cell r="L963" t="str">
            <v>CBFDOFFICE</v>
          </cell>
        </row>
        <row r="964">
          <cell r="L964" t="str">
            <v>CDBS0017</v>
          </cell>
        </row>
        <row r="965">
          <cell r="L965" t="str">
            <v>CDBS0046</v>
          </cell>
        </row>
        <row r="966">
          <cell r="L966" t="str">
            <v>CDBS0121</v>
          </cell>
        </row>
        <row r="967">
          <cell r="L967" t="str">
            <v>CDBS0123</v>
          </cell>
        </row>
        <row r="968">
          <cell r="L968" t="str">
            <v>CDBS0124</v>
          </cell>
        </row>
        <row r="969">
          <cell r="L969" t="str">
            <v>CDBS0126</v>
          </cell>
        </row>
        <row r="970">
          <cell r="L970" t="str">
            <v>CDBS0129</v>
          </cell>
        </row>
        <row r="971">
          <cell r="L971" t="str">
            <v>CDBS0130</v>
          </cell>
        </row>
        <row r="972">
          <cell r="L972" t="str">
            <v>CDBS0132</v>
          </cell>
        </row>
        <row r="973">
          <cell r="L973" t="str">
            <v>CDBS0134</v>
          </cell>
        </row>
        <row r="974">
          <cell r="L974" t="str">
            <v>CDBS0138</v>
          </cell>
        </row>
        <row r="975">
          <cell r="L975" t="str">
            <v>CDBS0150</v>
          </cell>
        </row>
        <row r="976">
          <cell r="L976" t="str">
            <v>CDBS0151</v>
          </cell>
        </row>
        <row r="977">
          <cell r="L977" t="str">
            <v>CDBS0153</v>
          </cell>
        </row>
        <row r="978">
          <cell r="L978" t="str">
            <v>CDBS0156</v>
          </cell>
        </row>
        <row r="979">
          <cell r="L979" t="str">
            <v>CDBS0161</v>
          </cell>
        </row>
        <row r="980">
          <cell r="L980" t="str">
            <v>CDBS0163</v>
          </cell>
        </row>
        <row r="981">
          <cell r="L981" t="str">
            <v>CDBS0167</v>
          </cell>
        </row>
        <row r="982">
          <cell r="L982" t="str">
            <v>CDBS0168</v>
          </cell>
        </row>
        <row r="983">
          <cell r="L983" t="str">
            <v>CDBS0170</v>
          </cell>
        </row>
        <row r="984">
          <cell r="L984" t="str">
            <v>CDBS0172</v>
          </cell>
        </row>
        <row r="985">
          <cell r="L985" t="str">
            <v>CDBS201</v>
          </cell>
        </row>
        <row r="986">
          <cell r="L986" t="str">
            <v>CDBS204</v>
          </cell>
        </row>
        <row r="987">
          <cell r="L987" t="str">
            <v>CDBS205</v>
          </cell>
        </row>
        <row r="988">
          <cell r="L988" t="str">
            <v>CDBSB039</v>
          </cell>
        </row>
        <row r="989">
          <cell r="L989" t="str">
            <v>CDFMOB</v>
          </cell>
        </row>
        <row r="990">
          <cell r="L990" t="str">
            <v>CDFNTM1FCST</v>
          </cell>
        </row>
        <row r="991">
          <cell r="L991" t="str">
            <v>CDFNTM1KPI</v>
          </cell>
        </row>
        <row r="992">
          <cell r="L992" t="str">
            <v>CDINS</v>
          </cell>
        </row>
        <row r="993">
          <cell r="L993" t="str">
            <v>CDMSCONTE</v>
          </cell>
        </row>
        <row r="994">
          <cell r="L994" t="str">
            <v>CDMSPDA</v>
          </cell>
        </row>
        <row r="995">
          <cell r="L995" t="str">
            <v>CDMSTRIG</v>
          </cell>
        </row>
        <row r="996">
          <cell r="L996" t="str">
            <v>CRAMSD</v>
          </cell>
        </row>
        <row r="997">
          <cell r="L997" t="str">
            <v>CRCORPD</v>
          </cell>
        </row>
        <row r="998">
          <cell r="L998" t="str">
            <v>CRSELD</v>
          </cell>
        </row>
        <row r="999">
          <cell r="L999" t="str">
            <v>DCPOWER</v>
          </cell>
        </row>
        <row r="1000">
          <cell r="L1000" t="str">
            <v>DMSWMR</v>
          </cell>
        </row>
        <row r="1001">
          <cell r="L1001" t="str">
            <v>EAIARC10</v>
          </cell>
        </row>
        <row r="1002">
          <cell r="L1002" t="str">
            <v>EBSQUERIES</v>
          </cell>
        </row>
        <row r="1003">
          <cell r="L1003" t="str">
            <v>GEMSTONE2</v>
          </cell>
        </row>
        <row r="1004">
          <cell r="L1004" t="str">
            <v>ICTDCDESIGN</v>
          </cell>
        </row>
        <row r="1005">
          <cell r="L1005" t="str">
            <v>Keystone</v>
          </cell>
        </row>
        <row r="1006">
          <cell r="L1006" t="str">
            <v>L29UPGRADE</v>
          </cell>
        </row>
        <row r="1007">
          <cell r="L1007" t="str">
            <v>PSOFFIT</v>
          </cell>
        </row>
        <row r="1008">
          <cell r="L1008" t="str">
            <v>SASMVRPL</v>
          </cell>
        </row>
        <row r="1009">
          <cell r="L1009" t="str">
            <v>TSCPINSOURCE</v>
          </cell>
        </row>
        <row r="1010">
          <cell r="L1010" t="str">
            <v>TSGIMBAL</v>
          </cell>
        </row>
        <row r="1011">
          <cell r="L1011" t="str">
            <v>CD627</v>
          </cell>
        </row>
        <row r="1012">
          <cell r="L1012" t="str">
            <v>AMI MARS Phases 1 -3</v>
          </cell>
        </row>
        <row r="1013">
          <cell r="L1013" t="str">
            <v>CD626</v>
          </cell>
        </row>
        <row r="1014">
          <cell r="L1014" t="str">
            <v>G508</v>
          </cell>
        </row>
        <row r="1015">
          <cell r="L1015" t="str">
            <v>CDBS0038</v>
          </cell>
        </row>
        <row r="1016">
          <cell r="L1016" t="str">
            <v>CDBS0117</v>
          </cell>
        </row>
        <row r="1017">
          <cell r="L1017" t="str">
            <v>CDBSB033</v>
          </cell>
        </row>
        <row r="1018">
          <cell r="L1018" t="str">
            <v>CDBSB034</v>
          </cell>
        </row>
        <row r="1019">
          <cell r="L1019" t="str">
            <v>CDBSB035</v>
          </cell>
        </row>
        <row r="1020">
          <cell r="L1020" t="str">
            <v>CDBSB036</v>
          </cell>
        </row>
        <row r="1021">
          <cell r="L1021" t="str">
            <v>CDBSB037</v>
          </cell>
        </row>
        <row r="1022">
          <cell r="L1022" t="str">
            <v>TBA158</v>
          </cell>
        </row>
        <row r="1023">
          <cell r="L1023" t="str">
            <v>TBA160</v>
          </cell>
        </row>
        <row r="1024">
          <cell r="L1024" t="str">
            <v>CDBS0039</v>
          </cell>
        </row>
        <row r="1025">
          <cell r="L1025" t="str">
            <v>CDBS0045</v>
          </cell>
        </row>
        <row r="1026">
          <cell r="L1026" t="str">
            <v>CDBS0040</v>
          </cell>
        </row>
        <row r="1027">
          <cell r="L1027" t="str">
            <v>G721</v>
          </cell>
        </row>
        <row r="1028">
          <cell r="L1028" t="str">
            <v>CDBS0044</v>
          </cell>
        </row>
        <row r="1029">
          <cell r="L1029" t="str">
            <v>CDBSB006</v>
          </cell>
        </row>
        <row r="1030">
          <cell r="L1030" t="str">
            <v>CDBSB038</v>
          </cell>
        </row>
        <row r="1031">
          <cell r="L1031" t="str">
            <v>ZD5086</v>
          </cell>
        </row>
        <row r="1032">
          <cell r="L1032" t="str">
            <v>ICTDCD</v>
          </cell>
        </row>
        <row r="1033">
          <cell r="L1033" t="str">
            <v>G803</v>
          </cell>
        </row>
        <row r="1034">
          <cell r="L1034" t="str">
            <v>CDBS0067</v>
          </cell>
        </row>
        <row r="1035">
          <cell r="L1035" t="str">
            <v>CDBS0075</v>
          </cell>
        </row>
        <row r="1036">
          <cell r="L1036" t="str">
            <v>G807</v>
          </cell>
        </row>
        <row r="1037">
          <cell r="L1037" t="str">
            <v>CDBS0088</v>
          </cell>
        </row>
        <row r="1038">
          <cell r="L1038" t="str">
            <v>CDBS0103</v>
          </cell>
        </row>
        <row r="1039">
          <cell r="L1039" t="str">
            <v>80000665</v>
          </cell>
        </row>
        <row r="1040">
          <cell r="L1040" t="str">
            <v>G813</v>
          </cell>
        </row>
        <row r="1041">
          <cell r="L1041" t="str">
            <v>G900</v>
          </cell>
        </row>
        <row r="1042">
          <cell r="L1042" t="str">
            <v>G812</v>
          </cell>
        </row>
        <row r="1043">
          <cell r="L1043" t="str">
            <v>CDBS0113</v>
          </cell>
        </row>
        <row r="1044">
          <cell r="L1044" t="str">
            <v>CDBS0114</v>
          </cell>
        </row>
        <row r="1045">
          <cell r="L1045" t="str">
            <v>80000667</v>
          </cell>
        </row>
        <row r="1046">
          <cell r="L1046" t="str">
            <v>CDBS0125</v>
          </cell>
        </row>
        <row r="1047">
          <cell r="L1047" t="str">
            <v>AMSDCR1011</v>
          </cell>
        </row>
        <row r="1048">
          <cell r="L1048" t="str">
            <v>CDBS0128</v>
          </cell>
        </row>
        <row r="1049">
          <cell r="L1049" t="str">
            <v>CDBS0146</v>
          </cell>
        </row>
        <row r="1050">
          <cell r="L1050" t="str">
            <v>CDBS0147</v>
          </cell>
        </row>
        <row r="1051">
          <cell r="L1051" t="str">
            <v>CDBS0136</v>
          </cell>
        </row>
        <row r="1052">
          <cell r="L1052" t="str">
            <v>CDBS0137</v>
          </cell>
        </row>
        <row r="1053">
          <cell r="L1053" t="str">
            <v>74280681</v>
          </cell>
        </row>
        <row r="1054">
          <cell r="L1054" t="str">
            <v>CDBS0139</v>
          </cell>
        </row>
        <row r="1055">
          <cell r="L1055" t="str">
            <v>CDBS0140</v>
          </cell>
        </row>
        <row r="1056">
          <cell r="L1056" t="str">
            <v>CDBS0141</v>
          </cell>
        </row>
        <row r="1057">
          <cell r="L1057" t="str">
            <v>CDBS0142</v>
          </cell>
        </row>
        <row r="1058">
          <cell r="L1058" t="str">
            <v>CDBS0143</v>
          </cell>
        </row>
        <row r="1059">
          <cell r="L1059" t="str">
            <v>CDBS0144</v>
          </cell>
        </row>
        <row r="1060">
          <cell r="L1060" t="str">
            <v>CDBS0145</v>
          </cell>
        </row>
        <row r="1061">
          <cell r="L1061" t="str">
            <v>CDBS0148</v>
          </cell>
        </row>
        <row r="1062">
          <cell r="L1062" t="str">
            <v>CDBS0149</v>
          </cell>
        </row>
        <row r="1063">
          <cell r="L1063" t="str">
            <v>CDBS0135</v>
          </cell>
        </row>
        <row r="1064">
          <cell r="L1064" t="str">
            <v>CDBS0131</v>
          </cell>
        </row>
        <row r="1065">
          <cell r="L1065" t="str">
            <v>74291585</v>
          </cell>
        </row>
        <row r="1066">
          <cell r="L1066" t="str">
            <v>74296544</v>
          </cell>
        </row>
        <row r="1067">
          <cell r="L1067" t="str">
            <v>74296545</v>
          </cell>
        </row>
        <row r="1068">
          <cell r="L1068" t="str">
            <v>74296546</v>
          </cell>
        </row>
        <row r="1069">
          <cell r="L1069" t="str">
            <v>74298411</v>
          </cell>
        </row>
        <row r="1070">
          <cell r="L1070" t="str">
            <v>74298413</v>
          </cell>
        </row>
        <row r="1071">
          <cell r="L1071" t="str">
            <v>CDBS0154</v>
          </cell>
        </row>
        <row r="1072">
          <cell r="L1072" t="str">
            <v>QBUPGRADED</v>
          </cell>
        </row>
        <row r="1073">
          <cell r="L1073" t="str">
            <v>COMMSHUT</v>
          </cell>
        </row>
        <row r="1074">
          <cell r="L1074" t="str">
            <v>WGLLINKS</v>
          </cell>
        </row>
        <row r="1075">
          <cell r="L1075" t="str">
            <v>74303973</v>
          </cell>
        </row>
        <row r="1076">
          <cell r="L1076" t="str">
            <v>CDFNREGRP</v>
          </cell>
        </row>
        <row r="1077">
          <cell r="L1077" t="str">
            <v>80005162</v>
          </cell>
        </row>
        <row r="1078">
          <cell r="L1078" t="str">
            <v>CDBS0199</v>
          </cell>
        </row>
        <row r="1079">
          <cell r="L1079" t="str">
            <v>CDBS0173</v>
          </cell>
        </row>
        <row r="1080">
          <cell r="L1080" t="str">
            <v>CDBS0198</v>
          </cell>
        </row>
        <row r="1081">
          <cell r="L1081" t="str">
            <v>CDBS0166</v>
          </cell>
        </row>
        <row r="1082">
          <cell r="L1082" t="str">
            <v>CDBS0158</v>
          </cell>
        </row>
        <row r="1083">
          <cell r="L1083" t="str">
            <v>CDBS0169</v>
          </cell>
        </row>
        <row r="1084">
          <cell r="L1084" t="str">
            <v>CDBS0160</v>
          </cell>
        </row>
        <row r="1085">
          <cell r="L1085" t="str">
            <v>CDBS0159</v>
          </cell>
        </row>
        <row r="1086">
          <cell r="L1086" t="str">
            <v>CDBS0171</v>
          </cell>
        </row>
        <row r="1087">
          <cell r="L1087" t="str">
            <v>CDBS0127</v>
          </cell>
        </row>
        <row r="1088">
          <cell r="L1088" t="str">
            <v>CDBS0175</v>
          </cell>
        </row>
        <row r="1089">
          <cell r="L1089" t="str">
            <v>CDBS0164</v>
          </cell>
        </row>
        <row r="1090">
          <cell r="L1090" t="str">
            <v>CDBS0178</v>
          </cell>
        </row>
        <row r="1091">
          <cell r="L1091" t="str">
            <v>CDBS0177</v>
          </cell>
        </row>
        <row r="1092">
          <cell r="L1092" t="str">
            <v>Fairway</v>
          </cell>
        </row>
        <row r="1093">
          <cell r="L1093" t="str">
            <v>SVDMTIME</v>
          </cell>
        </row>
        <row r="1094">
          <cell r="L1094" t="str">
            <v>SVDM10149</v>
          </cell>
        </row>
        <row r="1095">
          <cell r="L1095" t="str">
            <v>ZD9470</v>
          </cell>
        </row>
        <row r="1096">
          <cell r="L1096" t="str">
            <v>DISTTOOLS&amp;EQUIP07/08</v>
          </cell>
        </row>
        <row r="1097">
          <cell r="L1097" t="str">
            <v>020B2183</v>
          </cell>
        </row>
        <row r="1098">
          <cell r="L1098" t="str">
            <v>ZD7054526</v>
          </cell>
        </row>
        <row r="1099">
          <cell r="L1099" t="str">
            <v>D625</v>
          </cell>
        </row>
        <row r="1100">
          <cell r="L1100" t="str">
            <v>CD506</v>
          </cell>
        </row>
        <row r="1101">
          <cell r="L1101" t="str">
            <v>CD504</v>
          </cell>
        </row>
        <row r="1102">
          <cell r="L1102" t="str">
            <v>G511</v>
          </cell>
        </row>
        <row r="1103">
          <cell r="L1103" t="str">
            <v>157B3244</v>
          </cell>
        </row>
        <row r="1104">
          <cell r="L1104" t="str">
            <v>160B2183</v>
          </cell>
        </row>
        <row r="1105">
          <cell r="L1105" t="str">
            <v>161B4597</v>
          </cell>
        </row>
        <row r="1106">
          <cell r="L1106" t="str">
            <v>74132307</v>
          </cell>
        </row>
        <row r="1107">
          <cell r="L1107" t="str">
            <v>74132621</v>
          </cell>
        </row>
        <row r="1108">
          <cell r="L1108" t="str">
            <v>74133690</v>
          </cell>
        </row>
        <row r="1109">
          <cell r="L1109" t="str">
            <v>74135170</v>
          </cell>
        </row>
        <row r="1110">
          <cell r="L1110" t="str">
            <v>74135988</v>
          </cell>
        </row>
        <row r="1111">
          <cell r="L1111" t="str">
            <v>74136189</v>
          </cell>
        </row>
        <row r="1112">
          <cell r="L1112" t="str">
            <v>74136857</v>
          </cell>
        </row>
        <row r="1113">
          <cell r="L1113" t="str">
            <v>74140708</v>
          </cell>
        </row>
        <row r="1114">
          <cell r="L1114" t="str">
            <v>74141128</v>
          </cell>
        </row>
        <row r="1115">
          <cell r="L1115" t="str">
            <v>74141129</v>
          </cell>
        </row>
        <row r="1116">
          <cell r="L1116" t="str">
            <v>74141130</v>
          </cell>
        </row>
        <row r="1117">
          <cell r="L1117" t="str">
            <v>74146028</v>
          </cell>
        </row>
        <row r="1118">
          <cell r="L1118" t="str">
            <v>74160469</v>
          </cell>
        </row>
        <row r="1119">
          <cell r="L1119" t="str">
            <v>74165370</v>
          </cell>
        </row>
        <row r="1120">
          <cell r="L1120" t="str">
            <v>74166489</v>
          </cell>
        </row>
        <row r="1121">
          <cell r="L1121" t="str">
            <v>74169289</v>
          </cell>
        </row>
        <row r="1122">
          <cell r="L1122" t="str">
            <v>74169648</v>
          </cell>
        </row>
        <row r="1123">
          <cell r="L1123" t="str">
            <v>74172233</v>
          </cell>
        </row>
        <row r="1124">
          <cell r="L1124" t="str">
            <v>74176388</v>
          </cell>
        </row>
        <row r="1125">
          <cell r="L1125" t="str">
            <v>74182273</v>
          </cell>
        </row>
        <row r="1126">
          <cell r="L1126" t="str">
            <v>74183165</v>
          </cell>
        </row>
        <row r="1127">
          <cell r="L1127" t="str">
            <v>74183248</v>
          </cell>
        </row>
        <row r="1128">
          <cell r="L1128" t="str">
            <v>74185748</v>
          </cell>
        </row>
        <row r="1129">
          <cell r="L1129" t="str">
            <v>74185755</v>
          </cell>
        </row>
        <row r="1130">
          <cell r="L1130" t="str">
            <v>74185782</v>
          </cell>
        </row>
        <row r="1131">
          <cell r="L1131" t="str">
            <v>74190595</v>
          </cell>
        </row>
        <row r="1132">
          <cell r="L1132" t="str">
            <v>74190596</v>
          </cell>
        </row>
        <row r="1133">
          <cell r="L1133" t="str">
            <v>74190597</v>
          </cell>
        </row>
        <row r="1134">
          <cell r="L1134" t="str">
            <v>74190600</v>
          </cell>
        </row>
        <row r="1135">
          <cell r="L1135" t="str">
            <v>74190601</v>
          </cell>
        </row>
        <row r="1136">
          <cell r="L1136" t="str">
            <v>74192455</v>
          </cell>
        </row>
        <row r="1137">
          <cell r="L1137" t="str">
            <v>74196098</v>
          </cell>
        </row>
        <row r="1138">
          <cell r="L1138" t="str">
            <v>74203913</v>
          </cell>
        </row>
        <row r="1139">
          <cell r="L1139" t="str">
            <v>74208356</v>
          </cell>
        </row>
        <row r="1140">
          <cell r="L1140" t="str">
            <v>74211115</v>
          </cell>
        </row>
        <row r="1141">
          <cell r="L1141" t="str">
            <v>74212605</v>
          </cell>
        </row>
        <row r="1142">
          <cell r="L1142" t="str">
            <v>74214321</v>
          </cell>
        </row>
        <row r="1143">
          <cell r="L1143" t="str">
            <v>74216001</v>
          </cell>
        </row>
        <row r="1144">
          <cell r="L1144" t="str">
            <v>74218013</v>
          </cell>
        </row>
        <row r="1145">
          <cell r="L1145" t="str">
            <v>74219817</v>
          </cell>
        </row>
        <row r="1146">
          <cell r="L1146" t="str">
            <v>74221299</v>
          </cell>
        </row>
        <row r="1147">
          <cell r="L1147" t="str">
            <v>74234139</v>
          </cell>
        </row>
        <row r="1148">
          <cell r="L1148" t="str">
            <v>74237962</v>
          </cell>
        </row>
        <row r="1149">
          <cell r="L1149" t="str">
            <v>74243542</v>
          </cell>
        </row>
        <row r="1150">
          <cell r="L1150" t="str">
            <v>74247323</v>
          </cell>
        </row>
        <row r="1151">
          <cell r="L1151" t="str">
            <v>74247623</v>
          </cell>
        </row>
        <row r="1152">
          <cell r="L1152" t="str">
            <v>74250982</v>
          </cell>
        </row>
        <row r="1153">
          <cell r="L1153" t="str">
            <v>74251520</v>
          </cell>
        </row>
        <row r="1154">
          <cell r="L1154" t="str">
            <v>74251521</v>
          </cell>
        </row>
        <row r="1155">
          <cell r="L1155" t="str">
            <v>74271039</v>
          </cell>
        </row>
        <row r="1156">
          <cell r="L1156" t="str">
            <v>74272000</v>
          </cell>
        </row>
        <row r="1157">
          <cell r="L1157" t="str">
            <v>74272299</v>
          </cell>
        </row>
        <row r="1158">
          <cell r="L1158" t="str">
            <v>74286240</v>
          </cell>
        </row>
        <row r="1159">
          <cell r="L1159" t="str">
            <v>74286829</v>
          </cell>
        </row>
        <row r="1160">
          <cell r="L1160" t="str">
            <v>74290541</v>
          </cell>
        </row>
        <row r="1161">
          <cell r="L1161" t="str">
            <v>74290542</v>
          </cell>
        </row>
        <row r="1162">
          <cell r="L1162" t="str">
            <v>74290561</v>
          </cell>
        </row>
        <row r="1163">
          <cell r="L1163" t="str">
            <v>74294473</v>
          </cell>
        </row>
        <row r="1164">
          <cell r="L1164" t="str">
            <v>74298619</v>
          </cell>
        </row>
        <row r="1165">
          <cell r="L1165" t="str">
            <v>74308684</v>
          </cell>
        </row>
        <row r="1166">
          <cell r="L1166" t="str">
            <v>74308687</v>
          </cell>
        </row>
        <row r="1167">
          <cell r="L1167" t="str">
            <v>74308690</v>
          </cell>
        </row>
        <row r="1168">
          <cell r="L1168" t="str">
            <v>74309059</v>
          </cell>
        </row>
        <row r="1169">
          <cell r="L1169" t="str">
            <v>74318201</v>
          </cell>
        </row>
        <row r="1170">
          <cell r="L1170" t="str">
            <v>74320440</v>
          </cell>
        </row>
        <row r="1171">
          <cell r="L1171" t="str">
            <v>74321743</v>
          </cell>
        </row>
        <row r="1172">
          <cell r="L1172" t="str">
            <v>74323402</v>
          </cell>
        </row>
        <row r="1173">
          <cell r="L1173" t="str">
            <v>74323899</v>
          </cell>
        </row>
        <row r="1174">
          <cell r="L1174" t="str">
            <v>74324361</v>
          </cell>
        </row>
        <row r="1175">
          <cell r="L1175" t="str">
            <v>74324979</v>
          </cell>
        </row>
        <row r="1176">
          <cell r="L1176" t="str">
            <v>74326183</v>
          </cell>
        </row>
        <row r="1177">
          <cell r="L1177" t="str">
            <v>74326187</v>
          </cell>
        </row>
        <row r="1178">
          <cell r="L1178" t="str">
            <v>74326202</v>
          </cell>
        </row>
        <row r="1179">
          <cell r="L1179" t="str">
            <v>74326241</v>
          </cell>
        </row>
        <row r="1180">
          <cell r="L1180" t="str">
            <v>74326923</v>
          </cell>
        </row>
        <row r="1181">
          <cell r="L1181" t="str">
            <v>80000262</v>
          </cell>
        </row>
        <row r="1182">
          <cell r="L1182" t="str">
            <v>AMICNMS</v>
          </cell>
        </row>
        <row r="1183">
          <cell r="L1183" t="str">
            <v>AMICOMMPLS</v>
          </cell>
        </row>
        <row r="1184">
          <cell r="L1184" t="str">
            <v>AMIMETERS02</v>
          </cell>
        </row>
        <row r="1185">
          <cell r="L1185" t="str">
            <v>BD9954157</v>
          </cell>
        </row>
        <row r="1186">
          <cell r="L1186" t="str">
            <v>BFD157</v>
          </cell>
        </row>
        <row r="1187">
          <cell r="L1187" t="str">
            <v>BT9954157</v>
          </cell>
        </row>
        <row r="1188">
          <cell r="L1188" t="str">
            <v>Draft 1</v>
          </cell>
        </row>
        <row r="1189">
          <cell r="L1189" t="str">
            <v xml:space="preserve">DRN 12E </v>
          </cell>
        </row>
        <row r="1190">
          <cell r="L1190" t="str">
            <v xml:space="preserve">EDPR </v>
          </cell>
        </row>
        <row r="1191">
          <cell r="L1191" t="str">
            <v>HPK22</v>
          </cell>
        </row>
        <row r="1192">
          <cell r="L1192" t="str">
            <v>Kiet 2</v>
          </cell>
        </row>
        <row r="1193">
          <cell r="L1193" t="str">
            <v xml:space="preserve">KLO ZSS </v>
          </cell>
        </row>
        <row r="1194">
          <cell r="L1194" t="str">
            <v>MP160OH12</v>
          </cell>
        </row>
        <row r="1195">
          <cell r="L1195" t="str">
            <v>MP161OH12</v>
          </cell>
        </row>
        <row r="1196">
          <cell r="L1196" t="str">
            <v>MP166OH12</v>
          </cell>
        </row>
        <row r="1197">
          <cell r="L1197" t="str">
            <v>MYERS CR</v>
          </cell>
        </row>
        <row r="1198">
          <cell r="L1198" t="str">
            <v>SWER OCR</v>
          </cell>
        </row>
        <row r="1199">
          <cell r="L1199" t="str">
            <v>Test SL1</v>
          </cell>
        </row>
        <row r="1200">
          <cell r="L1200" t="str">
            <v>U SMTS66</v>
          </cell>
        </row>
        <row r="1201">
          <cell r="L1201" t="str">
            <v>UOfficer</v>
          </cell>
        </row>
        <row r="1202">
          <cell r="L1202" t="str">
            <v>ITECHSPIE</v>
          </cell>
        </row>
        <row r="1203">
          <cell r="L1203" t="str">
            <v>74182153</v>
          </cell>
        </row>
        <row r="1204">
          <cell r="L1204" t="str">
            <v>74323079</v>
          </cell>
        </row>
        <row r="1205">
          <cell r="L1205" t="str">
            <v>74157855</v>
          </cell>
        </row>
        <row r="1206">
          <cell r="L1206" t="str">
            <v>X478</v>
          </cell>
        </row>
        <row r="1207">
          <cell r="L1207" t="str">
            <v>74134971</v>
          </cell>
        </row>
        <row r="1208">
          <cell r="L1208" t="str">
            <v>74138672</v>
          </cell>
        </row>
        <row r="1209">
          <cell r="L1209" t="str">
            <v>74138674</v>
          </cell>
        </row>
        <row r="1210">
          <cell r="L1210" t="str">
            <v>74142395</v>
          </cell>
        </row>
        <row r="1211">
          <cell r="L1211" t="str">
            <v>74150950</v>
          </cell>
        </row>
        <row r="1212">
          <cell r="L1212" t="str">
            <v>74153528</v>
          </cell>
        </row>
        <row r="1213">
          <cell r="L1213" t="str">
            <v>74159708</v>
          </cell>
        </row>
        <row r="1214">
          <cell r="L1214" t="str">
            <v>74159729</v>
          </cell>
        </row>
        <row r="1215">
          <cell r="L1215" t="str">
            <v>74159748</v>
          </cell>
        </row>
        <row r="1216">
          <cell r="L1216" t="str">
            <v>74174992</v>
          </cell>
        </row>
        <row r="1217">
          <cell r="L1217" t="str">
            <v>74175048</v>
          </cell>
        </row>
        <row r="1218">
          <cell r="L1218" t="str">
            <v>74175049</v>
          </cell>
        </row>
        <row r="1219">
          <cell r="L1219" t="str">
            <v>74175050</v>
          </cell>
        </row>
        <row r="1220">
          <cell r="L1220" t="str">
            <v>74175051</v>
          </cell>
        </row>
        <row r="1221">
          <cell r="L1221" t="str">
            <v>74175053</v>
          </cell>
        </row>
        <row r="1222">
          <cell r="L1222" t="str">
            <v>74176888</v>
          </cell>
        </row>
        <row r="1223">
          <cell r="L1223" t="str">
            <v>74209409</v>
          </cell>
        </row>
        <row r="1224">
          <cell r="L1224" t="str">
            <v>74239804</v>
          </cell>
        </row>
        <row r="1225">
          <cell r="L1225" t="str">
            <v>74242900</v>
          </cell>
        </row>
        <row r="1226">
          <cell r="L1226" t="str">
            <v>74246739</v>
          </cell>
        </row>
        <row r="1227">
          <cell r="L1227" t="str">
            <v>74255183</v>
          </cell>
        </row>
        <row r="1228">
          <cell r="L1228" t="str">
            <v>74138977</v>
          </cell>
        </row>
        <row r="1229">
          <cell r="L1229" t="str">
            <v>74086185</v>
          </cell>
        </row>
        <row r="1230">
          <cell r="L1230" t="str">
            <v>80000281</v>
          </cell>
        </row>
        <row r="1231">
          <cell r="L1231" t="str">
            <v>D630</v>
          </cell>
        </row>
        <row r="1232">
          <cell r="L1232" t="str">
            <v>80000282</v>
          </cell>
        </row>
        <row r="1233">
          <cell r="L1233" t="str">
            <v>RELIMPPRG06</v>
          </cell>
        </row>
        <row r="1234">
          <cell r="L1234" t="str">
            <v>74132674</v>
          </cell>
        </row>
        <row r="1235">
          <cell r="L1235" t="str">
            <v>74132675</v>
          </cell>
        </row>
        <row r="1236">
          <cell r="L1236" t="str">
            <v>74132676</v>
          </cell>
        </row>
        <row r="1237">
          <cell r="L1237" t="str">
            <v>74132932</v>
          </cell>
        </row>
        <row r="1238">
          <cell r="L1238" t="str">
            <v>74135969</v>
          </cell>
        </row>
        <row r="1239">
          <cell r="L1239" t="str">
            <v>74136060</v>
          </cell>
        </row>
        <row r="1240">
          <cell r="L1240" t="str">
            <v>74136062</v>
          </cell>
        </row>
        <row r="1241">
          <cell r="L1241" t="str">
            <v>74136065</v>
          </cell>
        </row>
        <row r="1242">
          <cell r="L1242" t="str">
            <v>74136067</v>
          </cell>
        </row>
        <row r="1243">
          <cell r="L1243" t="str">
            <v>74136390</v>
          </cell>
        </row>
        <row r="1244">
          <cell r="L1244" t="str">
            <v>74137250</v>
          </cell>
        </row>
        <row r="1245">
          <cell r="L1245" t="str">
            <v>74137694</v>
          </cell>
        </row>
        <row r="1246">
          <cell r="L1246" t="str">
            <v>74138135</v>
          </cell>
        </row>
        <row r="1247">
          <cell r="L1247" t="str">
            <v>74138148</v>
          </cell>
        </row>
        <row r="1248">
          <cell r="L1248" t="str">
            <v>74138149</v>
          </cell>
        </row>
        <row r="1249">
          <cell r="L1249" t="str">
            <v>74138152</v>
          </cell>
        </row>
        <row r="1250">
          <cell r="L1250" t="str">
            <v>74138170</v>
          </cell>
        </row>
        <row r="1251">
          <cell r="L1251" t="str">
            <v>74138174</v>
          </cell>
        </row>
        <row r="1252">
          <cell r="L1252" t="str">
            <v>74138182</v>
          </cell>
        </row>
        <row r="1253">
          <cell r="L1253" t="str">
            <v>74138211</v>
          </cell>
        </row>
        <row r="1254">
          <cell r="L1254" t="str">
            <v>74138375</v>
          </cell>
        </row>
        <row r="1255">
          <cell r="L1255" t="str">
            <v>74138631</v>
          </cell>
        </row>
        <row r="1256">
          <cell r="L1256" t="str">
            <v>74138908</v>
          </cell>
        </row>
        <row r="1257">
          <cell r="L1257" t="str">
            <v>74139229</v>
          </cell>
        </row>
        <row r="1258">
          <cell r="L1258" t="str">
            <v>74139439</v>
          </cell>
        </row>
        <row r="1259">
          <cell r="L1259" t="str">
            <v>74140332</v>
          </cell>
        </row>
        <row r="1260">
          <cell r="L1260" t="str">
            <v>74140934</v>
          </cell>
        </row>
        <row r="1261">
          <cell r="L1261" t="str">
            <v>74142058</v>
          </cell>
        </row>
        <row r="1262">
          <cell r="L1262" t="str">
            <v>74142572</v>
          </cell>
        </row>
        <row r="1263">
          <cell r="L1263" t="str">
            <v>74142809</v>
          </cell>
        </row>
        <row r="1264">
          <cell r="L1264" t="str">
            <v>74143968</v>
          </cell>
        </row>
        <row r="1265">
          <cell r="L1265" t="str">
            <v>74144589</v>
          </cell>
        </row>
        <row r="1266">
          <cell r="L1266" t="str">
            <v>74144636</v>
          </cell>
        </row>
        <row r="1267">
          <cell r="L1267" t="str">
            <v>74144929</v>
          </cell>
        </row>
        <row r="1268">
          <cell r="L1268" t="str">
            <v>74144932</v>
          </cell>
        </row>
        <row r="1269">
          <cell r="L1269" t="str">
            <v>74145272</v>
          </cell>
        </row>
        <row r="1270">
          <cell r="L1270" t="str">
            <v>74145273</v>
          </cell>
        </row>
        <row r="1271">
          <cell r="L1271" t="str">
            <v>74145694</v>
          </cell>
        </row>
        <row r="1272">
          <cell r="L1272" t="str">
            <v>74147168</v>
          </cell>
        </row>
        <row r="1273">
          <cell r="L1273" t="str">
            <v>74149353</v>
          </cell>
        </row>
        <row r="1274">
          <cell r="L1274" t="str">
            <v>74150208</v>
          </cell>
        </row>
        <row r="1275">
          <cell r="L1275" t="str">
            <v>74151710</v>
          </cell>
        </row>
        <row r="1276">
          <cell r="L1276" t="str">
            <v>74154768</v>
          </cell>
        </row>
        <row r="1277">
          <cell r="L1277" t="str">
            <v>74155751</v>
          </cell>
        </row>
        <row r="1278">
          <cell r="L1278" t="str">
            <v>74159109</v>
          </cell>
        </row>
        <row r="1279">
          <cell r="L1279" t="str">
            <v>74159807</v>
          </cell>
        </row>
        <row r="1280">
          <cell r="L1280" t="str">
            <v>74160509</v>
          </cell>
        </row>
        <row r="1281">
          <cell r="L1281" t="str">
            <v>74164210</v>
          </cell>
        </row>
        <row r="1282">
          <cell r="L1282" t="str">
            <v>74165490</v>
          </cell>
        </row>
        <row r="1283">
          <cell r="L1283" t="str">
            <v>74165492</v>
          </cell>
        </row>
        <row r="1284">
          <cell r="L1284" t="str">
            <v>74165493</v>
          </cell>
        </row>
        <row r="1285">
          <cell r="L1285" t="str">
            <v>74166209</v>
          </cell>
        </row>
        <row r="1286">
          <cell r="L1286" t="str">
            <v>74167188</v>
          </cell>
        </row>
        <row r="1287">
          <cell r="L1287" t="str">
            <v>74167770</v>
          </cell>
        </row>
        <row r="1288">
          <cell r="L1288" t="str">
            <v>74168868</v>
          </cell>
        </row>
        <row r="1289">
          <cell r="L1289" t="str">
            <v>74168916</v>
          </cell>
        </row>
        <row r="1290">
          <cell r="L1290" t="str">
            <v>74168922</v>
          </cell>
        </row>
        <row r="1291">
          <cell r="L1291" t="str">
            <v>74168925</v>
          </cell>
        </row>
        <row r="1292">
          <cell r="L1292" t="str">
            <v>74168929</v>
          </cell>
        </row>
        <row r="1293">
          <cell r="L1293" t="str">
            <v>74168932</v>
          </cell>
        </row>
        <row r="1294">
          <cell r="L1294" t="str">
            <v>74168949</v>
          </cell>
        </row>
        <row r="1295">
          <cell r="L1295" t="str">
            <v>74168954</v>
          </cell>
        </row>
        <row r="1296">
          <cell r="L1296" t="str">
            <v>74168970</v>
          </cell>
        </row>
        <row r="1297">
          <cell r="L1297" t="str">
            <v>74168972</v>
          </cell>
        </row>
        <row r="1298">
          <cell r="L1298" t="str">
            <v>74168973</v>
          </cell>
        </row>
        <row r="1299">
          <cell r="L1299" t="str">
            <v>74169128</v>
          </cell>
        </row>
        <row r="1300">
          <cell r="L1300" t="str">
            <v>74169129</v>
          </cell>
        </row>
        <row r="1301">
          <cell r="L1301" t="str">
            <v>74169136</v>
          </cell>
        </row>
        <row r="1302">
          <cell r="L1302" t="str">
            <v>74169148</v>
          </cell>
        </row>
        <row r="1303">
          <cell r="L1303" t="str">
            <v>74169228</v>
          </cell>
        </row>
        <row r="1304">
          <cell r="L1304" t="str">
            <v>74169290</v>
          </cell>
        </row>
        <row r="1305">
          <cell r="L1305" t="str">
            <v>74169748</v>
          </cell>
        </row>
        <row r="1306">
          <cell r="L1306" t="str">
            <v>74169749</v>
          </cell>
        </row>
        <row r="1307">
          <cell r="L1307" t="str">
            <v>74170251</v>
          </cell>
        </row>
        <row r="1308">
          <cell r="L1308" t="str">
            <v>74170258</v>
          </cell>
        </row>
        <row r="1309">
          <cell r="L1309" t="str">
            <v>74170259</v>
          </cell>
        </row>
        <row r="1310">
          <cell r="L1310" t="str">
            <v>74171169</v>
          </cell>
        </row>
        <row r="1311">
          <cell r="L1311" t="str">
            <v>74171170</v>
          </cell>
        </row>
        <row r="1312">
          <cell r="L1312" t="str">
            <v>74171468</v>
          </cell>
        </row>
        <row r="1313">
          <cell r="L1313" t="str">
            <v>74171469</v>
          </cell>
        </row>
        <row r="1314">
          <cell r="L1314" t="str">
            <v>74171470</v>
          </cell>
        </row>
        <row r="1315">
          <cell r="L1315" t="str">
            <v>74171471</v>
          </cell>
        </row>
        <row r="1316">
          <cell r="L1316" t="str">
            <v>74171472</v>
          </cell>
        </row>
        <row r="1317">
          <cell r="L1317" t="str">
            <v>74171474</v>
          </cell>
        </row>
        <row r="1318">
          <cell r="L1318" t="str">
            <v>74171475</v>
          </cell>
        </row>
        <row r="1319">
          <cell r="L1319" t="str">
            <v>74171476</v>
          </cell>
        </row>
        <row r="1320">
          <cell r="L1320" t="str">
            <v>74171477</v>
          </cell>
        </row>
        <row r="1321">
          <cell r="L1321" t="str">
            <v>74171889</v>
          </cell>
        </row>
        <row r="1322">
          <cell r="L1322" t="str">
            <v>74171968</v>
          </cell>
        </row>
        <row r="1323">
          <cell r="L1323" t="str">
            <v>74172193</v>
          </cell>
        </row>
        <row r="1324">
          <cell r="L1324" t="str">
            <v>74172269</v>
          </cell>
        </row>
        <row r="1325">
          <cell r="L1325" t="str">
            <v>74172648</v>
          </cell>
        </row>
        <row r="1326">
          <cell r="L1326" t="str">
            <v>74172649</v>
          </cell>
        </row>
        <row r="1327">
          <cell r="L1327" t="str">
            <v>74173334</v>
          </cell>
        </row>
        <row r="1328">
          <cell r="L1328" t="str">
            <v>74173588</v>
          </cell>
        </row>
        <row r="1329">
          <cell r="L1329" t="str">
            <v>74173589</v>
          </cell>
        </row>
        <row r="1330">
          <cell r="L1330" t="str">
            <v>74174119</v>
          </cell>
        </row>
        <row r="1331">
          <cell r="L1331" t="str">
            <v>74174268</v>
          </cell>
        </row>
        <row r="1332">
          <cell r="L1332" t="str">
            <v>74174269</v>
          </cell>
        </row>
        <row r="1333">
          <cell r="L1333" t="str">
            <v>74174270</v>
          </cell>
        </row>
        <row r="1334">
          <cell r="L1334" t="str">
            <v>74174271</v>
          </cell>
        </row>
        <row r="1335">
          <cell r="L1335" t="str">
            <v>74174272</v>
          </cell>
        </row>
        <row r="1336">
          <cell r="L1336" t="str">
            <v>74174273</v>
          </cell>
        </row>
        <row r="1337">
          <cell r="L1337" t="str">
            <v>74174274</v>
          </cell>
        </row>
        <row r="1338">
          <cell r="L1338" t="str">
            <v>74174276</v>
          </cell>
        </row>
        <row r="1339">
          <cell r="L1339" t="str">
            <v>74174277</v>
          </cell>
        </row>
        <row r="1340">
          <cell r="L1340" t="str">
            <v>74174278</v>
          </cell>
        </row>
        <row r="1341">
          <cell r="L1341" t="str">
            <v>74174280</v>
          </cell>
        </row>
        <row r="1342">
          <cell r="L1342" t="str">
            <v>74175055</v>
          </cell>
        </row>
        <row r="1343">
          <cell r="L1343" t="str">
            <v>74175056</v>
          </cell>
        </row>
        <row r="1344">
          <cell r="L1344" t="str">
            <v>74175435</v>
          </cell>
        </row>
        <row r="1345">
          <cell r="L1345" t="str">
            <v>74175549</v>
          </cell>
        </row>
        <row r="1346">
          <cell r="L1346" t="str">
            <v>74175588</v>
          </cell>
        </row>
        <row r="1347">
          <cell r="L1347" t="str">
            <v>74175589</v>
          </cell>
        </row>
        <row r="1348">
          <cell r="L1348" t="str">
            <v>74175609</v>
          </cell>
        </row>
        <row r="1349">
          <cell r="L1349" t="str">
            <v>74175748</v>
          </cell>
        </row>
        <row r="1350">
          <cell r="L1350" t="str">
            <v>74175749</v>
          </cell>
        </row>
        <row r="1351">
          <cell r="L1351" t="str">
            <v>74175750</v>
          </cell>
        </row>
        <row r="1352">
          <cell r="L1352" t="str">
            <v>74175751</v>
          </cell>
        </row>
        <row r="1353">
          <cell r="L1353" t="str">
            <v>74176015</v>
          </cell>
        </row>
        <row r="1354">
          <cell r="L1354" t="str">
            <v>74176368</v>
          </cell>
        </row>
        <row r="1355">
          <cell r="L1355" t="str">
            <v>74176751</v>
          </cell>
        </row>
        <row r="1356">
          <cell r="L1356" t="str">
            <v>74176981</v>
          </cell>
        </row>
        <row r="1357">
          <cell r="L1357" t="str">
            <v>74177488</v>
          </cell>
        </row>
        <row r="1358">
          <cell r="L1358" t="str">
            <v>74177668</v>
          </cell>
        </row>
        <row r="1359">
          <cell r="L1359" t="str">
            <v>74177699</v>
          </cell>
        </row>
        <row r="1360">
          <cell r="L1360" t="str">
            <v>74177710</v>
          </cell>
        </row>
        <row r="1361">
          <cell r="L1361" t="str">
            <v>74177712</v>
          </cell>
        </row>
        <row r="1362">
          <cell r="L1362" t="str">
            <v>74177715</v>
          </cell>
        </row>
        <row r="1363">
          <cell r="L1363" t="str">
            <v>74177717</v>
          </cell>
        </row>
        <row r="1364">
          <cell r="L1364" t="str">
            <v>74177718</v>
          </cell>
        </row>
        <row r="1365">
          <cell r="L1365" t="str">
            <v>74178888</v>
          </cell>
        </row>
        <row r="1366">
          <cell r="L1366" t="str">
            <v>74179477</v>
          </cell>
        </row>
        <row r="1367">
          <cell r="L1367" t="str">
            <v>74179478</v>
          </cell>
        </row>
        <row r="1368">
          <cell r="L1368" t="str">
            <v>74179479</v>
          </cell>
        </row>
        <row r="1369">
          <cell r="L1369" t="str">
            <v>74179480</v>
          </cell>
        </row>
        <row r="1370">
          <cell r="L1370" t="str">
            <v>74179728</v>
          </cell>
        </row>
        <row r="1371">
          <cell r="L1371" t="str">
            <v>74179729</v>
          </cell>
        </row>
        <row r="1372">
          <cell r="L1372" t="str">
            <v>74179888</v>
          </cell>
        </row>
        <row r="1373">
          <cell r="L1373" t="str">
            <v>74179889</v>
          </cell>
        </row>
        <row r="1374">
          <cell r="L1374" t="str">
            <v>74180910</v>
          </cell>
        </row>
        <row r="1375">
          <cell r="L1375" t="str">
            <v>74180913</v>
          </cell>
        </row>
        <row r="1376">
          <cell r="L1376" t="str">
            <v>74180930</v>
          </cell>
        </row>
        <row r="1377">
          <cell r="L1377" t="str">
            <v>74180931</v>
          </cell>
        </row>
        <row r="1378">
          <cell r="L1378" t="str">
            <v>74180933</v>
          </cell>
        </row>
        <row r="1379">
          <cell r="L1379" t="str">
            <v>74182008</v>
          </cell>
        </row>
        <row r="1380">
          <cell r="L1380" t="str">
            <v>74185088</v>
          </cell>
        </row>
        <row r="1381">
          <cell r="L1381" t="str">
            <v>74188775</v>
          </cell>
        </row>
        <row r="1382">
          <cell r="L1382" t="str">
            <v>74188808</v>
          </cell>
        </row>
        <row r="1383">
          <cell r="L1383" t="str">
            <v>74190963</v>
          </cell>
        </row>
        <row r="1384">
          <cell r="L1384" t="str">
            <v>74209720</v>
          </cell>
        </row>
        <row r="1385">
          <cell r="L1385" t="str">
            <v>74212285</v>
          </cell>
        </row>
        <row r="1386">
          <cell r="L1386" t="str">
            <v>74212961</v>
          </cell>
        </row>
        <row r="1387">
          <cell r="L1387" t="str">
            <v>74216730</v>
          </cell>
        </row>
        <row r="1388">
          <cell r="L1388" t="str">
            <v>74221541</v>
          </cell>
        </row>
        <row r="1389">
          <cell r="L1389" t="str">
            <v>HPK 22</v>
          </cell>
        </row>
        <row r="1390">
          <cell r="L1390" t="str">
            <v>74137028</v>
          </cell>
        </row>
        <row r="1391">
          <cell r="L1391" t="str">
            <v>74154550</v>
          </cell>
        </row>
        <row r="1392">
          <cell r="L1392" t="str">
            <v>74142061</v>
          </cell>
        </row>
        <row r="1393">
          <cell r="L1393" t="str">
            <v>74142810</v>
          </cell>
        </row>
        <row r="1394">
          <cell r="L1394" t="str">
            <v>74145048</v>
          </cell>
        </row>
        <row r="1395">
          <cell r="L1395" t="str">
            <v>74148708</v>
          </cell>
        </row>
        <row r="1396">
          <cell r="L1396" t="str">
            <v>74157109</v>
          </cell>
        </row>
        <row r="1397">
          <cell r="L1397" t="str">
            <v>74157110</v>
          </cell>
        </row>
        <row r="1398">
          <cell r="L1398" t="str">
            <v>74158498</v>
          </cell>
        </row>
        <row r="1399">
          <cell r="L1399" t="str">
            <v>74145231</v>
          </cell>
        </row>
        <row r="1400">
          <cell r="L1400" t="str">
            <v>74158499</v>
          </cell>
        </row>
        <row r="1401">
          <cell r="L1401" t="str">
            <v>74150431</v>
          </cell>
        </row>
        <row r="1402">
          <cell r="L1402" t="str">
            <v>74150432</v>
          </cell>
        </row>
        <row r="1403">
          <cell r="L1403" t="str">
            <v>74150562</v>
          </cell>
        </row>
        <row r="1404">
          <cell r="L1404" t="str">
            <v>74150565</v>
          </cell>
        </row>
        <row r="1405">
          <cell r="L1405" t="str">
            <v>74162969</v>
          </cell>
        </row>
        <row r="1406">
          <cell r="L1406" t="str">
            <v>74111820</v>
          </cell>
        </row>
        <row r="1407">
          <cell r="L1407" t="str">
            <v>74188658</v>
          </cell>
        </row>
        <row r="1408">
          <cell r="L1408" t="str">
            <v>74193425</v>
          </cell>
        </row>
        <row r="1409">
          <cell r="L1409" t="str">
            <v>74156529</v>
          </cell>
        </row>
        <row r="1410">
          <cell r="L1410" t="str">
            <v>74168971</v>
          </cell>
        </row>
        <row r="1411">
          <cell r="L1411" t="str">
            <v>74180670</v>
          </cell>
        </row>
        <row r="1412">
          <cell r="L1412" t="str">
            <v>74156528</v>
          </cell>
        </row>
        <row r="1413">
          <cell r="L1413" t="str">
            <v>74122655</v>
          </cell>
        </row>
        <row r="1414">
          <cell r="L1414" t="str">
            <v>74156531</v>
          </cell>
        </row>
        <row r="1415">
          <cell r="L1415" t="str">
            <v>74156532</v>
          </cell>
        </row>
        <row r="1416">
          <cell r="L1416" t="str">
            <v>74168977</v>
          </cell>
        </row>
        <row r="1417">
          <cell r="L1417" t="str">
            <v>74101106</v>
          </cell>
        </row>
        <row r="1418">
          <cell r="L1418" t="str">
            <v>74109131</v>
          </cell>
        </row>
        <row r="1419">
          <cell r="L1419" t="str">
            <v>74266146</v>
          </cell>
        </row>
        <row r="1420">
          <cell r="L1420" t="str">
            <v>74093347</v>
          </cell>
        </row>
        <row r="1421">
          <cell r="L1421" t="str">
            <v>74152847</v>
          </cell>
        </row>
        <row r="1422">
          <cell r="L1422" t="str">
            <v>74149351</v>
          </cell>
        </row>
        <row r="1423">
          <cell r="L1423" t="str">
            <v>74111497</v>
          </cell>
        </row>
        <row r="1424">
          <cell r="L1424" t="str">
            <v>74243541</v>
          </cell>
        </row>
        <row r="1425">
          <cell r="L1425" t="str">
            <v>74159730</v>
          </cell>
        </row>
        <row r="1426">
          <cell r="L1426" t="str">
            <v>74128820</v>
          </cell>
        </row>
        <row r="1427">
          <cell r="L1427" t="str">
            <v>74112473</v>
          </cell>
        </row>
        <row r="1428">
          <cell r="L1428" t="str">
            <v>AMICOMMS01</v>
          </cell>
        </row>
        <row r="1429">
          <cell r="L1429" t="str">
            <v>74113091</v>
          </cell>
        </row>
        <row r="1430">
          <cell r="L1430" t="str">
            <v>74249000</v>
          </cell>
        </row>
        <row r="1431">
          <cell r="L1431" t="str">
            <v>76159210</v>
          </cell>
        </row>
        <row r="1432">
          <cell r="L1432" t="str">
            <v>74159210</v>
          </cell>
        </row>
        <row r="1433">
          <cell r="L1433" t="str">
            <v>74189933</v>
          </cell>
        </row>
        <row r="1434">
          <cell r="L1434" t="str">
            <v>74156533</v>
          </cell>
        </row>
        <row r="1435">
          <cell r="L1435" t="str">
            <v>74156534</v>
          </cell>
        </row>
        <row r="1436">
          <cell r="L1436" t="str">
            <v>74266147</v>
          </cell>
        </row>
        <row r="1437">
          <cell r="L1437" t="str">
            <v>74156535</v>
          </cell>
        </row>
        <row r="1438">
          <cell r="L1438" t="str">
            <v>74156536</v>
          </cell>
        </row>
        <row r="1439">
          <cell r="L1439" t="str">
            <v>74266148</v>
          </cell>
        </row>
        <row r="1440">
          <cell r="L1440" t="str">
            <v>74189129</v>
          </cell>
        </row>
        <row r="1441">
          <cell r="L1441" t="str">
            <v>74192494</v>
          </cell>
        </row>
        <row r="1442">
          <cell r="L1442" t="str">
            <v>74156538</v>
          </cell>
        </row>
        <row r="1443">
          <cell r="L1443" t="str">
            <v>74156539</v>
          </cell>
        </row>
        <row r="1444">
          <cell r="L1444" t="str">
            <v>74161869</v>
          </cell>
        </row>
        <row r="1445">
          <cell r="L1445" t="str">
            <v>8000262</v>
          </cell>
        </row>
        <row r="1446">
          <cell r="L1446" t="str">
            <v>RELIMPPRG</v>
          </cell>
        </row>
        <row r="1447">
          <cell r="L1447" t="str">
            <v>74147850</v>
          </cell>
        </row>
        <row r="1448">
          <cell r="L1448" t="str">
            <v>FIXEDASSETREP07/08</v>
          </cell>
        </row>
        <row r="1449">
          <cell r="L1449" t="str">
            <v>74182674</v>
          </cell>
        </row>
        <row r="1450">
          <cell r="L1450" t="str">
            <v>74183769</v>
          </cell>
        </row>
        <row r="1451">
          <cell r="L1451" t="str">
            <v>74180949</v>
          </cell>
        </row>
        <row r="1452">
          <cell r="L1452" t="str">
            <v>74190448</v>
          </cell>
        </row>
        <row r="1453">
          <cell r="L1453" t="str">
            <v>74252524</v>
          </cell>
        </row>
        <row r="1454">
          <cell r="L1454" t="str">
            <v>74258187</v>
          </cell>
        </row>
        <row r="1455">
          <cell r="L1455" t="str">
            <v>74175850</v>
          </cell>
        </row>
        <row r="1456">
          <cell r="L1456" t="str">
            <v>74190449</v>
          </cell>
        </row>
        <row r="1457">
          <cell r="L1457" t="str">
            <v>74190599</v>
          </cell>
        </row>
        <row r="1458">
          <cell r="L1458" t="str">
            <v>74191075</v>
          </cell>
        </row>
        <row r="1459">
          <cell r="L1459" t="str">
            <v>74193543</v>
          </cell>
        </row>
        <row r="1460">
          <cell r="L1460" t="str">
            <v>74193561</v>
          </cell>
        </row>
        <row r="1461">
          <cell r="L1461" t="str">
            <v>74193563</v>
          </cell>
        </row>
        <row r="1462">
          <cell r="L1462" t="str">
            <v>74193565</v>
          </cell>
        </row>
        <row r="1463">
          <cell r="L1463" t="str">
            <v>74194190</v>
          </cell>
        </row>
        <row r="1464">
          <cell r="L1464" t="str">
            <v>74163748</v>
          </cell>
        </row>
        <row r="1465">
          <cell r="L1465" t="str">
            <v>74167232</v>
          </cell>
        </row>
        <row r="1466">
          <cell r="L1466" t="str">
            <v>74167611</v>
          </cell>
        </row>
        <row r="1467">
          <cell r="L1467" t="str">
            <v>74171831</v>
          </cell>
        </row>
        <row r="1468">
          <cell r="L1468" t="str">
            <v>74176693</v>
          </cell>
        </row>
        <row r="1469">
          <cell r="L1469" t="str">
            <v>74173748</v>
          </cell>
        </row>
        <row r="1470">
          <cell r="L1470" t="str">
            <v>74179350</v>
          </cell>
        </row>
        <row r="1471">
          <cell r="L1471" t="str">
            <v>74269019</v>
          </cell>
        </row>
        <row r="1472">
          <cell r="L1472" t="str">
            <v>74176266</v>
          </cell>
        </row>
        <row r="1473">
          <cell r="L1473" t="str">
            <v>74176349</v>
          </cell>
        </row>
        <row r="1474">
          <cell r="L1474" t="str">
            <v>74178628</v>
          </cell>
        </row>
        <row r="1475">
          <cell r="L1475" t="str">
            <v>74192974</v>
          </cell>
        </row>
        <row r="1476">
          <cell r="L1476" t="str">
            <v>74193865</v>
          </cell>
        </row>
        <row r="1477">
          <cell r="L1477" t="str">
            <v>74194849</v>
          </cell>
        </row>
        <row r="1478">
          <cell r="L1478" t="str">
            <v>74167609</v>
          </cell>
        </row>
        <row r="1479">
          <cell r="L1479" t="str">
            <v>74133642</v>
          </cell>
        </row>
        <row r="1480">
          <cell r="L1480" t="str">
            <v>74156541</v>
          </cell>
        </row>
        <row r="1481">
          <cell r="L1481" t="str">
            <v>74189952</v>
          </cell>
        </row>
        <row r="1482">
          <cell r="L1482" t="str">
            <v>74209567</v>
          </cell>
        </row>
        <row r="1483">
          <cell r="L1483" t="str">
            <v>74283913</v>
          </cell>
        </row>
        <row r="1484">
          <cell r="L1484" t="str">
            <v>74237800</v>
          </cell>
        </row>
        <row r="1485">
          <cell r="L1485" t="str">
            <v>74189950</v>
          </cell>
        </row>
        <row r="1486">
          <cell r="L1486" t="str">
            <v>SUMMERREDPRG06/07</v>
          </cell>
        </row>
        <row r="1487">
          <cell r="L1487" t="str">
            <v>74134724</v>
          </cell>
        </row>
        <row r="1488">
          <cell r="L1488" t="str">
            <v>74140870</v>
          </cell>
        </row>
        <row r="1489">
          <cell r="L1489" t="str">
            <v>74143209</v>
          </cell>
        </row>
        <row r="1490">
          <cell r="L1490" t="str">
            <v>74144414</v>
          </cell>
        </row>
        <row r="1491">
          <cell r="L1491" t="str">
            <v>74144415</v>
          </cell>
        </row>
        <row r="1492">
          <cell r="L1492" t="str">
            <v>74144416</v>
          </cell>
        </row>
        <row r="1493">
          <cell r="L1493" t="str">
            <v>74144417</v>
          </cell>
        </row>
        <row r="1494">
          <cell r="L1494" t="str">
            <v>74144418</v>
          </cell>
        </row>
        <row r="1495">
          <cell r="L1495" t="str">
            <v>74144420</v>
          </cell>
        </row>
        <row r="1496">
          <cell r="L1496" t="str">
            <v>74144421</v>
          </cell>
        </row>
        <row r="1497">
          <cell r="L1497" t="str">
            <v>74144422</v>
          </cell>
        </row>
        <row r="1498">
          <cell r="L1498" t="str">
            <v>74144423</v>
          </cell>
        </row>
        <row r="1499">
          <cell r="L1499" t="str">
            <v>74144424</v>
          </cell>
        </row>
        <row r="1500">
          <cell r="L1500" t="str">
            <v>74144425</v>
          </cell>
        </row>
        <row r="1501">
          <cell r="L1501" t="str">
            <v>74144426</v>
          </cell>
        </row>
        <row r="1502">
          <cell r="L1502" t="str">
            <v>74144427</v>
          </cell>
        </row>
        <row r="1503">
          <cell r="L1503" t="str">
            <v>74144428</v>
          </cell>
        </row>
        <row r="1504">
          <cell r="L1504" t="str">
            <v>74144429</v>
          </cell>
        </row>
        <row r="1505">
          <cell r="L1505" t="str">
            <v>74144430</v>
          </cell>
        </row>
        <row r="1506">
          <cell r="L1506" t="str">
            <v>74144432</v>
          </cell>
        </row>
        <row r="1507">
          <cell r="L1507" t="str">
            <v>74144434</v>
          </cell>
        </row>
        <row r="1508">
          <cell r="L1508" t="str">
            <v>74144435</v>
          </cell>
        </row>
        <row r="1509">
          <cell r="L1509" t="str">
            <v>74144436</v>
          </cell>
        </row>
        <row r="1510">
          <cell r="L1510" t="str">
            <v>74144438</v>
          </cell>
        </row>
        <row r="1511">
          <cell r="L1511" t="str">
            <v>74144440</v>
          </cell>
        </row>
        <row r="1512">
          <cell r="L1512" t="str">
            <v>74144442</v>
          </cell>
        </row>
        <row r="1513">
          <cell r="L1513" t="str">
            <v>74144444</v>
          </cell>
        </row>
        <row r="1514">
          <cell r="L1514" t="str">
            <v>74144445</v>
          </cell>
        </row>
        <row r="1515">
          <cell r="L1515" t="str">
            <v>74144446</v>
          </cell>
        </row>
        <row r="1516">
          <cell r="L1516" t="str">
            <v>74144447</v>
          </cell>
        </row>
        <row r="1517">
          <cell r="L1517" t="str">
            <v>74144548</v>
          </cell>
        </row>
        <row r="1518">
          <cell r="L1518" t="str">
            <v>74144549</v>
          </cell>
        </row>
        <row r="1519">
          <cell r="L1519" t="str">
            <v>74144557</v>
          </cell>
        </row>
        <row r="1520">
          <cell r="L1520" t="str">
            <v>74144559</v>
          </cell>
        </row>
        <row r="1521">
          <cell r="L1521" t="str">
            <v>74144561</v>
          </cell>
        </row>
        <row r="1522">
          <cell r="L1522" t="str">
            <v>74144562</v>
          </cell>
        </row>
        <row r="1523">
          <cell r="L1523" t="str">
            <v>74144568</v>
          </cell>
        </row>
        <row r="1524">
          <cell r="L1524" t="str">
            <v>74144569</v>
          </cell>
        </row>
        <row r="1525">
          <cell r="L1525" t="str">
            <v>74147029</v>
          </cell>
        </row>
        <row r="1526">
          <cell r="L1526" t="str">
            <v>74147030</v>
          </cell>
        </row>
        <row r="1527">
          <cell r="L1527" t="str">
            <v>74149854</v>
          </cell>
        </row>
        <row r="1528">
          <cell r="L1528" t="str">
            <v>74165428</v>
          </cell>
        </row>
        <row r="1529">
          <cell r="L1529" t="str">
            <v>74167817</v>
          </cell>
        </row>
        <row r="1530">
          <cell r="L1530" t="str">
            <v>74172190</v>
          </cell>
        </row>
        <row r="1531">
          <cell r="L1531" t="str">
            <v>74185754</v>
          </cell>
        </row>
        <row r="1532">
          <cell r="L1532" t="str">
            <v>74228203</v>
          </cell>
        </row>
        <row r="1533">
          <cell r="L1533" t="str">
            <v>06T2CARRYOVER</v>
          </cell>
        </row>
        <row r="1534">
          <cell r="L1534" t="str">
            <v>74153390</v>
          </cell>
        </row>
        <row r="1535">
          <cell r="L1535" t="str">
            <v>SUMMERPREPPRG07/08</v>
          </cell>
        </row>
        <row r="1536">
          <cell r="L1536" t="str">
            <v>74171729</v>
          </cell>
        </row>
        <row r="1537">
          <cell r="L1537" t="str">
            <v>74172513</v>
          </cell>
        </row>
        <row r="1538">
          <cell r="L1538" t="str">
            <v>74172515</v>
          </cell>
        </row>
        <row r="1539">
          <cell r="L1539" t="str">
            <v>74172516</v>
          </cell>
        </row>
        <row r="1540">
          <cell r="L1540" t="str">
            <v>74172518</v>
          </cell>
        </row>
        <row r="1541">
          <cell r="L1541" t="str">
            <v>74172520</v>
          </cell>
        </row>
        <row r="1542">
          <cell r="L1542" t="str">
            <v>74172521</v>
          </cell>
        </row>
        <row r="1543">
          <cell r="L1543" t="str">
            <v>74172522</v>
          </cell>
        </row>
        <row r="1544">
          <cell r="L1544" t="str">
            <v>74172524</v>
          </cell>
        </row>
        <row r="1545">
          <cell r="L1545" t="str">
            <v>74172526</v>
          </cell>
        </row>
        <row r="1546">
          <cell r="L1546" t="str">
            <v>74188170</v>
          </cell>
        </row>
        <row r="1547">
          <cell r="L1547" t="str">
            <v>74205113</v>
          </cell>
        </row>
        <row r="1548">
          <cell r="L1548" t="str">
            <v>74205114</v>
          </cell>
        </row>
        <row r="1549">
          <cell r="L1549" t="str">
            <v>74205116</v>
          </cell>
        </row>
        <row r="1550">
          <cell r="L1550" t="str">
            <v>74205117</v>
          </cell>
        </row>
        <row r="1551">
          <cell r="L1551" t="str">
            <v>74205119</v>
          </cell>
        </row>
        <row r="1552">
          <cell r="L1552" t="str">
            <v>74205120</v>
          </cell>
        </row>
        <row r="1553">
          <cell r="L1553" t="str">
            <v>74205121</v>
          </cell>
        </row>
        <row r="1554">
          <cell r="L1554" t="str">
            <v>74205122</v>
          </cell>
        </row>
        <row r="1555">
          <cell r="L1555" t="str">
            <v>74205123</v>
          </cell>
        </row>
        <row r="1556">
          <cell r="L1556" t="str">
            <v>74205124</v>
          </cell>
        </row>
        <row r="1557">
          <cell r="L1557" t="str">
            <v>74205130</v>
          </cell>
        </row>
        <row r="1558">
          <cell r="L1558" t="str">
            <v>74205133</v>
          </cell>
        </row>
        <row r="1559">
          <cell r="L1559" t="str">
            <v>74205190</v>
          </cell>
        </row>
        <row r="1560">
          <cell r="L1560" t="str">
            <v>74170328</v>
          </cell>
        </row>
        <row r="1561">
          <cell r="L1561" t="str">
            <v>74170129</v>
          </cell>
        </row>
        <row r="1562">
          <cell r="L1562" t="str">
            <v>74175949</v>
          </cell>
        </row>
        <row r="1563">
          <cell r="L1563" t="str">
            <v>74185783</v>
          </cell>
        </row>
        <row r="1564">
          <cell r="L1564" t="str">
            <v>74185787</v>
          </cell>
        </row>
        <row r="1565">
          <cell r="L1565" t="str">
            <v>74185791</v>
          </cell>
        </row>
        <row r="1566">
          <cell r="L1566" t="str">
            <v>74167819</v>
          </cell>
        </row>
        <row r="1567">
          <cell r="L1567" t="str">
            <v>74168975</v>
          </cell>
        </row>
        <row r="1568">
          <cell r="L1568" t="str">
            <v>74163829</v>
          </cell>
        </row>
        <row r="1569">
          <cell r="L1569" t="str">
            <v>74167813</v>
          </cell>
        </row>
        <row r="1570">
          <cell r="L1570" t="str">
            <v>74172829</v>
          </cell>
        </row>
        <row r="1571">
          <cell r="L1571" t="str">
            <v>74167818</v>
          </cell>
        </row>
        <row r="1572">
          <cell r="L1572" t="str">
            <v>74167688</v>
          </cell>
        </row>
        <row r="1573">
          <cell r="L1573" t="str">
            <v>74167689</v>
          </cell>
        </row>
        <row r="1574">
          <cell r="L1574" t="str">
            <v>74167692</v>
          </cell>
        </row>
        <row r="1575">
          <cell r="L1575" t="str">
            <v>74167712</v>
          </cell>
        </row>
        <row r="1576">
          <cell r="L1576" t="str">
            <v>74167713</v>
          </cell>
        </row>
        <row r="1577">
          <cell r="L1577" t="str">
            <v>74167717</v>
          </cell>
        </row>
        <row r="1578">
          <cell r="L1578" t="str">
            <v>74167808</v>
          </cell>
        </row>
        <row r="1579">
          <cell r="L1579" t="str">
            <v>74167810</v>
          </cell>
        </row>
        <row r="1580">
          <cell r="L1580" t="str">
            <v>74167814</v>
          </cell>
        </row>
        <row r="1581">
          <cell r="L1581" t="str">
            <v>74167815</v>
          </cell>
        </row>
        <row r="1582">
          <cell r="L1582" t="str">
            <v>74167816</v>
          </cell>
        </row>
        <row r="1583">
          <cell r="L1583" t="str">
            <v>74174852</v>
          </cell>
        </row>
        <row r="1584">
          <cell r="L1584" t="str">
            <v>74186688</v>
          </cell>
        </row>
        <row r="1585">
          <cell r="L1585" t="str">
            <v>74167690</v>
          </cell>
        </row>
        <row r="1586">
          <cell r="L1586" t="str">
            <v>74167708</v>
          </cell>
        </row>
        <row r="1587">
          <cell r="L1587" t="str">
            <v>74167709</v>
          </cell>
        </row>
        <row r="1588">
          <cell r="L1588" t="str">
            <v>74167710</v>
          </cell>
        </row>
        <row r="1589">
          <cell r="L1589" t="str">
            <v>74167711</v>
          </cell>
        </row>
        <row r="1590">
          <cell r="L1590" t="str">
            <v>74167714</v>
          </cell>
        </row>
        <row r="1591">
          <cell r="L1591" t="str">
            <v>74167715</v>
          </cell>
        </row>
        <row r="1592">
          <cell r="L1592" t="str">
            <v>74167716</v>
          </cell>
        </row>
        <row r="1593">
          <cell r="L1593" t="str">
            <v>74167809</v>
          </cell>
        </row>
        <row r="1594">
          <cell r="L1594" t="str">
            <v>74169249</v>
          </cell>
        </row>
        <row r="1595">
          <cell r="L1595" t="str">
            <v>74154870</v>
          </cell>
        </row>
        <row r="1596">
          <cell r="L1596" t="str">
            <v>74172830</v>
          </cell>
        </row>
        <row r="1597">
          <cell r="L1597" t="str">
            <v>74172268</v>
          </cell>
        </row>
        <row r="1598">
          <cell r="L1598" t="str">
            <v>74171371</v>
          </cell>
        </row>
        <row r="1599">
          <cell r="L1599" t="str">
            <v>74172831</v>
          </cell>
        </row>
        <row r="1600">
          <cell r="L1600" t="str">
            <v>74172828</v>
          </cell>
        </row>
        <row r="1601">
          <cell r="L1601" t="str">
            <v>74174851</v>
          </cell>
        </row>
        <row r="1602">
          <cell r="L1602" t="str">
            <v>74184328</v>
          </cell>
        </row>
        <row r="1603">
          <cell r="L1603" t="str">
            <v>74178869</v>
          </cell>
        </row>
        <row r="1604">
          <cell r="L1604" t="str">
            <v>74171908</v>
          </cell>
        </row>
        <row r="1605">
          <cell r="L1605" t="str">
            <v>74150828</v>
          </cell>
        </row>
        <row r="1606">
          <cell r="L1606" t="str">
            <v>FEEDERREVPRIORITYMAINT</v>
          </cell>
        </row>
        <row r="1607">
          <cell r="L1607" t="str">
            <v>74156542</v>
          </cell>
        </row>
        <row r="1608">
          <cell r="L1608" t="str">
            <v>74179608</v>
          </cell>
        </row>
        <row r="1609">
          <cell r="L1609" t="str">
            <v>74179629</v>
          </cell>
        </row>
        <row r="1610">
          <cell r="L1610" t="str">
            <v>74179630</v>
          </cell>
        </row>
        <row r="1611">
          <cell r="L1611" t="str">
            <v>74179631</v>
          </cell>
        </row>
        <row r="1612">
          <cell r="L1612" t="str">
            <v>74179632</v>
          </cell>
        </row>
        <row r="1613">
          <cell r="L1613" t="str">
            <v>74179633</v>
          </cell>
        </row>
        <row r="1614">
          <cell r="L1614" t="str">
            <v>74179634</v>
          </cell>
        </row>
        <row r="1615">
          <cell r="L1615" t="str">
            <v>74179635</v>
          </cell>
        </row>
        <row r="1616">
          <cell r="L1616" t="str">
            <v>74179636</v>
          </cell>
        </row>
        <row r="1617">
          <cell r="L1617" t="str">
            <v>74179637</v>
          </cell>
        </row>
        <row r="1618">
          <cell r="L1618" t="str">
            <v>74179638</v>
          </cell>
        </row>
        <row r="1619">
          <cell r="L1619" t="str">
            <v>74179639</v>
          </cell>
        </row>
        <row r="1620">
          <cell r="L1620" t="str">
            <v>74179640</v>
          </cell>
        </row>
        <row r="1621">
          <cell r="L1621" t="str">
            <v>74179641</v>
          </cell>
        </row>
        <row r="1622">
          <cell r="L1622" t="str">
            <v>74179642</v>
          </cell>
        </row>
        <row r="1623">
          <cell r="L1623" t="str">
            <v>74179643</v>
          </cell>
        </row>
        <row r="1624">
          <cell r="L1624" t="str">
            <v>74179644</v>
          </cell>
        </row>
        <row r="1625">
          <cell r="L1625" t="str">
            <v>74179645</v>
          </cell>
        </row>
        <row r="1626">
          <cell r="L1626" t="str">
            <v>74179646</v>
          </cell>
        </row>
        <row r="1627">
          <cell r="L1627" t="str">
            <v>74179647</v>
          </cell>
        </row>
        <row r="1628">
          <cell r="L1628" t="str">
            <v>74179648</v>
          </cell>
        </row>
        <row r="1629">
          <cell r="L1629" t="str">
            <v>74179649</v>
          </cell>
        </row>
        <row r="1630">
          <cell r="L1630" t="str">
            <v>74179652</v>
          </cell>
        </row>
        <row r="1631">
          <cell r="L1631" t="str">
            <v>74179653</v>
          </cell>
        </row>
        <row r="1632">
          <cell r="L1632" t="str">
            <v>74179654</v>
          </cell>
        </row>
        <row r="1633">
          <cell r="L1633" t="str">
            <v>74179655</v>
          </cell>
        </row>
        <row r="1634">
          <cell r="L1634" t="str">
            <v>74179656</v>
          </cell>
        </row>
        <row r="1635">
          <cell r="L1635" t="str">
            <v>74179657</v>
          </cell>
        </row>
        <row r="1636">
          <cell r="L1636" t="str">
            <v>74179658</v>
          </cell>
        </row>
        <row r="1637">
          <cell r="L1637" t="str">
            <v>74179659</v>
          </cell>
        </row>
        <row r="1638">
          <cell r="L1638" t="str">
            <v>74179660</v>
          </cell>
        </row>
        <row r="1639">
          <cell r="L1639" t="str">
            <v>74179661</v>
          </cell>
        </row>
        <row r="1640">
          <cell r="L1640" t="str">
            <v>74179662</v>
          </cell>
        </row>
        <row r="1641">
          <cell r="L1641" t="str">
            <v>74179663</v>
          </cell>
        </row>
        <row r="1642">
          <cell r="L1642" t="str">
            <v>74179664</v>
          </cell>
        </row>
        <row r="1643">
          <cell r="L1643" t="str">
            <v>74179665</v>
          </cell>
        </row>
        <row r="1644">
          <cell r="L1644" t="str">
            <v>74179666</v>
          </cell>
        </row>
        <row r="1645">
          <cell r="L1645" t="str">
            <v>74179667</v>
          </cell>
        </row>
        <row r="1646">
          <cell r="L1646" t="str">
            <v>74179668</v>
          </cell>
        </row>
        <row r="1647">
          <cell r="L1647" t="str">
            <v>74179670</v>
          </cell>
        </row>
        <row r="1648">
          <cell r="L1648" t="str">
            <v>74179671</v>
          </cell>
        </row>
        <row r="1649">
          <cell r="L1649" t="str">
            <v>74179672</v>
          </cell>
        </row>
        <row r="1650">
          <cell r="L1650" t="str">
            <v>74179673</v>
          </cell>
        </row>
        <row r="1651">
          <cell r="L1651" t="str">
            <v>74179674</v>
          </cell>
        </row>
        <row r="1652">
          <cell r="L1652" t="str">
            <v>74179675</v>
          </cell>
        </row>
        <row r="1653">
          <cell r="L1653" t="str">
            <v>74179677</v>
          </cell>
        </row>
        <row r="1654">
          <cell r="L1654" t="str">
            <v>74179678</v>
          </cell>
        </row>
        <row r="1655">
          <cell r="L1655" t="str">
            <v>74179680</v>
          </cell>
        </row>
        <row r="1656">
          <cell r="L1656" t="str">
            <v>74181368</v>
          </cell>
        </row>
        <row r="1657">
          <cell r="L1657" t="str">
            <v>74181370</v>
          </cell>
        </row>
        <row r="1658">
          <cell r="L1658" t="str">
            <v>74182632</v>
          </cell>
        </row>
        <row r="1659">
          <cell r="L1659" t="str">
            <v>80000372</v>
          </cell>
        </row>
        <row r="1660">
          <cell r="L1660" t="str">
            <v>74156543</v>
          </cell>
        </row>
        <row r="1661">
          <cell r="L1661" t="str">
            <v>74112217</v>
          </cell>
        </row>
        <row r="1662">
          <cell r="L1662" t="str">
            <v>74168979</v>
          </cell>
        </row>
        <row r="1663">
          <cell r="L1663" t="str">
            <v>74156545</v>
          </cell>
        </row>
        <row r="1664">
          <cell r="L1664" t="str">
            <v>74156546</v>
          </cell>
        </row>
        <row r="1665">
          <cell r="L1665" t="str">
            <v>74191997</v>
          </cell>
        </row>
        <row r="1666">
          <cell r="L1666" t="str">
            <v>KEYFEEDERREV</v>
          </cell>
        </row>
        <row r="1667">
          <cell r="L1667" t="str">
            <v>74156547</v>
          </cell>
        </row>
        <row r="1668">
          <cell r="L1668" t="str">
            <v>74161628</v>
          </cell>
        </row>
        <row r="1669">
          <cell r="L1669" t="str">
            <v>74156548</v>
          </cell>
        </row>
        <row r="1670">
          <cell r="L1670" t="str">
            <v>74148288</v>
          </cell>
        </row>
        <row r="1671">
          <cell r="L1671" t="str">
            <v>74151609</v>
          </cell>
        </row>
        <row r="1672">
          <cell r="L1672" t="str">
            <v>74169848</v>
          </cell>
        </row>
        <row r="1673">
          <cell r="L1673" t="str">
            <v>74172754</v>
          </cell>
        </row>
        <row r="1674">
          <cell r="L1674" t="str">
            <v>74176361</v>
          </cell>
        </row>
        <row r="1675">
          <cell r="L1675" t="str">
            <v>74179138</v>
          </cell>
        </row>
        <row r="1676">
          <cell r="L1676" t="str">
            <v>74203901</v>
          </cell>
        </row>
        <row r="1677">
          <cell r="L1677" t="str">
            <v>74203902</v>
          </cell>
        </row>
        <row r="1678">
          <cell r="L1678" t="str">
            <v>74203903</v>
          </cell>
        </row>
        <row r="1679">
          <cell r="L1679" t="str">
            <v>74203904</v>
          </cell>
        </row>
        <row r="1680">
          <cell r="L1680" t="str">
            <v>74203906</v>
          </cell>
        </row>
        <row r="1681">
          <cell r="L1681" t="str">
            <v>74203908</v>
          </cell>
        </row>
        <row r="1682">
          <cell r="L1682" t="str">
            <v>74203909</v>
          </cell>
        </row>
        <row r="1683">
          <cell r="L1683" t="str">
            <v>74203911</v>
          </cell>
        </row>
        <row r="1684">
          <cell r="L1684" t="str">
            <v>74203912</v>
          </cell>
        </row>
        <row r="1685">
          <cell r="L1685" t="str">
            <v>74203914</v>
          </cell>
        </row>
        <row r="1686">
          <cell r="L1686" t="str">
            <v>74203915</v>
          </cell>
        </row>
        <row r="1687">
          <cell r="L1687" t="str">
            <v>74205111</v>
          </cell>
        </row>
        <row r="1688">
          <cell r="L1688" t="str">
            <v>74209747</v>
          </cell>
        </row>
        <row r="1689">
          <cell r="L1689" t="str">
            <v>74209751</v>
          </cell>
        </row>
        <row r="1690">
          <cell r="L1690" t="str">
            <v>74209761</v>
          </cell>
        </row>
        <row r="1691">
          <cell r="L1691" t="str">
            <v>74209770</v>
          </cell>
        </row>
        <row r="1692">
          <cell r="L1692" t="str">
            <v>74209774</v>
          </cell>
        </row>
        <row r="1693">
          <cell r="L1693" t="str">
            <v>74209803</v>
          </cell>
        </row>
        <row r="1694">
          <cell r="L1694" t="str">
            <v>74209804</v>
          </cell>
        </row>
        <row r="1695">
          <cell r="L1695" t="str">
            <v>SUPPLYIMPOTHERS07/08</v>
          </cell>
        </row>
        <row r="1696">
          <cell r="L1696" t="str">
            <v>31338N</v>
          </cell>
        </row>
        <row r="1697">
          <cell r="L1697" t="str">
            <v>74132388</v>
          </cell>
        </row>
        <row r="1698">
          <cell r="L1698" t="str">
            <v>74132633</v>
          </cell>
        </row>
        <row r="1699">
          <cell r="L1699" t="str">
            <v>74133238</v>
          </cell>
        </row>
        <row r="1700">
          <cell r="L1700" t="str">
            <v>74133240</v>
          </cell>
        </row>
        <row r="1701">
          <cell r="L1701" t="str">
            <v>74134412</v>
          </cell>
        </row>
        <row r="1702">
          <cell r="L1702" t="str">
            <v>74134529</v>
          </cell>
        </row>
        <row r="1703">
          <cell r="L1703" t="str">
            <v>74135928</v>
          </cell>
        </row>
        <row r="1704">
          <cell r="L1704" t="str">
            <v>74136071</v>
          </cell>
        </row>
        <row r="1705">
          <cell r="L1705" t="str">
            <v>74136716</v>
          </cell>
        </row>
        <row r="1706">
          <cell r="L1706" t="str">
            <v>74137249</v>
          </cell>
        </row>
        <row r="1707">
          <cell r="L1707" t="str">
            <v>74137312</v>
          </cell>
        </row>
        <row r="1708">
          <cell r="L1708" t="str">
            <v>74137397</v>
          </cell>
        </row>
        <row r="1709">
          <cell r="L1709" t="str">
            <v>74137448</v>
          </cell>
        </row>
        <row r="1710">
          <cell r="L1710" t="str">
            <v>74137571</v>
          </cell>
        </row>
        <row r="1711">
          <cell r="L1711" t="str">
            <v>74137650</v>
          </cell>
        </row>
        <row r="1712">
          <cell r="L1712" t="str">
            <v>74137671</v>
          </cell>
        </row>
        <row r="1713">
          <cell r="L1713" t="str">
            <v>74137869</v>
          </cell>
        </row>
        <row r="1714">
          <cell r="L1714" t="str">
            <v>74137870</v>
          </cell>
        </row>
        <row r="1715">
          <cell r="L1715" t="str">
            <v>74138289</v>
          </cell>
        </row>
        <row r="1716">
          <cell r="L1716" t="str">
            <v>74138518</v>
          </cell>
        </row>
        <row r="1717">
          <cell r="L1717" t="str">
            <v>74138523</v>
          </cell>
        </row>
        <row r="1718">
          <cell r="L1718" t="str">
            <v>74138671</v>
          </cell>
        </row>
        <row r="1719">
          <cell r="L1719" t="str">
            <v>74138848</v>
          </cell>
        </row>
        <row r="1720">
          <cell r="L1720" t="str">
            <v>74138910</v>
          </cell>
        </row>
        <row r="1721">
          <cell r="L1721" t="str">
            <v>74139436</v>
          </cell>
        </row>
        <row r="1722">
          <cell r="L1722" t="str">
            <v>74139437</v>
          </cell>
        </row>
        <row r="1723">
          <cell r="L1723" t="str">
            <v>74139710</v>
          </cell>
        </row>
        <row r="1724">
          <cell r="L1724" t="str">
            <v>74141690</v>
          </cell>
        </row>
        <row r="1725">
          <cell r="L1725" t="str">
            <v>74142357</v>
          </cell>
        </row>
        <row r="1726">
          <cell r="L1726" t="str">
            <v>74143073</v>
          </cell>
        </row>
        <row r="1727">
          <cell r="L1727" t="str">
            <v>74143729</v>
          </cell>
        </row>
        <row r="1728">
          <cell r="L1728" t="str">
            <v>74143877</v>
          </cell>
        </row>
        <row r="1729">
          <cell r="L1729" t="str">
            <v>74143888</v>
          </cell>
        </row>
        <row r="1730">
          <cell r="L1730" t="str">
            <v>74144029</v>
          </cell>
        </row>
        <row r="1731">
          <cell r="L1731" t="str">
            <v>74144340</v>
          </cell>
        </row>
        <row r="1732">
          <cell r="L1732" t="str">
            <v>74144748</v>
          </cell>
        </row>
        <row r="1733">
          <cell r="L1733" t="str">
            <v>74145194</v>
          </cell>
        </row>
        <row r="1734">
          <cell r="L1734" t="str">
            <v>74145911</v>
          </cell>
        </row>
        <row r="1735">
          <cell r="L1735" t="str">
            <v>74147208</v>
          </cell>
        </row>
        <row r="1736">
          <cell r="L1736" t="str">
            <v>74147408</v>
          </cell>
        </row>
        <row r="1737">
          <cell r="L1737" t="str">
            <v>74148119</v>
          </cell>
        </row>
        <row r="1738">
          <cell r="L1738" t="str">
            <v>74148308</v>
          </cell>
        </row>
        <row r="1739">
          <cell r="L1739" t="str">
            <v>74153708</v>
          </cell>
        </row>
        <row r="1740">
          <cell r="L1740" t="str">
            <v>74156068</v>
          </cell>
        </row>
        <row r="1741">
          <cell r="L1741" t="str">
            <v>74156818</v>
          </cell>
        </row>
        <row r="1742">
          <cell r="L1742" t="str">
            <v>74156830</v>
          </cell>
        </row>
        <row r="1743">
          <cell r="L1743" t="str">
            <v>74156831</v>
          </cell>
        </row>
        <row r="1744">
          <cell r="L1744" t="str">
            <v>74156848</v>
          </cell>
        </row>
        <row r="1745">
          <cell r="L1745" t="str">
            <v>74156948</v>
          </cell>
        </row>
        <row r="1746">
          <cell r="L1746" t="str">
            <v>74158658</v>
          </cell>
        </row>
        <row r="1747">
          <cell r="L1747" t="str">
            <v>74165854</v>
          </cell>
        </row>
        <row r="1748">
          <cell r="L1748" t="str">
            <v>74171579</v>
          </cell>
        </row>
        <row r="1749">
          <cell r="L1749" t="str">
            <v>74172472</v>
          </cell>
        </row>
        <row r="1750">
          <cell r="L1750" t="str">
            <v>74179916</v>
          </cell>
        </row>
        <row r="1751">
          <cell r="L1751" t="str">
            <v>74180988</v>
          </cell>
        </row>
        <row r="1752">
          <cell r="L1752" t="str">
            <v>74183348</v>
          </cell>
        </row>
        <row r="1753">
          <cell r="L1753" t="str">
            <v>74183508</v>
          </cell>
        </row>
        <row r="1754">
          <cell r="L1754" t="str">
            <v>74183509</v>
          </cell>
        </row>
        <row r="1755">
          <cell r="L1755" t="str">
            <v>74183808</v>
          </cell>
        </row>
        <row r="1756">
          <cell r="L1756" t="str">
            <v>74194640</v>
          </cell>
        </row>
        <row r="1757">
          <cell r="L1757" t="str">
            <v>74203701</v>
          </cell>
        </row>
        <row r="1758">
          <cell r="L1758" t="str">
            <v>74205201</v>
          </cell>
        </row>
        <row r="1759">
          <cell r="L1759" t="str">
            <v>74206987</v>
          </cell>
        </row>
        <row r="1760">
          <cell r="L1760" t="str">
            <v>74210520</v>
          </cell>
        </row>
        <row r="1761">
          <cell r="L1761" t="str">
            <v>74210722</v>
          </cell>
        </row>
        <row r="1762">
          <cell r="L1762" t="str">
            <v>74215320</v>
          </cell>
        </row>
        <row r="1763">
          <cell r="L1763" t="str">
            <v>74215321</v>
          </cell>
        </row>
        <row r="1764">
          <cell r="L1764" t="str">
            <v>74215322</v>
          </cell>
        </row>
        <row r="1765">
          <cell r="L1765" t="str">
            <v>74216319</v>
          </cell>
        </row>
        <row r="1766">
          <cell r="L1766" t="str">
            <v>74216339</v>
          </cell>
        </row>
        <row r="1767">
          <cell r="L1767" t="str">
            <v>74220361</v>
          </cell>
        </row>
        <row r="1768">
          <cell r="L1768" t="str">
            <v>74222059</v>
          </cell>
        </row>
        <row r="1769">
          <cell r="L1769" t="str">
            <v>74223399</v>
          </cell>
        </row>
        <row r="1770">
          <cell r="L1770" t="str">
            <v>74240280</v>
          </cell>
        </row>
        <row r="1771">
          <cell r="L1771" t="str">
            <v>74240343</v>
          </cell>
        </row>
        <row r="1772">
          <cell r="L1772" t="str">
            <v>74243484</v>
          </cell>
        </row>
        <row r="1773">
          <cell r="L1773" t="str">
            <v>74245179</v>
          </cell>
        </row>
        <row r="1774">
          <cell r="L1774" t="str">
            <v>74247020</v>
          </cell>
        </row>
        <row r="1775">
          <cell r="L1775" t="str">
            <v>74248099</v>
          </cell>
        </row>
        <row r="1776">
          <cell r="L1776" t="str">
            <v>74248921</v>
          </cell>
        </row>
        <row r="1777">
          <cell r="L1777" t="str">
            <v>74250143</v>
          </cell>
        </row>
        <row r="1778">
          <cell r="L1778" t="str">
            <v>74250480</v>
          </cell>
        </row>
        <row r="1779">
          <cell r="L1779" t="str">
            <v>74250720</v>
          </cell>
        </row>
        <row r="1780">
          <cell r="L1780" t="str">
            <v>74251439</v>
          </cell>
        </row>
        <row r="1781">
          <cell r="L1781" t="str">
            <v>74257899</v>
          </cell>
        </row>
        <row r="1782">
          <cell r="L1782" t="str">
            <v>74259761</v>
          </cell>
        </row>
        <row r="1783">
          <cell r="L1783" t="str">
            <v>74262627</v>
          </cell>
        </row>
        <row r="1784">
          <cell r="L1784" t="str">
            <v>74269338</v>
          </cell>
        </row>
        <row r="1785">
          <cell r="L1785" t="str">
            <v>74274915</v>
          </cell>
        </row>
        <row r="1786">
          <cell r="L1786" t="str">
            <v>74275860</v>
          </cell>
        </row>
        <row r="1787">
          <cell r="L1787" t="str">
            <v>74275866</v>
          </cell>
        </row>
        <row r="1788">
          <cell r="L1788" t="str">
            <v>74301519</v>
          </cell>
        </row>
        <row r="1789">
          <cell r="L1789" t="str">
            <v>74316459</v>
          </cell>
        </row>
        <row r="1790">
          <cell r="L1790" t="str">
            <v>80001111</v>
          </cell>
        </row>
        <row r="1791">
          <cell r="L1791" t="str">
            <v>Henley M</v>
          </cell>
        </row>
        <row r="1792">
          <cell r="L1792" t="str">
            <v>74176668</v>
          </cell>
        </row>
        <row r="1793">
          <cell r="L1793" t="str">
            <v>74136549</v>
          </cell>
        </row>
        <row r="1794">
          <cell r="L1794" t="str">
            <v>74161360</v>
          </cell>
        </row>
        <row r="1795">
          <cell r="L1795" t="str">
            <v>74183290</v>
          </cell>
        </row>
        <row r="1796">
          <cell r="L1796" t="str">
            <v>74147851</v>
          </cell>
        </row>
        <row r="1797">
          <cell r="L1797" t="str">
            <v>74181808</v>
          </cell>
        </row>
        <row r="1798">
          <cell r="L1798" t="str">
            <v>74170294</v>
          </cell>
        </row>
        <row r="1799">
          <cell r="L1799" t="str">
            <v>74170304</v>
          </cell>
        </row>
        <row r="1800">
          <cell r="L1800" t="str">
            <v>74182532</v>
          </cell>
        </row>
        <row r="1801">
          <cell r="L1801" t="str">
            <v>74183472</v>
          </cell>
        </row>
        <row r="1802">
          <cell r="L1802" t="str">
            <v>74183488</v>
          </cell>
        </row>
        <row r="1803">
          <cell r="L1803" t="str">
            <v>74171045</v>
          </cell>
        </row>
        <row r="1804">
          <cell r="L1804" t="str">
            <v>74169868</v>
          </cell>
        </row>
        <row r="1805">
          <cell r="L1805" t="str">
            <v>74171388</v>
          </cell>
        </row>
        <row r="1806">
          <cell r="L1806" t="str">
            <v>74181595</v>
          </cell>
        </row>
        <row r="1807">
          <cell r="L1807" t="str">
            <v>74192951</v>
          </cell>
        </row>
        <row r="1808">
          <cell r="L1808" t="str">
            <v>74152958</v>
          </cell>
        </row>
        <row r="1809">
          <cell r="L1809" t="str">
            <v>74162352</v>
          </cell>
        </row>
        <row r="1810">
          <cell r="L1810" t="str">
            <v>74170299</v>
          </cell>
        </row>
        <row r="1811">
          <cell r="L1811" t="str">
            <v>74171651</v>
          </cell>
        </row>
        <row r="1812">
          <cell r="L1812" t="str">
            <v>74130653</v>
          </cell>
        </row>
        <row r="1813">
          <cell r="L1813" t="str">
            <v>74169569</v>
          </cell>
        </row>
        <row r="1814">
          <cell r="L1814" t="str">
            <v>74170536</v>
          </cell>
        </row>
        <row r="1815">
          <cell r="L1815" t="str">
            <v>74172291</v>
          </cell>
        </row>
        <row r="1816">
          <cell r="L1816" t="str">
            <v>74176590</v>
          </cell>
        </row>
        <row r="1817">
          <cell r="L1817" t="str">
            <v>74177588</v>
          </cell>
        </row>
        <row r="1818">
          <cell r="L1818" t="str">
            <v>74182750</v>
          </cell>
        </row>
        <row r="1819">
          <cell r="L1819" t="str">
            <v>74182751</v>
          </cell>
        </row>
        <row r="1820">
          <cell r="L1820" t="str">
            <v>74172608</v>
          </cell>
        </row>
        <row r="1821">
          <cell r="L1821" t="str">
            <v>74178948</v>
          </cell>
        </row>
        <row r="1822">
          <cell r="L1822" t="str">
            <v>74183449</v>
          </cell>
        </row>
        <row r="1823">
          <cell r="L1823" t="str">
            <v>74184273</v>
          </cell>
        </row>
        <row r="1824">
          <cell r="L1824" t="str">
            <v>74187368</v>
          </cell>
        </row>
        <row r="1825">
          <cell r="L1825" t="str">
            <v>74190909</v>
          </cell>
        </row>
        <row r="1826">
          <cell r="L1826" t="str">
            <v>74190913</v>
          </cell>
        </row>
        <row r="1827">
          <cell r="L1827" t="str">
            <v>74190915</v>
          </cell>
        </row>
        <row r="1828">
          <cell r="L1828" t="str">
            <v>74192950</v>
          </cell>
        </row>
        <row r="1829">
          <cell r="L1829" t="str">
            <v>74133239</v>
          </cell>
        </row>
        <row r="1830">
          <cell r="L1830" t="str">
            <v>74151090</v>
          </cell>
        </row>
        <row r="1831">
          <cell r="L1831" t="str">
            <v>74152590</v>
          </cell>
        </row>
        <row r="1832">
          <cell r="L1832" t="str">
            <v>74155412</v>
          </cell>
        </row>
        <row r="1833">
          <cell r="L1833" t="str">
            <v>74160100</v>
          </cell>
        </row>
        <row r="1834">
          <cell r="L1834" t="str">
            <v>74165489</v>
          </cell>
        </row>
        <row r="1835">
          <cell r="L1835" t="str">
            <v>74174969</v>
          </cell>
        </row>
        <row r="1836">
          <cell r="L1836" t="str">
            <v>74176364</v>
          </cell>
        </row>
        <row r="1837">
          <cell r="L1837" t="str">
            <v>74177928</v>
          </cell>
        </row>
        <row r="1838">
          <cell r="L1838" t="str">
            <v>74136053</v>
          </cell>
        </row>
        <row r="1839">
          <cell r="L1839" t="str">
            <v>74137669</v>
          </cell>
        </row>
        <row r="1840">
          <cell r="L1840" t="str">
            <v>74138668</v>
          </cell>
        </row>
        <row r="1841">
          <cell r="L1841" t="str">
            <v>74145137</v>
          </cell>
        </row>
        <row r="1842">
          <cell r="L1842" t="str">
            <v>74146554</v>
          </cell>
        </row>
        <row r="1843">
          <cell r="L1843" t="str">
            <v>74162355</v>
          </cell>
        </row>
        <row r="1844">
          <cell r="L1844" t="str">
            <v>74164896</v>
          </cell>
        </row>
        <row r="1845">
          <cell r="L1845" t="str">
            <v>74167772</v>
          </cell>
        </row>
        <row r="1846">
          <cell r="L1846" t="str">
            <v>74170306</v>
          </cell>
        </row>
        <row r="1847">
          <cell r="L1847" t="str">
            <v>74170308</v>
          </cell>
        </row>
        <row r="1848">
          <cell r="L1848" t="str">
            <v>74170538</v>
          </cell>
        </row>
        <row r="1849">
          <cell r="L1849" t="str">
            <v>74172748</v>
          </cell>
        </row>
        <row r="1850">
          <cell r="L1850" t="str">
            <v>74172751</v>
          </cell>
        </row>
        <row r="1851">
          <cell r="L1851" t="str">
            <v>74172757</v>
          </cell>
        </row>
        <row r="1852">
          <cell r="L1852" t="str">
            <v>74172768</v>
          </cell>
        </row>
        <row r="1853">
          <cell r="L1853" t="str">
            <v>74172769</v>
          </cell>
        </row>
        <row r="1854">
          <cell r="L1854" t="str">
            <v>74176289</v>
          </cell>
        </row>
        <row r="1855">
          <cell r="L1855" t="str">
            <v>74176358</v>
          </cell>
        </row>
        <row r="1856">
          <cell r="L1856" t="str">
            <v>74176359</v>
          </cell>
        </row>
        <row r="1857">
          <cell r="L1857" t="str">
            <v>74180668</v>
          </cell>
        </row>
        <row r="1858">
          <cell r="L1858" t="str">
            <v>74181960</v>
          </cell>
        </row>
        <row r="1859">
          <cell r="L1859" t="str">
            <v>74184115</v>
          </cell>
        </row>
        <row r="1860">
          <cell r="L1860" t="str">
            <v>74187652</v>
          </cell>
        </row>
        <row r="1861">
          <cell r="L1861" t="str">
            <v>74189531</v>
          </cell>
        </row>
        <row r="1862">
          <cell r="L1862" t="str">
            <v>74189693</v>
          </cell>
        </row>
        <row r="1863">
          <cell r="L1863" t="str">
            <v>74190031</v>
          </cell>
        </row>
        <row r="1864">
          <cell r="L1864" t="str">
            <v>74191942</v>
          </cell>
        </row>
        <row r="1865">
          <cell r="L1865" t="str">
            <v>74191948</v>
          </cell>
        </row>
        <row r="1866">
          <cell r="L1866" t="str">
            <v>74192949</v>
          </cell>
        </row>
        <row r="1867">
          <cell r="L1867" t="str">
            <v>74193530</v>
          </cell>
        </row>
        <row r="1868">
          <cell r="L1868" t="str">
            <v>74193560</v>
          </cell>
        </row>
        <row r="1869">
          <cell r="L1869" t="str">
            <v>74193566</v>
          </cell>
        </row>
        <row r="1870">
          <cell r="L1870" t="str">
            <v>74194224</v>
          </cell>
        </row>
        <row r="1871">
          <cell r="L1871" t="str">
            <v>74194226</v>
          </cell>
        </row>
        <row r="1872">
          <cell r="L1872" t="str">
            <v>74195907</v>
          </cell>
        </row>
        <row r="1873">
          <cell r="L1873" t="str">
            <v>74155709</v>
          </cell>
        </row>
        <row r="1874">
          <cell r="L1874" t="str">
            <v>74155728</v>
          </cell>
        </row>
        <row r="1875">
          <cell r="L1875" t="str">
            <v>74156829</v>
          </cell>
        </row>
        <row r="1876">
          <cell r="L1876" t="str">
            <v>74159728</v>
          </cell>
        </row>
        <row r="1877">
          <cell r="L1877" t="str">
            <v>74159734</v>
          </cell>
        </row>
        <row r="1878">
          <cell r="L1878" t="str">
            <v>74159868</v>
          </cell>
        </row>
        <row r="1879">
          <cell r="L1879" t="str">
            <v>74162140</v>
          </cell>
        </row>
        <row r="1880">
          <cell r="L1880" t="str">
            <v>74162689</v>
          </cell>
        </row>
        <row r="1881">
          <cell r="L1881" t="str">
            <v>74163189</v>
          </cell>
        </row>
        <row r="1882">
          <cell r="L1882" t="str">
            <v>74168770</v>
          </cell>
        </row>
        <row r="1883">
          <cell r="L1883" t="str">
            <v>74172545</v>
          </cell>
        </row>
        <row r="1884">
          <cell r="L1884" t="str">
            <v>74172808</v>
          </cell>
        </row>
        <row r="1885">
          <cell r="L1885" t="str">
            <v>74174178</v>
          </cell>
        </row>
        <row r="1886">
          <cell r="L1886" t="str">
            <v>74174968</v>
          </cell>
        </row>
        <row r="1887">
          <cell r="L1887" t="str">
            <v>74187754</v>
          </cell>
        </row>
        <row r="1888">
          <cell r="L1888" t="str">
            <v>74143268</v>
          </cell>
        </row>
        <row r="1889">
          <cell r="L1889" t="str">
            <v>74144590</v>
          </cell>
        </row>
        <row r="1890">
          <cell r="L1890" t="str">
            <v>74148992</v>
          </cell>
        </row>
        <row r="1891">
          <cell r="L1891" t="str">
            <v>74158852</v>
          </cell>
        </row>
        <row r="1892">
          <cell r="L1892" t="str">
            <v>74161729</v>
          </cell>
        </row>
        <row r="1893">
          <cell r="L1893" t="str">
            <v>74162233</v>
          </cell>
        </row>
        <row r="1894">
          <cell r="L1894" t="str">
            <v>74165848</v>
          </cell>
        </row>
        <row r="1895">
          <cell r="L1895" t="str">
            <v>74169568</v>
          </cell>
        </row>
        <row r="1896">
          <cell r="L1896" t="str">
            <v>74170194</v>
          </cell>
        </row>
        <row r="1897">
          <cell r="L1897" t="str">
            <v>74172308</v>
          </cell>
        </row>
        <row r="1898">
          <cell r="L1898" t="str">
            <v>74175268</v>
          </cell>
        </row>
        <row r="1899">
          <cell r="L1899" t="str">
            <v>74176089</v>
          </cell>
        </row>
        <row r="1900">
          <cell r="L1900" t="str">
            <v>74176210</v>
          </cell>
        </row>
        <row r="1901">
          <cell r="L1901" t="str">
            <v>74176529</v>
          </cell>
        </row>
        <row r="1902">
          <cell r="L1902" t="str">
            <v>74177230</v>
          </cell>
        </row>
        <row r="1903">
          <cell r="L1903" t="str">
            <v>74177573</v>
          </cell>
        </row>
        <row r="1904">
          <cell r="L1904" t="str">
            <v>74180554</v>
          </cell>
        </row>
        <row r="1905">
          <cell r="L1905" t="str">
            <v>74181310</v>
          </cell>
        </row>
        <row r="1906">
          <cell r="L1906" t="str">
            <v>74181400</v>
          </cell>
        </row>
        <row r="1907">
          <cell r="L1907" t="str">
            <v>74182351</v>
          </cell>
        </row>
        <row r="1908">
          <cell r="L1908" t="str">
            <v>74192495</v>
          </cell>
        </row>
        <row r="1909">
          <cell r="L1909" t="str">
            <v>74192534</v>
          </cell>
        </row>
        <row r="1910">
          <cell r="L1910" t="str">
            <v>74194188</v>
          </cell>
        </row>
        <row r="1911">
          <cell r="L1911" t="str">
            <v>74194318</v>
          </cell>
        </row>
        <row r="1912">
          <cell r="L1912" t="str">
            <v>74194829</v>
          </cell>
        </row>
        <row r="1913">
          <cell r="L1913" t="str">
            <v>74182538</v>
          </cell>
        </row>
        <row r="1914">
          <cell r="L1914" t="str">
            <v>74137470</v>
          </cell>
        </row>
        <row r="1915">
          <cell r="L1915" t="str">
            <v>74159350</v>
          </cell>
        </row>
        <row r="1916">
          <cell r="L1916" t="str">
            <v>74159352</v>
          </cell>
        </row>
        <row r="1917">
          <cell r="L1917" t="str">
            <v>74161357</v>
          </cell>
        </row>
        <row r="1918">
          <cell r="L1918" t="str">
            <v>74168731</v>
          </cell>
        </row>
        <row r="1919">
          <cell r="L1919" t="str">
            <v>74137851</v>
          </cell>
        </row>
        <row r="1920">
          <cell r="L1920" t="str">
            <v>74141795</v>
          </cell>
        </row>
        <row r="1921">
          <cell r="L1921" t="str">
            <v>74142710</v>
          </cell>
        </row>
        <row r="1922">
          <cell r="L1922" t="str">
            <v>74143748</v>
          </cell>
        </row>
        <row r="1923">
          <cell r="L1923" t="str">
            <v>74146568</v>
          </cell>
        </row>
        <row r="1924">
          <cell r="L1924" t="str">
            <v>74148279</v>
          </cell>
        </row>
        <row r="1925">
          <cell r="L1925" t="str">
            <v>74152959</v>
          </cell>
        </row>
        <row r="1926">
          <cell r="L1926" t="str">
            <v>74157629</v>
          </cell>
        </row>
        <row r="1927">
          <cell r="L1927" t="str">
            <v>74169029</v>
          </cell>
        </row>
        <row r="1928">
          <cell r="L1928" t="str">
            <v>74192948</v>
          </cell>
        </row>
        <row r="1929">
          <cell r="L1929" t="str">
            <v>74136856</v>
          </cell>
        </row>
        <row r="1930">
          <cell r="L1930" t="str">
            <v>74189331</v>
          </cell>
        </row>
        <row r="1931">
          <cell r="L1931" t="str">
            <v>74189925</v>
          </cell>
        </row>
        <row r="1932">
          <cell r="L1932" t="str">
            <v>74158969</v>
          </cell>
        </row>
        <row r="1933">
          <cell r="L1933" t="str">
            <v>74135309</v>
          </cell>
        </row>
        <row r="1934">
          <cell r="L1934" t="str">
            <v>74137848</v>
          </cell>
        </row>
        <row r="1935">
          <cell r="L1935" t="str">
            <v>74156029</v>
          </cell>
        </row>
        <row r="1936">
          <cell r="L1936" t="str">
            <v>74160889</v>
          </cell>
        </row>
        <row r="1937">
          <cell r="L1937" t="str">
            <v>74110267</v>
          </cell>
        </row>
        <row r="1938">
          <cell r="L1938" t="str">
            <v>74141688</v>
          </cell>
        </row>
        <row r="1939">
          <cell r="L1939" t="str">
            <v>74158009</v>
          </cell>
        </row>
        <row r="1940">
          <cell r="L1940" t="str">
            <v>74163248</v>
          </cell>
        </row>
        <row r="1941">
          <cell r="L1941" t="str">
            <v>74163311</v>
          </cell>
        </row>
        <row r="1942">
          <cell r="L1942" t="str">
            <v>74172835</v>
          </cell>
        </row>
        <row r="1943">
          <cell r="L1943" t="str">
            <v>74173488</v>
          </cell>
        </row>
        <row r="1944">
          <cell r="L1944" t="str">
            <v>74177991</v>
          </cell>
        </row>
        <row r="1945">
          <cell r="L1945" t="str">
            <v>74182908</v>
          </cell>
        </row>
        <row r="1946">
          <cell r="L1946" t="str">
            <v>74186915</v>
          </cell>
        </row>
        <row r="1947">
          <cell r="L1947" t="str">
            <v>74188189</v>
          </cell>
        </row>
        <row r="1948">
          <cell r="L1948" t="str">
            <v>74188811</v>
          </cell>
        </row>
        <row r="1949">
          <cell r="L1949" t="str">
            <v>74188812</v>
          </cell>
        </row>
        <row r="1950">
          <cell r="L1950" t="str">
            <v>74192108</v>
          </cell>
        </row>
        <row r="1951">
          <cell r="L1951" t="str">
            <v>74165434</v>
          </cell>
        </row>
        <row r="1952">
          <cell r="L1952" t="str">
            <v>74137268</v>
          </cell>
        </row>
        <row r="1953">
          <cell r="L1953" t="str">
            <v>74140789</v>
          </cell>
        </row>
        <row r="1954">
          <cell r="L1954" t="str">
            <v>74140856</v>
          </cell>
        </row>
        <row r="1955">
          <cell r="L1955" t="str">
            <v>74145650</v>
          </cell>
        </row>
        <row r="1956">
          <cell r="L1956" t="str">
            <v>74146815</v>
          </cell>
        </row>
        <row r="1957">
          <cell r="L1957" t="str">
            <v>74147797</v>
          </cell>
        </row>
        <row r="1958">
          <cell r="L1958" t="str">
            <v>74150377</v>
          </cell>
        </row>
        <row r="1959">
          <cell r="L1959" t="str">
            <v>74152649</v>
          </cell>
        </row>
        <row r="1960">
          <cell r="L1960" t="str">
            <v>74155800</v>
          </cell>
        </row>
        <row r="1961">
          <cell r="L1961" t="str">
            <v>74177649</v>
          </cell>
        </row>
        <row r="1962">
          <cell r="L1962" t="str">
            <v>74183570</v>
          </cell>
        </row>
        <row r="1963">
          <cell r="L1963" t="str">
            <v>74189968</v>
          </cell>
        </row>
        <row r="1964">
          <cell r="L1964" t="str">
            <v>74150344</v>
          </cell>
        </row>
        <row r="1965">
          <cell r="L1965" t="str">
            <v>74158770</v>
          </cell>
        </row>
        <row r="1966">
          <cell r="L1966" t="str">
            <v>74183155</v>
          </cell>
        </row>
        <row r="1967">
          <cell r="L1967" t="str">
            <v>74159550</v>
          </cell>
        </row>
        <row r="1968">
          <cell r="L1968" t="str">
            <v>74171271</v>
          </cell>
        </row>
        <row r="1969">
          <cell r="L1969" t="str">
            <v>74176432</v>
          </cell>
        </row>
        <row r="1970">
          <cell r="L1970" t="str">
            <v>74156828</v>
          </cell>
        </row>
        <row r="1971">
          <cell r="L1971" t="str">
            <v>74164851</v>
          </cell>
        </row>
        <row r="1972">
          <cell r="L1972" t="str">
            <v>74156349</v>
          </cell>
        </row>
        <row r="1973">
          <cell r="L1973" t="str">
            <v>74156676</v>
          </cell>
        </row>
        <row r="1974">
          <cell r="L1974" t="str">
            <v>74159172</v>
          </cell>
        </row>
        <row r="1975">
          <cell r="L1975" t="str">
            <v>74172833</v>
          </cell>
        </row>
        <row r="1976">
          <cell r="L1976" t="str">
            <v>74173465</v>
          </cell>
        </row>
        <row r="1977">
          <cell r="L1977" t="str">
            <v>74175334</v>
          </cell>
        </row>
        <row r="1978">
          <cell r="L1978" t="str">
            <v>74183156</v>
          </cell>
        </row>
        <row r="1979">
          <cell r="L1979" t="str">
            <v>74165348</v>
          </cell>
        </row>
        <row r="1980">
          <cell r="L1980" t="str">
            <v>74156438</v>
          </cell>
        </row>
        <row r="1981">
          <cell r="L1981" t="str">
            <v>74161418</v>
          </cell>
        </row>
        <row r="1982">
          <cell r="L1982" t="str">
            <v>74143914</v>
          </cell>
        </row>
        <row r="1983">
          <cell r="L1983" t="str">
            <v>74163028</v>
          </cell>
        </row>
        <row r="1984">
          <cell r="L1984" t="str">
            <v>74163969</v>
          </cell>
        </row>
        <row r="1985">
          <cell r="L1985" t="str">
            <v>74185382</v>
          </cell>
        </row>
        <row r="1986">
          <cell r="L1986" t="str">
            <v>74164468</v>
          </cell>
        </row>
        <row r="1987">
          <cell r="L1987" t="str">
            <v>74157068</v>
          </cell>
        </row>
        <row r="1988">
          <cell r="L1988" t="str">
            <v>74180151</v>
          </cell>
        </row>
        <row r="1989">
          <cell r="L1989" t="str">
            <v>74151130</v>
          </cell>
        </row>
        <row r="1990">
          <cell r="L1990" t="str">
            <v>74177392</v>
          </cell>
        </row>
        <row r="1991">
          <cell r="L1991" t="str">
            <v>74158108</v>
          </cell>
        </row>
        <row r="1992">
          <cell r="L1992" t="str">
            <v>74135951</v>
          </cell>
        </row>
        <row r="1993">
          <cell r="L1993" t="str">
            <v>74176365</v>
          </cell>
        </row>
        <row r="1994">
          <cell r="L1994" t="str">
            <v>74169092</v>
          </cell>
        </row>
        <row r="1995">
          <cell r="L1995" t="str">
            <v>74170051</v>
          </cell>
        </row>
        <row r="1996">
          <cell r="L1996" t="str">
            <v>74170769</v>
          </cell>
        </row>
        <row r="1997">
          <cell r="L1997" t="str">
            <v>74174930</v>
          </cell>
        </row>
        <row r="1998">
          <cell r="L1998" t="str">
            <v>74174970</v>
          </cell>
        </row>
        <row r="1999">
          <cell r="L1999" t="str">
            <v>74130682</v>
          </cell>
        </row>
        <row r="2000">
          <cell r="L2000" t="str">
            <v>74163851</v>
          </cell>
        </row>
        <row r="2001">
          <cell r="L2001" t="str">
            <v>74174774</v>
          </cell>
        </row>
        <row r="2002">
          <cell r="L2002" t="str">
            <v>74174868</v>
          </cell>
        </row>
        <row r="2003">
          <cell r="L2003" t="str">
            <v>74148509</v>
          </cell>
        </row>
        <row r="2004">
          <cell r="L2004" t="str">
            <v>74184053</v>
          </cell>
        </row>
        <row r="2005">
          <cell r="L2005" t="str">
            <v>74176149</v>
          </cell>
        </row>
        <row r="2006">
          <cell r="L2006" t="str">
            <v>74156549</v>
          </cell>
        </row>
        <row r="2007">
          <cell r="L2007" t="str">
            <v>74191970</v>
          </cell>
        </row>
        <row r="2008">
          <cell r="L2008" t="str">
            <v>TOOLSANDEQUIP</v>
          </cell>
        </row>
        <row r="2009">
          <cell r="L2009" t="str">
            <v>80000990</v>
          </cell>
        </row>
        <row r="2010">
          <cell r="L2010" t="str">
            <v>80000991</v>
          </cell>
        </row>
        <row r="2011">
          <cell r="L2011" t="str">
            <v>FCCFEPMS</v>
          </cell>
        </row>
        <row r="2012">
          <cell r="L2012" t="str">
            <v>210B3153</v>
          </cell>
        </row>
        <row r="2013">
          <cell r="L2013" t="str">
            <v>210B8844</v>
          </cell>
        </row>
        <row r="2014">
          <cell r="L2014" t="str">
            <v>80000988</v>
          </cell>
        </row>
        <row r="2015">
          <cell r="L2015" t="str">
            <v>80000989</v>
          </cell>
        </row>
        <row r="2016">
          <cell r="L2016" t="str">
            <v>80000897</v>
          </cell>
        </row>
        <row r="2017">
          <cell r="L2017" t="str">
            <v>74156550</v>
          </cell>
        </row>
        <row r="2018">
          <cell r="L2018" t="str">
            <v>74161117</v>
          </cell>
        </row>
        <row r="2019">
          <cell r="L2019" t="str">
            <v>74169608</v>
          </cell>
        </row>
        <row r="2020">
          <cell r="L2020" t="str">
            <v>74169709</v>
          </cell>
        </row>
        <row r="2021">
          <cell r="L2021" t="str">
            <v>74169609</v>
          </cell>
        </row>
        <row r="2022">
          <cell r="L2022" t="str">
            <v>74143248</v>
          </cell>
        </row>
        <row r="2023">
          <cell r="L2023" t="str">
            <v>74169650</v>
          </cell>
        </row>
        <row r="2024">
          <cell r="L2024" t="str">
            <v>74169651</v>
          </cell>
        </row>
        <row r="2025">
          <cell r="L2025" t="str">
            <v>74169654</v>
          </cell>
        </row>
        <row r="2026">
          <cell r="L2026" t="str">
            <v>74185928</v>
          </cell>
        </row>
        <row r="2027">
          <cell r="L2027" t="str">
            <v>74183209</v>
          </cell>
        </row>
        <row r="2028">
          <cell r="L2028" t="str">
            <v>74183211</v>
          </cell>
        </row>
        <row r="2029">
          <cell r="L2029" t="str">
            <v>74183213</v>
          </cell>
        </row>
        <row r="2030">
          <cell r="L2030" t="str">
            <v>74183214</v>
          </cell>
        </row>
        <row r="2031">
          <cell r="L2031" t="str">
            <v>74183215</v>
          </cell>
        </row>
        <row r="2032">
          <cell r="L2032" t="str">
            <v>74183216</v>
          </cell>
        </row>
        <row r="2033">
          <cell r="L2033" t="str">
            <v>74183217</v>
          </cell>
        </row>
        <row r="2034">
          <cell r="L2034" t="str">
            <v>74183218</v>
          </cell>
        </row>
        <row r="2035">
          <cell r="L2035" t="str">
            <v>74183219</v>
          </cell>
        </row>
        <row r="2036">
          <cell r="L2036" t="str">
            <v>74183220</v>
          </cell>
        </row>
        <row r="2037">
          <cell r="L2037" t="str">
            <v>74183221</v>
          </cell>
        </row>
        <row r="2038">
          <cell r="L2038" t="str">
            <v>74183223</v>
          </cell>
        </row>
        <row r="2039">
          <cell r="L2039" t="str">
            <v>74183225</v>
          </cell>
        </row>
        <row r="2040">
          <cell r="L2040" t="str">
            <v>74183228</v>
          </cell>
        </row>
        <row r="2041">
          <cell r="L2041" t="str">
            <v>74183229</v>
          </cell>
        </row>
        <row r="2042">
          <cell r="L2042" t="str">
            <v>74183230</v>
          </cell>
        </row>
        <row r="2043">
          <cell r="L2043" t="str">
            <v>74183231</v>
          </cell>
        </row>
        <row r="2044">
          <cell r="L2044" t="str">
            <v>74183232</v>
          </cell>
        </row>
        <row r="2045">
          <cell r="L2045" t="str">
            <v>74183669</v>
          </cell>
        </row>
        <row r="2046">
          <cell r="L2046" t="str">
            <v>74183670</v>
          </cell>
        </row>
        <row r="2047">
          <cell r="L2047" t="str">
            <v>74183671</v>
          </cell>
        </row>
        <row r="2048">
          <cell r="L2048" t="str">
            <v>74183672</v>
          </cell>
        </row>
        <row r="2049">
          <cell r="L2049" t="str">
            <v>74183673</v>
          </cell>
        </row>
        <row r="2050">
          <cell r="L2050" t="str">
            <v>74183674</v>
          </cell>
        </row>
        <row r="2051">
          <cell r="L2051" t="str">
            <v>74184705</v>
          </cell>
        </row>
        <row r="2052">
          <cell r="L2052" t="str">
            <v>74184709</v>
          </cell>
        </row>
        <row r="2053">
          <cell r="L2053" t="str">
            <v>74184710</v>
          </cell>
        </row>
        <row r="2054">
          <cell r="L2054" t="str">
            <v>74184711</v>
          </cell>
        </row>
        <row r="2055">
          <cell r="L2055" t="str">
            <v>74184713</v>
          </cell>
        </row>
        <row r="2056">
          <cell r="L2056" t="str">
            <v>74184714</v>
          </cell>
        </row>
        <row r="2057">
          <cell r="L2057" t="str">
            <v>74184716</v>
          </cell>
        </row>
        <row r="2058">
          <cell r="L2058" t="str">
            <v>74184718</v>
          </cell>
        </row>
        <row r="2059">
          <cell r="L2059" t="str">
            <v>74184719</v>
          </cell>
        </row>
        <row r="2060">
          <cell r="L2060" t="str">
            <v>74184730</v>
          </cell>
        </row>
        <row r="2061">
          <cell r="L2061" t="str">
            <v>74184732</v>
          </cell>
        </row>
        <row r="2062">
          <cell r="L2062" t="str">
            <v>74184733</v>
          </cell>
        </row>
        <row r="2063">
          <cell r="L2063" t="str">
            <v>74184734</v>
          </cell>
        </row>
        <row r="2064">
          <cell r="L2064" t="str">
            <v>74184735</v>
          </cell>
        </row>
        <row r="2065">
          <cell r="L2065" t="str">
            <v>74191148</v>
          </cell>
        </row>
        <row r="2066">
          <cell r="L2066" t="str">
            <v>74193863</v>
          </cell>
        </row>
        <row r="2067">
          <cell r="L2067" t="str">
            <v>74193866</v>
          </cell>
        </row>
        <row r="2068">
          <cell r="L2068" t="str">
            <v>74193867</v>
          </cell>
        </row>
        <row r="2069">
          <cell r="L2069" t="str">
            <v>74194641</v>
          </cell>
        </row>
        <row r="2070">
          <cell r="L2070" t="str">
            <v>74194642</v>
          </cell>
        </row>
        <row r="2071">
          <cell r="L2071" t="str">
            <v>74196097</v>
          </cell>
        </row>
        <row r="2072">
          <cell r="L2072" t="str">
            <v>74196101</v>
          </cell>
        </row>
        <row r="2073">
          <cell r="L2073" t="str">
            <v>74196102</v>
          </cell>
        </row>
        <row r="2074">
          <cell r="L2074" t="str">
            <v>74197410</v>
          </cell>
        </row>
        <row r="2075">
          <cell r="L2075" t="str">
            <v>74197411</v>
          </cell>
        </row>
        <row r="2076">
          <cell r="L2076" t="str">
            <v>74199180</v>
          </cell>
        </row>
        <row r="2077">
          <cell r="L2077" t="str">
            <v>74199181</v>
          </cell>
        </row>
        <row r="2078">
          <cell r="L2078" t="str">
            <v>74199182</v>
          </cell>
        </row>
        <row r="2079">
          <cell r="L2079" t="str">
            <v>74199183</v>
          </cell>
        </row>
        <row r="2080">
          <cell r="L2080" t="str">
            <v>74199184</v>
          </cell>
        </row>
        <row r="2081">
          <cell r="L2081" t="str">
            <v>74199185</v>
          </cell>
        </row>
        <row r="2082">
          <cell r="L2082" t="str">
            <v>74199186</v>
          </cell>
        </row>
        <row r="2083">
          <cell r="L2083" t="str">
            <v>74199187</v>
          </cell>
        </row>
        <row r="2084">
          <cell r="L2084" t="str">
            <v>74199304</v>
          </cell>
        </row>
        <row r="2085">
          <cell r="L2085" t="str">
            <v>74201057</v>
          </cell>
        </row>
        <row r="2086">
          <cell r="L2086" t="str">
            <v>74201058</v>
          </cell>
        </row>
        <row r="2087">
          <cell r="L2087" t="str">
            <v>74201708</v>
          </cell>
        </row>
        <row r="2088">
          <cell r="L2088" t="str">
            <v>74201719</v>
          </cell>
        </row>
        <row r="2089">
          <cell r="L2089" t="str">
            <v>74201742</v>
          </cell>
        </row>
        <row r="2090">
          <cell r="L2090" t="str">
            <v>74204233</v>
          </cell>
        </row>
        <row r="2091">
          <cell r="L2091" t="str">
            <v>74204234</v>
          </cell>
        </row>
        <row r="2092">
          <cell r="L2092" t="str">
            <v>74204235</v>
          </cell>
        </row>
        <row r="2093">
          <cell r="L2093" t="str">
            <v>74206980</v>
          </cell>
        </row>
        <row r="2094">
          <cell r="L2094" t="str">
            <v>74206981</v>
          </cell>
        </row>
        <row r="2095">
          <cell r="L2095" t="str">
            <v>74206982</v>
          </cell>
        </row>
        <row r="2096">
          <cell r="L2096" t="str">
            <v>74206983</v>
          </cell>
        </row>
        <row r="2097">
          <cell r="L2097" t="str">
            <v>74206985</v>
          </cell>
        </row>
        <row r="2098">
          <cell r="L2098" t="str">
            <v>74207326</v>
          </cell>
        </row>
        <row r="2099">
          <cell r="L2099" t="str">
            <v>74208135</v>
          </cell>
        </row>
        <row r="2100">
          <cell r="L2100" t="str">
            <v>74208288</v>
          </cell>
        </row>
        <row r="2101">
          <cell r="L2101" t="str">
            <v>74210723</v>
          </cell>
        </row>
        <row r="2102">
          <cell r="L2102" t="str">
            <v>74210727</v>
          </cell>
        </row>
        <row r="2103">
          <cell r="L2103" t="str">
            <v>74210801</v>
          </cell>
        </row>
        <row r="2104">
          <cell r="L2104" t="str">
            <v>74210803</v>
          </cell>
        </row>
        <row r="2105">
          <cell r="L2105" t="str">
            <v>74210819</v>
          </cell>
        </row>
        <row r="2106">
          <cell r="L2106" t="str">
            <v>74211288</v>
          </cell>
        </row>
        <row r="2107">
          <cell r="L2107" t="str">
            <v>74211304</v>
          </cell>
        </row>
        <row r="2108">
          <cell r="L2108" t="str">
            <v>74211305</v>
          </cell>
        </row>
        <row r="2109">
          <cell r="L2109" t="str">
            <v>74211306</v>
          </cell>
        </row>
        <row r="2110">
          <cell r="L2110" t="str">
            <v>74211343</v>
          </cell>
        </row>
        <row r="2111">
          <cell r="L2111" t="str">
            <v>74213100</v>
          </cell>
        </row>
        <row r="2112">
          <cell r="L2112" t="str">
            <v>74213101</v>
          </cell>
        </row>
        <row r="2113">
          <cell r="L2113" t="str">
            <v>74213880</v>
          </cell>
        </row>
        <row r="2114">
          <cell r="L2114" t="str">
            <v>74213882</v>
          </cell>
        </row>
        <row r="2115">
          <cell r="L2115" t="str">
            <v>74213883</v>
          </cell>
        </row>
        <row r="2116">
          <cell r="L2116" t="str">
            <v>74214339</v>
          </cell>
        </row>
        <row r="2117">
          <cell r="L2117" t="str">
            <v>74217560</v>
          </cell>
        </row>
        <row r="2118">
          <cell r="L2118" t="str">
            <v>74217564</v>
          </cell>
        </row>
        <row r="2119">
          <cell r="L2119" t="str">
            <v>74217565</v>
          </cell>
        </row>
        <row r="2120">
          <cell r="L2120" t="str">
            <v>74217567</v>
          </cell>
        </row>
        <row r="2121">
          <cell r="L2121" t="str">
            <v>74217568</v>
          </cell>
        </row>
        <row r="2122">
          <cell r="L2122" t="str">
            <v>74217569</v>
          </cell>
        </row>
        <row r="2123">
          <cell r="L2123" t="str">
            <v>74217570</v>
          </cell>
        </row>
        <row r="2124">
          <cell r="L2124" t="str">
            <v>74217571</v>
          </cell>
        </row>
        <row r="2125">
          <cell r="L2125" t="str">
            <v>74218724</v>
          </cell>
        </row>
        <row r="2126">
          <cell r="L2126" t="str">
            <v>74218725</v>
          </cell>
        </row>
        <row r="2127">
          <cell r="L2127" t="str">
            <v>74218728</v>
          </cell>
        </row>
        <row r="2128">
          <cell r="L2128" t="str">
            <v>74218729</v>
          </cell>
        </row>
        <row r="2129">
          <cell r="L2129" t="str">
            <v>74218730</v>
          </cell>
        </row>
        <row r="2130">
          <cell r="L2130" t="str">
            <v>74220241</v>
          </cell>
        </row>
        <row r="2131">
          <cell r="L2131" t="str">
            <v>74223446</v>
          </cell>
        </row>
        <row r="2132">
          <cell r="L2132" t="str">
            <v>74224503</v>
          </cell>
        </row>
        <row r="2133">
          <cell r="L2133" t="str">
            <v>FEEDERAMPPRG5</v>
          </cell>
        </row>
        <row r="2134">
          <cell r="L2134" t="str">
            <v>74180168</v>
          </cell>
        </row>
        <row r="2135">
          <cell r="L2135" t="str">
            <v>74178428</v>
          </cell>
        </row>
        <row r="2136">
          <cell r="L2136" t="str">
            <v>80000402</v>
          </cell>
        </row>
        <row r="2137">
          <cell r="L2137" t="str">
            <v>74174776</v>
          </cell>
        </row>
        <row r="2138">
          <cell r="L2138" t="str">
            <v>74169652</v>
          </cell>
        </row>
        <row r="2139">
          <cell r="L2139" t="str">
            <v>ESMSReplPrg0710</v>
          </cell>
        </row>
        <row r="2140">
          <cell r="L2140" t="str">
            <v>74135175</v>
          </cell>
        </row>
        <row r="2141">
          <cell r="L2141" t="str">
            <v>74170748</v>
          </cell>
        </row>
        <row r="2142">
          <cell r="L2142" t="str">
            <v>74185750</v>
          </cell>
        </row>
        <row r="2143">
          <cell r="L2143" t="str">
            <v>74185751</v>
          </cell>
        </row>
        <row r="2144">
          <cell r="L2144" t="str">
            <v>74185753</v>
          </cell>
        </row>
        <row r="2145">
          <cell r="L2145" t="str">
            <v>74188940</v>
          </cell>
        </row>
        <row r="2146">
          <cell r="L2146" t="str">
            <v>74193256</v>
          </cell>
        </row>
        <row r="2147">
          <cell r="L2147" t="str">
            <v>74221661</v>
          </cell>
        </row>
        <row r="2148">
          <cell r="L2148" t="str">
            <v>74221739</v>
          </cell>
        </row>
        <row r="2149">
          <cell r="L2149" t="str">
            <v>74221748</v>
          </cell>
        </row>
        <row r="2150">
          <cell r="L2150" t="str">
            <v>74221780</v>
          </cell>
        </row>
        <row r="2151">
          <cell r="L2151" t="str">
            <v>74221861</v>
          </cell>
        </row>
        <row r="2152">
          <cell r="L2152" t="str">
            <v>74222141</v>
          </cell>
        </row>
        <row r="2153">
          <cell r="L2153" t="str">
            <v>74222163</v>
          </cell>
        </row>
        <row r="2154">
          <cell r="L2154" t="str">
            <v>74222360</v>
          </cell>
        </row>
        <row r="2155">
          <cell r="L2155" t="str">
            <v>74222460</v>
          </cell>
        </row>
        <row r="2156">
          <cell r="L2156" t="str">
            <v>74222780</v>
          </cell>
        </row>
        <row r="2157">
          <cell r="L2157" t="str">
            <v>74222781</v>
          </cell>
        </row>
        <row r="2158">
          <cell r="L2158" t="str">
            <v>74222782</v>
          </cell>
        </row>
        <row r="2159">
          <cell r="L2159" t="str">
            <v>74222784</v>
          </cell>
        </row>
        <row r="2160">
          <cell r="L2160" t="str">
            <v>74222786</v>
          </cell>
        </row>
        <row r="2161">
          <cell r="L2161" t="str">
            <v>74222788</v>
          </cell>
        </row>
        <row r="2162">
          <cell r="L2162" t="str">
            <v>74222789</v>
          </cell>
        </row>
        <row r="2163">
          <cell r="L2163" t="str">
            <v>74222879</v>
          </cell>
        </row>
        <row r="2164">
          <cell r="L2164" t="str">
            <v>74222899</v>
          </cell>
        </row>
        <row r="2165">
          <cell r="L2165" t="str">
            <v>74223024</v>
          </cell>
        </row>
        <row r="2166">
          <cell r="L2166" t="str">
            <v>74223025</v>
          </cell>
        </row>
        <row r="2167">
          <cell r="L2167" t="str">
            <v>74223026</v>
          </cell>
        </row>
        <row r="2168">
          <cell r="L2168" t="str">
            <v>74223027</v>
          </cell>
        </row>
        <row r="2169">
          <cell r="L2169" t="str">
            <v>74223028</v>
          </cell>
        </row>
        <row r="2170">
          <cell r="L2170" t="str">
            <v>74223029</v>
          </cell>
        </row>
        <row r="2171">
          <cell r="L2171" t="str">
            <v>74223030</v>
          </cell>
        </row>
        <row r="2172">
          <cell r="L2172" t="str">
            <v>74223031</v>
          </cell>
        </row>
        <row r="2173">
          <cell r="L2173" t="str">
            <v>74223032</v>
          </cell>
        </row>
        <row r="2174">
          <cell r="L2174" t="str">
            <v>74224000</v>
          </cell>
        </row>
        <row r="2175">
          <cell r="L2175" t="str">
            <v>74225540</v>
          </cell>
        </row>
        <row r="2176">
          <cell r="L2176" t="str">
            <v>74230263</v>
          </cell>
        </row>
        <row r="2177">
          <cell r="L2177" t="str">
            <v>74230265</v>
          </cell>
        </row>
        <row r="2178">
          <cell r="L2178" t="str">
            <v>74269389</v>
          </cell>
        </row>
        <row r="2179">
          <cell r="L2179" t="str">
            <v>74275983</v>
          </cell>
        </row>
        <row r="2180">
          <cell r="L2180" t="str">
            <v>74275984</v>
          </cell>
        </row>
        <row r="2181">
          <cell r="L2181" t="str">
            <v>74288294</v>
          </cell>
        </row>
        <row r="2182">
          <cell r="L2182" t="str">
            <v>74288297</v>
          </cell>
        </row>
        <row r="2183">
          <cell r="L2183" t="str">
            <v>74288419</v>
          </cell>
        </row>
        <row r="2184">
          <cell r="L2184" t="str">
            <v>74294840</v>
          </cell>
        </row>
        <row r="2185">
          <cell r="L2185" t="str">
            <v>74300220</v>
          </cell>
        </row>
        <row r="2186">
          <cell r="L2186" t="str">
            <v>74300222</v>
          </cell>
        </row>
        <row r="2187">
          <cell r="L2187" t="str">
            <v>74300274</v>
          </cell>
        </row>
        <row r="2188">
          <cell r="L2188" t="str">
            <v>74305606</v>
          </cell>
        </row>
        <row r="2189">
          <cell r="L2189" t="str">
            <v>74307377</v>
          </cell>
        </row>
        <row r="2190">
          <cell r="L2190" t="str">
            <v>74307524</v>
          </cell>
        </row>
        <row r="2191">
          <cell r="L2191" t="str">
            <v>74307601</v>
          </cell>
        </row>
        <row r="2192">
          <cell r="L2192" t="str">
            <v>74308039</v>
          </cell>
        </row>
        <row r="2193">
          <cell r="L2193" t="str">
            <v>74312966</v>
          </cell>
        </row>
        <row r="2194">
          <cell r="L2194" t="str">
            <v>Pole Top</v>
          </cell>
        </row>
        <row r="2195">
          <cell r="L2195" t="str">
            <v>74192490</v>
          </cell>
        </row>
        <row r="2196">
          <cell r="L2196" t="str">
            <v>74192489</v>
          </cell>
        </row>
        <row r="2197">
          <cell r="L2197" t="str">
            <v>74192492</v>
          </cell>
        </row>
        <row r="2198">
          <cell r="L2198" t="str">
            <v>74192491</v>
          </cell>
        </row>
        <row r="2199">
          <cell r="L2199" t="str">
            <v>80000420</v>
          </cell>
        </row>
        <row r="2200">
          <cell r="L2200" t="str">
            <v>74101098</v>
          </cell>
        </row>
        <row r="2201">
          <cell r="L2201" t="str">
            <v>74182288</v>
          </cell>
        </row>
        <row r="2202">
          <cell r="L2202" t="str">
            <v>80000427</v>
          </cell>
        </row>
        <row r="2203">
          <cell r="L2203" t="str">
            <v>80000428</v>
          </cell>
        </row>
        <row r="2204">
          <cell r="L2204" t="str">
            <v>74182419</v>
          </cell>
        </row>
        <row r="2205">
          <cell r="L2205" t="str">
            <v>74181488</v>
          </cell>
        </row>
        <row r="2206">
          <cell r="L2206" t="str">
            <v>74182489</v>
          </cell>
        </row>
        <row r="2207">
          <cell r="L2207" t="str">
            <v>74182289</v>
          </cell>
        </row>
        <row r="2208">
          <cell r="L2208" t="str">
            <v>74183713</v>
          </cell>
        </row>
        <row r="2209">
          <cell r="L2209" t="str">
            <v>74184337</v>
          </cell>
        </row>
        <row r="2210">
          <cell r="L2210" t="str">
            <v>Summer Preparedness Program 08/09</v>
          </cell>
        </row>
        <row r="2211">
          <cell r="L2211" t="str">
            <v>74194465</v>
          </cell>
        </row>
        <row r="2212">
          <cell r="L2212" t="str">
            <v>74211344</v>
          </cell>
        </row>
        <row r="2213">
          <cell r="L2213" t="str">
            <v>SUPPLYIMPPRG0/09</v>
          </cell>
        </row>
        <row r="2214">
          <cell r="L2214" t="str">
            <v>74138291</v>
          </cell>
        </row>
        <row r="2215">
          <cell r="L2215" t="str">
            <v>74144276</v>
          </cell>
        </row>
        <row r="2216">
          <cell r="L2216" t="str">
            <v>74189229</v>
          </cell>
        </row>
        <row r="2217">
          <cell r="L2217" t="str">
            <v>74202837</v>
          </cell>
        </row>
        <row r="2218">
          <cell r="L2218" t="str">
            <v>74207289</v>
          </cell>
        </row>
        <row r="2219">
          <cell r="L2219" t="str">
            <v>74208345</v>
          </cell>
        </row>
        <row r="2220">
          <cell r="L2220" t="str">
            <v>74209116</v>
          </cell>
        </row>
        <row r="2221">
          <cell r="L2221" t="str">
            <v>74211314</v>
          </cell>
        </row>
        <row r="2222">
          <cell r="L2222" t="str">
            <v>74212762</v>
          </cell>
        </row>
        <row r="2223">
          <cell r="L2223" t="str">
            <v>74214862</v>
          </cell>
        </row>
        <row r="2224">
          <cell r="L2224" t="str">
            <v>74215069</v>
          </cell>
        </row>
        <row r="2225">
          <cell r="L2225" t="str">
            <v>74215071</v>
          </cell>
        </row>
        <row r="2226">
          <cell r="L2226" t="str">
            <v>74215741</v>
          </cell>
        </row>
        <row r="2227">
          <cell r="L2227" t="str">
            <v>74215940</v>
          </cell>
        </row>
        <row r="2228">
          <cell r="L2228" t="str">
            <v>74216420</v>
          </cell>
        </row>
        <row r="2229">
          <cell r="L2229" t="str">
            <v>74225322</v>
          </cell>
        </row>
        <row r="2230">
          <cell r="L2230" t="str">
            <v>74225641</v>
          </cell>
        </row>
        <row r="2231">
          <cell r="L2231" t="str">
            <v>74225679</v>
          </cell>
        </row>
        <row r="2232">
          <cell r="L2232" t="str">
            <v>74227722</v>
          </cell>
        </row>
        <row r="2233">
          <cell r="L2233" t="str">
            <v>74228283</v>
          </cell>
        </row>
        <row r="2234">
          <cell r="L2234" t="str">
            <v>74228822</v>
          </cell>
        </row>
        <row r="2235">
          <cell r="L2235" t="str">
            <v>74229259</v>
          </cell>
        </row>
        <row r="2236">
          <cell r="L2236" t="str">
            <v>74231881</v>
          </cell>
        </row>
        <row r="2237">
          <cell r="L2237" t="str">
            <v>74235644</v>
          </cell>
        </row>
        <row r="2238">
          <cell r="L2238" t="str">
            <v>74238221</v>
          </cell>
        </row>
        <row r="2239">
          <cell r="L2239" t="str">
            <v>74239029</v>
          </cell>
        </row>
        <row r="2240">
          <cell r="L2240" t="str">
            <v>74239522</v>
          </cell>
        </row>
        <row r="2241">
          <cell r="L2241" t="str">
            <v>74240301</v>
          </cell>
        </row>
        <row r="2242">
          <cell r="L2242" t="str">
            <v>74242284</v>
          </cell>
        </row>
        <row r="2243">
          <cell r="L2243" t="str">
            <v>74242999</v>
          </cell>
        </row>
        <row r="2244">
          <cell r="L2244" t="str">
            <v>74243640</v>
          </cell>
        </row>
        <row r="2245">
          <cell r="L2245" t="str">
            <v>74245821</v>
          </cell>
        </row>
        <row r="2246">
          <cell r="L2246" t="str">
            <v>74246380</v>
          </cell>
        </row>
        <row r="2247">
          <cell r="L2247" t="str">
            <v>74250549</v>
          </cell>
        </row>
        <row r="2248">
          <cell r="L2248" t="str">
            <v>74250561</v>
          </cell>
        </row>
        <row r="2249">
          <cell r="L2249" t="str">
            <v>74250584</v>
          </cell>
        </row>
        <row r="2250">
          <cell r="L2250" t="str">
            <v>74252420</v>
          </cell>
        </row>
        <row r="2251">
          <cell r="L2251" t="str">
            <v>74252585</v>
          </cell>
        </row>
        <row r="2252">
          <cell r="L2252" t="str">
            <v>74256602</v>
          </cell>
        </row>
        <row r="2253">
          <cell r="L2253" t="str">
            <v>74258539</v>
          </cell>
        </row>
        <row r="2254">
          <cell r="L2254" t="str">
            <v>74261392</v>
          </cell>
        </row>
        <row r="2255">
          <cell r="L2255" t="str">
            <v>74265244</v>
          </cell>
        </row>
        <row r="2256">
          <cell r="L2256" t="str">
            <v>74278535</v>
          </cell>
        </row>
        <row r="2257">
          <cell r="L2257" t="str">
            <v>74284760</v>
          </cell>
        </row>
        <row r="2258">
          <cell r="L2258" t="str">
            <v>74289669</v>
          </cell>
        </row>
        <row r="2259">
          <cell r="L2259" t="str">
            <v>74294899</v>
          </cell>
        </row>
        <row r="2260">
          <cell r="L2260" t="str">
            <v>74295599</v>
          </cell>
        </row>
        <row r="2261">
          <cell r="L2261" t="str">
            <v>74296740</v>
          </cell>
        </row>
        <row r="2262">
          <cell r="L2262" t="str">
            <v>74298189</v>
          </cell>
        </row>
        <row r="2263">
          <cell r="L2263" t="str">
            <v>74217524</v>
          </cell>
        </row>
        <row r="2264">
          <cell r="L2264" t="str">
            <v>74217499</v>
          </cell>
        </row>
        <row r="2265">
          <cell r="L2265" t="str">
            <v>74217536</v>
          </cell>
        </row>
        <row r="2266">
          <cell r="L2266" t="str">
            <v>74184471</v>
          </cell>
        </row>
        <row r="2267">
          <cell r="L2267" t="str">
            <v>74190935</v>
          </cell>
        </row>
        <row r="2268">
          <cell r="L2268" t="str">
            <v>74196421</v>
          </cell>
        </row>
        <row r="2269">
          <cell r="L2269" t="str">
            <v>74198461</v>
          </cell>
        </row>
        <row r="2270">
          <cell r="L2270" t="str">
            <v>74200367</v>
          </cell>
        </row>
        <row r="2271">
          <cell r="L2271" t="str">
            <v>74202964</v>
          </cell>
        </row>
        <row r="2272">
          <cell r="L2272" t="str">
            <v>74206199</v>
          </cell>
        </row>
        <row r="2273">
          <cell r="L2273" t="str">
            <v>74207599</v>
          </cell>
        </row>
        <row r="2274">
          <cell r="L2274" t="str">
            <v>74208959</v>
          </cell>
        </row>
        <row r="2275">
          <cell r="L2275" t="str">
            <v>74211260</v>
          </cell>
        </row>
        <row r="2276">
          <cell r="L2276" t="str">
            <v>74213120</v>
          </cell>
        </row>
        <row r="2277">
          <cell r="L2277" t="str">
            <v>74213762</v>
          </cell>
        </row>
        <row r="2278">
          <cell r="L2278" t="str">
            <v>74221759</v>
          </cell>
        </row>
        <row r="2279">
          <cell r="L2279" t="str">
            <v>74185909</v>
          </cell>
        </row>
        <row r="2280">
          <cell r="L2280" t="str">
            <v>74197544</v>
          </cell>
        </row>
        <row r="2281">
          <cell r="L2281" t="str">
            <v>74197545</v>
          </cell>
        </row>
        <row r="2282">
          <cell r="L2282" t="str">
            <v>74199980</v>
          </cell>
        </row>
        <row r="2283">
          <cell r="L2283" t="str">
            <v>74199984</v>
          </cell>
        </row>
        <row r="2284">
          <cell r="L2284" t="str">
            <v>74200625</v>
          </cell>
        </row>
        <row r="2285">
          <cell r="L2285" t="str">
            <v>74201516</v>
          </cell>
        </row>
        <row r="2286">
          <cell r="L2286" t="str">
            <v>74201839</v>
          </cell>
        </row>
        <row r="2287">
          <cell r="L2287" t="str">
            <v>74202747</v>
          </cell>
        </row>
        <row r="2288">
          <cell r="L2288" t="str">
            <v>74202748</v>
          </cell>
        </row>
        <row r="2289">
          <cell r="L2289" t="str">
            <v>74202749</v>
          </cell>
        </row>
        <row r="2290">
          <cell r="L2290" t="str">
            <v>74202751</v>
          </cell>
        </row>
        <row r="2291">
          <cell r="L2291" t="str">
            <v>74203401</v>
          </cell>
        </row>
        <row r="2292">
          <cell r="L2292" t="str">
            <v>74203440</v>
          </cell>
        </row>
        <row r="2293">
          <cell r="L2293" t="str">
            <v>74203441</v>
          </cell>
        </row>
        <row r="2294">
          <cell r="L2294" t="str">
            <v>74203442</v>
          </cell>
        </row>
        <row r="2295">
          <cell r="L2295" t="str">
            <v>74204030</v>
          </cell>
        </row>
        <row r="2296">
          <cell r="L2296" t="str">
            <v>74204340</v>
          </cell>
        </row>
        <row r="2297">
          <cell r="L2297" t="str">
            <v>74205559</v>
          </cell>
        </row>
        <row r="2298">
          <cell r="L2298" t="str">
            <v>74205560</v>
          </cell>
        </row>
        <row r="2299">
          <cell r="L2299" t="str">
            <v>74205562</v>
          </cell>
        </row>
        <row r="2300">
          <cell r="L2300" t="str">
            <v>74205563</v>
          </cell>
        </row>
        <row r="2301">
          <cell r="L2301" t="str">
            <v>74205565</v>
          </cell>
        </row>
        <row r="2302">
          <cell r="L2302" t="str">
            <v>74206999</v>
          </cell>
        </row>
        <row r="2303">
          <cell r="L2303" t="str">
            <v>74207000</v>
          </cell>
        </row>
        <row r="2304">
          <cell r="L2304" t="str">
            <v>74208843</v>
          </cell>
        </row>
        <row r="2305">
          <cell r="L2305" t="str">
            <v>74209113</v>
          </cell>
        </row>
        <row r="2306">
          <cell r="L2306" t="str">
            <v>74209115</v>
          </cell>
        </row>
        <row r="2307">
          <cell r="L2307" t="str">
            <v>74214879</v>
          </cell>
        </row>
        <row r="2308">
          <cell r="L2308" t="str">
            <v>74219263</v>
          </cell>
        </row>
        <row r="2309">
          <cell r="L2309" t="str">
            <v>74220883</v>
          </cell>
        </row>
        <row r="2310">
          <cell r="L2310" t="str">
            <v>74222926</v>
          </cell>
        </row>
        <row r="2311">
          <cell r="L2311" t="str">
            <v>74203419</v>
          </cell>
        </row>
        <row r="2312">
          <cell r="L2312" t="str">
            <v>74207120</v>
          </cell>
        </row>
        <row r="2313">
          <cell r="L2313" t="str">
            <v>74227619</v>
          </cell>
        </row>
        <row r="2314">
          <cell r="L2314" t="str">
            <v>74168829</v>
          </cell>
        </row>
        <row r="2315">
          <cell r="L2315" t="str">
            <v>74178530</v>
          </cell>
        </row>
        <row r="2316">
          <cell r="L2316" t="str">
            <v>74185784</v>
          </cell>
        </row>
        <row r="2317">
          <cell r="L2317" t="str">
            <v>74189917</v>
          </cell>
        </row>
        <row r="2318">
          <cell r="L2318" t="str">
            <v>74190029</v>
          </cell>
        </row>
        <row r="2319">
          <cell r="L2319" t="str">
            <v>74190790</v>
          </cell>
        </row>
        <row r="2320">
          <cell r="L2320" t="str">
            <v>74191376</v>
          </cell>
        </row>
        <row r="2321">
          <cell r="L2321" t="str">
            <v>74191381</v>
          </cell>
        </row>
        <row r="2322">
          <cell r="L2322" t="str">
            <v>74191741</v>
          </cell>
        </row>
        <row r="2323">
          <cell r="L2323" t="str">
            <v>74192052</v>
          </cell>
        </row>
        <row r="2324">
          <cell r="L2324" t="str">
            <v>74192056</v>
          </cell>
        </row>
        <row r="2325">
          <cell r="L2325" t="str">
            <v>74192059</v>
          </cell>
        </row>
        <row r="2326">
          <cell r="L2326" t="str">
            <v>74192061</v>
          </cell>
        </row>
        <row r="2327">
          <cell r="L2327" t="str">
            <v>74192063</v>
          </cell>
        </row>
        <row r="2328">
          <cell r="L2328" t="str">
            <v>74192066</v>
          </cell>
        </row>
        <row r="2329">
          <cell r="L2329" t="str">
            <v>74192068</v>
          </cell>
        </row>
        <row r="2330">
          <cell r="L2330" t="str">
            <v>74192109</v>
          </cell>
        </row>
        <row r="2331">
          <cell r="L2331" t="str">
            <v>74192111</v>
          </cell>
        </row>
        <row r="2332">
          <cell r="L2332" t="str">
            <v>74192113</v>
          </cell>
        </row>
        <row r="2333">
          <cell r="L2333" t="str">
            <v>74192114</v>
          </cell>
        </row>
        <row r="2334">
          <cell r="L2334" t="str">
            <v>74193426</v>
          </cell>
        </row>
        <row r="2335">
          <cell r="L2335" t="str">
            <v>74195279</v>
          </cell>
        </row>
        <row r="2336">
          <cell r="L2336" t="str">
            <v>74195571</v>
          </cell>
        </row>
        <row r="2337">
          <cell r="L2337" t="str">
            <v>74196049</v>
          </cell>
        </row>
        <row r="2338">
          <cell r="L2338" t="str">
            <v>74196983</v>
          </cell>
        </row>
        <row r="2339">
          <cell r="L2339" t="str">
            <v>74196987</v>
          </cell>
        </row>
        <row r="2340">
          <cell r="L2340" t="str">
            <v>74196999</v>
          </cell>
        </row>
        <row r="2341">
          <cell r="L2341" t="str">
            <v>74197001</v>
          </cell>
        </row>
        <row r="2342">
          <cell r="L2342" t="str">
            <v>74197140</v>
          </cell>
        </row>
        <row r="2343">
          <cell r="L2343" t="str">
            <v>74200220</v>
          </cell>
        </row>
        <row r="2344">
          <cell r="L2344" t="str">
            <v>74201940</v>
          </cell>
        </row>
        <row r="2345">
          <cell r="L2345" t="str">
            <v>74204226</v>
          </cell>
        </row>
        <row r="2346">
          <cell r="L2346" t="str">
            <v>74204271</v>
          </cell>
        </row>
        <row r="2347">
          <cell r="L2347" t="str">
            <v>74205845</v>
          </cell>
        </row>
        <row r="2348">
          <cell r="L2348" t="str">
            <v>74208165</v>
          </cell>
        </row>
        <row r="2349">
          <cell r="L2349" t="str">
            <v>74208166</v>
          </cell>
        </row>
        <row r="2350">
          <cell r="L2350" t="str">
            <v>74209705</v>
          </cell>
        </row>
        <row r="2351">
          <cell r="L2351" t="str">
            <v>74209801</v>
          </cell>
        </row>
        <row r="2352">
          <cell r="L2352" t="str">
            <v>74209822</v>
          </cell>
        </row>
        <row r="2353">
          <cell r="L2353" t="str">
            <v>74192401</v>
          </cell>
        </row>
        <row r="2354">
          <cell r="L2354" t="str">
            <v>74197959</v>
          </cell>
        </row>
        <row r="2355">
          <cell r="L2355" t="str">
            <v>74200059</v>
          </cell>
        </row>
        <row r="2356">
          <cell r="L2356" t="str">
            <v>74201569</v>
          </cell>
        </row>
        <row r="2357">
          <cell r="L2357" t="str">
            <v>74202461</v>
          </cell>
        </row>
        <row r="2358">
          <cell r="L2358" t="str">
            <v>74203200</v>
          </cell>
        </row>
        <row r="2359">
          <cell r="L2359" t="str">
            <v>74205118</v>
          </cell>
        </row>
        <row r="2360">
          <cell r="L2360" t="str">
            <v>74205183</v>
          </cell>
        </row>
        <row r="2361">
          <cell r="L2361" t="str">
            <v>74206660</v>
          </cell>
        </row>
        <row r="2362">
          <cell r="L2362" t="str">
            <v>74206725</v>
          </cell>
        </row>
        <row r="2363">
          <cell r="L2363" t="str">
            <v>74208379</v>
          </cell>
        </row>
        <row r="2364">
          <cell r="L2364" t="str">
            <v>74208449</v>
          </cell>
        </row>
        <row r="2365">
          <cell r="L2365" t="str">
            <v>74208940</v>
          </cell>
        </row>
        <row r="2366">
          <cell r="L2366" t="str">
            <v>74208999</v>
          </cell>
        </row>
        <row r="2367">
          <cell r="L2367" t="str">
            <v>74209624</v>
          </cell>
        </row>
        <row r="2368">
          <cell r="L2368" t="str">
            <v>74210805</v>
          </cell>
        </row>
        <row r="2369">
          <cell r="L2369" t="str">
            <v>74211839</v>
          </cell>
        </row>
        <row r="2370">
          <cell r="L2370" t="str">
            <v>74213491</v>
          </cell>
        </row>
        <row r="2371">
          <cell r="L2371" t="str">
            <v>74213780</v>
          </cell>
        </row>
        <row r="2372">
          <cell r="L2372" t="str">
            <v>74213819</v>
          </cell>
        </row>
        <row r="2373">
          <cell r="L2373" t="str">
            <v>74214341</v>
          </cell>
        </row>
        <row r="2374">
          <cell r="L2374" t="str">
            <v>74215304</v>
          </cell>
        </row>
        <row r="2375">
          <cell r="L2375" t="str">
            <v>74215533</v>
          </cell>
        </row>
        <row r="2376">
          <cell r="L2376" t="str">
            <v>74215605</v>
          </cell>
        </row>
        <row r="2377">
          <cell r="L2377" t="str">
            <v>74215840</v>
          </cell>
        </row>
        <row r="2378">
          <cell r="L2378" t="str">
            <v>74216826</v>
          </cell>
        </row>
        <row r="2379">
          <cell r="L2379" t="str">
            <v>74217440</v>
          </cell>
        </row>
        <row r="2380">
          <cell r="L2380" t="str">
            <v>74218099</v>
          </cell>
        </row>
        <row r="2381">
          <cell r="L2381" t="str">
            <v>74220780</v>
          </cell>
        </row>
        <row r="2382">
          <cell r="L2382" t="str">
            <v>74220899</v>
          </cell>
        </row>
        <row r="2383">
          <cell r="L2383" t="str">
            <v>74225069</v>
          </cell>
        </row>
        <row r="2384">
          <cell r="L2384" t="str">
            <v>74225492</v>
          </cell>
        </row>
        <row r="2385">
          <cell r="L2385" t="str">
            <v>74229399</v>
          </cell>
        </row>
        <row r="2386">
          <cell r="L2386" t="str">
            <v>74218364</v>
          </cell>
        </row>
        <row r="2387">
          <cell r="L2387" t="str">
            <v>74140513</v>
          </cell>
        </row>
        <row r="2388">
          <cell r="L2388" t="str">
            <v>74197639</v>
          </cell>
        </row>
        <row r="2389">
          <cell r="L2389" t="str">
            <v>74216224</v>
          </cell>
        </row>
        <row r="2390">
          <cell r="L2390" t="str">
            <v>74202750</v>
          </cell>
        </row>
        <row r="2391">
          <cell r="L2391" t="str">
            <v>74219420</v>
          </cell>
        </row>
        <row r="2392">
          <cell r="L2392" t="str">
            <v>74199460</v>
          </cell>
        </row>
        <row r="2393">
          <cell r="L2393" t="str">
            <v>74221061</v>
          </cell>
        </row>
        <row r="2394">
          <cell r="L2394" t="str">
            <v>74212539</v>
          </cell>
        </row>
        <row r="2395">
          <cell r="L2395" t="str">
            <v>74212540</v>
          </cell>
        </row>
        <row r="2396">
          <cell r="L2396" t="str">
            <v>74218839</v>
          </cell>
        </row>
        <row r="2397">
          <cell r="L2397" t="str">
            <v>74189420</v>
          </cell>
        </row>
        <row r="2398">
          <cell r="L2398" t="str">
            <v>74189421</v>
          </cell>
        </row>
        <row r="2399">
          <cell r="L2399" t="str">
            <v>74189423</v>
          </cell>
        </row>
        <row r="2400">
          <cell r="L2400" t="str">
            <v>74196103</v>
          </cell>
        </row>
        <row r="2401">
          <cell r="L2401" t="str">
            <v>74186267</v>
          </cell>
        </row>
        <row r="2402">
          <cell r="L2402" t="str">
            <v>74257640</v>
          </cell>
        </row>
        <row r="2403">
          <cell r="L2403" t="str">
            <v>74257642</v>
          </cell>
        </row>
        <row r="2404">
          <cell r="L2404" t="str">
            <v>74187388</v>
          </cell>
        </row>
        <row r="2405">
          <cell r="L2405" t="str">
            <v>74181512</v>
          </cell>
        </row>
        <row r="2406">
          <cell r="L2406" t="str">
            <v>74181489</v>
          </cell>
        </row>
        <row r="2407">
          <cell r="L2407" t="str">
            <v>74181511</v>
          </cell>
        </row>
        <row r="2408">
          <cell r="L2408" t="str">
            <v>74209120</v>
          </cell>
        </row>
        <row r="2409">
          <cell r="L2409" t="str">
            <v>74166350</v>
          </cell>
        </row>
        <row r="2410">
          <cell r="L2410" t="str">
            <v>74191348</v>
          </cell>
        </row>
        <row r="2411">
          <cell r="L2411" t="str">
            <v>AMIMETERS01</v>
          </cell>
        </row>
        <row r="2412">
          <cell r="L2412" t="str">
            <v>74196580</v>
          </cell>
        </row>
        <row r="2413">
          <cell r="L2413" t="str">
            <v>74194223</v>
          </cell>
        </row>
        <row r="2414">
          <cell r="L2414" t="str">
            <v>74196539</v>
          </cell>
        </row>
        <row r="2415">
          <cell r="L2415" t="str">
            <v>74183675</v>
          </cell>
        </row>
        <row r="2416">
          <cell r="L2416" t="str">
            <v>74192453</v>
          </cell>
        </row>
        <row r="2417">
          <cell r="L2417" t="str">
            <v>74193199</v>
          </cell>
        </row>
        <row r="2418">
          <cell r="L2418" t="str">
            <v>74193201</v>
          </cell>
        </row>
        <row r="2419">
          <cell r="L2419" t="str">
            <v>74193202</v>
          </cell>
        </row>
        <row r="2420">
          <cell r="L2420" t="str">
            <v>74193203</v>
          </cell>
        </row>
        <row r="2421">
          <cell r="L2421" t="str">
            <v>74193205</v>
          </cell>
        </row>
        <row r="2422">
          <cell r="L2422" t="str">
            <v>74193206</v>
          </cell>
        </row>
        <row r="2423">
          <cell r="L2423" t="str">
            <v>74193207</v>
          </cell>
        </row>
        <row r="2424">
          <cell r="L2424" t="str">
            <v>74193209</v>
          </cell>
        </row>
        <row r="2425">
          <cell r="L2425" t="str">
            <v>74193210</v>
          </cell>
        </row>
        <row r="2426">
          <cell r="L2426" t="str">
            <v>74193213</v>
          </cell>
        </row>
        <row r="2427">
          <cell r="L2427" t="str">
            <v>74193215</v>
          </cell>
        </row>
        <row r="2428">
          <cell r="L2428" t="str">
            <v>74193217</v>
          </cell>
        </row>
        <row r="2429">
          <cell r="L2429" t="str">
            <v>74193220</v>
          </cell>
        </row>
        <row r="2430">
          <cell r="L2430" t="str">
            <v>74193223</v>
          </cell>
        </row>
        <row r="2431">
          <cell r="L2431" t="str">
            <v>74193227</v>
          </cell>
        </row>
        <row r="2432">
          <cell r="L2432" t="str">
            <v>74193228</v>
          </cell>
        </row>
        <row r="2433">
          <cell r="L2433" t="str">
            <v>74193230</v>
          </cell>
        </row>
        <row r="2434">
          <cell r="L2434" t="str">
            <v>74193231</v>
          </cell>
        </row>
        <row r="2435">
          <cell r="L2435" t="str">
            <v>74193232</v>
          </cell>
        </row>
        <row r="2436">
          <cell r="L2436" t="str">
            <v>74193235</v>
          </cell>
        </row>
        <row r="2437">
          <cell r="L2437" t="str">
            <v>74193240</v>
          </cell>
        </row>
        <row r="2438">
          <cell r="L2438" t="str">
            <v>74193243</v>
          </cell>
        </row>
        <row r="2439">
          <cell r="L2439" t="str">
            <v>74193246</v>
          </cell>
        </row>
        <row r="2440">
          <cell r="L2440" t="str">
            <v>74193250</v>
          </cell>
        </row>
        <row r="2441">
          <cell r="L2441" t="str">
            <v>74193258</v>
          </cell>
        </row>
        <row r="2442">
          <cell r="L2442" t="str">
            <v>74193259</v>
          </cell>
        </row>
        <row r="2443">
          <cell r="L2443" t="str">
            <v>74193263</v>
          </cell>
        </row>
        <row r="2444">
          <cell r="L2444" t="str">
            <v>74193269</v>
          </cell>
        </row>
        <row r="2445">
          <cell r="L2445" t="str">
            <v>74193282</v>
          </cell>
        </row>
        <row r="2446">
          <cell r="L2446" t="str">
            <v>74193283</v>
          </cell>
        </row>
        <row r="2447">
          <cell r="L2447" t="str">
            <v>74193284</v>
          </cell>
        </row>
        <row r="2448">
          <cell r="L2448" t="str">
            <v>74193285</v>
          </cell>
        </row>
        <row r="2449">
          <cell r="L2449" t="str">
            <v>74193287</v>
          </cell>
        </row>
        <row r="2450">
          <cell r="L2450" t="str">
            <v>74193289</v>
          </cell>
        </row>
        <row r="2451">
          <cell r="L2451" t="str">
            <v>74193290</v>
          </cell>
        </row>
        <row r="2452">
          <cell r="L2452" t="str">
            <v>74193291</v>
          </cell>
        </row>
        <row r="2453">
          <cell r="L2453" t="str">
            <v>74193299</v>
          </cell>
        </row>
        <row r="2454">
          <cell r="L2454" t="str">
            <v>74193300</v>
          </cell>
        </row>
        <row r="2455">
          <cell r="L2455" t="str">
            <v>74193303</v>
          </cell>
        </row>
        <row r="2456">
          <cell r="L2456" t="str">
            <v>74193305</v>
          </cell>
        </row>
        <row r="2457">
          <cell r="L2457" t="str">
            <v>74193307</v>
          </cell>
        </row>
        <row r="2458">
          <cell r="L2458" t="str">
            <v>74193308</v>
          </cell>
        </row>
        <row r="2459">
          <cell r="L2459" t="str">
            <v>74193310</v>
          </cell>
        </row>
        <row r="2460">
          <cell r="L2460" t="str">
            <v>74193311</v>
          </cell>
        </row>
        <row r="2461">
          <cell r="L2461" t="str">
            <v>74193317</v>
          </cell>
        </row>
        <row r="2462">
          <cell r="L2462" t="str">
            <v>74193326</v>
          </cell>
        </row>
        <row r="2463">
          <cell r="L2463" t="str">
            <v>74193334</v>
          </cell>
        </row>
        <row r="2464">
          <cell r="L2464" t="str">
            <v>74193338</v>
          </cell>
        </row>
        <row r="2465">
          <cell r="L2465" t="str">
            <v>74193343</v>
          </cell>
        </row>
        <row r="2466">
          <cell r="L2466" t="str">
            <v>74193346</v>
          </cell>
        </row>
        <row r="2467">
          <cell r="L2467" t="str">
            <v>74193354</v>
          </cell>
        </row>
        <row r="2468">
          <cell r="L2468" t="str">
            <v>74193355</v>
          </cell>
        </row>
        <row r="2469">
          <cell r="L2469" t="str">
            <v>74193504</v>
          </cell>
        </row>
        <row r="2470">
          <cell r="L2470" t="str">
            <v>74193506</v>
          </cell>
        </row>
        <row r="2471">
          <cell r="L2471" t="str">
            <v>74194639</v>
          </cell>
        </row>
        <row r="2472">
          <cell r="L2472" t="str">
            <v>74198262</v>
          </cell>
        </row>
        <row r="2473">
          <cell r="L2473" t="str">
            <v>74198340</v>
          </cell>
        </row>
        <row r="2474">
          <cell r="L2474" t="str">
            <v>74208898</v>
          </cell>
        </row>
        <row r="2475">
          <cell r="L2475" t="str">
            <v>74209662</v>
          </cell>
        </row>
        <row r="2476">
          <cell r="L2476" t="str">
            <v>74209748</v>
          </cell>
        </row>
        <row r="2477">
          <cell r="L2477" t="str">
            <v>74209766</v>
          </cell>
        </row>
        <row r="2478">
          <cell r="L2478" t="str">
            <v>74209805</v>
          </cell>
        </row>
        <row r="2479">
          <cell r="L2479" t="str">
            <v>74209806</v>
          </cell>
        </row>
        <row r="2480">
          <cell r="L2480" t="str">
            <v>74209808</v>
          </cell>
        </row>
        <row r="2481">
          <cell r="L2481" t="str">
            <v>74214860</v>
          </cell>
        </row>
        <row r="2482">
          <cell r="L2482" t="str">
            <v>74214861</v>
          </cell>
        </row>
        <row r="2483">
          <cell r="L2483" t="str">
            <v>74214864</v>
          </cell>
        </row>
        <row r="2484">
          <cell r="L2484" t="str">
            <v>74215063</v>
          </cell>
        </row>
        <row r="2485">
          <cell r="L2485" t="str">
            <v>74215066</v>
          </cell>
        </row>
        <row r="2486">
          <cell r="L2486" t="str">
            <v>74215073</v>
          </cell>
        </row>
        <row r="2487">
          <cell r="L2487" t="str">
            <v>74215074</v>
          </cell>
        </row>
        <row r="2488">
          <cell r="L2488" t="str">
            <v>74215083</v>
          </cell>
        </row>
        <row r="2489">
          <cell r="L2489" t="str">
            <v>74215084</v>
          </cell>
        </row>
        <row r="2490">
          <cell r="L2490" t="str">
            <v>74215088</v>
          </cell>
        </row>
        <row r="2491">
          <cell r="L2491" t="str">
            <v>74215090</v>
          </cell>
        </row>
        <row r="2492">
          <cell r="L2492" t="str">
            <v>74215093</v>
          </cell>
        </row>
        <row r="2493">
          <cell r="L2493" t="str">
            <v>74215095</v>
          </cell>
        </row>
        <row r="2494">
          <cell r="L2494" t="str">
            <v>74215096</v>
          </cell>
        </row>
        <row r="2495">
          <cell r="L2495" t="str">
            <v>74215097</v>
          </cell>
        </row>
        <row r="2496">
          <cell r="L2496" t="str">
            <v>74215099</v>
          </cell>
        </row>
        <row r="2497">
          <cell r="L2497" t="str">
            <v>74215100</v>
          </cell>
        </row>
        <row r="2498">
          <cell r="L2498" t="str">
            <v>74215101</v>
          </cell>
        </row>
        <row r="2499">
          <cell r="L2499" t="str">
            <v>74215102</v>
          </cell>
        </row>
        <row r="2500">
          <cell r="L2500" t="str">
            <v>74215104</v>
          </cell>
        </row>
        <row r="2501">
          <cell r="L2501" t="str">
            <v>74225441</v>
          </cell>
        </row>
        <row r="2502">
          <cell r="L2502" t="str">
            <v>74240001</v>
          </cell>
        </row>
        <row r="2503">
          <cell r="L2503" t="str">
            <v>74240019</v>
          </cell>
        </row>
        <row r="2504">
          <cell r="L2504" t="str">
            <v>74240020</v>
          </cell>
        </row>
        <row r="2505">
          <cell r="L2505" t="str">
            <v>74240023</v>
          </cell>
        </row>
        <row r="2506">
          <cell r="L2506" t="str">
            <v>74240024</v>
          </cell>
        </row>
        <row r="2507">
          <cell r="L2507" t="str">
            <v>74302882</v>
          </cell>
        </row>
        <row r="2508">
          <cell r="L2508" t="str">
            <v>74199819</v>
          </cell>
        </row>
        <row r="2509">
          <cell r="L2509" t="str">
            <v>74200985</v>
          </cell>
        </row>
        <row r="2510">
          <cell r="L2510" t="str">
            <v>74202109</v>
          </cell>
        </row>
        <row r="2511">
          <cell r="L2511" t="str">
            <v>74202743</v>
          </cell>
        </row>
        <row r="2512">
          <cell r="L2512" t="str">
            <v>CBE Line</v>
          </cell>
        </row>
        <row r="2513">
          <cell r="L2513" t="str">
            <v>74202744</v>
          </cell>
        </row>
        <row r="2514">
          <cell r="L2514" t="str">
            <v>74199888</v>
          </cell>
        </row>
        <row r="2515">
          <cell r="L2515" t="str">
            <v>SP0910</v>
          </cell>
        </row>
        <row r="2516">
          <cell r="L2516" t="str">
            <v>Summer Preparedness Program 09/10</v>
          </cell>
        </row>
        <row r="2517">
          <cell r="L2517" t="str">
            <v>74132749</v>
          </cell>
        </row>
        <row r="2518">
          <cell r="L2518" t="str">
            <v>74132909</v>
          </cell>
        </row>
        <row r="2519">
          <cell r="L2519" t="str">
            <v>74144272</v>
          </cell>
        </row>
        <row r="2520">
          <cell r="L2520" t="str">
            <v>74149708</v>
          </cell>
        </row>
        <row r="2521">
          <cell r="L2521" t="str">
            <v>74172832</v>
          </cell>
        </row>
        <row r="2522">
          <cell r="L2522" t="str">
            <v>74189951</v>
          </cell>
        </row>
        <row r="2523">
          <cell r="L2523" t="str">
            <v>74199963</v>
          </cell>
        </row>
        <row r="2524">
          <cell r="L2524" t="str">
            <v>74216019</v>
          </cell>
        </row>
        <row r="2525">
          <cell r="L2525" t="str">
            <v>74227640</v>
          </cell>
        </row>
        <row r="2526">
          <cell r="L2526" t="str">
            <v>74237726</v>
          </cell>
        </row>
        <row r="2527">
          <cell r="L2527" t="str">
            <v>74237801</v>
          </cell>
        </row>
        <row r="2528">
          <cell r="L2528" t="str">
            <v>74238260</v>
          </cell>
        </row>
        <row r="2529">
          <cell r="L2529" t="str">
            <v>74238281</v>
          </cell>
        </row>
        <row r="2530">
          <cell r="L2530" t="str">
            <v>74238324</v>
          </cell>
        </row>
        <row r="2531">
          <cell r="L2531" t="str">
            <v>74238327</v>
          </cell>
        </row>
        <row r="2532">
          <cell r="L2532" t="str">
            <v>74238379</v>
          </cell>
        </row>
        <row r="2533">
          <cell r="L2533" t="str">
            <v>74248239</v>
          </cell>
        </row>
        <row r="2534">
          <cell r="L2534" t="str">
            <v>74250682</v>
          </cell>
        </row>
        <row r="2535">
          <cell r="L2535" t="str">
            <v>74253159</v>
          </cell>
        </row>
        <row r="2536">
          <cell r="L2536" t="str">
            <v>74273893</v>
          </cell>
        </row>
        <row r="2537">
          <cell r="L2537" t="str">
            <v>74285060</v>
          </cell>
        </row>
        <row r="2538">
          <cell r="L2538" t="str">
            <v>74285061</v>
          </cell>
        </row>
        <row r="2539">
          <cell r="L2539" t="str">
            <v>74285064</v>
          </cell>
        </row>
        <row r="2540">
          <cell r="L2540" t="str">
            <v>74285067</v>
          </cell>
        </row>
        <row r="2541">
          <cell r="L2541" t="str">
            <v>74296362</v>
          </cell>
        </row>
        <row r="2542">
          <cell r="L2542" t="str">
            <v>74297399</v>
          </cell>
        </row>
        <row r="2543">
          <cell r="L2543" t="str">
            <v>74300881</v>
          </cell>
        </row>
        <row r="2544">
          <cell r="L2544" t="str">
            <v>74236580</v>
          </cell>
        </row>
        <row r="2545">
          <cell r="L2545" t="str">
            <v>74239479</v>
          </cell>
        </row>
        <row r="2546">
          <cell r="L2546" t="str">
            <v>74239036</v>
          </cell>
        </row>
        <row r="2547">
          <cell r="L2547" t="str">
            <v>74168952</v>
          </cell>
        </row>
        <row r="2548">
          <cell r="L2548" t="str">
            <v>74244400</v>
          </cell>
        </row>
        <row r="2549">
          <cell r="L2549" t="str">
            <v>74202719</v>
          </cell>
        </row>
        <row r="2550">
          <cell r="L2550" t="str">
            <v>74196219</v>
          </cell>
        </row>
        <row r="2551">
          <cell r="L2551" t="str">
            <v>74210422</v>
          </cell>
        </row>
        <row r="2552">
          <cell r="L2552" t="str">
            <v>74211342</v>
          </cell>
        </row>
        <row r="2553">
          <cell r="L2553" t="str">
            <v>Supply Improvement Program 09/10</v>
          </cell>
        </row>
        <row r="2554">
          <cell r="L2554" t="str">
            <v>74124072</v>
          </cell>
        </row>
        <row r="2555">
          <cell r="L2555" t="str">
            <v>74160455</v>
          </cell>
        </row>
        <row r="2556">
          <cell r="L2556" t="str">
            <v>74160956</v>
          </cell>
        </row>
        <row r="2557">
          <cell r="L2557" t="str">
            <v>74183856</v>
          </cell>
        </row>
        <row r="2558">
          <cell r="L2558" t="str">
            <v>74183857</v>
          </cell>
        </row>
        <row r="2559">
          <cell r="L2559" t="str">
            <v>74184121</v>
          </cell>
        </row>
        <row r="2560">
          <cell r="L2560" t="str">
            <v>74207241</v>
          </cell>
        </row>
        <row r="2561">
          <cell r="L2561" t="str">
            <v>74208943</v>
          </cell>
        </row>
        <row r="2562">
          <cell r="L2562" t="str">
            <v>74210567</v>
          </cell>
        </row>
        <row r="2563">
          <cell r="L2563" t="str">
            <v>74217532</v>
          </cell>
        </row>
        <row r="2564">
          <cell r="L2564" t="str">
            <v>74220999</v>
          </cell>
        </row>
        <row r="2565">
          <cell r="L2565" t="str">
            <v>74226160</v>
          </cell>
        </row>
        <row r="2566">
          <cell r="L2566" t="str">
            <v>74227317</v>
          </cell>
        </row>
        <row r="2567">
          <cell r="L2567" t="str">
            <v>74227318</v>
          </cell>
        </row>
        <row r="2568">
          <cell r="L2568" t="str">
            <v>74231679</v>
          </cell>
        </row>
        <row r="2569">
          <cell r="L2569" t="str">
            <v>74232900</v>
          </cell>
        </row>
        <row r="2570">
          <cell r="L2570" t="str">
            <v>74233259</v>
          </cell>
        </row>
        <row r="2571">
          <cell r="L2571" t="str">
            <v>74233603</v>
          </cell>
        </row>
        <row r="2572">
          <cell r="L2572" t="str">
            <v>74234062</v>
          </cell>
        </row>
        <row r="2573">
          <cell r="L2573" t="str">
            <v>74234241</v>
          </cell>
        </row>
        <row r="2574">
          <cell r="L2574" t="str">
            <v>74234379</v>
          </cell>
        </row>
        <row r="2575">
          <cell r="L2575" t="str">
            <v>74234939</v>
          </cell>
        </row>
        <row r="2576">
          <cell r="L2576" t="str">
            <v>74235983</v>
          </cell>
        </row>
        <row r="2577">
          <cell r="L2577" t="str">
            <v>74236027</v>
          </cell>
        </row>
        <row r="2578">
          <cell r="L2578" t="str">
            <v>74236716</v>
          </cell>
        </row>
        <row r="2579">
          <cell r="L2579" t="str">
            <v>74237661</v>
          </cell>
        </row>
        <row r="2580">
          <cell r="L2580" t="str">
            <v>74237919</v>
          </cell>
        </row>
        <row r="2581">
          <cell r="L2581" t="str">
            <v>74239031</v>
          </cell>
        </row>
        <row r="2582">
          <cell r="L2582" t="str">
            <v>74239032</v>
          </cell>
        </row>
        <row r="2583">
          <cell r="L2583" t="str">
            <v>74239034</v>
          </cell>
        </row>
        <row r="2584">
          <cell r="L2584" t="str">
            <v>74239035</v>
          </cell>
        </row>
        <row r="2585">
          <cell r="L2585" t="str">
            <v>74239038</v>
          </cell>
        </row>
        <row r="2586">
          <cell r="L2586" t="str">
            <v>74239039</v>
          </cell>
        </row>
        <row r="2587">
          <cell r="L2587" t="str">
            <v>74239040</v>
          </cell>
        </row>
        <row r="2588">
          <cell r="L2588" t="str">
            <v>74239640</v>
          </cell>
        </row>
        <row r="2589">
          <cell r="L2589" t="str">
            <v>74240841</v>
          </cell>
        </row>
        <row r="2590">
          <cell r="L2590" t="str">
            <v>74241122</v>
          </cell>
        </row>
        <row r="2591">
          <cell r="L2591" t="str">
            <v>74242739</v>
          </cell>
        </row>
        <row r="2592">
          <cell r="L2592" t="str">
            <v>74242740</v>
          </cell>
        </row>
        <row r="2593">
          <cell r="L2593" t="str">
            <v>74242741</v>
          </cell>
        </row>
        <row r="2594">
          <cell r="L2594" t="str">
            <v>74242743</v>
          </cell>
        </row>
        <row r="2595">
          <cell r="L2595" t="str">
            <v>74242901</v>
          </cell>
        </row>
        <row r="2596">
          <cell r="L2596" t="str">
            <v>74242905</v>
          </cell>
        </row>
        <row r="2597">
          <cell r="L2597" t="str">
            <v>74242907</v>
          </cell>
        </row>
        <row r="2598">
          <cell r="L2598" t="str">
            <v>74242908</v>
          </cell>
        </row>
        <row r="2599">
          <cell r="L2599" t="str">
            <v>74243239</v>
          </cell>
        </row>
        <row r="2600">
          <cell r="L2600" t="str">
            <v>74244581</v>
          </cell>
        </row>
        <row r="2601">
          <cell r="L2601" t="str">
            <v>74244800</v>
          </cell>
        </row>
        <row r="2602">
          <cell r="L2602" t="str">
            <v>74245961</v>
          </cell>
        </row>
        <row r="2603">
          <cell r="L2603" t="str">
            <v>74246420</v>
          </cell>
        </row>
        <row r="2604">
          <cell r="L2604" t="str">
            <v>74246421</v>
          </cell>
        </row>
        <row r="2605">
          <cell r="L2605" t="str">
            <v>74246423</v>
          </cell>
        </row>
        <row r="2606">
          <cell r="L2606" t="str">
            <v>74246779</v>
          </cell>
        </row>
        <row r="2607">
          <cell r="L2607" t="str">
            <v>74248503</v>
          </cell>
        </row>
        <row r="2608">
          <cell r="L2608" t="str">
            <v>74248839</v>
          </cell>
        </row>
        <row r="2609">
          <cell r="L2609" t="str">
            <v>74250702</v>
          </cell>
        </row>
        <row r="2610">
          <cell r="L2610" t="str">
            <v>74250744</v>
          </cell>
        </row>
        <row r="2611">
          <cell r="L2611" t="str">
            <v>74251042</v>
          </cell>
        </row>
        <row r="2612">
          <cell r="L2612" t="str">
            <v>74253480</v>
          </cell>
        </row>
        <row r="2613">
          <cell r="L2613" t="str">
            <v>74253882</v>
          </cell>
        </row>
        <row r="2614">
          <cell r="L2614" t="str">
            <v>74254220</v>
          </cell>
        </row>
        <row r="2615">
          <cell r="L2615" t="str">
            <v>74254242</v>
          </cell>
        </row>
        <row r="2616">
          <cell r="L2616" t="str">
            <v>74254827</v>
          </cell>
        </row>
        <row r="2617">
          <cell r="L2617" t="str">
            <v>74255519</v>
          </cell>
        </row>
        <row r="2618">
          <cell r="L2618" t="str">
            <v>74256061</v>
          </cell>
        </row>
        <row r="2619">
          <cell r="L2619" t="str">
            <v>74257531</v>
          </cell>
        </row>
        <row r="2620">
          <cell r="L2620" t="str">
            <v>74257742</v>
          </cell>
        </row>
        <row r="2621">
          <cell r="L2621" t="str">
            <v>74258265</v>
          </cell>
        </row>
        <row r="2622">
          <cell r="L2622" t="str">
            <v>74258559</v>
          </cell>
        </row>
        <row r="2623">
          <cell r="L2623" t="str">
            <v>74258579</v>
          </cell>
        </row>
        <row r="2624">
          <cell r="L2624" t="str">
            <v>74258982</v>
          </cell>
        </row>
        <row r="2625">
          <cell r="L2625" t="str">
            <v>74260033</v>
          </cell>
        </row>
        <row r="2626">
          <cell r="L2626" t="str">
            <v>74260360</v>
          </cell>
        </row>
        <row r="2627">
          <cell r="L2627" t="str">
            <v>74260659</v>
          </cell>
        </row>
        <row r="2628">
          <cell r="L2628" t="str">
            <v>74260783</v>
          </cell>
        </row>
        <row r="2629">
          <cell r="L2629" t="str">
            <v>74261299</v>
          </cell>
        </row>
        <row r="2630">
          <cell r="L2630" t="str">
            <v>74262463</v>
          </cell>
        </row>
        <row r="2631">
          <cell r="L2631" t="str">
            <v>74262580</v>
          </cell>
        </row>
        <row r="2632">
          <cell r="L2632" t="str">
            <v>74262628</v>
          </cell>
        </row>
        <row r="2633">
          <cell r="L2633" t="str">
            <v>74263741</v>
          </cell>
        </row>
        <row r="2634">
          <cell r="L2634" t="str">
            <v>74265000</v>
          </cell>
        </row>
        <row r="2635">
          <cell r="L2635" t="str">
            <v>74265039</v>
          </cell>
        </row>
        <row r="2636">
          <cell r="L2636" t="str">
            <v>74265046</v>
          </cell>
        </row>
        <row r="2637">
          <cell r="L2637" t="str">
            <v>74266719</v>
          </cell>
        </row>
        <row r="2638">
          <cell r="L2638" t="str">
            <v>74266761</v>
          </cell>
        </row>
        <row r="2639">
          <cell r="L2639" t="str">
            <v>74266799</v>
          </cell>
        </row>
        <row r="2640">
          <cell r="L2640" t="str">
            <v>74267184</v>
          </cell>
        </row>
        <row r="2641">
          <cell r="L2641" t="str">
            <v>74268622</v>
          </cell>
        </row>
        <row r="2642">
          <cell r="L2642" t="str">
            <v>74268879</v>
          </cell>
        </row>
        <row r="2643">
          <cell r="L2643" t="str">
            <v>74268999</v>
          </cell>
        </row>
        <row r="2644">
          <cell r="L2644" t="str">
            <v>74270022</v>
          </cell>
        </row>
        <row r="2645">
          <cell r="L2645" t="str">
            <v>74270799</v>
          </cell>
        </row>
        <row r="2646">
          <cell r="L2646" t="str">
            <v>74271701</v>
          </cell>
        </row>
        <row r="2647">
          <cell r="L2647" t="str">
            <v>74272101</v>
          </cell>
        </row>
        <row r="2648">
          <cell r="L2648" t="str">
            <v>74272980</v>
          </cell>
        </row>
        <row r="2649">
          <cell r="L2649" t="str">
            <v>74273043</v>
          </cell>
        </row>
        <row r="2650">
          <cell r="L2650" t="str">
            <v>74273860</v>
          </cell>
        </row>
        <row r="2651">
          <cell r="L2651" t="str">
            <v>74274020</v>
          </cell>
        </row>
        <row r="2652">
          <cell r="L2652" t="str">
            <v>74274606</v>
          </cell>
        </row>
        <row r="2653">
          <cell r="L2653" t="str">
            <v>74274639</v>
          </cell>
        </row>
        <row r="2654">
          <cell r="L2654" t="str">
            <v>74275220</v>
          </cell>
        </row>
        <row r="2655">
          <cell r="L2655" t="str">
            <v>74275867</v>
          </cell>
        </row>
        <row r="2656">
          <cell r="L2656" t="str">
            <v>74275939</v>
          </cell>
        </row>
        <row r="2657">
          <cell r="L2657" t="str">
            <v>74276293</v>
          </cell>
        </row>
        <row r="2658">
          <cell r="L2658" t="str">
            <v>74276523</v>
          </cell>
        </row>
        <row r="2659">
          <cell r="L2659" t="str">
            <v>74276903</v>
          </cell>
        </row>
        <row r="2660">
          <cell r="L2660" t="str">
            <v>74277299</v>
          </cell>
        </row>
        <row r="2661">
          <cell r="L2661" t="str">
            <v>74277380</v>
          </cell>
        </row>
        <row r="2662">
          <cell r="L2662" t="str">
            <v>74277505</v>
          </cell>
        </row>
        <row r="2663">
          <cell r="L2663" t="str">
            <v>74278039</v>
          </cell>
        </row>
        <row r="2664">
          <cell r="L2664" t="str">
            <v>74278421</v>
          </cell>
        </row>
        <row r="2665">
          <cell r="L2665" t="str">
            <v>74278981</v>
          </cell>
        </row>
        <row r="2666">
          <cell r="L2666" t="str">
            <v>74279566</v>
          </cell>
        </row>
        <row r="2667">
          <cell r="L2667" t="str">
            <v>74279979</v>
          </cell>
        </row>
        <row r="2668">
          <cell r="L2668" t="str">
            <v>74281821</v>
          </cell>
        </row>
        <row r="2669">
          <cell r="L2669" t="str">
            <v>74281839</v>
          </cell>
        </row>
        <row r="2670">
          <cell r="L2670" t="str">
            <v>74282099</v>
          </cell>
        </row>
        <row r="2671">
          <cell r="L2671" t="str">
            <v>74285320</v>
          </cell>
        </row>
        <row r="2672">
          <cell r="L2672" t="str">
            <v>74287141</v>
          </cell>
        </row>
        <row r="2673">
          <cell r="L2673" t="str">
            <v>74288299</v>
          </cell>
        </row>
        <row r="2674">
          <cell r="L2674" t="str">
            <v>74288503</v>
          </cell>
        </row>
        <row r="2675">
          <cell r="L2675" t="str">
            <v>74288919</v>
          </cell>
        </row>
        <row r="2676">
          <cell r="L2676" t="str">
            <v>74289102</v>
          </cell>
        </row>
        <row r="2677">
          <cell r="L2677" t="str">
            <v>74289267</v>
          </cell>
        </row>
        <row r="2678">
          <cell r="L2678" t="str">
            <v>74289350</v>
          </cell>
        </row>
        <row r="2679">
          <cell r="L2679" t="str">
            <v>74289601</v>
          </cell>
        </row>
        <row r="2680">
          <cell r="L2680" t="str">
            <v>74289765</v>
          </cell>
        </row>
        <row r="2681">
          <cell r="L2681" t="str">
            <v>74289767</v>
          </cell>
        </row>
        <row r="2682">
          <cell r="L2682" t="str">
            <v>74289769</v>
          </cell>
        </row>
        <row r="2683">
          <cell r="L2683" t="str">
            <v>74289789</v>
          </cell>
        </row>
        <row r="2684">
          <cell r="L2684" t="str">
            <v>74289790</v>
          </cell>
        </row>
        <row r="2685">
          <cell r="L2685" t="str">
            <v>74290000</v>
          </cell>
        </row>
        <row r="2686">
          <cell r="L2686" t="str">
            <v>74290641</v>
          </cell>
        </row>
        <row r="2687">
          <cell r="L2687" t="str">
            <v>74290661</v>
          </cell>
        </row>
        <row r="2688">
          <cell r="L2688" t="str">
            <v>74290759</v>
          </cell>
        </row>
        <row r="2689">
          <cell r="L2689" t="str">
            <v>74290779</v>
          </cell>
        </row>
        <row r="2690">
          <cell r="L2690" t="str">
            <v>74290799</v>
          </cell>
        </row>
        <row r="2691">
          <cell r="L2691" t="str">
            <v>74290862</v>
          </cell>
        </row>
        <row r="2692">
          <cell r="L2692" t="str">
            <v>74290900</v>
          </cell>
        </row>
        <row r="2693">
          <cell r="L2693" t="str">
            <v>74290901</v>
          </cell>
        </row>
        <row r="2694">
          <cell r="L2694" t="str">
            <v>74290902</v>
          </cell>
        </row>
        <row r="2695">
          <cell r="L2695" t="str">
            <v>74290959</v>
          </cell>
        </row>
        <row r="2696">
          <cell r="L2696" t="str">
            <v>74290960</v>
          </cell>
        </row>
        <row r="2697">
          <cell r="L2697" t="str">
            <v>74290961</v>
          </cell>
        </row>
        <row r="2698">
          <cell r="L2698" t="str">
            <v>74290962</v>
          </cell>
        </row>
        <row r="2699">
          <cell r="L2699" t="str">
            <v>74290963</v>
          </cell>
        </row>
        <row r="2700">
          <cell r="L2700" t="str">
            <v>74290964</v>
          </cell>
        </row>
        <row r="2701">
          <cell r="L2701" t="str">
            <v>74290965</v>
          </cell>
        </row>
        <row r="2702">
          <cell r="L2702" t="str">
            <v>74290966</v>
          </cell>
        </row>
        <row r="2703">
          <cell r="L2703" t="str">
            <v>74290967</v>
          </cell>
        </row>
        <row r="2704">
          <cell r="L2704" t="str">
            <v>74291021</v>
          </cell>
        </row>
        <row r="2705">
          <cell r="L2705" t="str">
            <v>74291181</v>
          </cell>
        </row>
        <row r="2706">
          <cell r="L2706" t="str">
            <v>74291184</v>
          </cell>
        </row>
        <row r="2707">
          <cell r="L2707" t="str">
            <v>74291185</v>
          </cell>
        </row>
        <row r="2708">
          <cell r="L2708" t="str">
            <v>74291186</v>
          </cell>
        </row>
        <row r="2709">
          <cell r="L2709" t="str">
            <v>74291187</v>
          </cell>
        </row>
        <row r="2710">
          <cell r="L2710" t="str">
            <v>74291188</v>
          </cell>
        </row>
        <row r="2711">
          <cell r="L2711" t="str">
            <v>74291189</v>
          </cell>
        </row>
        <row r="2712">
          <cell r="L2712" t="str">
            <v>74291191</v>
          </cell>
        </row>
        <row r="2713">
          <cell r="L2713" t="str">
            <v>74291192</v>
          </cell>
        </row>
        <row r="2714">
          <cell r="L2714" t="str">
            <v>74291453</v>
          </cell>
        </row>
        <row r="2715">
          <cell r="L2715" t="str">
            <v>74291943</v>
          </cell>
        </row>
        <row r="2716">
          <cell r="L2716" t="str">
            <v>74292283</v>
          </cell>
        </row>
        <row r="2717">
          <cell r="L2717" t="str">
            <v>74292419</v>
          </cell>
        </row>
        <row r="2718">
          <cell r="L2718" t="str">
            <v>74292579</v>
          </cell>
        </row>
        <row r="2719">
          <cell r="L2719" t="str">
            <v>74292580</v>
          </cell>
        </row>
        <row r="2720">
          <cell r="L2720" t="str">
            <v>74292581</v>
          </cell>
        </row>
        <row r="2721">
          <cell r="L2721" t="str">
            <v>74292582</v>
          </cell>
        </row>
        <row r="2722">
          <cell r="L2722" t="str">
            <v>74292583</v>
          </cell>
        </row>
        <row r="2723">
          <cell r="L2723" t="str">
            <v>74292584</v>
          </cell>
        </row>
        <row r="2724">
          <cell r="L2724" t="str">
            <v>74292585</v>
          </cell>
        </row>
        <row r="2725">
          <cell r="L2725" t="str">
            <v>74292587</v>
          </cell>
        </row>
        <row r="2726">
          <cell r="L2726" t="str">
            <v>74292588</v>
          </cell>
        </row>
        <row r="2727">
          <cell r="L2727" t="str">
            <v>74292589</v>
          </cell>
        </row>
        <row r="2728">
          <cell r="L2728" t="str">
            <v>74292590</v>
          </cell>
        </row>
        <row r="2729">
          <cell r="L2729" t="str">
            <v>74292591</v>
          </cell>
        </row>
        <row r="2730">
          <cell r="L2730" t="str">
            <v>74292592</v>
          </cell>
        </row>
        <row r="2731">
          <cell r="L2731" t="str">
            <v>74292593</v>
          </cell>
        </row>
        <row r="2732">
          <cell r="L2732" t="str">
            <v>74292594</v>
          </cell>
        </row>
        <row r="2733">
          <cell r="L2733" t="str">
            <v>74292595</v>
          </cell>
        </row>
        <row r="2734">
          <cell r="L2734" t="str">
            <v>74292596</v>
          </cell>
        </row>
        <row r="2735">
          <cell r="L2735" t="str">
            <v>74292597</v>
          </cell>
        </row>
        <row r="2736">
          <cell r="L2736" t="str">
            <v>74292598</v>
          </cell>
        </row>
        <row r="2737">
          <cell r="L2737" t="str">
            <v>74292600</v>
          </cell>
        </row>
        <row r="2738">
          <cell r="L2738" t="str">
            <v>74292601</v>
          </cell>
        </row>
        <row r="2739">
          <cell r="L2739" t="str">
            <v>74292602</v>
          </cell>
        </row>
        <row r="2740">
          <cell r="L2740" t="str">
            <v>74292603</v>
          </cell>
        </row>
        <row r="2741">
          <cell r="L2741" t="str">
            <v>74292604</v>
          </cell>
        </row>
        <row r="2742">
          <cell r="L2742" t="str">
            <v>74292605</v>
          </cell>
        </row>
        <row r="2743">
          <cell r="L2743" t="str">
            <v>74292606</v>
          </cell>
        </row>
        <row r="2744">
          <cell r="L2744" t="str">
            <v>74292607</v>
          </cell>
        </row>
        <row r="2745">
          <cell r="L2745" t="str">
            <v>74292608</v>
          </cell>
        </row>
        <row r="2746">
          <cell r="L2746" t="str">
            <v>74292609</v>
          </cell>
        </row>
        <row r="2747">
          <cell r="L2747" t="str">
            <v>74292610</v>
          </cell>
        </row>
        <row r="2748">
          <cell r="L2748" t="str">
            <v>74292611</v>
          </cell>
        </row>
        <row r="2749">
          <cell r="L2749" t="str">
            <v>74292612</v>
          </cell>
        </row>
        <row r="2750">
          <cell r="L2750" t="str">
            <v>74292613</v>
          </cell>
        </row>
        <row r="2751">
          <cell r="L2751" t="str">
            <v>74292614</v>
          </cell>
        </row>
        <row r="2752">
          <cell r="L2752" t="str">
            <v>74292615</v>
          </cell>
        </row>
        <row r="2753">
          <cell r="L2753" t="str">
            <v>74292616</v>
          </cell>
        </row>
        <row r="2754">
          <cell r="L2754" t="str">
            <v>74292617</v>
          </cell>
        </row>
        <row r="2755">
          <cell r="L2755" t="str">
            <v>74292618</v>
          </cell>
        </row>
        <row r="2756">
          <cell r="L2756" t="str">
            <v>74292619</v>
          </cell>
        </row>
        <row r="2757">
          <cell r="L2757" t="str">
            <v>74292620</v>
          </cell>
        </row>
        <row r="2758">
          <cell r="L2758" t="str">
            <v>74292621</v>
          </cell>
        </row>
        <row r="2759">
          <cell r="L2759" t="str">
            <v>74292622</v>
          </cell>
        </row>
        <row r="2760">
          <cell r="L2760" t="str">
            <v>74292623</v>
          </cell>
        </row>
        <row r="2761">
          <cell r="L2761" t="str">
            <v>74292624</v>
          </cell>
        </row>
        <row r="2762">
          <cell r="L2762" t="str">
            <v>74292625</v>
          </cell>
        </row>
        <row r="2763">
          <cell r="L2763" t="str">
            <v>74292626</v>
          </cell>
        </row>
        <row r="2764">
          <cell r="L2764" t="str">
            <v>74292627</v>
          </cell>
        </row>
        <row r="2765">
          <cell r="L2765" t="str">
            <v>74292628</v>
          </cell>
        </row>
        <row r="2766">
          <cell r="L2766" t="str">
            <v>74292629</v>
          </cell>
        </row>
        <row r="2767">
          <cell r="L2767" t="str">
            <v>74292630</v>
          </cell>
        </row>
        <row r="2768">
          <cell r="L2768" t="str">
            <v>74292631</v>
          </cell>
        </row>
        <row r="2769">
          <cell r="L2769" t="str">
            <v>74292632</v>
          </cell>
        </row>
        <row r="2770">
          <cell r="L2770" t="str">
            <v>74292633</v>
          </cell>
        </row>
        <row r="2771">
          <cell r="L2771" t="str">
            <v>74292634</v>
          </cell>
        </row>
        <row r="2772">
          <cell r="L2772" t="str">
            <v>74292635</v>
          </cell>
        </row>
        <row r="2773">
          <cell r="L2773" t="str">
            <v>74292636</v>
          </cell>
        </row>
        <row r="2774">
          <cell r="L2774" t="str">
            <v>74292637</v>
          </cell>
        </row>
        <row r="2775">
          <cell r="L2775" t="str">
            <v>74292639</v>
          </cell>
        </row>
        <row r="2776">
          <cell r="L2776" t="str">
            <v>74292640</v>
          </cell>
        </row>
        <row r="2777">
          <cell r="L2777" t="str">
            <v>74292641</v>
          </cell>
        </row>
        <row r="2778">
          <cell r="L2778" t="str">
            <v>74292642</v>
          </cell>
        </row>
        <row r="2779">
          <cell r="L2779" t="str">
            <v>74292643</v>
          </cell>
        </row>
        <row r="2780">
          <cell r="L2780" t="str">
            <v>74292644</v>
          </cell>
        </row>
        <row r="2781">
          <cell r="L2781" t="str">
            <v>74292645</v>
          </cell>
        </row>
        <row r="2782">
          <cell r="L2782" t="str">
            <v>74292646</v>
          </cell>
        </row>
        <row r="2783">
          <cell r="L2783" t="str">
            <v>74292647</v>
          </cell>
        </row>
        <row r="2784">
          <cell r="L2784" t="str">
            <v>74292648</v>
          </cell>
        </row>
        <row r="2785">
          <cell r="L2785" t="str">
            <v>74292649</v>
          </cell>
        </row>
        <row r="2786">
          <cell r="L2786" t="str">
            <v>74292650</v>
          </cell>
        </row>
        <row r="2787">
          <cell r="L2787" t="str">
            <v>74292651</v>
          </cell>
        </row>
        <row r="2788">
          <cell r="L2788" t="str">
            <v>74292652</v>
          </cell>
        </row>
        <row r="2789">
          <cell r="L2789" t="str">
            <v>74292653</v>
          </cell>
        </row>
        <row r="2790">
          <cell r="L2790" t="str">
            <v>74292654</v>
          </cell>
        </row>
        <row r="2791">
          <cell r="L2791" t="str">
            <v>74292655</v>
          </cell>
        </row>
        <row r="2792">
          <cell r="L2792" t="str">
            <v>74292656</v>
          </cell>
        </row>
        <row r="2793">
          <cell r="L2793" t="str">
            <v>74292657</v>
          </cell>
        </row>
        <row r="2794">
          <cell r="L2794" t="str">
            <v>74292658</v>
          </cell>
        </row>
        <row r="2795">
          <cell r="L2795" t="str">
            <v>74292659</v>
          </cell>
        </row>
        <row r="2796">
          <cell r="L2796" t="str">
            <v>74292660</v>
          </cell>
        </row>
        <row r="2797">
          <cell r="L2797" t="str">
            <v>74292661</v>
          </cell>
        </row>
        <row r="2798">
          <cell r="L2798" t="str">
            <v>74292662</v>
          </cell>
        </row>
        <row r="2799">
          <cell r="L2799" t="str">
            <v>74292663</v>
          </cell>
        </row>
        <row r="2800">
          <cell r="L2800" t="str">
            <v>74292664</v>
          </cell>
        </row>
        <row r="2801">
          <cell r="L2801" t="str">
            <v>74292665</v>
          </cell>
        </row>
        <row r="2802">
          <cell r="L2802" t="str">
            <v>74292666</v>
          </cell>
        </row>
        <row r="2803">
          <cell r="L2803" t="str">
            <v>74292667</v>
          </cell>
        </row>
        <row r="2804">
          <cell r="L2804" t="str">
            <v>74292668</v>
          </cell>
        </row>
        <row r="2805">
          <cell r="L2805" t="str">
            <v>74292669</v>
          </cell>
        </row>
        <row r="2806">
          <cell r="L2806" t="str">
            <v>74292670</v>
          </cell>
        </row>
        <row r="2807">
          <cell r="L2807" t="str">
            <v>74292671</v>
          </cell>
        </row>
        <row r="2808">
          <cell r="L2808" t="str">
            <v>74292672</v>
          </cell>
        </row>
        <row r="2809">
          <cell r="L2809" t="str">
            <v>74292673</v>
          </cell>
        </row>
        <row r="2810">
          <cell r="L2810" t="str">
            <v>74292674</v>
          </cell>
        </row>
        <row r="2811">
          <cell r="L2811" t="str">
            <v>74292675</v>
          </cell>
        </row>
        <row r="2812">
          <cell r="L2812" t="str">
            <v>74292676</v>
          </cell>
        </row>
        <row r="2813">
          <cell r="L2813" t="str">
            <v>74292677</v>
          </cell>
        </row>
        <row r="2814">
          <cell r="L2814" t="str">
            <v>74292678</v>
          </cell>
        </row>
        <row r="2815">
          <cell r="L2815" t="str">
            <v>74292679</v>
          </cell>
        </row>
        <row r="2816">
          <cell r="L2816" t="str">
            <v>74292680</v>
          </cell>
        </row>
        <row r="2817">
          <cell r="L2817" t="str">
            <v>74292681</v>
          </cell>
        </row>
        <row r="2818">
          <cell r="L2818" t="str">
            <v>74292682</v>
          </cell>
        </row>
        <row r="2819">
          <cell r="L2819" t="str">
            <v>74292683</v>
          </cell>
        </row>
        <row r="2820">
          <cell r="L2820" t="str">
            <v>74292684</v>
          </cell>
        </row>
        <row r="2821">
          <cell r="L2821" t="str">
            <v>74292685</v>
          </cell>
        </row>
        <row r="2822">
          <cell r="L2822" t="str">
            <v>74292686</v>
          </cell>
        </row>
        <row r="2823">
          <cell r="L2823" t="str">
            <v>74292687</v>
          </cell>
        </row>
        <row r="2824">
          <cell r="L2824" t="str">
            <v>74292688</v>
          </cell>
        </row>
        <row r="2825">
          <cell r="L2825" t="str">
            <v>74292689</v>
          </cell>
        </row>
        <row r="2826">
          <cell r="L2826" t="str">
            <v>74292690</v>
          </cell>
        </row>
        <row r="2827">
          <cell r="L2827" t="str">
            <v>74292691</v>
          </cell>
        </row>
        <row r="2828">
          <cell r="L2828" t="str">
            <v>74292692</v>
          </cell>
        </row>
        <row r="2829">
          <cell r="L2829" t="str">
            <v>74292693</v>
          </cell>
        </row>
        <row r="2830">
          <cell r="L2830" t="str">
            <v>74292694</v>
          </cell>
        </row>
        <row r="2831">
          <cell r="L2831" t="str">
            <v>74292695</v>
          </cell>
        </row>
        <row r="2832">
          <cell r="L2832" t="str">
            <v>74292696</v>
          </cell>
        </row>
        <row r="2833">
          <cell r="L2833" t="str">
            <v>74292698</v>
          </cell>
        </row>
        <row r="2834">
          <cell r="L2834" t="str">
            <v>74292699</v>
          </cell>
        </row>
        <row r="2835">
          <cell r="L2835" t="str">
            <v>74292700</v>
          </cell>
        </row>
        <row r="2836">
          <cell r="L2836" t="str">
            <v>74292701</v>
          </cell>
        </row>
        <row r="2837">
          <cell r="L2837" t="str">
            <v>74292702</v>
          </cell>
        </row>
        <row r="2838">
          <cell r="L2838" t="str">
            <v>74292704</v>
          </cell>
        </row>
        <row r="2839">
          <cell r="L2839" t="str">
            <v>74292705</v>
          </cell>
        </row>
        <row r="2840">
          <cell r="L2840" t="str">
            <v>74292706</v>
          </cell>
        </row>
        <row r="2841">
          <cell r="L2841" t="str">
            <v>74292707</v>
          </cell>
        </row>
        <row r="2842">
          <cell r="L2842" t="str">
            <v>74292709</v>
          </cell>
        </row>
        <row r="2843">
          <cell r="L2843" t="str">
            <v>74292710</v>
          </cell>
        </row>
        <row r="2844">
          <cell r="L2844" t="str">
            <v>74292711</v>
          </cell>
        </row>
        <row r="2845">
          <cell r="L2845" t="str">
            <v>74292712</v>
          </cell>
        </row>
        <row r="2846">
          <cell r="L2846" t="str">
            <v>74292713</v>
          </cell>
        </row>
        <row r="2847">
          <cell r="L2847" t="str">
            <v>74292714</v>
          </cell>
        </row>
        <row r="2848">
          <cell r="L2848" t="str">
            <v>74292715</v>
          </cell>
        </row>
        <row r="2849">
          <cell r="L2849" t="str">
            <v>74292716</v>
          </cell>
        </row>
        <row r="2850">
          <cell r="L2850" t="str">
            <v>74292717</v>
          </cell>
        </row>
        <row r="2851">
          <cell r="L2851" t="str">
            <v>74292718</v>
          </cell>
        </row>
        <row r="2852">
          <cell r="L2852" t="str">
            <v>74292719</v>
          </cell>
        </row>
        <row r="2853">
          <cell r="L2853" t="str">
            <v>74292720</v>
          </cell>
        </row>
        <row r="2854">
          <cell r="L2854" t="str">
            <v>74292721</v>
          </cell>
        </row>
        <row r="2855">
          <cell r="L2855" t="str">
            <v>74292722</v>
          </cell>
        </row>
        <row r="2856">
          <cell r="L2856" t="str">
            <v>74292723</v>
          </cell>
        </row>
        <row r="2857">
          <cell r="L2857" t="str">
            <v>74292724</v>
          </cell>
        </row>
        <row r="2858">
          <cell r="L2858" t="str">
            <v>74292725</v>
          </cell>
        </row>
        <row r="2859">
          <cell r="L2859" t="str">
            <v>74292726</v>
          </cell>
        </row>
        <row r="2860">
          <cell r="L2860" t="str">
            <v>74292728</v>
          </cell>
        </row>
        <row r="2861">
          <cell r="L2861" t="str">
            <v>74292729</v>
          </cell>
        </row>
        <row r="2862">
          <cell r="L2862" t="str">
            <v>74292730</v>
          </cell>
        </row>
        <row r="2863">
          <cell r="L2863" t="str">
            <v>74292731</v>
          </cell>
        </row>
        <row r="2864">
          <cell r="L2864" t="str">
            <v>74292732</v>
          </cell>
        </row>
        <row r="2865">
          <cell r="L2865" t="str">
            <v>74292734</v>
          </cell>
        </row>
        <row r="2866">
          <cell r="L2866" t="str">
            <v>74292735</v>
          </cell>
        </row>
        <row r="2867">
          <cell r="L2867" t="str">
            <v>74292736</v>
          </cell>
        </row>
        <row r="2868">
          <cell r="L2868" t="str">
            <v>74292737</v>
          </cell>
        </row>
        <row r="2869">
          <cell r="L2869" t="str">
            <v>74292738</v>
          </cell>
        </row>
        <row r="2870">
          <cell r="L2870" t="str">
            <v>74292739</v>
          </cell>
        </row>
        <row r="2871">
          <cell r="L2871" t="str">
            <v>74292740</v>
          </cell>
        </row>
        <row r="2872">
          <cell r="L2872" t="str">
            <v>74292741</v>
          </cell>
        </row>
        <row r="2873">
          <cell r="L2873" t="str">
            <v>74292743</v>
          </cell>
        </row>
        <row r="2874">
          <cell r="L2874" t="str">
            <v>74292744</v>
          </cell>
        </row>
        <row r="2875">
          <cell r="L2875" t="str">
            <v>74292746</v>
          </cell>
        </row>
        <row r="2876">
          <cell r="L2876" t="str">
            <v>74292747</v>
          </cell>
        </row>
        <row r="2877">
          <cell r="L2877" t="str">
            <v>74292748</v>
          </cell>
        </row>
        <row r="2878">
          <cell r="L2878" t="str">
            <v>74292749</v>
          </cell>
        </row>
        <row r="2879">
          <cell r="L2879" t="str">
            <v>74292750</v>
          </cell>
        </row>
        <row r="2880">
          <cell r="L2880" t="str">
            <v>74292751</v>
          </cell>
        </row>
        <row r="2881">
          <cell r="L2881" t="str">
            <v>74292752</v>
          </cell>
        </row>
        <row r="2882">
          <cell r="L2882" t="str">
            <v>74292753</v>
          </cell>
        </row>
        <row r="2883">
          <cell r="L2883" t="str">
            <v>74292754</v>
          </cell>
        </row>
        <row r="2884">
          <cell r="L2884" t="str">
            <v>74292755</v>
          </cell>
        </row>
        <row r="2885">
          <cell r="L2885" t="str">
            <v>74292756</v>
          </cell>
        </row>
        <row r="2886">
          <cell r="L2886" t="str">
            <v>74292757</v>
          </cell>
        </row>
        <row r="2887">
          <cell r="L2887" t="str">
            <v>74292758</v>
          </cell>
        </row>
        <row r="2888">
          <cell r="L2888" t="str">
            <v>74292759</v>
          </cell>
        </row>
        <row r="2889">
          <cell r="L2889" t="str">
            <v>74292760</v>
          </cell>
        </row>
        <row r="2890">
          <cell r="L2890" t="str">
            <v>74292761</v>
          </cell>
        </row>
        <row r="2891">
          <cell r="L2891" t="str">
            <v>74292762</v>
          </cell>
        </row>
        <row r="2892">
          <cell r="L2892" t="str">
            <v>74292763</v>
          </cell>
        </row>
        <row r="2893">
          <cell r="L2893" t="str">
            <v>74292764</v>
          </cell>
        </row>
        <row r="2894">
          <cell r="L2894" t="str">
            <v>74292765</v>
          </cell>
        </row>
        <row r="2895">
          <cell r="L2895" t="str">
            <v>74292766</v>
          </cell>
        </row>
        <row r="2896">
          <cell r="L2896" t="str">
            <v>74292768</v>
          </cell>
        </row>
        <row r="2897">
          <cell r="L2897" t="str">
            <v>74292769</v>
          </cell>
        </row>
        <row r="2898">
          <cell r="L2898" t="str">
            <v>74292770</v>
          </cell>
        </row>
        <row r="2899">
          <cell r="L2899" t="str">
            <v>74292771</v>
          </cell>
        </row>
        <row r="2900">
          <cell r="L2900" t="str">
            <v>74292772</v>
          </cell>
        </row>
        <row r="2901">
          <cell r="L2901" t="str">
            <v>74292773</v>
          </cell>
        </row>
        <row r="2902">
          <cell r="L2902" t="str">
            <v>74292774</v>
          </cell>
        </row>
        <row r="2903">
          <cell r="L2903" t="str">
            <v>74292775</v>
          </cell>
        </row>
        <row r="2904">
          <cell r="L2904" t="str">
            <v>74292776</v>
          </cell>
        </row>
        <row r="2905">
          <cell r="L2905" t="str">
            <v>74292777</v>
          </cell>
        </row>
        <row r="2906">
          <cell r="L2906" t="str">
            <v>74292778</v>
          </cell>
        </row>
        <row r="2907">
          <cell r="L2907" t="str">
            <v>74292779</v>
          </cell>
        </row>
        <row r="2908">
          <cell r="L2908" t="str">
            <v>74292780</v>
          </cell>
        </row>
        <row r="2909">
          <cell r="L2909" t="str">
            <v>74292781</v>
          </cell>
        </row>
        <row r="2910">
          <cell r="L2910" t="str">
            <v>74292782</v>
          </cell>
        </row>
        <row r="2911">
          <cell r="L2911" t="str">
            <v>74292783</v>
          </cell>
        </row>
        <row r="2912">
          <cell r="L2912" t="str">
            <v>74292784</v>
          </cell>
        </row>
        <row r="2913">
          <cell r="L2913" t="str">
            <v>74292785</v>
          </cell>
        </row>
        <row r="2914">
          <cell r="L2914" t="str">
            <v>74292786</v>
          </cell>
        </row>
        <row r="2915">
          <cell r="L2915" t="str">
            <v>74292787</v>
          </cell>
        </row>
        <row r="2916">
          <cell r="L2916" t="str">
            <v>74292788</v>
          </cell>
        </row>
        <row r="2917">
          <cell r="L2917" t="str">
            <v>74292789</v>
          </cell>
        </row>
        <row r="2918">
          <cell r="L2918" t="str">
            <v>74292790</v>
          </cell>
        </row>
        <row r="2919">
          <cell r="L2919" t="str">
            <v>74292791</v>
          </cell>
        </row>
        <row r="2920">
          <cell r="L2920" t="str">
            <v>74292792</v>
          </cell>
        </row>
        <row r="2921">
          <cell r="L2921" t="str">
            <v>74292793</v>
          </cell>
        </row>
        <row r="2922">
          <cell r="L2922" t="str">
            <v>74292794</v>
          </cell>
        </row>
        <row r="2923">
          <cell r="L2923" t="str">
            <v>74292795</v>
          </cell>
        </row>
        <row r="2924">
          <cell r="L2924" t="str">
            <v>74292796</v>
          </cell>
        </row>
        <row r="2925">
          <cell r="L2925" t="str">
            <v>74292797</v>
          </cell>
        </row>
        <row r="2926">
          <cell r="L2926" t="str">
            <v>74292798</v>
          </cell>
        </row>
        <row r="2927">
          <cell r="L2927" t="str">
            <v>74292799</v>
          </cell>
        </row>
        <row r="2928">
          <cell r="L2928" t="str">
            <v>74292800</v>
          </cell>
        </row>
        <row r="2929">
          <cell r="L2929" t="str">
            <v>74292801</v>
          </cell>
        </row>
        <row r="2930">
          <cell r="L2930" t="str">
            <v>74292802</v>
          </cell>
        </row>
        <row r="2931">
          <cell r="L2931" t="str">
            <v>74292803</v>
          </cell>
        </row>
        <row r="2932">
          <cell r="L2932" t="str">
            <v>74292804</v>
          </cell>
        </row>
        <row r="2933">
          <cell r="L2933" t="str">
            <v>74292805</v>
          </cell>
        </row>
        <row r="2934">
          <cell r="L2934" t="str">
            <v>74292806</v>
          </cell>
        </row>
        <row r="2935">
          <cell r="L2935" t="str">
            <v>74292807</v>
          </cell>
        </row>
        <row r="2936">
          <cell r="L2936" t="str">
            <v>74292808</v>
          </cell>
        </row>
        <row r="2937">
          <cell r="L2937" t="str">
            <v>74292809</v>
          </cell>
        </row>
        <row r="2938">
          <cell r="L2938" t="str">
            <v>74292810</v>
          </cell>
        </row>
        <row r="2939">
          <cell r="L2939" t="str">
            <v>74292811</v>
          </cell>
        </row>
        <row r="2940">
          <cell r="L2940" t="str">
            <v>74292812</v>
          </cell>
        </row>
        <row r="2941">
          <cell r="L2941" t="str">
            <v>74292813</v>
          </cell>
        </row>
        <row r="2942">
          <cell r="L2942" t="str">
            <v>74292814</v>
          </cell>
        </row>
        <row r="2943">
          <cell r="L2943" t="str">
            <v>74292815</v>
          </cell>
        </row>
        <row r="2944">
          <cell r="L2944" t="str">
            <v>74292816</v>
          </cell>
        </row>
        <row r="2945">
          <cell r="L2945" t="str">
            <v>74292817</v>
          </cell>
        </row>
        <row r="2946">
          <cell r="L2946" t="str">
            <v>74292818</v>
          </cell>
        </row>
        <row r="2947">
          <cell r="L2947" t="str">
            <v>74292819</v>
          </cell>
        </row>
        <row r="2948">
          <cell r="L2948" t="str">
            <v>74292820</v>
          </cell>
        </row>
        <row r="2949">
          <cell r="L2949" t="str">
            <v>74292821</v>
          </cell>
        </row>
        <row r="2950">
          <cell r="L2950" t="str">
            <v>74292822</v>
          </cell>
        </row>
        <row r="2951">
          <cell r="L2951" t="str">
            <v>74292823</v>
          </cell>
        </row>
        <row r="2952">
          <cell r="L2952" t="str">
            <v>74292824</v>
          </cell>
        </row>
        <row r="2953">
          <cell r="L2953" t="str">
            <v>74292825</v>
          </cell>
        </row>
        <row r="2954">
          <cell r="L2954" t="str">
            <v>74292826</v>
          </cell>
        </row>
        <row r="2955">
          <cell r="L2955" t="str">
            <v>74292827</v>
          </cell>
        </row>
        <row r="2956">
          <cell r="L2956" t="str">
            <v>74292828</v>
          </cell>
        </row>
        <row r="2957">
          <cell r="L2957" t="str">
            <v>74292829</v>
          </cell>
        </row>
        <row r="2958">
          <cell r="L2958" t="str">
            <v>74292830</v>
          </cell>
        </row>
        <row r="2959">
          <cell r="L2959" t="str">
            <v>74292831</v>
          </cell>
        </row>
        <row r="2960">
          <cell r="L2960" t="str">
            <v>74292832</v>
          </cell>
        </row>
        <row r="2961">
          <cell r="L2961" t="str">
            <v>74292833</v>
          </cell>
        </row>
        <row r="2962">
          <cell r="L2962" t="str">
            <v>74292834</v>
          </cell>
        </row>
        <row r="2963">
          <cell r="L2963" t="str">
            <v>74292835</v>
          </cell>
        </row>
        <row r="2964">
          <cell r="L2964" t="str">
            <v>74292836</v>
          </cell>
        </row>
        <row r="2965">
          <cell r="L2965" t="str">
            <v>74292837</v>
          </cell>
        </row>
        <row r="2966">
          <cell r="L2966" t="str">
            <v>74292839</v>
          </cell>
        </row>
        <row r="2967">
          <cell r="L2967" t="str">
            <v>74292841</v>
          </cell>
        </row>
        <row r="2968">
          <cell r="L2968" t="str">
            <v>74292842</v>
          </cell>
        </row>
        <row r="2969">
          <cell r="L2969" t="str">
            <v>74292843</v>
          </cell>
        </row>
        <row r="2970">
          <cell r="L2970" t="str">
            <v>74292844</v>
          </cell>
        </row>
        <row r="2971">
          <cell r="L2971" t="str">
            <v>74292845</v>
          </cell>
        </row>
        <row r="2972">
          <cell r="L2972" t="str">
            <v>74292846</v>
          </cell>
        </row>
        <row r="2973">
          <cell r="L2973" t="str">
            <v>74292847</v>
          </cell>
        </row>
        <row r="2974">
          <cell r="L2974" t="str">
            <v>74292848</v>
          </cell>
        </row>
        <row r="2975">
          <cell r="L2975" t="str">
            <v>74292849</v>
          </cell>
        </row>
        <row r="2976">
          <cell r="L2976" t="str">
            <v>74292850</v>
          </cell>
        </row>
        <row r="2977">
          <cell r="L2977" t="str">
            <v>74292851</v>
          </cell>
        </row>
        <row r="2978">
          <cell r="L2978" t="str">
            <v>74292852</v>
          </cell>
        </row>
        <row r="2979">
          <cell r="L2979" t="str">
            <v>74292853</v>
          </cell>
        </row>
        <row r="2980">
          <cell r="L2980" t="str">
            <v>74292854</v>
          </cell>
        </row>
        <row r="2981">
          <cell r="L2981" t="str">
            <v>74292855</v>
          </cell>
        </row>
        <row r="2982">
          <cell r="L2982" t="str">
            <v>74292856</v>
          </cell>
        </row>
        <row r="2983">
          <cell r="L2983" t="str">
            <v>74292857</v>
          </cell>
        </row>
        <row r="2984">
          <cell r="L2984" t="str">
            <v>74292858</v>
          </cell>
        </row>
        <row r="2985">
          <cell r="L2985" t="str">
            <v>74292859</v>
          </cell>
        </row>
        <row r="2986">
          <cell r="L2986" t="str">
            <v>74292860</v>
          </cell>
        </row>
        <row r="2987">
          <cell r="L2987" t="str">
            <v>74292861</v>
          </cell>
        </row>
        <row r="2988">
          <cell r="L2988" t="str">
            <v>74292862</v>
          </cell>
        </row>
        <row r="2989">
          <cell r="L2989" t="str">
            <v>74292863</v>
          </cell>
        </row>
        <row r="2990">
          <cell r="L2990" t="str">
            <v>74292864</v>
          </cell>
        </row>
        <row r="2991">
          <cell r="L2991" t="str">
            <v>74292865</v>
          </cell>
        </row>
        <row r="2992">
          <cell r="L2992" t="str">
            <v>74292866</v>
          </cell>
        </row>
        <row r="2993">
          <cell r="L2993" t="str">
            <v>74292867</v>
          </cell>
        </row>
        <row r="2994">
          <cell r="L2994" t="str">
            <v>74292868</v>
          </cell>
        </row>
        <row r="2995">
          <cell r="L2995" t="str">
            <v>74292869</v>
          </cell>
        </row>
        <row r="2996">
          <cell r="L2996" t="str">
            <v>74292870</v>
          </cell>
        </row>
        <row r="2997">
          <cell r="L2997" t="str">
            <v>74292871</v>
          </cell>
        </row>
        <row r="2998">
          <cell r="L2998" t="str">
            <v>74292872</v>
          </cell>
        </row>
        <row r="2999">
          <cell r="L2999" t="str">
            <v>74292873</v>
          </cell>
        </row>
        <row r="3000">
          <cell r="L3000" t="str">
            <v>74292874</v>
          </cell>
        </row>
        <row r="3001">
          <cell r="L3001" t="str">
            <v>74292875</v>
          </cell>
        </row>
        <row r="3002">
          <cell r="L3002" t="str">
            <v>74292876</v>
          </cell>
        </row>
        <row r="3003">
          <cell r="L3003" t="str">
            <v>74292877</v>
          </cell>
        </row>
        <row r="3004">
          <cell r="L3004" t="str">
            <v>74292878</v>
          </cell>
        </row>
        <row r="3005">
          <cell r="L3005" t="str">
            <v>74292879</v>
          </cell>
        </row>
        <row r="3006">
          <cell r="L3006" t="str">
            <v>74292880</v>
          </cell>
        </row>
        <row r="3007">
          <cell r="L3007" t="str">
            <v>74292881</v>
          </cell>
        </row>
        <row r="3008">
          <cell r="L3008" t="str">
            <v>74292882</v>
          </cell>
        </row>
        <row r="3009">
          <cell r="L3009" t="str">
            <v>74292883</v>
          </cell>
        </row>
        <row r="3010">
          <cell r="L3010" t="str">
            <v>74292884</v>
          </cell>
        </row>
        <row r="3011">
          <cell r="L3011" t="str">
            <v>74292885</v>
          </cell>
        </row>
        <row r="3012">
          <cell r="L3012" t="str">
            <v>74292886</v>
          </cell>
        </row>
        <row r="3013">
          <cell r="L3013" t="str">
            <v>74292887</v>
          </cell>
        </row>
        <row r="3014">
          <cell r="L3014" t="str">
            <v>74292888</v>
          </cell>
        </row>
        <row r="3015">
          <cell r="L3015" t="str">
            <v>74292889</v>
          </cell>
        </row>
        <row r="3016">
          <cell r="L3016" t="str">
            <v>74292890</v>
          </cell>
        </row>
        <row r="3017">
          <cell r="L3017" t="str">
            <v>74292891</v>
          </cell>
        </row>
        <row r="3018">
          <cell r="L3018" t="str">
            <v>74292892</v>
          </cell>
        </row>
        <row r="3019">
          <cell r="L3019" t="str">
            <v>74292893</v>
          </cell>
        </row>
        <row r="3020">
          <cell r="L3020" t="str">
            <v>74292894</v>
          </cell>
        </row>
        <row r="3021">
          <cell r="L3021" t="str">
            <v>74292895</v>
          </cell>
        </row>
        <row r="3022">
          <cell r="L3022" t="str">
            <v>74292896</v>
          </cell>
        </row>
        <row r="3023">
          <cell r="L3023" t="str">
            <v>74292897</v>
          </cell>
        </row>
        <row r="3024">
          <cell r="L3024" t="str">
            <v>74292898</v>
          </cell>
        </row>
        <row r="3025">
          <cell r="L3025" t="str">
            <v>74292899</v>
          </cell>
        </row>
        <row r="3026">
          <cell r="L3026" t="str">
            <v>74292900</v>
          </cell>
        </row>
        <row r="3027">
          <cell r="L3027" t="str">
            <v>74292901</v>
          </cell>
        </row>
        <row r="3028">
          <cell r="L3028" t="str">
            <v>74292902</v>
          </cell>
        </row>
        <row r="3029">
          <cell r="L3029" t="str">
            <v>74292903</v>
          </cell>
        </row>
        <row r="3030">
          <cell r="L3030" t="str">
            <v>74292904</v>
          </cell>
        </row>
        <row r="3031">
          <cell r="L3031" t="str">
            <v>74292905</v>
          </cell>
        </row>
        <row r="3032">
          <cell r="L3032" t="str">
            <v>74292906</v>
          </cell>
        </row>
        <row r="3033">
          <cell r="L3033" t="str">
            <v>74292907</v>
          </cell>
        </row>
        <row r="3034">
          <cell r="L3034" t="str">
            <v>74292908</v>
          </cell>
        </row>
        <row r="3035">
          <cell r="L3035" t="str">
            <v>74292909</v>
          </cell>
        </row>
        <row r="3036">
          <cell r="L3036" t="str">
            <v>74292910</v>
          </cell>
        </row>
        <row r="3037">
          <cell r="L3037" t="str">
            <v>74292911</v>
          </cell>
        </row>
        <row r="3038">
          <cell r="L3038" t="str">
            <v>74292912</v>
          </cell>
        </row>
        <row r="3039">
          <cell r="L3039" t="str">
            <v>74292913</v>
          </cell>
        </row>
        <row r="3040">
          <cell r="L3040" t="str">
            <v>74292914</v>
          </cell>
        </row>
        <row r="3041">
          <cell r="L3041" t="str">
            <v>74293060</v>
          </cell>
        </row>
        <row r="3042">
          <cell r="L3042" t="str">
            <v>74293064</v>
          </cell>
        </row>
        <row r="3043">
          <cell r="L3043" t="str">
            <v>74293189</v>
          </cell>
        </row>
        <row r="3044">
          <cell r="L3044" t="str">
            <v>74293362</v>
          </cell>
        </row>
        <row r="3045">
          <cell r="L3045" t="str">
            <v>74294062</v>
          </cell>
        </row>
        <row r="3046">
          <cell r="L3046" t="str">
            <v>74294401</v>
          </cell>
        </row>
        <row r="3047">
          <cell r="L3047" t="str">
            <v>74294402</v>
          </cell>
        </row>
        <row r="3048">
          <cell r="L3048" t="str">
            <v>74294639</v>
          </cell>
        </row>
        <row r="3049">
          <cell r="L3049" t="str">
            <v>74294728</v>
          </cell>
        </row>
        <row r="3050">
          <cell r="L3050" t="str">
            <v>74295903</v>
          </cell>
        </row>
        <row r="3051">
          <cell r="L3051" t="str">
            <v>74295908</v>
          </cell>
        </row>
        <row r="3052">
          <cell r="L3052" t="str">
            <v>74296463</v>
          </cell>
        </row>
        <row r="3053">
          <cell r="L3053" t="str">
            <v>74296551</v>
          </cell>
        </row>
        <row r="3054">
          <cell r="L3054" t="str">
            <v>74297040</v>
          </cell>
        </row>
        <row r="3055">
          <cell r="L3055" t="str">
            <v>74297162</v>
          </cell>
        </row>
        <row r="3056">
          <cell r="L3056" t="str">
            <v>74297741</v>
          </cell>
        </row>
        <row r="3057">
          <cell r="L3057" t="str">
            <v>74297761</v>
          </cell>
        </row>
        <row r="3058">
          <cell r="L3058" t="str">
            <v>74297941</v>
          </cell>
        </row>
        <row r="3059">
          <cell r="L3059" t="str">
            <v>74298146</v>
          </cell>
        </row>
        <row r="3060">
          <cell r="L3060" t="str">
            <v>74298149</v>
          </cell>
        </row>
        <row r="3061">
          <cell r="L3061" t="str">
            <v>74298521</v>
          </cell>
        </row>
        <row r="3062">
          <cell r="L3062" t="str">
            <v>74299580</v>
          </cell>
        </row>
        <row r="3063">
          <cell r="L3063" t="str">
            <v>74299701</v>
          </cell>
        </row>
        <row r="3064">
          <cell r="L3064" t="str">
            <v>74301022</v>
          </cell>
        </row>
        <row r="3065">
          <cell r="L3065" t="str">
            <v>74302042</v>
          </cell>
        </row>
        <row r="3066">
          <cell r="L3066" t="str">
            <v>74302043</v>
          </cell>
        </row>
        <row r="3067">
          <cell r="L3067" t="str">
            <v>74302821</v>
          </cell>
        </row>
        <row r="3068">
          <cell r="L3068" t="str">
            <v>74302881</v>
          </cell>
        </row>
        <row r="3069">
          <cell r="L3069" t="str">
            <v>74303006</v>
          </cell>
        </row>
        <row r="3070">
          <cell r="L3070" t="str">
            <v>74303007</v>
          </cell>
        </row>
        <row r="3071">
          <cell r="L3071" t="str">
            <v>74303009</v>
          </cell>
        </row>
        <row r="3072">
          <cell r="L3072" t="str">
            <v>74303011</v>
          </cell>
        </row>
        <row r="3073">
          <cell r="L3073" t="str">
            <v>74303559</v>
          </cell>
        </row>
        <row r="3074">
          <cell r="L3074" t="str">
            <v>74303659</v>
          </cell>
        </row>
        <row r="3075">
          <cell r="L3075" t="str">
            <v>74303660</v>
          </cell>
        </row>
        <row r="3076">
          <cell r="L3076" t="str">
            <v>74303720</v>
          </cell>
        </row>
        <row r="3077">
          <cell r="L3077" t="str">
            <v>74303721</v>
          </cell>
        </row>
        <row r="3078">
          <cell r="L3078" t="str">
            <v>74303964</v>
          </cell>
        </row>
        <row r="3079">
          <cell r="L3079" t="str">
            <v>74304834</v>
          </cell>
        </row>
        <row r="3080">
          <cell r="L3080" t="str">
            <v>74304845</v>
          </cell>
        </row>
        <row r="3081">
          <cell r="L3081" t="str">
            <v>74305185</v>
          </cell>
        </row>
        <row r="3082">
          <cell r="L3082" t="str">
            <v>74305959</v>
          </cell>
        </row>
        <row r="3083">
          <cell r="L3083" t="str">
            <v>74306183</v>
          </cell>
        </row>
        <row r="3084">
          <cell r="L3084" t="str">
            <v>74308146</v>
          </cell>
        </row>
        <row r="3085">
          <cell r="L3085" t="str">
            <v>74314344</v>
          </cell>
        </row>
        <row r="3086">
          <cell r="L3086" t="str">
            <v>74314653</v>
          </cell>
        </row>
        <row r="3087">
          <cell r="L3087" t="str">
            <v>74318848</v>
          </cell>
        </row>
        <row r="3088">
          <cell r="L3088" t="str">
            <v>shem</v>
          </cell>
        </row>
        <row r="3089">
          <cell r="L3089" t="str">
            <v>74217501</v>
          </cell>
        </row>
        <row r="3090">
          <cell r="L3090" t="str">
            <v>74202579</v>
          </cell>
        </row>
        <row r="3091">
          <cell r="L3091" t="str">
            <v>74217500</v>
          </cell>
        </row>
        <row r="3092">
          <cell r="L3092" t="str">
            <v>74217533</v>
          </cell>
        </row>
        <row r="3093">
          <cell r="L3093" t="str">
            <v>74217539</v>
          </cell>
        </row>
        <row r="3094">
          <cell r="L3094" t="str">
            <v>74224224</v>
          </cell>
        </row>
        <row r="3095">
          <cell r="L3095" t="str">
            <v>74228379</v>
          </cell>
        </row>
        <row r="3096">
          <cell r="L3096" t="str">
            <v>74222021</v>
          </cell>
        </row>
        <row r="3097">
          <cell r="L3097" t="str">
            <v>74118492</v>
          </cell>
        </row>
        <row r="3098">
          <cell r="L3098" t="str">
            <v>74213162</v>
          </cell>
        </row>
        <row r="3099">
          <cell r="L3099" t="str">
            <v>74217541</v>
          </cell>
        </row>
        <row r="3100">
          <cell r="L3100" t="str">
            <v>74221420</v>
          </cell>
        </row>
        <row r="3101">
          <cell r="L3101" t="str">
            <v>74226200</v>
          </cell>
        </row>
        <row r="3102">
          <cell r="L3102" t="str">
            <v>74226840</v>
          </cell>
        </row>
        <row r="3103">
          <cell r="L3103" t="str">
            <v>74226902</v>
          </cell>
        </row>
        <row r="3104">
          <cell r="L3104" t="str">
            <v>74226984</v>
          </cell>
        </row>
        <row r="3105">
          <cell r="L3105" t="str">
            <v>74227204</v>
          </cell>
        </row>
        <row r="3106">
          <cell r="L3106" t="str">
            <v>74248362</v>
          </cell>
        </row>
        <row r="3107">
          <cell r="L3107" t="str">
            <v>74239236</v>
          </cell>
        </row>
        <row r="3108">
          <cell r="L3108" t="str">
            <v>74234060</v>
          </cell>
        </row>
        <row r="3109">
          <cell r="L3109" t="str">
            <v>74262588</v>
          </cell>
        </row>
        <row r="3110">
          <cell r="L3110" t="str">
            <v>74211740</v>
          </cell>
        </row>
        <row r="3111">
          <cell r="L3111" t="str">
            <v>74211966</v>
          </cell>
        </row>
        <row r="3112">
          <cell r="L3112" t="str">
            <v>74213390</v>
          </cell>
        </row>
        <row r="3113">
          <cell r="L3113" t="str">
            <v>74212359</v>
          </cell>
        </row>
        <row r="3114">
          <cell r="L3114" t="str">
            <v>74198021</v>
          </cell>
        </row>
        <row r="3115">
          <cell r="L3115" t="str">
            <v>74212380</v>
          </cell>
        </row>
        <row r="3116">
          <cell r="L3116" t="str">
            <v>74214199</v>
          </cell>
        </row>
        <row r="3117">
          <cell r="L3117" t="str">
            <v>74215739</v>
          </cell>
        </row>
        <row r="3118">
          <cell r="L3118" t="str">
            <v>74215743</v>
          </cell>
        </row>
        <row r="3119">
          <cell r="L3119" t="str">
            <v>74192508</v>
          </cell>
        </row>
        <row r="3120">
          <cell r="L3120" t="str">
            <v>74215803</v>
          </cell>
        </row>
        <row r="3121">
          <cell r="L3121" t="str">
            <v>74216002</v>
          </cell>
        </row>
        <row r="3122">
          <cell r="L3122" t="str">
            <v>74215579</v>
          </cell>
        </row>
        <row r="3123">
          <cell r="L3123" t="str">
            <v>74216368</v>
          </cell>
        </row>
        <row r="3124">
          <cell r="L3124" t="str">
            <v>74218840</v>
          </cell>
        </row>
        <row r="3125">
          <cell r="L3125" t="str">
            <v>74219223</v>
          </cell>
        </row>
        <row r="3126">
          <cell r="L3126" t="str">
            <v>74187511</v>
          </cell>
        </row>
        <row r="3127">
          <cell r="L3127" t="str">
            <v>74223441</v>
          </cell>
        </row>
        <row r="3128">
          <cell r="L3128" t="str">
            <v>74223443</v>
          </cell>
        </row>
        <row r="3129">
          <cell r="L3129" t="str">
            <v>74223440</v>
          </cell>
        </row>
        <row r="3130">
          <cell r="L3130" t="str">
            <v>74223442</v>
          </cell>
        </row>
        <row r="3131">
          <cell r="L3131" t="str">
            <v>74223439</v>
          </cell>
        </row>
        <row r="3132">
          <cell r="L3132" t="str">
            <v>74223539</v>
          </cell>
        </row>
        <row r="3133">
          <cell r="L3133" t="str">
            <v>74223447</v>
          </cell>
        </row>
        <row r="3134">
          <cell r="L3134" t="str">
            <v>74223459</v>
          </cell>
        </row>
        <row r="3135">
          <cell r="L3135" t="str">
            <v>74224821</v>
          </cell>
        </row>
        <row r="3136">
          <cell r="L3136" t="str">
            <v>74223460</v>
          </cell>
        </row>
        <row r="3137">
          <cell r="L3137" t="str">
            <v>74224819</v>
          </cell>
        </row>
        <row r="3138">
          <cell r="L3138" t="str">
            <v>ElecAssetReplPrg0910</v>
          </cell>
        </row>
        <row r="3139">
          <cell r="L3139" t="str">
            <v>158B4513</v>
          </cell>
        </row>
        <row r="3140">
          <cell r="L3140" t="str">
            <v>74189490</v>
          </cell>
        </row>
        <row r="3141">
          <cell r="L3141" t="str">
            <v>74193875</v>
          </cell>
        </row>
        <row r="3142">
          <cell r="L3142" t="str">
            <v>74223762</v>
          </cell>
        </row>
        <row r="3143">
          <cell r="L3143" t="str">
            <v>74291588</v>
          </cell>
        </row>
        <row r="3144">
          <cell r="L3144" t="str">
            <v>74296663</v>
          </cell>
        </row>
        <row r="3145">
          <cell r="L3145" t="str">
            <v>74299121</v>
          </cell>
        </row>
        <row r="3146">
          <cell r="L3146" t="str">
            <v>74299959</v>
          </cell>
        </row>
        <row r="3147">
          <cell r="L3147" t="str">
            <v>74300564</v>
          </cell>
        </row>
        <row r="3148">
          <cell r="L3148" t="str">
            <v>74303259</v>
          </cell>
        </row>
        <row r="3149">
          <cell r="L3149" t="str">
            <v>74304281</v>
          </cell>
        </row>
        <row r="3150">
          <cell r="L3150" t="str">
            <v>74305447</v>
          </cell>
        </row>
        <row r="3151">
          <cell r="L3151" t="str">
            <v>74307264</v>
          </cell>
        </row>
        <row r="3152">
          <cell r="L3152" t="str">
            <v>74307339</v>
          </cell>
        </row>
        <row r="3153">
          <cell r="L3153" t="str">
            <v>74308247</v>
          </cell>
        </row>
        <row r="3154">
          <cell r="L3154" t="str">
            <v>74308860</v>
          </cell>
        </row>
        <row r="3155">
          <cell r="L3155" t="str">
            <v>74318244</v>
          </cell>
        </row>
        <row r="3156">
          <cell r="L3156" t="str">
            <v>74318414</v>
          </cell>
        </row>
        <row r="3157">
          <cell r="L3157" t="str">
            <v>74320340</v>
          </cell>
        </row>
        <row r="3158">
          <cell r="L3158" t="str">
            <v>74321296</v>
          </cell>
        </row>
        <row r="3159">
          <cell r="L3159" t="str">
            <v>74322308</v>
          </cell>
        </row>
        <row r="3160">
          <cell r="L3160" t="str">
            <v>BD1187147</v>
          </cell>
        </row>
        <row r="3161">
          <cell r="L3161" t="str">
            <v>BD1187148</v>
          </cell>
        </row>
        <row r="3162">
          <cell r="L3162" t="str">
            <v>BD1187150</v>
          </cell>
        </row>
        <row r="3163">
          <cell r="L3163" t="str">
            <v>BD1187152</v>
          </cell>
        </row>
        <row r="3164">
          <cell r="L3164" t="str">
            <v>BD1187154</v>
          </cell>
        </row>
        <row r="3165">
          <cell r="L3165" t="str">
            <v>BD1187156</v>
          </cell>
        </row>
        <row r="3166">
          <cell r="L3166" t="str">
            <v>BD1188147</v>
          </cell>
        </row>
        <row r="3167">
          <cell r="L3167" t="str">
            <v>BD1188148</v>
          </cell>
        </row>
        <row r="3168">
          <cell r="L3168" t="str">
            <v>BD1188150</v>
          </cell>
        </row>
        <row r="3169">
          <cell r="L3169" t="str">
            <v>BD1188151</v>
          </cell>
        </row>
        <row r="3170">
          <cell r="L3170" t="str">
            <v>BD1188152</v>
          </cell>
        </row>
        <row r="3171">
          <cell r="L3171" t="str">
            <v>BD1188154</v>
          </cell>
        </row>
        <row r="3172">
          <cell r="L3172" t="str">
            <v>BD1188156</v>
          </cell>
        </row>
        <row r="3173">
          <cell r="L3173" t="str">
            <v>BD1188158</v>
          </cell>
        </row>
        <row r="3174">
          <cell r="L3174" t="str">
            <v>BD1424147</v>
          </cell>
        </row>
        <row r="3175">
          <cell r="L3175" t="str">
            <v>BD1424148</v>
          </cell>
        </row>
        <row r="3176">
          <cell r="L3176" t="str">
            <v>BD1424149</v>
          </cell>
        </row>
        <row r="3177">
          <cell r="L3177" t="str">
            <v>BD1424150</v>
          </cell>
        </row>
        <row r="3178">
          <cell r="L3178" t="str">
            <v>BD1424151</v>
          </cell>
        </row>
        <row r="3179">
          <cell r="L3179" t="str">
            <v>BD1424152</v>
          </cell>
        </row>
        <row r="3180">
          <cell r="L3180" t="str">
            <v>BD1424154</v>
          </cell>
        </row>
        <row r="3181">
          <cell r="L3181" t="str">
            <v>BD1424156</v>
          </cell>
        </row>
        <row r="3182">
          <cell r="L3182" t="str">
            <v>BD1424158</v>
          </cell>
        </row>
        <row r="3183">
          <cell r="L3183" t="str">
            <v>BD1582147</v>
          </cell>
        </row>
        <row r="3184">
          <cell r="L3184" t="str">
            <v>BD1582148</v>
          </cell>
        </row>
        <row r="3185">
          <cell r="L3185" t="str">
            <v>BD1582150</v>
          </cell>
        </row>
        <row r="3186">
          <cell r="L3186" t="str">
            <v>BD1582151</v>
          </cell>
        </row>
        <row r="3187">
          <cell r="L3187" t="str">
            <v>BD1582154</v>
          </cell>
        </row>
        <row r="3188">
          <cell r="L3188" t="str">
            <v>BD2704147</v>
          </cell>
        </row>
        <row r="3189">
          <cell r="L3189" t="str">
            <v>BD2704148</v>
          </cell>
        </row>
        <row r="3190">
          <cell r="L3190" t="str">
            <v>BD2704149</v>
          </cell>
        </row>
        <row r="3191">
          <cell r="L3191" t="str">
            <v>BD2704150</v>
          </cell>
        </row>
        <row r="3192">
          <cell r="L3192" t="str">
            <v>BD2704151</v>
          </cell>
        </row>
        <row r="3193">
          <cell r="L3193" t="str">
            <v>BD2704152</v>
          </cell>
        </row>
        <row r="3194">
          <cell r="L3194" t="str">
            <v>BD2704154</v>
          </cell>
        </row>
        <row r="3195">
          <cell r="L3195" t="str">
            <v>BD2704156</v>
          </cell>
        </row>
        <row r="3196">
          <cell r="L3196" t="str">
            <v>BD2704158</v>
          </cell>
        </row>
        <row r="3197">
          <cell r="L3197" t="str">
            <v>BD2776147</v>
          </cell>
        </row>
        <row r="3198">
          <cell r="L3198" t="str">
            <v>BD2776148</v>
          </cell>
        </row>
        <row r="3199">
          <cell r="L3199" t="str">
            <v>BD2776149</v>
          </cell>
        </row>
        <row r="3200">
          <cell r="L3200" t="str">
            <v>BD2776150</v>
          </cell>
        </row>
        <row r="3201">
          <cell r="L3201" t="str">
            <v>BD2776151</v>
          </cell>
        </row>
        <row r="3202">
          <cell r="L3202" t="str">
            <v>BD2776152</v>
          </cell>
        </row>
        <row r="3203">
          <cell r="L3203" t="str">
            <v>BD2776154</v>
          </cell>
        </row>
        <row r="3204">
          <cell r="L3204" t="str">
            <v>BD2776156</v>
          </cell>
        </row>
        <row r="3205">
          <cell r="L3205" t="str">
            <v>BD2776158</v>
          </cell>
        </row>
        <row r="3206">
          <cell r="L3206" t="str">
            <v>BD2896147</v>
          </cell>
        </row>
        <row r="3207">
          <cell r="L3207" t="str">
            <v>BD2896148</v>
          </cell>
        </row>
        <row r="3208">
          <cell r="L3208" t="str">
            <v>BD2896150</v>
          </cell>
        </row>
        <row r="3209">
          <cell r="L3209" t="str">
            <v>BD2896151</v>
          </cell>
        </row>
        <row r="3210">
          <cell r="L3210" t="str">
            <v>BD2896154</v>
          </cell>
        </row>
        <row r="3211">
          <cell r="L3211" t="str">
            <v>BD2896155</v>
          </cell>
        </row>
        <row r="3212">
          <cell r="L3212" t="str">
            <v>BD3028147</v>
          </cell>
        </row>
        <row r="3213">
          <cell r="L3213" t="str">
            <v>BD3028148</v>
          </cell>
        </row>
        <row r="3214">
          <cell r="L3214" t="str">
            <v>BD3028150</v>
          </cell>
        </row>
        <row r="3215">
          <cell r="L3215" t="str">
            <v>BD3028152</v>
          </cell>
        </row>
        <row r="3216">
          <cell r="L3216" t="str">
            <v>BD3028154</v>
          </cell>
        </row>
        <row r="3217">
          <cell r="L3217" t="str">
            <v>BD3028156</v>
          </cell>
        </row>
        <row r="3218">
          <cell r="L3218" t="str">
            <v>BD3642147</v>
          </cell>
        </row>
        <row r="3219">
          <cell r="L3219" t="str">
            <v>BD3642148</v>
          </cell>
        </row>
        <row r="3220">
          <cell r="L3220" t="str">
            <v>BD3642149</v>
          </cell>
        </row>
        <row r="3221">
          <cell r="L3221" t="str">
            <v>BD3642150</v>
          </cell>
        </row>
        <row r="3222">
          <cell r="L3222" t="str">
            <v>BD3642151</v>
          </cell>
        </row>
        <row r="3223">
          <cell r="L3223" t="str">
            <v>BD3642154</v>
          </cell>
        </row>
        <row r="3224">
          <cell r="L3224" t="str">
            <v>BD3642156</v>
          </cell>
        </row>
        <row r="3225">
          <cell r="L3225" t="str">
            <v>BD3784147</v>
          </cell>
        </row>
        <row r="3226">
          <cell r="L3226" t="str">
            <v>BD3784148</v>
          </cell>
        </row>
        <row r="3227">
          <cell r="L3227" t="str">
            <v>BD3784149</v>
          </cell>
        </row>
        <row r="3228">
          <cell r="L3228" t="str">
            <v>BD3784150</v>
          </cell>
        </row>
        <row r="3229">
          <cell r="L3229" t="str">
            <v>BD3784151</v>
          </cell>
        </row>
        <row r="3230">
          <cell r="L3230" t="str">
            <v>BD3784154</v>
          </cell>
        </row>
        <row r="3231">
          <cell r="L3231" t="str">
            <v>BD3784156</v>
          </cell>
        </row>
        <row r="3232">
          <cell r="L3232" t="str">
            <v>BD3784158</v>
          </cell>
        </row>
        <row r="3233">
          <cell r="L3233" t="str">
            <v>BD3828152</v>
          </cell>
        </row>
        <row r="3234">
          <cell r="L3234" t="str">
            <v>BD3828154</v>
          </cell>
        </row>
        <row r="3235">
          <cell r="L3235" t="str">
            <v>BD3828155</v>
          </cell>
        </row>
        <row r="3236">
          <cell r="L3236" t="str">
            <v>BD4419152</v>
          </cell>
        </row>
        <row r="3237">
          <cell r="L3237" t="str">
            <v>BD4419154</v>
          </cell>
        </row>
        <row r="3238">
          <cell r="L3238" t="str">
            <v>BD4419155</v>
          </cell>
        </row>
        <row r="3239">
          <cell r="L3239" t="str">
            <v>BD4513148</v>
          </cell>
        </row>
        <row r="3240">
          <cell r="L3240" t="str">
            <v>BD4621147</v>
          </cell>
        </row>
        <row r="3241">
          <cell r="L3241" t="str">
            <v>BD4621148</v>
          </cell>
        </row>
        <row r="3242">
          <cell r="L3242" t="str">
            <v>BD4621150</v>
          </cell>
        </row>
        <row r="3243">
          <cell r="L3243" t="str">
            <v>BD4621154</v>
          </cell>
        </row>
        <row r="3244">
          <cell r="L3244" t="str">
            <v>BD4627148</v>
          </cell>
        </row>
        <row r="3245">
          <cell r="L3245" t="str">
            <v>BD4627150</v>
          </cell>
        </row>
        <row r="3246">
          <cell r="L3246" t="str">
            <v>BD4627154</v>
          </cell>
        </row>
        <row r="3247">
          <cell r="L3247" t="str">
            <v>BD4627156</v>
          </cell>
        </row>
        <row r="3248">
          <cell r="L3248" t="str">
            <v>BD5172147</v>
          </cell>
        </row>
        <row r="3249">
          <cell r="L3249" t="str">
            <v>BD5172148</v>
          </cell>
        </row>
        <row r="3250">
          <cell r="L3250" t="str">
            <v>BD5172149</v>
          </cell>
        </row>
        <row r="3251">
          <cell r="L3251" t="str">
            <v>BD5172150</v>
          </cell>
        </row>
        <row r="3252">
          <cell r="L3252" t="str">
            <v>BD5172151</v>
          </cell>
        </row>
        <row r="3253">
          <cell r="L3253" t="str">
            <v>BD5172152</v>
          </cell>
        </row>
        <row r="3254">
          <cell r="L3254" t="str">
            <v>BD5172154</v>
          </cell>
        </row>
        <row r="3255">
          <cell r="L3255" t="str">
            <v>BD5172156</v>
          </cell>
        </row>
        <row r="3256">
          <cell r="L3256" t="str">
            <v>BD5172158</v>
          </cell>
        </row>
        <row r="3257">
          <cell r="L3257" t="str">
            <v>BD5482147</v>
          </cell>
        </row>
        <row r="3258">
          <cell r="L3258" t="str">
            <v>BD5482148</v>
          </cell>
        </row>
        <row r="3259">
          <cell r="L3259" t="str">
            <v>BD5482149</v>
          </cell>
        </row>
        <row r="3260">
          <cell r="L3260" t="str">
            <v>BD5482150</v>
          </cell>
        </row>
        <row r="3261">
          <cell r="L3261" t="str">
            <v>BD5482151</v>
          </cell>
        </row>
        <row r="3262">
          <cell r="L3262" t="str">
            <v>BD5482152</v>
          </cell>
        </row>
        <row r="3263">
          <cell r="L3263" t="str">
            <v>BD5482154</v>
          </cell>
        </row>
        <row r="3264">
          <cell r="L3264" t="str">
            <v>BD5482156</v>
          </cell>
        </row>
        <row r="3265">
          <cell r="L3265" t="str">
            <v>BD5482158</v>
          </cell>
        </row>
        <row r="3266">
          <cell r="L3266" t="str">
            <v>BD6014147</v>
          </cell>
        </row>
        <row r="3267">
          <cell r="L3267" t="str">
            <v>BD6014148</v>
          </cell>
        </row>
        <row r="3268">
          <cell r="L3268" t="str">
            <v>BD6014150</v>
          </cell>
        </row>
        <row r="3269">
          <cell r="L3269" t="str">
            <v>BD6230147</v>
          </cell>
        </row>
        <row r="3270">
          <cell r="L3270" t="str">
            <v>BD6230148</v>
          </cell>
        </row>
        <row r="3271">
          <cell r="L3271" t="str">
            <v>BD6230149</v>
          </cell>
        </row>
        <row r="3272">
          <cell r="L3272" t="str">
            <v>BD6230150</v>
          </cell>
        </row>
        <row r="3273">
          <cell r="L3273" t="str">
            <v>BD6230151</v>
          </cell>
        </row>
        <row r="3274">
          <cell r="L3274" t="str">
            <v>BD6230154</v>
          </cell>
        </row>
        <row r="3275">
          <cell r="L3275" t="str">
            <v>BD6230156</v>
          </cell>
        </row>
        <row r="3276">
          <cell r="L3276" t="str">
            <v>BD6230158</v>
          </cell>
        </row>
        <row r="3277">
          <cell r="L3277" t="str">
            <v>BD6528147</v>
          </cell>
        </row>
        <row r="3278">
          <cell r="L3278" t="str">
            <v>BD6528148</v>
          </cell>
        </row>
        <row r="3279">
          <cell r="L3279" t="str">
            <v>BD6528149</v>
          </cell>
        </row>
        <row r="3280">
          <cell r="L3280" t="str">
            <v>BD6528150</v>
          </cell>
        </row>
        <row r="3281">
          <cell r="L3281" t="str">
            <v>BD6528151</v>
          </cell>
        </row>
        <row r="3282">
          <cell r="L3282" t="str">
            <v>BD6528152</v>
          </cell>
        </row>
        <row r="3283">
          <cell r="L3283" t="str">
            <v>BD6528154</v>
          </cell>
        </row>
        <row r="3284">
          <cell r="L3284" t="str">
            <v>BD6528156</v>
          </cell>
        </row>
        <row r="3285">
          <cell r="L3285" t="str">
            <v>BD6528158</v>
          </cell>
        </row>
        <row r="3286">
          <cell r="L3286" t="str">
            <v>BD7054152</v>
          </cell>
        </row>
        <row r="3287">
          <cell r="L3287" t="str">
            <v>BD7054154</v>
          </cell>
        </row>
        <row r="3288">
          <cell r="L3288" t="str">
            <v>BD7054155</v>
          </cell>
        </row>
        <row r="3289">
          <cell r="L3289" t="str">
            <v>BD7236150</v>
          </cell>
        </row>
        <row r="3290">
          <cell r="L3290" t="str">
            <v>BD7236151</v>
          </cell>
        </row>
        <row r="3291">
          <cell r="L3291" t="str">
            <v>BD7379147</v>
          </cell>
        </row>
        <row r="3292">
          <cell r="L3292" t="str">
            <v>BD7379148</v>
          </cell>
        </row>
        <row r="3293">
          <cell r="L3293" t="str">
            <v>BD7379150</v>
          </cell>
        </row>
        <row r="3294">
          <cell r="L3294" t="str">
            <v>BD7379154</v>
          </cell>
        </row>
        <row r="3295">
          <cell r="L3295" t="str">
            <v>BD7634150</v>
          </cell>
        </row>
        <row r="3296">
          <cell r="L3296" t="str">
            <v>BD7634151</v>
          </cell>
        </row>
        <row r="3297">
          <cell r="L3297" t="str">
            <v>BD7634156</v>
          </cell>
        </row>
        <row r="3298">
          <cell r="L3298" t="str">
            <v>BD8970148</v>
          </cell>
        </row>
        <row r="3299">
          <cell r="L3299" t="str">
            <v>BD8970150</v>
          </cell>
        </row>
        <row r="3300">
          <cell r="L3300" t="str">
            <v>BD8970151</v>
          </cell>
        </row>
        <row r="3301">
          <cell r="L3301" t="str">
            <v>BD9591147</v>
          </cell>
        </row>
        <row r="3302">
          <cell r="L3302" t="str">
            <v>BD9591148</v>
          </cell>
        </row>
        <row r="3303">
          <cell r="L3303" t="str">
            <v>BD9591150</v>
          </cell>
        </row>
        <row r="3304">
          <cell r="L3304" t="str">
            <v>BD9591151</v>
          </cell>
        </row>
        <row r="3305">
          <cell r="L3305" t="str">
            <v>BD9591154</v>
          </cell>
        </row>
        <row r="3306">
          <cell r="L3306" t="str">
            <v>BD9591156</v>
          </cell>
        </row>
        <row r="3307">
          <cell r="L3307" t="str">
            <v>BD9742147</v>
          </cell>
        </row>
        <row r="3308">
          <cell r="L3308" t="str">
            <v>BD9742148</v>
          </cell>
        </row>
        <row r="3309">
          <cell r="L3309" t="str">
            <v>BD9742149</v>
          </cell>
        </row>
        <row r="3310">
          <cell r="L3310" t="str">
            <v>BD9742150</v>
          </cell>
        </row>
        <row r="3311">
          <cell r="L3311" t="str">
            <v>BD9742151</v>
          </cell>
        </row>
        <row r="3312">
          <cell r="L3312" t="str">
            <v>BD9742154</v>
          </cell>
        </row>
        <row r="3313">
          <cell r="L3313" t="str">
            <v>BD9742156</v>
          </cell>
        </row>
        <row r="3314">
          <cell r="L3314" t="str">
            <v>BD9742158</v>
          </cell>
        </row>
        <row r="3315">
          <cell r="L3315" t="str">
            <v>BD9953155</v>
          </cell>
        </row>
        <row r="3316">
          <cell r="L3316" t="str">
            <v>BDL147</v>
          </cell>
        </row>
        <row r="3317">
          <cell r="L3317" t="str">
            <v>BDL148</v>
          </cell>
        </row>
        <row r="3318">
          <cell r="L3318" t="str">
            <v>BDL149</v>
          </cell>
        </row>
        <row r="3319">
          <cell r="L3319" t="str">
            <v>BDL150</v>
          </cell>
        </row>
        <row r="3320">
          <cell r="L3320" t="str">
            <v>BDL151</v>
          </cell>
        </row>
        <row r="3321">
          <cell r="L3321" t="str">
            <v>BDL152</v>
          </cell>
        </row>
        <row r="3322">
          <cell r="L3322" t="str">
            <v>BDL154</v>
          </cell>
        </row>
        <row r="3323">
          <cell r="L3323" t="str">
            <v>BDL156</v>
          </cell>
        </row>
        <row r="3324">
          <cell r="L3324" t="str">
            <v>BDL158</v>
          </cell>
        </row>
        <row r="3325">
          <cell r="L3325" t="str">
            <v>BEN147</v>
          </cell>
        </row>
        <row r="3326">
          <cell r="L3326" t="str">
            <v>BEN148</v>
          </cell>
        </row>
        <row r="3327">
          <cell r="L3327" t="str">
            <v>BEN149</v>
          </cell>
        </row>
        <row r="3328">
          <cell r="L3328" t="str">
            <v>BEN150</v>
          </cell>
        </row>
        <row r="3329">
          <cell r="L3329" t="str">
            <v>BEN151</v>
          </cell>
        </row>
        <row r="3330">
          <cell r="L3330" t="str">
            <v>BEN152</v>
          </cell>
        </row>
        <row r="3331">
          <cell r="L3331" t="str">
            <v>BEN154</v>
          </cell>
        </row>
        <row r="3332">
          <cell r="L3332" t="str">
            <v>BEN156</v>
          </cell>
        </row>
        <row r="3333">
          <cell r="L3333" t="str">
            <v>BEN158</v>
          </cell>
        </row>
        <row r="3334">
          <cell r="L3334" t="str">
            <v>BFD147</v>
          </cell>
        </row>
        <row r="3335">
          <cell r="L3335" t="str">
            <v>BFD148</v>
          </cell>
        </row>
        <row r="3336">
          <cell r="L3336" t="str">
            <v>BFD149</v>
          </cell>
        </row>
        <row r="3337">
          <cell r="L3337" t="str">
            <v>BFD150</v>
          </cell>
        </row>
        <row r="3338">
          <cell r="L3338" t="str">
            <v>BFD151</v>
          </cell>
        </row>
        <row r="3339">
          <cell r="L3339" t="str">
            <v>BFD152</v>
          </cell>
        </row>
        <row r="3340">
          <cell r="L3340" t="str">
            <v>BFD154</v>
          </cell>
        </row>
        <row r="3341">
          <cell r="L3341" t="str">
            <v>BFD156</v>
          </cell>
        </row>
        <row r="3342">
          <cell r="L3342" t="str">
            <v>BFD158</v>
          </cell>
        </row>
        <row r="3343">
          <cell r="L3343" t="str">
            <v>BT3828154</v>
          </cell>
        </row>
        <row r="3344">
          <cell r="L3344" t="str">
            <v>BT3828155</v>
          </cell>
        </row>
        <row r="3345">
          <cell r="L3345" t="str">
            <v>BT5172147</v>
          </cell>
        </row>
        <row r="3346">
          <cell r="L3346" t="str">
            <v>BT5172148</v>
          </cell>
        </row>
        <row r="3347">
          <cell r="L3347" t="str">
            <v>BT5172150</v>
          </cell>
        </row>
        <row r="3348">
          <cell r="L3348" t="str">
            <v>BT5172151</v>
          </cell>
        </row>
        <row r="3349">
          <cell r="L3349" t="str">
            <v>BT5172152</v>
          </cell>
        </row>
        <row r="3350">
          <cell r="L3350" t="str">
            <v>BT5172154</v>
          </cell>
        </row>
        <row r="3351">
          <cell r="L3351" t="str">
            <v>BT5172156</v>
          </cell>
        </row>
        <row r="3352">
          <cell r="L3352" t="str">
            <v>BT7054155</v>
          </cell>
        </row>
        <row r="3353">
          <cell r="L3353" t="str">
            <v>BT9953155</v>
          </cell>
        </row>
        <row r="3354">
          <cell r="L3354" t="str">
            <v>CEN154</v>
          </cell>
        </row>
        <row r="3355">
          <cell r="L3355" t="str">
            <v>EAS154</v>
          </cell>
        </row>
        <row r="3356">
          <cell r="L3356" t="str">
            <v>FEB7NOR9</v>
          </cell>
        </row>
        <row r="3357">
          <cell r="L3357" t="str">
            <v>FIREGIPS</v>
          </cell>
        </row>
        <row r="3358">
          <cell r="L3358" t="str">
            <v>FSCAROH12</v>
          </cell>
        </row>
        <row r="3359">
          <cell r="L3359" t="str">
            <v>FSEAROH12</v>
          </cell>
        </row>
        <row r="3360">
          <cell r="L3360" t="str">
            <v>FSNAROH12</v>
          </cell>
        </row>
        <row r="3361">
          <cell r="L3361" t="str">
            <v>ITECHARE</v>
          </cell>
        </row>
        <row r="3362">
          <cell r="L3362" t="str">
            <v>LDL147</v>
          </cell>
        </row>
        <row r="3363">
          <cell r="L3363" t="str">
            <v>LDL148</v>
          </cell>
        </row>
        <row r="3364">
          <cell r="L3364" t="str">
            <v>LDL149</v>
          </cell>
        </row>
        <row r="3365">
          <cell r="L3365" t="str">
            <v>LDL150</v>
          </cell>
        </row>
        <row r="3366">
          <cell r="L3366" t="str">
            <v>LDL151</v>
          </cell>
        </row>
        <row r="3367">
          <cell r="L3367" t="str">
            <v>LDL152</v>
          </cell>
        </row>
        <row r="3368">
          <cell r="L3368" t="str">
            <v>LDL154</v>
          </cell>
        </row>
        <row r="3369">
          <cell r="L3369" t="str">
            <v>LDL156</v>
          </cell>
        </row>
        <row r="3370">
          <cell r="L3370" t="str">
            <v>LDL158</v>
          </cell>
        </row>
        <row r="3371">
          <cell r="L3371" t="str">
            <v>LEO147</v>
          </cell>
        </row>
        <row r="3372">
          <cell r="L3372" t="str">
            <v>LEO148</v>
          </cell>
        </row>
        <row r="3373">
          <cell r="L3373" t="str">
            <v>LEO149</v>
          </cell>
        </row>
        <row r="3374">
          <cell r="L3374" t="str">
            <v>LEO150</v>
          </cell>
        </row>
        <row r="3375">
          <cell r="L3375" t="str">
            <v>LEO151</v>
          </cell>
        </row>
        <row r="3376">
          <cell r="L3376" t="str">
            <v>LEO152</v>
          </cell>
        </row>
        <row r="3377">
          <cell r="L3377" t="str">
            <v>LEO154</v>
          </cell>
        </row>
        <row r="3378">
          <cell r="L3378" t="str">
            <v>LEO156</v>
          </cell>
        </row>
        <row r="3379">
          <cell r="L3379" t="str">
            <v>LEO158</v>
          </cell>
        </row>
        <row r="3380">
          <cell r="L3380" t="str">
            <v>NOR154</v>
          </cell>
        </row>
        <row r="3381">
          <cell r="L3381" t="str">
            <v>SEY147</v>
          </cell>
        </row>
        <row r="3382">
          <cell r="L3382" t="str">
            <v>SEY148</v>
          </cell>
        </row>
        <row r="3383">
          <cell r="L3383" t="str">
            <v>SEY150</v>
          </cell>
        </row>
        <row r="3384">
          <cell r="L3384" t="str">
            <v>SEY151</v>
          </cell>
        </row>
        <row r="3385">
          <cell r="L3385" t="str">
            <v>SEY152</v>
          </cell>
        </row>
        <row r="3386">
          <cell r="L3386" t="str">
            <v>SEY154</v>
          </cell>
        </row>
        <row r="3387">
          <cell r="L3387" t="str">
            <v>SEY156</v>
          </cell>
        </row>
        <row r="3388">
          <cell r="L3388" t="str">
            <v>SEY158</v>
          </cell>
        </row>
        <row r="3389">
          <cell r="L3389" t="str">
            <v>SMG147</v>
          </cell>
        </row>
        <row r="3390">
          <cell r="L3390" t="str">
            <v>SMG148</v>
          </cell>
        </row>
        <row r="3391">
          <cell r="L3391" t="str">
            <v>SMG149</v>
          </cell>
        </row>
        <row r="3392">
          <cell r="L3392" t="str">
            <v>SMG150</v>
          </cell>
        </row>
        <row r="3393">
          <cell r="L3393" t="str">
            <v>SMG151</v>
          </cell>
        </row>
        <row r="3394">
          <cell r="L3394" t="str">
            <v>SMG152</v>
          </cell>
        </row>
        <row r="3395">
          <cell r="L3395" t="str">
            <v>SMG154</v>
          </cell>
        </row>
        <row r="3396">
          <cell r="L3396" t="str">
            <v>SMG156</v>
          </cell>
        </row>
        <row r="3397">
          <cell r="L3397" t="str">
            <v>SMG158</v>
          </cell>
        </row>
        <row r="3398">
          <cell r="L3398" t="str">
            <v>TGN147</v>
          </cell>
        </row>
        <row r="3399">
          <cell r="L3399" t="str">
            <v>TGN148</v>
          </cell>
        </row>
        <row r="3400">
          <cell r="L3400" t="str">
            <v>TGN149</v>
          </cell>
        </row>
        <row r="3401">
          <cell r="L3401" t="str">
            <v>TGN150</v>
          </cell>
        </row>
        <row r="3402">
          <cell r="L3402" t="str">
            <v>TGN151</v>
          </cell>
        </row>
        <row r="3403">
          <cell r="L3403" t="str">
            <v>TGN152</v>
          </cell>
        </row>
        <row r="3404">
          <cell r="L3404" t="str">
            <v>TGN154</v>
          </cell>
        </row>
        <row r="3405">
          <cell r="L3405" t="str">
            <v>TGN156</v>
          </cell>
        </row>
        <row r="3406">
          <cell r="L3406" t="str">
            <v>TGN158</v>
          </cell>
        </row>
        <row r="3407">
          <cell r="L3407" t="str">
            <v>WOD147</v>
          </cell>
        </row>
        <row r="3408">
          <cell r="L3408" t="str">
            <v>WOD148</v>
          </cell>
        </row>
        <row r="3409">
          <cell r="L3409" t="str">
            <v>WOD149</v>
          </cell>
        </row>
        <row r="3410">
          <cell r="L3410" t="str">
            <v>WOD150</v>
          </cell>
        </row>
        <row r="3411">
          <cell r="L3411" t="str">
            <v>WOD151</v>
          </cell>
        </row>
        <row r="3412">
          <cell r="L3412" t="str">
            <v>WOD152</v>
          </cell>
        </row>
        <row r="3413">
          <cell r="L3413" t="str">
            <v>WOD154</v>
          </cell>
        </row>
        <row r="3414">
          <cell r="L3414" t="str">
            <v>WOD156</v>
          </cell>
        </row>
        <row r="3415">
          <cell r="L3415" t="str">
            <v>WOD158</v>
          </cell>
        </row>
        <row r="3416">
          <cell r="L3416" t="str">
            <v>74202792</v>
          </cell>
        </row>
        <row r="3417">
          <cell r="L3417" t="str">
            <v>74226943</v>
          </cell>
        </row>
        <row r="3418">
          <cell r="L3418" t="str">
            <v>74230319</v>
          </cell>
        </row>
        <row r="3419">
          <cell r="L3419" t="str">
            <v>74231300</v>
          </cell>
        </row>
        <row r="3420">
          <cell r="L3420" t="str">
            <v>74233008</v>
          </cell>
        </row>
        <row r="3421">
          <cell r="L3421" t="str">
            <v>74234506</v>
          </cell>
        </row>
        <row r="3422">
          <cell r="L3422" t="str">
            <v>74234819</v>
          </cell>
        </row>
        <row r="3423">
          <cell r="L3423" t="str">
            <v>74234820</v>
          </cell>
        </row>
        <row r="3424">
          <cell r="L3424" t="str">
            <v>74238679</v>
          </cell>
        </row>
        <row r="3425">
          <cell r="L3425" t="str">
            <v>74241262</v>
          </cell>
        </row>
        <row r="3426">
          <cell r="L3426" t="str">
            <v>74241263</v>
          </cell>
        </row>
        <row r="3427">
          <cell r="L3427" t="str">
            <v>74241264</v>
          </cell>
        </row>
        <row r="3428">
          <cell r="L3428" t="str">
            <v>74241265</v>
          </cell>
        </row>
        <row r="3429">
          <cell r="L3429" t="str">
            <v>74246839</v>
          </cell>
        </row>
        <row r="3430">
          <cell r="L3430" t="str">
            <v>74246841</v>
          </cell>
        </row>
        <row r="3431">
          <cell r="L3431" t="str">
            <v>74247520</v>
          </cell>
        </row>
        <row r="3432">
          <cell r="L3432" t="str">
            <v>74248019</v>
          </cell>
        </row>
        <row r="3433">
          <cell r="L3433" t="str">
            <v>74251959</v>
          </cell>
        </row>
        <row r="3434">
          <cell r="L3434" t="str">
            <v>74252122</v>
          </cell>
        </row>
        <row r="3435">
          <cell r="L3435" t="str">
            <v>74256265</v>
          </cell>
        </row>
        <row r="3436">
          <cell r="L3436" t="str">
            <v>74258842</v>
          </cell>
        </row>
        <row r="3437">
          <cell r="L3437" t="str">
            <v>74239760</v>
          </cell>
        </row>
        <row r="3438">
          <cell r="L3438" t="str">
            <v>74230645</v>
          </cell>
        </row>
        <row r="3439">
          <cell r="L3439" t="str">
            <v>74236479</v>
          </cell>
        </row>
        <row r="3440">
          <cell r="L3440" t="str">
            <v>74236480</v>
          </cell>
        </row>
        <row r="3441">
          <cell r="L3441" t="str">
            <v>74245161</v>
          </cell>
        </row>
        <row r="3442">
          <cell r="L3442" t="str">
            <v>74248015</v>
          </cell>
        </row>
        <row r="3443">
          <cell r="L3443" t="str">
            <v>74249539</v>
          </cell>
        </row>
        <row r="3444">
          <cell r="L3444" t="str">
            <v>74252720</v>
          </cell>
        </row>
        <row r="3445">
          <cell r="L3445" t="str">
            <v>74253990</v>
          </cell>
        </row>
        <row r="3446">
          <cell r="L3446" t="str">
            <v>74254159</v>
          </cell>
        </row>
        <row r="3447">
          <cell r="L3447" t="str">
            <v>74254222</v>
          </cell>
        </row>
        <row r="3448">
          <cell r="L3448" t="str">
            <v>74254226</v>
          </cell>
        </row>
        <row r="3449">
          <cell r="L3449" t="str">
            <v>74254228</v>
          </cell>
        </row>
        <row r="3450">
          <cell r="L3450" t="str">
            <v>74257320</v>
          </cell>
        </row>
        <row r="3451">
          <cell r="L3451" t="str">
            <v>74265420</v>
          </cell>
        </row>
        <row r="3452">
          <cell r="L3452" t="str">
            <v>74265439</v>
          </cell>
        </row>
        <row r="3453">
          <cell r="L3453" t="str">
            <v>74268699</v>
          </cell>
        </row>
        <row r="3454">
          <cell r="L3454" t="str">
            <v>74198341</v>
          </cell>
        </row>
        <row r="3455">
          <cell r="L3455" t="str">
            <v>74235123</v>
          </cell>
        </row>
        <row r="3456">
          <cell r="L3456" t="str">
            <v>74254219</v>
          </cell>
        </row>
        <row r="3457">
          <cell r="L3457" t="str">
            <v>74254218</v>
          </cell>
        </row>
        <row r="3458">
          <cell r="L3458" t="str">
            <v>HotWeat0910</v>
          </cell>
        </row>
        <row r="3459">
          <cell r="L3459" t="str">
            <v>74242480</v>
          </cell>
        </row>
        <row r="3460">
          <cell r="L3460" t="str">
            <v>74239981</v>
          </cell>
        </row>
        <row r="3461">
          <cell r="L3461" t="str">
            <v>74227501</v>
          </cell>
        </row>
        <row r="3462">
          <cell r="L3462" t="str">
            <v>74124129</v>
          </cell>
        </row>
        <row r="3463">
          <cell r="L3463" t="str">
            <v>74228459</v>
          </cell>
        </row>
        <row r="3464">
          <cell r="L3464" t="str">
            <v>74228460</v>
          </cell>
        </row>
        <row r="3465">
          <cell r="L3465" t="str">
            <v>74228299</v>
          </cell>
        </row>
        <row r="3466">
          <cell r="L3466" t="str">
            <v>74138931</v>
          </cell>
        </row>
        <row r="3467">
          <cell r="L3467" t="str">
            <v>74140069</v>
          </cell>
        </row>
        <row r="3468">
          <cell r="L3468" t="str">
            <v>74140070</v>
          </cell>
        </row>
        <row r="3469">
          <cell r="L3469" t="str">
            <v>74148510</v>
          </cell>
        </row>
        <row r="3470">
          <cell r="L3470" t="str">
            <v>74148783</v>
          </cell>
        </row>
        <row r="3471">
          <cell r="L3471" t="str">
            <v>74193238</v>
          </cell>
        </row>
        <row r="3472">
          <cell r="L3472" t="str">
            <v>74193280</v>
          </cell>
        </row>
        <row r="3473">
          <cell r="L3473" t="str">
            <v>74193322</v>
          </cell>
        </row>
        <row r="3474">
          <cell r="L3474" t="str">
            <v>74193330</v>
          </cell>
        </row>
        <row r="3475">
          <cell r="L3475" t="str">
            <v>74193350</v>
          </cell>
        </row>
        <row r="3476">
          <cell r="L3476" t="str">
            <v>74196168</v>
          </cell>
        </row>
        <row r="3477">
          <cell r="L3477" t="str">
            <v>74215064</v>
          </cell>
        </row>
        <row r="3478">
          <cell r="L3478" t="str">
            <v>74215068</v>
          </cell>
        </row>
        <row r="3479">
          <cell r="L3479" t="str">
            <v>74215091</v>
          </cell>
        </row>
        <row r="3480">
          <cell r="L3480" t="str">
            <v>74216183</v>
          </cell>
        </row>
        <row r="3481">
          <cell r="L3481" t="str">
            <v>74223039</v>
          </cell>
        </row>
        <row r="3482">
          <cell r="L3482" t="str">
            <v>74227599</v>
          </cell>
        </row>
        <row r="3483">
          <cell r="L3483" t="str">
            <v>74228000</v>
          </cell>
        </row>
        <row r="3484">
          <cell r="L3484" t="str">
            <v>74228820</v>
          </cell>
        </row>
        <row r="3485">
          <cell r="L3485" t="str">
            <v>74228840</v>
          </cell>
        </row>
        <row r="3486">
          <cell r="L3486" t="str">
            <v>74229260</v>
          </cell>
        </row>
        <row r="3487">
          <cell r="L3487" t="str">
            <v>74230160</v>
          </cell>
        </row>
        <row r="3488">
          <cell r="L3488" t="str">
            <v>74231383</v>
          </cell>
        </row>
        <row r="3489">
          <cell r="L3489" t="str">
            <v>74232219</v>
          </cell>
        </row>
        <row r="3490">
          <cell r="L3490" t="str">
            <v>74235460</v>
          </cell>
        </row>
        <row r="3491">
          <cell r="L3491" t="str">
            <v>74236141</v>
          </cell>
        </row>
        <row r="3492">
          <cell r="L3492" t="str">
            <v>74236705</v>
          </cell>
        </row>
        <row r="3493">
          <cell r="L3493" t="str">
            <v>74236708</v>
          </cell>
        </row>
        <row r="3494">
          <cell r="L3494" t="str">
            <v>74236709</v>
          </cell>
        </row>
        <row r="3495">
          <cell r="L3495" t="str">
            <v>74236710</v>
          </cell>
        </row>
        <row r="3496">
          <cell r="L3496" t="str">
            <v>74236711</v>
          </cell>
        </row>
        <row r="3497">
          <cell r="L3497" t="str">
            <v>74236712</v>
          </cell>
        </row>
        <row r="3498">
          <cell r="L3498" t="str">
            <v>74236713</v>
          </cell>
        </row>
        <row r="3499">
          <cell r="L3499" t="str">
            <v>74236714</v>
          </cell>
        </row>
        <row r="3500">
          <cell r="L3500" t="str">
            <v>74236715</v>
          </cell>
        </row>
        <row r="3501">
          <cell r="L3501" t="str">
            <v>74236718</v>
          </cell>
        </row>
        <row r="3502">
          <cell r="L3502" t="str">
            <v>74236719</v>
          </cell>
        </row>
        <row r="3503">
          <cell r="L3503" t="str">
            <v>74236721</v>
          </cell>
        </row>
        <row r="3504">
          <cell r="L3504" t="str">
            <v>74236722</v>
          </cell>
        </row>
        <row r="3505">
          <cell r="L3505" t="str">
            <v>74236723</v>
          </cell>
        </row>
        <row r="3506">
          <cell r="L3506" t="str">
            <v>74236724</v>
          </cell>
        </row>
        <row r="3507">
          <cell r="L3507" t="str">
            <v>74236726</v>
          </cell>
        </row>
        <row r="3508">
          <cell r="L3508" t="str">
            <v>74236727</v>
          </cell>
        </row>
        <row r="3509">
          <cell r="L3509" t="str">
            <v>74236728</v>
          </cell>
        </row>
        <row r="3510">
          <cell r="L3510" t="str">
            <v>74236729</v>
          </cell>
        </row>
        <row r="3511">
          <cell r="L3511" t="str">
            <v>74236731</v>
          </cell>
        </row>
        <row r="3512">
          <cell r="L3512" t="str">
            <v>74236732</v>
          </cell>
        </row>
        <row r="3513">
          <cell r="L3513" t="str">
            <v>74236733</v>
          </cell>
        </row>
        <row r="3514">
          <cell r="L3514" t="str">
            <v>74236735</v>
          </cell>
        </row>
        <row r="3515">
          <cell r="L3515" t="str">
            <v>74236736</v>
          </cell>
        </row>
        <row r="3516">
          <cell r="L3516" t="str">
            <v>74236738</v>
          </cell>
        </row>
        <row r="3517">
          <cell r="L3517" t="str">
            <v>74236739</v>
          </cell>
        </row>
        <row r="3518">
          <cell r="L3518" t="str">
            <v>74236760</v>
          </cell>
        </row>
        <row r="3519">
          <cell r="L3519" t="str">
            <v>74236761</v>
          </cell>
        </row>
        <row r="3520">
          <cell r="L3520" t="str">
            <v>74236762</v>
          </cell>
        </row>
        <row r="3521">
          <cell r="L3521" t="str">
            <v>74236763</v>
          </cell>
        </row>
        <row r="3522">
          <cell r="L3522" t="str">
            <v>74236765</v>
          </cell>
        </row>
        <row r="3523">
          <cell r="L3523" t="str">
            <v>74236766</v>
          </cell>
        </row>
        <row r="3524">
          <cell r="L3524" t="str">
            <v>74236767</v>
          </cell>
        </row>
        <row r="3525">
          <cell r="L3525" t="str">
            <v>74236768</v>
          </cell>
        </row>
        <row r="3526">
          <cell r="L3526" t="str">
            <v>74236769</v>
          </cell>
        </row>
        <row r="3527">
          <cell r="L3527" t="str">
            <v>74236770</v>
          </cell>
        </row>
        <row r="3528">
          <cell r="L3528" t="str">
            <v>74236771</v>
          </cell>
        </row>
        <row r="3529">
          <cell r="L3529" t="str">
            <v>74236773</v>
          </cell>
        </row>
        <row r="3530">
          <cell r="L3530" t="str">
            <v>74236775</v>
          </cell>
        </row>
        <row r="3531">
          <cell r="L3531" t="str">
            <v>74236776</v>
          </cell>
        </row>
        <row r="3532">
          <cell r="L3532" t="str">
            <v>74236777</v>
          </cell>
        </row>
        <row r="3533">
          <cell r="L3533" t="str">
            <v>74236778</v>
          </cell>
        </row>
        <row r="3534">
          <cell r="L3534" t="str">
            <v>74236779</v>
          </cell>
        </row>
        <row r="3535">
          <cell r="L3535" t="str">
            <v>74236780</v>
          </cell>
        </row>
        <row r="3536">
          <cell r="L3536" t="str">
            <v>74236781</v>
          </cell>
        </row>
        <row r="3537">
          <cell r="L3537" t="str">
            <v>74236782</v>
          </cell>
        </row>
        <row r="3538">
          <cell r="L3538" t="str">
            <v>74236799</v>
          </cell>
        </row>
        <row r="3539">
          <cell r="L3539" t="str">
            <v>74236800</v>
          </cell>
        </row>
        <row r="3540">
          <cell r="L3540" t="str">
            <v>74236801</v>
          </cell>
        </row>
        <row r="3541">
          <cell r="L3541" t="str">
            <v>74236804</v>
          </cell>
        </row>
        <row r="3542">
          <cell r="L3542" t="str">
            <v>74236805</v>
          </cell>
        </row>
        <row r="3543">
          <cell r="L3543" t="str">
            <v>74236808</v>
          </cell>
        </row>
        <row r="3544">
          <cell r="L3544" t="str">
            <v>74236961</v>
          </cell>
        </row>
        <row r="3545">
          <cell r="L3545" t="str">
            <v>74236962</v>
          </cell>
        </row>
        <row r="3546">
          <cell r="L3546" t="str">
            <v>74236963</v>
          </cell>
        </row>
        <row r="3547">
          <cell r="L3547" t="str">
            <v>74236965</v>
          </cell>
        </row>
        <row r="3548">
          <cell r="L3548" t="str">
            <v>74236979</v>
          </cell>
        </row>
        <row r="3549">
          <cell r="L3549" t="str">
            <v>74236981</v>
          </cell>
        </row>
        <row r="3550">
          <cell r="L3550" t="str">
            <v>74236982</v>
          </cell>
        </row>
        <row r="3551">
          <cell r="L3551" t="str">
            <v>74236983</v>
          </cell>
        </row>
        <row r="3552">
          <cell r="L3552" t="str">
            <v>74236984</v>
          </cell>
        </row>
        <row r="3553">
          <cell r="L3553" t="str">
            <v>74236986</v>
          </cell>
        </row>
        <row r="3554">
          <cell r="L3554" t="str">
            <v>74236988</v>
          </cell>
        </row>
        <row r="3555">
          <cell r="L3555" t="str">
            <v>74236989</v>
          </cell>
        </row>
        <row r="3556">
          <cell r="L3556" t="str">
            <v>74236990</v>
          </cell>
        </row>
        <row r="3557">
          <cell r="L3557" t="str">
            <v>74236991</v>
          </cell>
        </row>
        <row r="3558">
          <cell r="L3558" t="str">
            <v>74236992</v>
          </cell>
        </row>
        <row r="3559">
          <cell r="L3559" t="str">
            <v>74237000</v>
          </cell>
        </row>
        <row r="3560">
          <cell r="L3560" t="str">
            <v>74237001</v>
          </cell>
        </row>
        <row r="3561">
          <cell r="L3561" t="str">
            <v>74237002</v>
          </cell>
        </row>
        <row r="3562">
          <cell r="L3562" t="str">
            <v>74237005</v>
          </cell>
        </row>
        <row r="3563">
          <cell r="L3563" t="str">
            <v>74237006</v>
          </cell>
        </row>
        <row r="3564">
          <cell r="L3564" t="str">
            <v>74237007</v>
          </cell>
        </row>
        <row r="3565">
          <cell r="L3565" t="str">
            <v>74237008</v>
          </cell>
        </row>
        <row r="3566">
          <cell r="L3566" t="str">
            <v>74237009</v>
          </cell>
        </row>
        <row r="3567">
          <cell r="L3567" t="str">
            <v>74237010</v>
          </cell>
        </row>
        <row r="3568">
          <cell r="L3568" t="str">
            <v>74237011</v>
          </cell>
        </row>
        <row r="3569">
          <cell r="L3569" t="str">
            <v>74237020</v>
          </cell>
        </row>
        <row r="3570">
          <cell r="L3570" t="str">
            <v>74237021</v>
          </cell>
        </row>
        <row r="3571">
          <cell r="L3571" t="str">
            <v>74237023</v>
          </cell>
        </row>
        <row r="3572">
          <cell r="L3572" t="str">
            <v>74237024</v>
          </cell>
        </row>
        <row r="3573">
          <cell r="L3573" t="str">
            <v>74237040</v>
          </cell>
        </row>
        <row r="3574">
          <cell r="L3574" t="str">
            <v>74237041</v>
          </cell>
        </row>
        <row r="3575">
          <cell r="L3575" t="str">
            <v>74237042</v>
          </cell>
        </row>
        <row r="3576">
          <cell r="L3576" t="str">
            <v>74237043</v>
          </cell>
        </row>
        <row r="3577">
          <cell r="L3577" t="str">
            <v>74237044</v>
          </cell>
        </row>
        <row r="3578">
          <cell r="L3578" t="str">
            <v>74237045</v>
          </cell>
        </row>
        <row r="3579">
          <cell r="L3579" t="str">
            <v>74237046</v>
          </cell>
        </row>
        <row r="3580">
          <cell r="L3580" t="str">
            <v>74237080</v>
          </cell>
        </row>
        <row r="3581">
          <cell r="L3581" t="str">
            <v>74237082</v>
          </cell>
        </row>
        <row r="3582">
          <cell r="L3582" t="str">
            <v>74237084</v>
          </cell>
        </row>
        <row r="3583">
          <cell r="L3583" t="str">
            <v>74237085</v>
          </cell>
        </row>
        <row r="3584">
          <cell r="L3584" t="str">
            <v>74237086</v>
          </cell>
        </row>
        <row r="3585">
          <cell r="L3585" t="str">
            <v>74237087</v>
          </cell>
        </row>
        <row r="3586">
          <cell r="L3586" t="str">
            <v>74237090</v>
          </cell>
        </row>
        <row r="3587">
          <cell r="L3587" t="str">
            <v>74237091</v>
          </cell>
        </row>
        <row r="3588">
          <cell r="L3588" t="str">
            <v>74237092</v>
          </cell>
        </row>
        <row r="3589">
          <cell r="L3589" t="str">
            <v>74237093</v>
          </cell>
        </row>
        <row r="3590">
          <cell r="L3590" t="str">
            <v>74237094</v>
          </cell>
        </row>
        <row r="3591">
          <cell r="L3591" t="str">
            <v>74237095</v>
          </cell>
        </row>
        <row r="3592">
          <cell r="L3592" t="str">
            <v>74237096</v>
          </cell>
        </row>
        <row r="3593">
          <cell r="L3593" t="str">
            <v>74237097</v>
          </cell>
        </row>
        <row r="3594">
          <cell r="L3594" t="str">
            <v>74237098</v>
          </cell>
        </row>
        <row r="3595">
          <cell r="L3595" t="str">
            <v>74237099</v>
          </cell>
        </row>
        <row r="3596">
          <cell r="L3596" t="str">
            <v>74237100</v>
          </cell>
        </row>
        <row r="3597">
          <cell r="L3597" t="str">
            <v>74237101</v>
          </cell>
        </row>
        <row r="3598">
          <cell r="L3598" t="str">
            <v>74237119</v>
          </cell>
        </row>
        <row r="3599">
          <cell r="L3599" t="str">
            <v>74237120</v>
          </cell>
        </row>
        <row r="3600">
          <cell r="L3600" t="str">
            <v>74237121</v>
          </cell>
        </row>
        <row r="3601">
          <cell r="L3601" t="str">
            <v>74237122</v>
          </cell>
        </row>
        <row r="3602">
          <cell r="L3602" t="str">
            <v>74237123</v>
          </cell>
        </row>
        <row r="3603">
          <cell r="L3603" t="str">
            <v>74237124</v>
          </cell>
        </row>
        <row r="3604">
          <cell r="L3604" t="str">
            <v>74237125</v>
          </cell>
        </row>
        <row r="3605">
          <cell r="L3605" t="str">
            <v>74237126</v>
          </cell>
        </row>
        <row r="3606">
          <cell r="L3606" t="str">
            <v>74237127</v>
          </cell>
        </row>
        <row r="3607">
          <cell r="L3607" t="str">
            <v>74237128</v>
          </cell>
        </row>
        <row r="3608">
          <cell r="L3608" t="str">
            <v>74237129</v>
          </cell>
        </row>
        <row r="3609">
          <cell r="L3609" t="str">
            <v>74237131</v>
          </cell>
        </row>
        <row r="3610">
          <cell r="L3610" t="str">
            <v>74237132</v>
          </cell>
        </row>
        <row r="3611">
          <cell r="L3611" t="str">
            <v>74237133</v>
          </cell>
        </row>
        <row r="3612">
          <cell r="L3612" t="str">
            <v>74237134</v>
          </cell>
        </row>
        <row r="3613">
          <cell r="L3613" t="str">
            <v>74237135</v>
          </cell>
        </row>
        <row r="3614">
          <cell r="L3614" t="str">
            <v>74237136</v>
          </cell>
        </row>
        <row r="3615">
          <cell r="L3615" t="str">
            <v>74237138</v>
          </cell>
        </row>
        <row r="3616">
          <cell r="L3616" t="str">
            <v>74237139</v>
          </cell>
        </row>
        <row r="3617">
          <cell r="L3617" t="str">
            <v>74237141</v>
          </cell>
        </row>
        <row r="3618">
          <cell r="L3618" t="str">
            <v>74237142</v>
          </cell>
        </row>
        <row r="3619">
          <cell r="L3619" t="str">
            <v>74237144</v>
          </cell>
        </row>
        <row r="3620">
          <cell r="L3620" t="str">
            <v>74237148</v>
          </cell>
        </row>
        <row r="3621">
          <cell r="L3621" t="str">
            <v>74237150</v>
          </cell>
        </row>
        <row r="3622">
          <cell r="L3622" t="str">
            <v>74237151</v>
          </cell>
        </row>
        <row r="3623">
          <cell r="L3623" t="str">
            <v>74237160</v>
          </cell>
        </row>
        <row r="3624">
          <cell r="L3624" t="str">
            <v>74237162</v>
          </cell>
        </row>
        <row r="3625">
          <cell r="L3625" t="str">
            <v>74237164</v>
          </cell>
        </row>
        <row r="3626">
          <cell r="L3626" t="str">
            <v>74237165</v>
          </cell>
        </row>
        <row r="3627">
          <cell r="L3627" t="str">
            <v>74237166</v>
          </cell>
        </row>
        <row r="3628">
          <cell r="L3628" t="str">
            <v>74237167</v>
          </cell>
        </row>
        <row r="3629">
          <cell r="L3629" t="str">
            <v>74237168</v>
          </cell>
        </row>
        <row r="3630">
          <cell r="L3630" t="str">
            <v>74237169</v>
          </cell>
        </row>
        <row r="3631">
          <cell r="L3631" t="str">
            <v>74237179</v>
          </cell>
        </row>
        <row r="3632">
          <cell r="L3632" t="str">
            <v>74237239</v>
          </cell>
        </row>
        <row r="3633">
          <cell r="L3633" t="str">
            <v>74237240</v>
          </cell>
        </row>
        <row r="3634">
          <cell r="L3634" t="str">
            <v>74237259</v>
          </cell>
        </row>
        <row r="3635">
          <cell r="L3635" t="str">
            <v>74237260</v>
          </cell>
        </row>
        <row r="3636">
          <cell r="L3636" t="str">
            <v>74237319</v>
          </cell>
        </row>
        <row r="3637">
          <cell r="L3637" t="str">
            <v>74237320</v>
          </cell>
        </row>
        <row r="3638">
          <cell r="L3638" t="str">
            <v>74237321</v>
          </cell>
        </row>
        <row r="3639">
          <cell r="L3639" t="str">
            <v>74237360</v>
          </cell>
        </row>
        <row r="3640">
          <cell r="L3640" t="str">
            <v>74237361</v>
          </cell>
        </row>
        <row r="3641">
          <cell r="L3641" t="str">
            <v>74237362</v>
          </cell>
        </row>
        <row r="3642">
          <cell r="L3642" t="str">
            <v>74237363</v>
          </cell>
        </row>
        <row r="3643">
          <cell r="L3643" t="str">
            <v>74237365</v>
          </cell>
        </row>
        <row r="3644">
          <cell r="L3644" t="str">
            <v>74237366</v>
          </cell>
        </row>
        <row r="3645">
          <cell r="L3645" t="str">
            <v>74237368</v>
          </cell>
        </row>
        <row r="3646">
          <cell r="L3646" t="str">
            <v>74237369</v>
          </cell>
        </row>
        <row r="3647">
          <cell r="L3647" t="str">
            <v>74237381</v>
          </cell>
        </row>
        <row r="3648">
          <cell r="L3648" t="str">
            <v>74237384</v>
          </cell>
        </row>
        <row r="3649">
          <cell r="L3649" t="str">
            <v>74237399</v>
          </cell>
        </row>
        <row r="3650">
          <cell r="L3650" t="str">
            <v>74237400</v>
          </cell>
        </row>
        <row r="3651">
          <cell r="L3651" t="str">
            <v>74237401</v>
          </cell>
        </row>
        <row r="3652">
          <cell r="L3652" t="str">
            <v>74237402</v>
          </cell>
        </row>
        <row r="3653">
          <cell r="L3653" t="str">
            <v>74237404</v>
          </cell>
        </row>
        <row r="3654">
          <cell r="L3654" t="str">
            <v>74237420</v>
          </cell>
        </row>
        <row r="3655">
          <cell r="L3655" t="str">
            <v>74237499</v>
          </cell>
        </row>
        <row r="3656">
          <cell r="L3656" t="str">
            <v>74237500</v>
          </cell>
        </row>
        <row r="3657">
          <cell r="L3657" t="str">
            <v>74237501</v>
          </cell>
        </row>
        <row r="3658">
          <cell r="L3658" t="str">
            <v>74237502</v>
          </cell>
        </row>
        <row r="3659">
          <cell r="L3659" t="str">
            <v>74237503</v>
          </cell>
        </row>
        <row r="3660">
          <cell r="L3660" t="str">
            <v>74237504</v>
          </cell>
        </row>
        <row r="3661">
          <cell r="L3661" t="str">
            <v>74237505</v>
          </cell>
        </row>
        <row r="3662">
          <cell r="L3662" t="str">
            <v>74237506</v>
          </cell>
        </row>
        <row r="3663">
          <cell r="L3663" t="str">
            <v>74237507</v>
          </cell>
        </row>
        <row r="3664">
          <cell r="L3664" t="str">
            <v>74237520</v>
          </cell>
        </row>
        <row r="3665">
          <cell r="L3665" t="str">
            <v>74238259</v>
          </cell>
        </row>
        <row r="3666">
          <cell r="L3666" t="str">
            <v>74238261</v>
          </cell>
        </row>
        <row r="3667">
          <cell r="L3667" t="str">
            <v>74238262</v>
          </cell>
        </row>
        <row r="3668">
          <cell r="L3668" t="str">
            <v>74238421</v>
          </cell>
        </row>
        <row r="3669">
          <cell r="L3669" t="str">
            <v>74238480</v>
          </cell>
        </row>
        <row r="3670">
          <cell r="L3670" t="str">
            <v>74238485</v>
          </cell>
        </row>
        <row r="3671">
          <cell r="L3671" t="str">
            <v>74240339</v>
          </cell>
        </row>
        <row r="3672">
          <cell r="L3672" t="str">
            <v>74240340</v>
          </cell>
        </row>
        <row r="3673">
          <cell r="L3673" t="str">
            <v>74240341</v>
          </cell>
        </row>
        <row r="3674">
          <cell r="L3674" t="str">
            <v>74240342</v>
          </cell>
        </row>
        <row r="3675">
          <cell r="L3675" t="str">
            <v>74240839</v>
          </cell>
        </row>
        <row r="3676">
          <cell r="L3676" t="str">
            <v>74240840</v>
          </cell>
        </row>
        <row r="3677">
          <cell r="L3677" t="str">
            <v>74241120</v>
          </cell>
        </row>
        <row r="3678">
          <cell r="L3678" t="str">
            <v>74241124</v>
          </cell>
        </row>
        <row r="3679">
          <cell r="L3679" t="str">
            <v>74242381</v>
          </cell>
        </row>
        <row r="3680">
          <cell r="L3680" t="str">
            <v>74243479</v>
          </cell>
        </row>
        <row r="3681">
          <cell r="L3681" t="str">
            <v>74243480</v>
          </cell>
        </row>
        <row r="3682">
          <cell r="L3682" t="str">
            <v>74243481</v>
          </cell>
        </row>
        <row r="3683">
          <cell r="L3683" t="str">
            <v>74243482</v>
          </cell>
        </row>
        <row r="3684">
          <cell r="L3684" t="str">
            <v>74244321</v>
          </cell>
        </row>
        <row r="3685">
          <cell r="L3685" t="str">
            <v>74244519</v>
          </cell>
        </row>
        <row r="3686">
          <cell r="L3686" t="str">
            <v>74244561</v>
          </cell>
        </row>
        <row r="3687">
          <cell r="L3687" t="str">
            <v>74245999</v>
          </cell>
        </row>
        <row r="3688">
          <cell r="L3688" t="str">
            <v>74246082</v>
          </cell>
        </row>
        <row r="3689">
          <cell r="L3689" t="str">
            <v>74246585</v>
          </cell>
        </row>
        <row r="3690">
          <cell r="L3690" t="str">
            <v>74246659</v>
          </cell>
        </row>
        <row r="3691">
          <cell r="L3691" t="str">
            <v>74246660</v>
          </cell>
        </row>
        <row r="3692">
          <cell r="L3692" t="str">
            <v>74246740</v>
          </cell>
        </row>
        <row r="3693">
          <cell r="L3693" t="str">
            <v>74247219</v>
          </cell>
        </row>
        <row r="3694">
          <cell r="L3694" t="str">
            <v>74247382</v>
          </cell>
        </row>
        <row r="3695">
          <cell r="L3695" t="str">
            <v>74247784</v>
          </cell>
        </row>
        <row r="3696">
          <cell r="L3696" t="str">
            <v>74247860</v>
          </cell>
        </row>
        <row r="3697">
          <cell r="L3697" t="str">
            <v>74248005</v>
          </cell>
        </row>
        <row r="3698">
          <cell r="L3698" t="str">
            <v>74248260</v>
          </cell>
        </row>
        <row r="3699">
          <cell r="L3699" t="str">
            <v>74248262</v>
          </cell>
        </row>
        <row r="3700">
          <cell r="L3700" t="str">
            <v>74248263</v>
          </cell>
        </row>
        <row r="3701">
          <cell r="L3701" t="str">
            <v>74248265</v>
          </cell>
        </row>
        <row r="3702">
          <cell r="L3702" t="str">
            <v>74249499</v>
          </cell>
        </row>
        <row r="3703">
          <cell r="L3703" t="str">
            <v>74249861</v>
          </cell>
        </row>
        <row r="3704">
          <cell r="L3704" t="str">
            <v>74249879</v>
          </cell>
        </row>
        <row r="3705">
          <cell r="L3705" t="str">
            <v>74250219</v>
          </cell>
        </row>
        <row r="3706">
          <cell r="L3706" t="str">
            <v>74250222</v>
          </cell>
        </row>
        <row r="3707">
          <cell r="L3707" t="str">
            <v>74250239</v>
          </cell>
        </row>
        <row r="3708">
          <cell r="L3708" t="str">
            <v>74250419</v>
          </cell>
        </row>
        <row r="3709">
          <cell r="L3709" t="str">
            <v>74250742</v>
          </cell>
        </row>
        <row r="3710">
          <cell r="L3710" t="str">
            <v>74250760</v>
          </cell>
        </row>
        <row r="3711">
          <cell r="L3711" t="str">
            <v>74251320</v>
          </cell>
        </row>
        <row r="3712">
          <cell r="L3712" t="str">
            <v>74251359</v>
          </cell>
        </row>
        <row r="3713">
          <cell r="L3713" t="str">
            <v>74251404</v>
          </cell>
        </row>
        <row r="3714">
          <cell r="L3714" t="str">
            <v>74251408</v>
          </cell>
        </row>
        <row r="3715">
          <cell r="L3715" t="str">
            <v>74251457</v>
          </cell>
        </row>
        <row r="3716">
          <cell r="L3716" t="str">
            <v>74251586</v>
          </cell>
        </row>
        <row r="3717">
          <cell r="L3717" t="str">
            <v>74252484</v>
          </cell>
        </row>
        <row r="3718">
          <cell r="L3718" t="str">
            <v>74252499</v>
          </cell>
        </row>
        <row r="3719">
          <cell r="L3719" t="str">
            <v>74252584</v>
          </cell>
        </row>
        <row r="3720">
          <cell r="L3720" t="str">
            <v>74252873</v>
          </cell>
        </row>
        <row r="3721">
          <cell r="L3721" t="str">
            <v>74252881</v>
          </cell>
        </row>
        <row r="3722">
          <cell r="L3722" t="str">
            <v>74252884</v>
          </cell>
        </row>
        <row r="3723">
          <cell r="L3723" t="str">
            <v>74253647</v>
          </cell>
        </row>
        <row r="3724">
          <cell r="L3724" t="str">
            <v>74253744</v>
          </cell>
        </row>
        <row r="3725">
          <cell r="L3725" t="str">
            <v>74254229</v>
          </cell>
        </row>
        <row r="3726">
          <cell r="L3726" t="str">
            <v>74254421</v>
          </cell>
        </row>
        <row r="3727">
          <cell r="L3727" t="str">
            <v>74254519</v>
          </cell>
        </row>
        <row r="3728">
          <cell r="L3728" t="str">
            <v>74254581</v>
          </cell>
        </row>
        <row r="3729">
          <cell r="L3729" t="str">
            <v>74254600</v>
          </cell>
        </row>
        <row r="3730">
          <cell r="L3730" t="str">
            <v>74254619</v>
          </cell>
        </row>
        <row r="3731">
          <cell r="L3731" t="str">
            <v>74254639</v>
          </cell>
        </row>
        <row r="3732">
          <cell r="L3732" t="str">
            <v>74255379</v>
          </cell>
        </row>
        <row r="3733">
          <cell r="L3733" t="str">
            <v>74255401</v>
          </cell>
        </row>
        <row r="3734">
          <cell r="L3734" t="str">
            <v>74256379</v>
          </cell>
        </row>
        <row r="3735">
          <cell r="L3735" t="str">
            <v>74256380</v>
          </cell>
        </row>
        <row r="3736">
          <cell r="L3736" t="str">
            <v>74256382</v>
          </cell>
        </row>
        <row r="3737">
          <cell r="L3737" t="str">
            <v>74256479</v>
          </cell>
        </row>
        <row r="3738">
          <cell r="L3738" t="str">
            <v>74257380</v>
          </cell>
        </row>
        <row r="3739">
          <cell r="L3739" t="str">
            <v>74257540</v>
          </cell>
        </row>
        <row r="3740">
          <cell r="L3740" t="str">
            <v>74262239</v>
          </cell>
        </row>
        <row r="3741">
          <cell r="L3741" t="str">
            <v>74266783</v>
          </cell>
        </row>
        <row r="3742">
          <cell r="L3742" t="str">
            <v>74266786</v>
          </cell>
        </row>
        <row r="3743">
          <cell r="L3743" t="str">
            <v>74266788</v>
          </cell>
        </row>
        <row r="3744">
          <cell r="L3744" t="str">
            <v>74269319</v>
          </cell>
        </row>
        <row r="3745">
          <cell r="L3745" t="str">
            <v>74269320</v>
          </cell>
        </row>
        <row r="3746">
          <cell r="L3746" t="str">
            <v>74269321</v>
          </cell>
        </row>
        <row r="3747">
          <cell r="L3747" t="str">
            <v>74269322</v>
          </cell>
        </row>
        <row r="3748">
          <cell r="L3748" t="str">
            <v>74269323</v>
          </cell>
        </row>
        <row r="3749">
          <cell r="L3749" t="str">
            <v>74269324</v>
          </cell>
        </row>
        <row r="3750">
          <cell r="L3750" t="str">
            <v>74269325</v>
          </cell>
        </row>
        <row r="3751">
          <cell r="L3751" t="str">
            <v>74269326</v>
          </cell>
        </row>
        <row r="3752">
          <cell r="L3752" t="str">
            <v>74269327</v>
          </cell>
        </row>
        <row r="3753">
          <cell r="L3753" t="str">
            <v>74269328</v>
          </cell>
        </row>
        <row r="3754">
          <cell r="L3754" t="str">
            <v>74269329</v>
          </cell>
        </row>
        <row r="3755">
          <cell r="L3755" t="str">
            <v>74269330</v>
          </cell>
        </row>
        <row r="3756">
          <cell r="L3756" t="str">
            <v>74269331</v>
          </cell>
        </row>
        <row r="3757">
          <cell r="L3757" t="str">
            <v>74269332</v>
          </cell>
        </row>
        <row r="3758">
          <cell r="L3758" t="str">
            <v>74269333</v>
          </cell>
        </row>
        <row r="3759">
          <cell r="L3759" t="str">
            <v>74269334</v>
          </cell>
        </row>
        <row r="3760">
          <cell r="L3760" t="str">
            <v>74269335</v>
          </cell>
        </row>
        <row r="3761">
          <cell r="L3761" t="str">
            <v>74269336</v>
          </cell>
        </row>
        <row r="3762">
          <cell r="L3762" t="str">
            <v>74269337</v>
          </cell>
        </row>
        <row r="3763">
          <cell r="L3763" t="str">
            <v>74269339</v>
          </cell>
        </row>
        <row r="3764">
          <cell r="L3764" t="str">
            <v>74269340</v>
          </cell>
        </row>
        <row r="3765">
          <cell r="L3765" t="str">
            <v>74269341</v>
          </cell>
        </row>
        <row r="3766">
          <cell r="L3766" t="str">
            <v>74269342</v>
          </cell>
        </row>
        <row r="3767">
          <cell r="L3767" t="str">
            <v>74269343</v>
          </cell>
        </row>
        <row r="3768">
          <cell r="L3768" t="str">
            <v>74269344</v>
          </cell>
        </row>
        <row r="3769">
          <cell r="L3769" t="str">
            <v>74269345</v>
          </cell>
        </row>
        <row r="3770">
          <cell r="L3770" t="str">
            <v>74269346</v>
          </cell>
        </row>
        <row r="3771">
          <cell r="L3771" t="str">
            <v>74269347</v>
          </cell>
        </row>
        <row r="3772">
          <cell r="L3772" t="str">
            <v>74269348</v>
          </cell>
        </row>
        <row r="3773">
          <cell r="L3773" t="str">
            <v>74269349</v>
          </cell>
        </row>
        <row r="3774">
          <cell r="L3774" t="str">
            <v>74269350</v>
          </cell>
        </row>
        <row r="3775">
          <cell r="L3775" t="str">
            <v>74269351</v>
          </cell>
        </row>
        <row r="3776">
          <cell r="L3776" t="str">
            <v>74269352</v>
          </cell>
        </row>
        <row r="3777">
          <cell r="L3777" t="str">
            <v>74269353</v>
          </cell>
        </row>
        <row r="3778">
          <cell r="L3778" t="str">
            <v>74269354</v>
          </cell>
        </row>
        <row r="3779">
          <cell r="L3779" t="str">
            <v>74269355</v>
          </cell>
        </row>
        <row r="3780">
          <cell r="L3780" t="str">
            <v>74269356</v>
          </cell>
        </row>
        <row r="3781">
          <cell r="L3781" t="str">
            <v>74269357</v>
          </cell>
        </row>
        <row r="3782">
          <cell r="L3782" t="str">
            <v>74269358</v>
          </cell>
        </row>
        <row r="3783">
          <cell r="L3783" t="str">
            <v>74269359</v>
          </cell>
        </row>
        <row r="3784">
          <cell r="L3784" t="str">
            <v>74269360</v>
          </cell>
        </row>
        <row r="3785">
          <cell r="L3785" t="str">
            <v>74269361</v>
          </cell>
        </row>
        <row r="3786">
          <cell r="L3786" t="str">
            <v>74269362</v>
          </cell>
        </row>
        <row r="3787">
          <cell r="L3787" t="str">
            <v>74269363</v>
          </cell>
        </row>
        <row r="3788">
          <cell r="L3788" t="str">
            <v>74269364</v>
          </cell>
        </row>
        <row r="3789">
          <cell r="L3789" t="str">
            <v>74269365</v>
          </cell>
        </row>
        <row r="3790">
          <cell r="L3790" t="str">
            <v>74269366</v>
          </cell>
        </row>
        <row r="3791">
          <cell r="L3791" t="str">
            <v>74269367</v>
          </cell>
        </row>
        <row r="3792">
          <cell r="L3792" t="str">
            <v>74269368</v>
          </cell>
        </row>
        <row r="3793">
          <cell r="L3793" t="str">
            <v>74269369</v>
          </cell>
        </row>
        <row r="3794">
          <cell r="L3794" t="str">
            <v>74269370</v>
          </cell>
        </row>
        <row r="3795">
          <cell r="L3795" t="str">
            <v>74269371</v>
          </cell>
        </row>
        <row r="3796">
          <cell r="L3796" t="str">
            <v>74269372</v>
          </cell>
        </row>
        <row r="3797">
          <cell r="L3797" t="str">
            <v>74269373</v>
          </cell>
        </row>
        <row r="3798">
          <cell r="L3798" t="str">
            <v>74269374</v>
          </cell>
        </row>
        <row r="3799">
          <cell r="L3799" t="str">
            <v>74269375</v>
          </cell>
        </row>
        <row r="3800">
          <cell r="L3800" t="str">
            <v>74269376</v>
          </cell>
        </row>
        <row r="3801">
          <cell r="L3801" t="str">
            <v>74269377</v>
          </cell>
        </row>
        <row r="3802">
          <cell r="L3802" t="str">
            <v>74269378</v>
          </cell>
        </row>
        <row r="3803">
          <cell r="L3803" t="str">
            <v>74269379</v>
          </cell>
        </row>
        <row r="3804">
          <cell r="L3804" t="str">
            <v>74269380</v>
          </cell>
        </row>
        <row r="3805">
          <cell r="L3805" t="str">
            <v>74269381</v>
          </cell>
        </row>
        <row r="3806">
          <cell r="L3806" t="str">
            <v>74269382</v>
          </cell>
        </row>
        <row r="3807">
          <cell r="L3807" t="str">
            <v>74269383</v>
          </cell>
        </row>
        <row r="3808">
          <cell r="L3808" t="str">
            <v>74269384</v>
          </cell>
        </row>
        <row r="3809">
          <cell r="L3809" t="str">
            <v>74269385</v>
          </cell>
        </row>
        <row r="3810">
          <cell r="L3810" t="str">
            <v>74269386</v>
          </cell>
        </row>
        <row r="3811">
          <cell r="L3811" t="str">
            <v>74269387</v>
          </cell>
        </row>
        <row r="3812">
          <cell r="L3812" t="str">
            <v>74269388</v>
          </cell>
        </row>
        <row r="3813">
          <cell r="L3813" t="str">
            <v>74269390</v>
          </cell>
        </row>
        <row r="3814">
          <cell r="L3814" t="str">
            <v>74269391</v>
          </cell>
        </row>
        <row r="3815">
          <cell r="L3815" t="str">
            <v>74269392</v>
          </cell>
        </row>
        <row r="3816">
          <cell r="L3816" t="str">
            <v>74269393</v>
          </cell>
        </row>
        <row r="3817">
          <cell r="L3817" t="str">
            <v>74269394</v>
          </cell>
        </row>
        <row r="3818">
          <cell r="L3818" t="str">
            <v>74269395</v>
          </cell>
        </row>
        <row r="3819">
          <cell r="L3819" t="str">
            <v>74269396</v>
          </cell>
        </row>
        <row r="3820">
          <cell r="L3820" t="str">
            <v>74269397</v>
          </cell>
        </row>
        <row r="3821">
          <cell r="L3821" t="str">
            <v>74269398</v>
          </cell>
        </row>
        <row r="3822">
          <cell r="L3822" t="str">
            <v>74269399</v>
          </cell>
        </row>
        <row r="3823">
          <cell r="L3823" t="str">
            <v>74269400</v>
          </cell>
        </row>
        <row r="3824">
          <cell r="L3824" t="str">
            <v>74269401</v>
          </cell>
        </row>
        <row r="3825">
          <cell r="L3825" t="str">
            <v>74269402</v>
          </cell>
        </row>
        <row r="3826">
          <cell r="L3826" t="str">
            <v>74269403</v>
          </cell>
        </row>
        <row r="3827">
          <cell r="L3827" t="str">
            <v>74269404</v>
          </cell>
        </row>
        <row r="3828">
          <cell r="L3828" t="str">
            <v>74269405</v>
          </cell>
        </row>
        <row r="3829">
          <cell r="L3829" t="str">
            <v>74269406</v>
          </cell>
        </row>
        <row r="3830">
          <cell r="L3830" t="str">
            <v>74269407</v>
          </cell>
        </row>
        <row r="3831">
          <cell r="L3831" t="str">
            <v>74269408</v>
          </cell>
        </row>
        <row r="3832">
          <cell r="L3832" t="str">
            <v>74269409</v>
          </cell>
        </row>
        <row r="3833">
          <cell r="L3833" t="str">
            <v>74269410</v>
          </cell>
        </row>
        <row r="3834">
          <cell r="L3834" t="str">
            <v>74269411</v>
          </cell>
        </row>
        <row r="3835">
          <cell r="L3835" t="str">
            <v>74269412</v>
          </cell>
        </row>
        <row r="3836">
          <cell r="L3836" t="str">
            <v>74269413</v>
          </cell>
        </row>
        <row r="3837">
          <cell r="L3837" t="str">
            <v>74269414</v>
          </cell>
        </row>
        <row r="3838">
          <cell r="L3838" t="str">
            <v>74269415</v>
          </cell>
        </row>
        <row r="3839">
          <cell r="L3839" t="str">
            <v>74269416</v>
          </cell>
        </row>
        <row r="3840">
          <cell r="L3840" t="str">
            <v>74269417</v>
          </cell>
        </row>
        <row r="3841">
          <cell r="L3841" t="str">
            <v>74269418</v>
          </cell>
        </row>
        <row r="3842">
          <cell r="L3842" t="str">
            <v>74269419</v>
          </cell>
        </row>
        <row r="3843">
          <cell r="L3843" t="str">
            <v>74269420</v>
          </cell>
        </row>
        <row r="3844">
          <cell r="L3844" t="str">
            <v>74269421</v>
          </cell>
        </row>
        <row r="3845">
          <cell r="L3845" t="str">
            <v>74269422</v>
          </cell>
        </row>
        <row r="3846">
          <cell r="L3846" t="str">
            <v>74269423</v>
          </cell>
        </row>
        <row r="3847">
          <cell r="L3847" t="str">
            <v>74269424</v>
          </cell>
        </row>
        <row r="3848">
          <cell r="L3848" t="str">
            <v>74269425</v>
          </cell>
        </row>
        <row r="3849">
          <cell r="L3849" t="str">
            <v>74269426</v>
          </cell>
        </row>
        <row r="3850">
          <cell r="L3850" t="str">
            <v>74269427</v>
          </cell>
        </row>
        <row r="3851">
          <cell r="L3851" t="str">
            <v>74269428</v>
          </cell>
        </row>
        <row r="3852">
          <cell r="L3852" t="str">
            <v>74269429</v>
          </cell>
        </row>
        <row r="3853">
          <cell r="L3853" t="str">
            <v>74269430</v>
          </cell>
        </row>
        <row r="3854">
          <cell r="L3854" t="str">
            <v>74269431</v>
          </cell>
        </row>
        <row r="3855">
          <cell r="L3855" t="str">
            <v>74269432</v>
          </cell>
        </row>
        <row r="3856">
          <cell r="L3856" t="str">
            <v>74269433</v>
          </cell>
        </row>
        <row r="3857">
          <cell r="L3857" t="str">
            <v>74269434</v>
          </cell>
        </row>
        <row r="3858">
          <cell r="L3858" t="str">
            <v>74269435</v>
          </cell>
        </row>
        <row r="3859">
          <cell r="L3859" t="str">
            <v>74269436</v>
          </cell>
        </row>
        <row r="3860">
          <cell r="L3860" t="str">
            <v>74269437</v>
          </cell>
        </row>
        <row r="3861">
          <cell r="L3861" t="str">
            <v>74269438</v>
          </cell>
        </row>
        <row r="3862">
          <cell r="L3862" t="str">
            <v>74269439</v>
          </cell>
        </row>
        <row r="3863">
          <cell r="L3863" t="str">
            <v>74269440</v>
          </cell>
        </row>
        <row r="3864">
          <cell r="L3864" t="str">
            <v>74269441</v>
          </cell>
        </row>
        <row r="3865">
          <cell r="L3865" t="str">
            <v>74269442</v>
          </cell>
        </row>
        <row r="3866">
          <cell r="L3866" t="str">
            <v>74269443</v>
          </cell>
        </row>
        <row r="3867">
          <cell r="L3867" t="str">
            <v>74269444</v>
          </cell>
        </row>
        <row r="3868">
          <cell r="L3868" t="str">
            <v>74269445</v>
          </cell>
        </row>
        <row r="3869">
          <cell r="L3869" t="str">
            <v>74269446</v>
          </cell>
        </row>
        <row r="3870">
          <cell r="L3870" t="str">
            <v>74269447</v>
          </cell>
        </row>
        <row r="3871">
          <cell r="L3871" t="str">
            <v>74269448</v>
          </cell>
        </row>
        <row r="3872">
          <cell r="L3872" t="str">
            <v>74269449</v>
          </cell>
        </row>
        <row r="3873">
          <cell r="L3873" t="str">
            <v>74269450</v>
          </cell>
        </row>
        <row r="3874">
          <cell r="L3874" t="str">
            <v>74269451</v>
          </cell>
        </row>
        <row r="3875">
          <cell r="L3875" t="str">
            <v>74269452</v>
          </cell>
        </row>
        <row r="3876">
          <cell r="L3876" t="str">
            <v>74269453</v>
          </cell>
        </row>
        <row r="3877">
          <cell r="L3877" t="str">
            <v>74269454</v>
          </cell>
        </row>
        <row r="3878">
          <cell r="L3878" t="str">
            <v>74269455</v>
          </cell>
        </row>
        <row r="3879">
          <cell r="L3879" t="str">
            <v>74269456</v>
          </cell>
        </row>
        <row r="3880">
          <cell r="L3880" t="str">
            <v>74269457</v>
          </cell>
        </row>
        <row r="3881">
          <cell r="L3881" t="str">
            <v>74269458</v>
          </cell>
        </row>
        <row r="3882">
          <cell r="L3882" t="str">
            <v>74269459</v>
          </cell>
        </row>
        <row r="3883">
          <cell r="L3883" t="str">
            <v>74269460</v>
          </cell>
        </row>
        <row r="3884">
          <cell r="L3884" t="str">
            <v>74269461</v>
          </cell>
        </row>
        <row r="3885">
          <cell r="L3885" t="str">
            <v>74269462</v>
          </cell>
        </row>
        <row r="3886">
          <cell r="L3886" t="str">
            <v>74269463</v>
          </cell>
        </row>
        <row r="3887">
          <cell r="L3887" t="str">
            <v>74269464</v>
          </cell>
        </row>
        <row r="3888">
          <cell r="L3888" t="str">
            <v>74269465</v>
          </cell>
        </row>
        <row r="3889">
          <cell r="L3889" t="str">
            <v>74269466</v>
          </cell>
        </row>
        <row r="3890">
          <cell r="L3890" t="str">
            <v>74269467</v>
          </cell>
        </row>
        <row r="3891">
          <cell r="L3891" t="str">
            <v>74269468</v>
          </cell>
        </row>
        <row r="3892">
          <cell r="L3892" t="str">
            <v>74269469</v>
          </cell>
        </row>
        <row r="3893">
          <cell r="L3893" t="str">
            <v>74269470</v>
          </cell>
        </row>
        <row r="3894">
          <cell r="L3894" t="str">
            <v>74269471</v>
          </cell>
        </row>
        <row r="3895">
          <cell r="L3895" t="str">
            <v>74269472</v>
          </cell>
        </row>
        <row r="3896">
          <cell r="L3896" t="str">
            <v>74269473</v>
          </cell>
        </row>
        <row r="3897">
          <cell r="L3897" t="str">
            <v>74269474</v>
          </cell>
        </row>
        <row r="3898">
          <cell r="L3898" t="str">
            <v>74269475</v>
          </cell>
        </row>
        <row r="3899">
          <cell r="L3899" t="str">
            <v>74269476</v>
          </cell>
        </row>
        <row r="3900">
          <cell r="L3900" t="str">
            <v>74269477</v>
          </cell>
        </row>
        <row r="3901">
          <cell r="L3901" t="str">
            <v>74269478</v>
          </cell>
        </row>
        <row r="3902">
          <cell r="L3902" t="str">
            <v>74269479</v>
          </cell>
        </row>
        <row r="3903">
          <cell r="L3903" t="str">
            <v>74269480</v>
          </cell>
        </row>
        <row r="3904">
          <cell r="L3904" t="str">
            <v>74269481</v>
          </cell>
        </row>
        <row r="3905">
          <cell r="L3905" t="str">
            <v>74269482</v>
          </cell>
        </row>
        <row r="3906">
          <cell r="L3906" t="str">
            <v>74269483</v>
          </cell>
        </row>
        <row r="3907">
          <cell r="L3907" t="str">
            <v>74269484</v>
          </cell>
        </row>
        <row r="3908">
          <cell r="L3908" t="str">
            <v>74269485</v>
          </cell>
        </row>
        <row r="3909">
          <cell r="L3909" t="str">
            <v>74269486</v>
          </cell>
        </row>
        <row r="3910">
          <cell r="L3910" t="str">
            <v>74269487</v>
          </cell>
        </row>
        <row r="3911">
          <cell r="L3911" t="str">
            <v>74269488</v>
          </cell>
        </row>
        <row r="3912">
          <cell r="L3912" t="str">
            <v>74269489</v>
          </cell>
        </row>
        <row r="3913">
          <cell r="L3913" t="str">
            <v>74269490</v>
          </cell>
        </row>
        <row r="3914">
          <cell r="L3914" t="str">
            <v>74269491</v>
          </cell>
        </row>
        <row r="3915">
          <cell r="L3915" t="str">
            <v>74269492</v>
          </cell>
        </row>
        <row r="3916">
          <cell r="L3916" t="str">
            <v>74269493</v>
          </cell>
        </row>
        <row r="3917">
          <cell r="L3917" t="str">
            <v>74269494</v>
          </cell>
        </row>
        <row r="3918">
          <cell r="L3918" t="str">
            <v>74269495</v>
          </cell>
        </row>
        <row r="3919">
          <cell r="L3919" t="str">
            <v>74269496</v>
          </cell>
        </row>
        <row r="3920">
          <cell r="L3920" t="str">
            <v>74269497</v>
          </cell>
        </row>
        <row r="3921">
          <cell r="L3921" t="str">
            <v>74269498</v>
          </cell>
        </row>
        <row r="3922">
          <cell r="L3922" t="str">
            <v>74269499</v>
          </cell>
        </row>
        <row r="3923">
          <cell r="L3923" t="str">
            <v>74269500</v>
          </cell>
        </row>
        <row r="3924">
          <cell r="L3924" t="str">
            <v>74269501</v>
          </cell>
        </row>
        <row r="3925">
          <cell r="L3925" t="str">
            <v>74269502</v>
          </cell>
        </row>
        <row r="3926">
          <cell r="L3926" t="str">
            <v>74269503</v>
          </cell>
        </row>
        <row r="3927">
          <cell r="L3927" t="str">
            <v>74269504</v>
          </cell>
        </row>
        <row r="3928">
          <cell r="L3928" t="str">
            <v>74269505</v>
          </cell>
        </row>
        <row r="3929">
          <cell r="L3929" t="str">
            <v>74269506</v>
          </cell>
        </row>
        <row r="3930">
          <cell r="L3930" t="str">
            <v>74269507</v>
          </cell>
        </row>
        <row r="3931">
          <cell r="L3931" t="str">
            <v>74269508</v>
          </cell>
        </row>
        <row r="3932">
          <cell r="L3932" t="str">
            <v>74269509</v>
          </cell>
        </row>
        <row r="3933">
          <cell r="L3933" t="str">
            <v>74269510</v>
          </cell>
        </row>
        <row r="3934">
          <cell r="L3934" t="str">
            <v>74269511</v>
          </cell>
        </row>
        <row r="3935">
          <cell r="L3935" t="str">
            <v>74269512</v>
          </cell>
        </row>
        <row r="3936">
          <cell r="L3936" t="str">
            <v>74269513</v>
          </cell>
        </row>
        <row r="3937">
          <cell r="L3937" t="str">
            <v>74269514</v>
          </cell>
        </row>
        <row r="3938">
          <cell r="L3938" t="str">
            <v>74269515</v>
          </cell>
        </row>
        <row r="3939">
          <cell r="L3939" t="str">
            <v>74269516</v>
          </cell>
        </row>
        <row r="3940">
          <cell r="L3940" t="str">
            <v>74269517</v>
          </cell>
        </row>
        <row r="3941">
          <cell r="L3941" t="str">
            <v>74269518</v>
          </cell>
        </row>
        <row r="3942">
          <cell r="L3942" t="str">
            <v>74269519</v>
          </cell>
        </row>
        <row r="3943">
          <cell r="L3943" t="str">
            <v>74269520</v>
          </cell>
        </row>
        <row r="3944">
          <cell r="L3944" t="str">
            <v>74269539</v>
          </cell>
        </row>
        <row r="3945">
          <cell r="L3945" t="str">
            <v>74269540</v>
          </cell>
        </row>
        <row r="3946">
          <cell r="L3946" t="str">
            <v>74269541</v>
          </cell>
        </row>
        <row r="3947">
          <cell r="L3947" t="str">
            <v>74269542</v>
          </cell>
        </row>
        <row r="3948">
          <cell r="L3948" t="str">
            <v>74269543</v>
          </cell>
        </row>
        <row r="3949">
          <cell r="L3949" t="str">
            <v>74269544</v>
          </cell>
        </row>
        <row r="3950">
          <cell r="L3950" t="str">
            <v>74269545</v>
          </cell>
        </row>
        <row r="3951">
          <cell r="L3951" t="str">
            <v>74269546</v>
          </cell>
        </row>
        <row r="3952">
          <cell r="L3952" t="str">
            <v>74269547</v>
          </cell>
        </row>
        <row r="3953">
          <cell r="L3953" t="str">
            <v>74269548</v>
          </cell>
        </row>
        <row r="3954">
          <cell r="L3954" t="str">
            <v>74269549</v>
          </cell>
        </row>
        <row r="3955">
          <cell r="L3955" t="str">
            <v>74269550</v>
          </cell>
        </row>
        <row r="3956">
          <cell r="L3956" t="str">
            <v>74269551</v>
          </cell>
        </row>
        <row r="3957">
          <cell r="L3957" t="str">
            <v>74269552</v>
          </cell>
        </row>
        <row r="3958">
          <cell r="L3958" t="str">
            <v>74269553</v>
          </cell>
        </row>
        <row r="3959">
          <cell r="L3959" t="str">
            <v>74269554</v>
          </cell>
        </row>
        <row r="3960">
          <cell r="L3960" t="str">
            <v>74269555</v>
          </cell>
        </row>
        <row r="3961">
          <cell r="L3961" t="str">
            <v>74269556</v>
          </cell>
        </row>
        <row r="3962">
          <cell r="L3962" t="str">
            <v>74269557</v>
          </cell>
        </row>
        <row r="3963">
          <cell r="L3963" t="str">
            <v>74269558</v>
          </cell>
        </row>
        <row r="3964">
          <cell r="L3964" t="str">
            <v>74269559</v>
          </cell>
        </row>
        <row r="3965">
          <cell r="L3965" t="str">
            <v>74269560</v>
          </cell>
        </row>
        <row r="3966">
          <cell r="L3966" t="str">
            <v>74269561</v>
          </cell>
        </row>
        <row r="3967">
          <cell r="L3967" t="str">
            <v>74269562</v>
          </cell>
        </row>
        <row r="3968">
          <cell r="L3968" t="str">
            <v>74269563</v>
          </cell>
        </row>
        <row r="3969">
          <cell r="L3969" t="str">
            <v>74269564</v>
          </cell>
        </row>
        <row r="3970">
          <cell r="L3970" t="str">
            <v>74269565</v>
          </cell>
        </row>
        <row r="3971">
          <cell r="L3971" t="str">
            <v>74269566</v>
          </cell>
        </row>
        <row r="3972">
          <cell r="L3972" t="str">
            <v>74269567</v>
          </cell>
        </row>
        <row r="3973">
          <cell r="L3973" t="str">
            <v>74269568</v>
          </cell>
        </row>
        <row r="3974">
          <cell r="L3974" t="str">
            <v>74269569</v>
          </cell>
        </row>
        <row r="3975">
          <cell r="L3975" t="str">
            <v>74269570</v>
          </cell>
        </row>
        <row r="3976">
          <cell r="L3976" t="str">
            <v>74269571</v>
          </cell>
        </row>
        <row r="3977">
          <cell r="L3977" t="str">
            <v>74269572</v>
          </cell>
        </row>
        <row r="3978">
          <cell r="L3978" t="str">
            <v>74269573</v>
          </cell>
        </row>
        <row r="3979">
          <cell r="L3979" t="str">
            <v>74269574</v>
          </cell>
        </row>
        <row r="3980">
          <cell r="L3980" t="str">
            <v>74269575</v>
          </cell>
        </row>
        <row r="3981">
          <cell r="L3981" t="str">
            <v>74269576</v>
          </cell>
        </row>
        <row r="3982">
          <cell r="L3982" t="str">
            <v>74269577</v>
          </cell>
        </row>
        <row r="3983">
          <cell r="L3983" t="str">
            <v>74269578</v>
          </cell>
        </row>
        <row r="3984">
          <cell r="L3984" t="str">
            <v>74269579</v>
          </cell>
        </row>
        <row r="3985">
          <cell r="L3985" t="str">
            <v>74269580</v>
          </cell>
        </row>
        <row r="3986">
          <cell r="L3986" t="str">
            <v>74269581</v>
          </cell>
        </row>
        <row r="3987">
          <cell r="L3987" t="str">
            <v>74269582</v>
          </cell>
        </row>
        <row r="3988">
          <cell r="L3988" t="str">
            <v>74269583</v>
          </cell>
        </row>
        <row r="3989">
          <cell r="L3989" t="str">
            <v>74269584</v>
          </cell>
        </row>
        <row r="3990">
          <cell r="L3990" t="str">
            <v>74269585</v>
          </cell>
        </row>
        <row r="3991">
          <cell r="L3991" t="str">
            <v>74269586</v>
          </cell>
        </row>
        <row r="3992">
          <cell r="L3992" t="str">
            <v>74269587</v>
          </cell>
        </row>
        <row r="3993">
          <cell r="L3993" t="str">
            <v>74269588</v>
          </cell>
        </row>
        <row r="3994">
          <cell r="L3994" t="str">
            <v>74269589</v>
          </cell>
        </row>
        <row r="3995">
          <cell r="L3995" t="str">
            <v>74269590</v>
          </cell>
        </row>
        <row r="3996">
          <cell r="L3996" t="str">
            <v>74269591</v>
          </cell>
        </row>
        <row r="3997">
          <cell r="L3997" t="str">
            <v>74269592</v>
          </cell>
        </row>
        <row r="3998">
          <cell r="L3998" t="str">
            <v>74269593</v>
          </cell>
        </row>
        <row r="3999">
          <cell r="L3999" t="str">
            <v>74269594</v>
          </cell>
        </row>
        <row r="4000">
          <cell r="L4000" t="str">
            <v>74269595</v>
          </cell>
        </row>
        <row r="4001">
          <cell r="L4001" t="str">
            <v>74269596</v>
          </cell>
        </row>
        <row r="4002">
          <cell r="L4002" t="str">
            <v>74269597</v>
          </cell>
        </row>
        <row r="4003">
          <cell r="L4003" t="str">
            <v>74269598</v>
          </cell>
        </row>
        <row r="4004">
          <cell r="L4004" t="str">
            <v>74269599</v>
          </cell>
        </row>
        <row r="4005">
          <cell r="L4005" t="str">
            <v>74269600</v>
          </cell>
        </row>
        <row r="4006">
          <cell r="L4006" t="str">
            <v>74269601</v>
          </cell>
        </row>
        <row r="4007">
          <cell r="L4007" t="str">
            <v>74269602</v>
          </cell>
        </row>
        <row r="4008">
          <cell r="L4008" t="str">
            <v>74269603</v>
          </cell>
        </row>
        <row r="4009">
          <cell r="L4009" t="str">
            <v>74269604</v>
          </cell>
        </row>
        <row r="4010">
          <cell r="L4010" t="str">
            <v>74269605</v>
          </cell>
        </row>
        <row r="4011">
          <cell r="L4011" t="str">
            <v>74269606</v>
          </cell>
        </row>
        <row r="4012">
          <cell r="L4012" t="str">
            <v>74269607</v>
          </cell>
        </row>
        <row r="4013">
          <cell r="L4013" t="str">
            <v>74269608</v>
          </cell>
        </row>
        <row r="4014">
          <cell r="L4014" t="str">
            <v>74269609</v>
          </cell>
        </row>
        <row r="4015">
          <cell r="L4015" t="str">
            <v>74269610</v>
          </cell>
        </row>
        <row r="4016">
          <cell r="L4016" t="str">
            <v>74269611</v>
          </cell>
        </row>
        <row r="4017">
          <cell r="L4017" t="str">
            <v>74269612</v>
          </cell>
        </row>
        <row r="4018">
          <cell r="L4018" t="str">
            <v>74269613</v>
          </cell>
        </row>
        <row r="4019">
          <cell r="L4019" t="str">
            <v>74269614</v>
          </cell>
        </row>
        <row r="4020">
          <cell r="L4020" t="str">
            <v>74269615</v>
          </cell>
        </row>
        <row r="4021">
          <cell r="L4021" t="str">
            <v>74269616</v>
          </cell>
        </row>
        <row r="4022">
          <cell r="L4022" t="str">
            <v>74269617</v>
          </cell>
        </row>
        <row r="4023">
          <cell r="L4023" t="str">
            <v>74269618</v>
          </cell>
        </row>
        <row r="4024">
          <cell r="L4024" t="str">
            <v>74269619</v>
          </cell>
        </row>
        <row r="4025">
          <cell r="L4025" t="str">
            <v>74269620</v>
          </cell>
        </row>
        <row r="4026">
          <cell r="L4026" t="str">
            <v>74269621</v>
          </cell>
        </row>
        <row r="4027">
          <cell r="L4027" t="str">
            <v>74269622</v>
          </cell>
        </row>
        <row r="4028">
          <cell r="L4028" t="str">
            <v>74269623</v>
          </cell>
        </row>
        <row r="4029">
          <cell r="L4029" t="str">
            <v>74269624</v>
          </cell>
        </row>
        <row r="4030">
          <cell r="L4030" t="str">
            <v>74269625</v>
          </cell>
        </row>
        <row r="4031">
          <cell r="L4031" t="str">
            <v>74269626</v>
          </cell>
        </row>
        <row r="4032">
          <cell r="L4032" t="str">
            <v>74269627</v>
          </cell>
        </row>
        <row r="4033">
          <cell r="L4033" t="str">
            <v>74269628</v>
          </cell>
        </row>
        <row r="4034">
          <cell r="L4034" t="str">
            <v>74269629</v>
          </cell>
        </row>
        <row r="4035">
          <cell r="L4035" t="str">
            <v>74269630</v>
          </cell>
        </row>
        <row r="4036">
          <cell r="L4036" t="str">
            <v>74269631</v>
          </cell>
        </row>
        <row r="4037">
          <cell r="L4037" t="str">
            <v>74269632</v>
          </cell>
        </row>
        <row r="4038">
          <cell r="L4038" t="str">
            <v>74269633</v>
          </cell>
        </row>
        <row r="4039">
          <cell r="L4039" t="str">
            <v>74269634</v>
          </cell>
        </row>
        <row r="4040">
          <cell r="L4040" t="str">
            <v>74269635</v>
          </cell>
        </row>
        <row r="4041">
          <cell r="L4041" t="str">
            <v>74269636</v>
          </cell>
        </row>
        <row r="4042">
          <cell r="L4042" t="str">
            <v>74269637</v>
          </cell>
        </row>
        <row r="4043">
          <cell r="L4043" t="str">
            <v>74269638</v>
          </cell>
        </row>
        <row r="4044">
          <cell r="L4044" t="str">
            <v>74269639</v>
          </cell>
        </row>
        <row r="4045">
          <cell r="L4045" t="str">
            <v>74269640</v>
          </cell>
        </row>
        <row r="4046">
          <cell r="L4046" t="str">
            <v>74269641</v>
          </cell>
        </row>
        <row r="4047">
          <cell r="L4047" t="str">
            <v>74269642</v>
          </cell>
        </row>
        <row r="4048">
          <cell r="L4048" t="str">
            <v>74269643</v>
          </cell>
        </row>
        <row r="4049">
          <cell r="L4049" t="str">
            <v>74269644</v>
          </cell>
        </row>
        <row r="4050">
          <cell r="L4050" t="str">
            <v>74269645</v>
          </cell>
        </row>
        <row r="4051">
          <cell r="L4051" t="str">
            <v>74269646</v>
          </cell>
        </row>
        <row r="4052">
          <cell r="L4052" t="str">
            <v>74269647</v>
          </cell>
        </row>
        <row r="4053">
          <cell r="L4053" t="str">
            <v>74269648</v>
          </cell>
        </row>
        <row r="4054">
          <cell r="L4054" t="str">
            <v>74269649</v>
          </cell>
        </row>
        <row r="4055">
          <cell r="L4055" t="str">
            <v>74269650</v>
          </cell>
        </row>
        <row r="4056">
          <cell r="L4056" t="str">
            <v>74269651</v>
          </cell>
        </row>
        <row r="4057">
          <cell r="L4057" t="str">
            <v>74269652</v>
          </cell>
        </row>
        <row r="4058">
          <cell r="L4058" t="str">
            <v>74269653</v>
          </cell>
        </row>
        <row r="4059">
          <cell r="L4059" t="str">
            <v>74269654</v>
          </cell>
        </row>
        <row r="4060">
          <cell r="L4060" t="str">
            <v>74269655</v>
          </cell>
        </row>
        <row r="4061">
          <cell r="L4061" t="str">
            <v>74269656</v>
          </cell>
        </row>
        <row r="4062">
          <cell r="L4062" t="str">
            <v>74269657</v>
          </cell>
        </row>
        <row r="4063">
          <cell r="L4063" t="str">
            <v>74269658</v>
          </cell>
        </row>
        <row r="4064">
          <cell r="L4064" t="str">
            <v>74269659</v>
          </cell>
        </row>
        <row r="4065">
          <cell r="L4065" t="str">
            <v>74269660</v>
          </cell>
        </row>
        <row r="4066">
          <cell r="L4066" t="str">
            <v>74269661</v>
          </cell>
        </row>
        <row r="4067">
          <cell r="L4067" t="str">
            <v>74269662</v>
          </cell>
        </row>
        <row r="4068">
          <cell r="L4068" t="str">
            <v>74269663</v>
          </cell>
        </row>
        <row r="4069">
          <cell r="L4069" t="str">
            <v>74269664</v>
          </cell>
        </row>
        <row r="4070">
          <cell r="L4070" t="str">
            <v>74269665</v>
          </cell>
        </row>
        <row r="4071">
          <cell r="L4071" t="str">
            <v>74269666</v>
          </cell>
        </row>
        <row r="4072">
          <cell r="L4072" t="str">
            <v>74269667</v>
          </cell>
        </row>
        <row r="4073">
          <cell r="L4073" t="str">
            <v>74269668</v>
          </cell>
        </row>
        <row r="4074">
          <cell r="L4074" t="str">
            <v>74269669</v>
          </cell>
        </row>
        <row r="4075">
          <cell r="L4075" t="str">
            <v>74269670</v>
          </cell>
        </row>
        <row r="4076">
          <cell r="L4076" t="str">
            <v>74269671</v>
          </cell>
        </row>
        <row r="4077">
          <cell r="L4077" t="str">
            <v>74269672</v>
          </cell>
        </row>
        <row r="4078">
          <cell r="L4078" t="str">
            <v>74269673</v>
          </cell>
        </row>
        <row r="4079">
          <cell r="L4079" t="str">
            <v>74269674</v>
          </cell>
        </row>
        <row r="4080">
          <cell r="L4080" t="str">
            <v>74269675</v>
          </cell>
        </row>
        <row r="4081">
          <cell r="L4081" t="str">
            <v>74269676</v>
          </cell>
        </row>
        <row r="4082">
          <cell r="L4082" t="str">
            <v>74269677</v>
          </cell>
        </row>
        <row r="4083">
          <cell r="L4083" t="str">
            <v>74269678</v>
          </cell>
        </row>
        <row r="4084">
          <cell r="L4084" t="str">
            <v>74269679</v>
          </cell>
        </row>
        <row r="4085">
          <cell r="L4085" t="str">
            <v>74269680</v>
          </cell>
        </row>
        <row r="4086">
          <cell r="L4086" t="str">
            <v>74269681</v>
          </cell>
        </row>
        <row r="4087">
          <cell r="L4087" t="str">
            <v>74269682</v>
          </cell>
        </row>
        <row r="4088">
          <cell r="L4088" t="str">
            <v>74269683</v>
          </cell>
        </row>
        <row r="4089">
          <cell r="L4089" t="str">
            <v>74269684</v>
          </cell>
        </row>
        <row r="4090">
          <cell r="L4090" t="str">
            <v>74269685</v>
          </cell>
        </row>
        <row r="4091">
          <cell r="L4091" t="str">
            <v>74269686</v>
          </cell>
        </row>
        <row r="4092">
          <cell r="L4092" t="str">
            <v>74269687</v>
          </cell>
        </row>
        <row r="4093">
          <cell r="L4093" t="str">
            <v>74269688</v>
          </cell>
        </row>
        <row r="4094">
          <cell r="L4094" t="str">
            <v>74269689</v>
          </cell>
        </row>
        <row r="4095">
          <cell r="L4095" t="str">
            <v>74269690</v>
          </cell>
        </row>
        <row r="4096">
          <cell r="L4096" t="str">
            <v>74269691</v>
          </cell>
        </row>
        <row r="4097">
          <cell r="L4097" t="str">
            <v>74269692</v>
          </cell>
        </row>
        <row r="4098">
          <cell r="L4098" t="str">
            <v>74269693</v>
          </cell>
        </row>
        <row r="4099">
          <cell r="L4099" t="str">
            <v>74269694</v>
          </cell>
        </row>
        <row r="4100">
          <cell r="L4100" t="str">
            <v>74269695</v>
          </cell>
        </row>
        <row r="4101">
          <cell r="L4101" t="str">
            <v>74269696</v>
          </cell>
        </row>
        <row r="4102">
          <cell r="L4102" t="str">
            <v>74269697</v>
          </cell>
        </row>
        <row r="4103">
          <cell r="L4103" t="str">
            <v>74269698</v>
          </cell>
        </row>
        <row r="4104">
          <cell r="L4104" t="str">
            <v>74269699</v>
          </cell>
        </row>
        <row r="4105">
          <cell r="L4105" t="str">
            <v>74269700</v>
          </cell>
        </row>
        <row r="4106">
          <cell r="L4106" t="str">
            <v>74269701</v>
          </cell>
        </row>
        <row r="4107">
          <cell r="L4107" t="str">
            <v>74269702</v>
          </cell>
        </row>
        <row r="4108">
          <cell r="L4108" t="str">
            <v>74269703</v>
          </cell>
        </row>
        <row r="4109">
          <cell r="L4109" t="str">
            <v>74269704</v>
          </cell>
        </row>
        <row r="4110">
          <cell r="L4110" t="str">
            <v>74269705</v>
          </cell>
        </row>
        <row r="4111">
          <cell r="L4111" t="str">
            <v>74269706</v>
          </cell>
        </row>
        <row r="4112">
          <cell r="L4112" t="str">
            <v>74269707</v>
          </cell>
        </row>
        <row r="4113">
          <cell r="L4113" t="str">
            <v>74269708</v>
          </cell>
        </row>
        <row r="4114">
          <cell r="L4114" t="str">
            <v>74269709</v>
          </cell>
        </row>
        <row r="4115">
          <cell r="L4115" t="str">
            <v>74269710</v>
          </cell>
        </row>
        <row r="4116">
          <cell r="L4116" t="str">
            <v>74270163</v>
          </cell>
        </row>
        <row r="4117">
          <cell r="L4117" t="str">
            <v>74270301</v>
          </cell>
        </row>
        <row r="4118">
          <cell r="L4118" t="str">
            <v>74270341</v>
          </cell>
        </row>
        <row r="4119">
          <cell r="L4119" t="str">
            <v>74270619</v>
          </cell>
        </row>
        <row r="4120">
          <cell r="L4120" t="str">
            <v>74270779</v>
          </cell>
        </row>
        <row r="4121">
          <cell r="L4121" t="str">
            <v>74271100</v>
          </cell>
        </row>
        <row r="4122">
          <cell r="L4122" t="str">
            <v>74271939</v>
          </cell>
        </row>
        <row r="4123">
          <cell r="L4123" t="str">
            <v>74272640</v>
          </cell>
        </row>
        <row r="4124">
          <cell r="L4124" t="str">
            <v>74272700</v>
          </cell>
        </row>
        <row r="4125">
          <cell r="L4125" t="str">
            <v>74274608</v>
          </cell>
        </row>
        <row r="4126">
          <cell r="L4126" t="str">
            <v>74275041</v>
          </cell>
        </row>
        <row r="4127">
          <cell r="L4127" t="str">
            <v>74275044</v>
          </cell>
        </row>
        <row r="4128">
          <cell r="L4128" t="str">
            <v>74275142</v>
          </cell>
        </row>
        <row r="4129">
          <cell r="L4129" t="str">
            <v>74275145</v>
          </cell>
        </row>
        <row r="4130">
          <cell r="L4130" t="str">
            <v>74275168</v>
          </cell>
        </row>
        <row r="4131">
          <cell r="L4131" t="str">
            <v>74275169</v>
          </cell>
        </row>
        <row r="4132">
          <cell r="L4132" t="str">
            <v>74275172</v>
          </cell>
        </row>
        <row r="4133">
          <cell r="L4133" t="str">
            <v>74275175</v>
          </cell>
        </row>
        <row r="4134">
          <cell r="L4134" t="str">
            <v>74275179</v>
          </cell>
        </row>
        <row r="4135">
          <cell r="L4135" t="str">
            <v>74275722</v>
          </cell>
        </row>
        <row r="4136">
          <cell r="L4136" t="str">
            <v>74276521</v>
          </cell>
        </row>
        <row r="4137">
          <cell r="L4137" t="str">
            <v>74276522</v>
          </cell>
        </row>
        <row r="4138">
          <cell r="L4138" t="str">
            <v>74276563</v>
          </cell>
        </row>
        <row r="4139">
          <cell r="L4139" t="str">
            <v>74276579</v>
          </cell>
        </row>
        <row r="4140">
          <cell r="L4140" t="str">
            <v>74276639</v>
          </cell>
        </row>
        <row r="4141">
          <cell r="L4141" t="str">
            <v>74276972</v>
          </cell>
        </row>
        <row r="4142">
          <cell r="L4142" t="str">
            <v>74277199</v>
          </cell>
        </row>
        <row r="4143">
          <cell r="L4143" t="str">
            <v>74277359</v>
          </cell>
        </row>
        <row r="4144">
          <cell r="L4144" t="str">
            <v>74277644</v>
          </cell>
        </row>
        <row r="4145">
          <cell r="L4145" t="str">
            <v>74277645</v>
          </cell>
        </row>
        <row r="4146">
          <cell r="L4146" t="str">
            <v>74277660</v>
          </cell>
        </row>
        <row r="4147">
          <cell r="L4147" t="str">
            <v>74278099</v>
          </cell>
        </row>
        <row r="4148">
          <cell r="L4148" t="str">
            <v>74278100</v>
          </cell>
        </row>
        <row r="4149">
          <cell r="L4149" t="str">
            <v>74278101</v>
          </cell>
        </row>
        <row r="4150">
          <cell r="L4150" t="str">
            <v>74278402</v>
          </cell>
        </row>
        <row r="4151">
          <cell r="L4151" t="str">
            <v>74278403</v>
          </cell>
        </row>
        <row r="4152">
          <cell r="L4152" t="str">
            <v>74278404</v>
          </cell>
        </row>
        <row r="4153">
          <cell r="L4153" t="str">
            <v>74278406</v>
          </cell>
        </row>
        <row r="4154">
          <cell r="L4154" t="str">
            <v>74278422</v>
          </cell>
        </row>
        <row r="4155">
          <cell r="L4155" t="str">
            <v>74279239</v>
          </cell>
        </row>
        <row r="4156">
          <cell r="L4156" t="str">
            <v>74279241</v>
          </cell>
        </row>
        <row r="4157">
          <cell r="L4157" t="str">
            <v>74279244</v>
          </cell>
        </row>
        <row r="4158">
          <cell r="L4158" t="str">
            <v>74279642</v>
          </cell>
        </row>
        <row r="4159">
          <cell r="L4159" t="str">
            <v>74279947</v>
          </cell>
        </row>
        <row r="4160">
          <cell r="L4160" t="str">
            <v>74280423</v>
          </cell>
        </row>
        <row r="4161">
          <cell r="L4161" t="str">
            <v>74280436</v>
          </cell>
        </row>
        <row r="4162">
          <cell r="L4162" t="str">
            <v>74280562</v>
          </cell>
        </row>
        <row r="4163">
          <cell r="L4163" t="str">
            <v>74280626</v>
          </cell>
        </row>
        <row r="4164">
          <cell r="L4164" t="str">
            <v>74280627</v>
          </cell>
        </row>
        <row r="4165">
          <cell r="L4165" t="str">
            <v>74280628</v>
          </cell>
        </row>
        <row r="4166">
          <cell r="L4166" t="str">
            <v>74280701</v>
          </cell>
        </row>
        <row r="4167">
          <cell r="L4167" t="str">
            <v>74280702</v>
          </cell>
        </row>
        <row r="4168">
          <cell r="L4168" t="str">
            <v>74280704</v>
          </cell>
        </row>
        <row r="4169">
          <cell r="L4169" t="str">
            <v>74281019</v>
          </cell>
        </row>
        <row r="4170">
          <cell r="L4170" t="str">
            <v>74281023</v>
          </cell>
        </row>
        <row r="4171">
          <cell r="L4171" t="str">
            <v>74281285</v>
          </cell>
        </row>
        <row r="4172">
          <cell r="L4172" t="str">
            <v>74281286</v>
          </cell>
        </row>
        <row r="4173">
          <cell r="L4173" t="str">
            <v>74281291</v>
          </cell>
        </row>
        <row r="4174">
          <cell r="L4174" t="str">
            <v>74281750</v>
          </cell>
        </row>
        <row r="4175">
          <cell r="L4175" t="str">
            <v>74282119</v>
          </cell>
        </row>
        <row r="4176">
          <cell r="L4176" t="str">
            <v>74282120</v>
          </cell>
        </row>
        <row r="4177">
          <cell r="L4177" t="str">
            <v>74282121</v>
          </cell>
        </row>
        <row r="4178">
          <cell r="L4178" t="str">
            <v>74282666</v>
          </cell>
        </row>
        <row r="4179">
          <cell r="L4179" t="str">
            <v>74282668</v>
          </cell>
        </row>
        <row r="4180">
          <cell r="L4180" t="str">
            <v>74282670</v>
          </cell>
        </row>
        <row r="4181">
          <cell r="L4181" t="str">
            <v>74283086</v>
          </cell>
        </row>
        <row r="4182">
          <cell r="L4182" t="str">
            <v>74283203</v>
          </cell>
        </row>
        <row r="4183">
          <cell r="L4183" t="str">
            <v>74283304</v>
          </cell>
        </row>
        <row r="4184">
          <cell r="L4184" t="str">
            <v>74283321</v>
          </cell>
        </row>
        <row r="4185">
          <cell r="L4185" t="str">
            <v>74283322</v>
          </cell>
        </row>
        <row r="4186">
          <cell r="L4186" t="str">
            <v>74283323</v>
          </cell>
        </row>
        <row r="4187">
          <cell r="L4187" t="str">
            <v>74283340</v>
          </cell>
        </row>
        <row r="4188">
          <cell r="L4188" t="str">
            <v>74283342</v>
          </cell>
        </row>
        <row r="4189">
          <cell r="L4189" t="str">
            <v>74283879</v>
          </cell>
        </row>
        <row r="4190">
          <cell r="L4190" t="str">
            <v>74284081</v>
          </cell>
        </row>
        <row r="4191">
          <cell r="L4191" t="str">
            <v>74284181</v>
          </cell>
        </row>
        <row r="4192">
          <cell r="L4192" t="str">
            <v>74284300</v>
          </cell>
        </row>
        <row r="4193">
          <cell r="L4193" t="str">
            <v>74284339</v>
          </cell>
        </row>
        <row r="4194">
          <cell r="L4194" t="str">
            <v>74284881</v>
          </cell>
        </row>
        <row r="4195">
          <cell r="L4195" t="str">
            <v>74285180</v>
          </cell>
        </row>
        <row r="4196">
          <cell r="L4196" t="str">
            <v>74285524</v>
          </cell>
        </row>
        <row r="4197">
          <cell r="L4197" t="str">
            <v>74286222</v>
          </cell>
        </row>
        <row r="4198">
          <cell r="L4198" t="str">
            <v>74286223</v>
          </cell>
        </row>
        <row r="4199">
          <cell r="L4199" t="str">
            <v>74286224</v>
          </cell>
        </row>
        <row r="4200">
          <cell r="L4200" t="str">
            <v>74286225</v>
          </cell>
        </row>
        <row r="4201">
          <cell r="L4201" t="str">
            <v>74286499</v>
          </cell>
        </row>
        <row r="4202">
          <cell r="L4202" t="str">
            <v>74286518</v>
          </cell>
        </row>
        <row r="4203">
          <cell r="L4203" t="str">
            <v>74286519</v>
          </cell>
        </row>
        <row r="4204">
          <cell r="L4204" t="str">
            <v>74286539</v>
          </cell>
        </row>
        <row r="4205">
          <cell r="L4205" t="str">
            <v>74286993</v>
          </cell>
        </row>
        <row r="4206">
          <cell r="L4206" t="str">
            <v>74287087</v>
          </cell>
        </row>
        <row r="4207">
          <cell r="L4207" t="str">
            <v>74287620</v>
          </cell>
        </row>
        <row r="4208">
          <cell r="L4208" t="str">
            <v>74287624</v>
          </cell>
        </row>
        <row r="4209">
          <cell r="L4209" t="str">
            <v>74287628</v>
          </cell>
        </row>
        <row r="4210">
          <cell r="L4210" t="str">
            <v>74287631</v>
          </cell>
        </row>
        <row r="4211">
          <cell r="L4211" t="str">
            <v>74287888</v>
          </cell>
        </row>
        <row r="4212">
          <cell r="L4212" t="str">
            <v>74287889</v>
          </cell>
        </row>
        <row r="4213">
          <cell r="L4213" t="str">
            <v>74288540</v>
          </cell>
        </row>
        <row r="4214">
          <cell r="L4214" t="str">
            <v>74288580</v>
          </cell>
        </row>
        <row r="4215">
          <cell r="L4215" t="str">
            <v>74289082</v>
          </cell>
        </row>
        <row r="4216">
          <cell r="L4216" t="str">
            <v>74289161</v>
          </cell>
        </row>
        <row r="4217">
          <cell r="L4217" t="str">
            <v>74289239</v>
          </cell>
        </row>
        <row r="4218">
          <cell r="L4218" t="str">
            <v>74289941</v>
          </cell>
        </row>
        <row r="4219">
          <cell r="L4219" t="str">
            <v>74289943</v>
          </cell>
        </row>
        <row r="4220">
          <cell r="L4220" t="str">
            <v>74289945</v>
          </cell>
        </row>
        <row r="4221">
          <cell r="L4221" t="str">
            <v>74289948</v>
          </cell>
        </row>
        <row r="4222">
          <cell r="L4222" t="str">
            <v>74290148</v>
          </cell>
        </row>
        <row r="4223">
          <cell r="L4223" t="str">
            <v>74290379</v>
          </cell>
        </row>
        <row r="4224">
          <cell r="L4224" t="str">
            <v>74291521</v>
          </cell>
        </row>
        <row r="4225">
          <cell r="L4225" t="str">
            <v>74295243</v>
          </cell>
        </row>
        <row r="4226">
          <cell r="L4226" t="str">
            <v>74295361</v>
          </cell>
        </row>
        <row r="4227">
          <cell r="L4227" t="str">
            <v>74295384</v>
          </cell>
        </row>
        <row r="4228">
          <cell r="L4228" t="str">
            <v>74296139</v>
          </cell>
        </row>
        <row r="4229">
          <cell r="L4229" t="str">
            <v>74297247</v>
          </cell>
        </row>
        <row r="4230">
          <cell r="L4230" t="str">
            <v>74297251</v>
          </cell>
        </row>
        <row r="4231">
          <cell r="L4231" t="str">
            <v>74297359</v>
          </cell>
        </row>
        <row r="4232">
          <cell r="L4232" t="str">
            <v>74297379</v>
          </cell>
        </row>
        <row r="4233">
          <cell r="L4233" t="str">
            <v>74297779</v>
          </cell>
        </row>
        <row r="4234">
          <cell r="L4234" t="str">
            <v>74297781</v>
          </cell>
        </row>
        <row r="4235">
          <cell r="L4235" t="str">
            <v>74297782</v>
          </cell>
        </row>
        <row r="4236">
          <cell r="L4236" t="str">
            <v>74297783</v>
          </cell>
        </row>
        <row r="4237">
          <cell r="L4237" t="str">
            <v>74297960</v>
          </cell>
        </row>
        <row r="4238">
          <cell r="L4238" t="str">
            <v>74297968</v>
          </cell>
        </row>
        <row r="4239">
          <cell r="L4239" t="str">
            <v>74298403</v>
          </cell>
        </row>
        <row r="4240">
          <cell r="L4240" t="str">
            <v>74298405</v>
          </cell>
        </row>
        <row r="4241">
          <cell r="L4241" t="str">
            <v>74298539</v>
          </cell>
        </row>
        <row r="4242">
          <cell r="L4242" t="str">
            <v>74298724</v>
          </cell>
        </row>
        <row r="4243">
          <cell r="L4243" t="str">
            <v>74299767</v>
          </cell>
        </row>
        <row r="4244">
          <cell r="L4244" t="str">
            <v>74299782</v>
          </cell>
        </row>
        <row r="4245">
          <cell r="L4245" t="str">
            <v>74299800</v>
          </cell>
        </row>
        <row r="4246">
          <cell r="L4246" t="str">
            <v>74299804</v>
          </cell>
        </row>
        <row r="4247">
          <cell r="L4247" t="str">
            <v>74300121</v>
          </cell>
        </row>
        <row r="4248">
          <cell r="L4248" t="str">
            <v>74300162</v>
          </cell>
        </row>
        <row r="4249">
          <cell r="L4249" t="str">
            <v>74300903</v>
          </cell>
        </row>
        <row r="4250">
          <cell r="L4250" t="str">
            <v>74300906</v>
          </cell>
        </row>
        <row r="4251">
          <cell r="L4251" t="str">
            <v>74300907</v>
          </cell>
        </row>
        <row r="4252">
          <cell r="L4252" t="str">
            <v>74301145</v>
          </cell>
        </row>
        <row r="4253">
          <cell r="L4253" t="str">
            <v>74301303</v>
          </cell>
        </row>
        <row r="4254">
          <cell r="L4254" t="str">
            <v>74301380</v>
          </cell>
        </row>
        <row r="4255">
          <cell r="L4255" t="str">
            <v>74301410</v>
          </cell>
        </row>
        <row r="4256">
          <cell r="L4256" t="str">
            <v>74301819</v>
          </cell>
        </row>
        <row r="4257">
          <cell r="L4257" t="str">
            <v>74301820</v>
          </cell>
        </row>
        <row r="4258">
          <cell r="L4258" t="str">
            <v>74301839</v>
          </cell>
        </row>
        <row r="4259">
          <cell r="L4259" t="str">
            <v>74301840</v>
          </cell>
        </row>
        <row r="4260">
          <cell r="L4260" t="str">
            <v>74301881</v>
          </cell>
        </row>
        <row r="4261">
          <cell r="L4261" t="str">
            <v>74302379</v>
          </cell>
        </row>
        <row r="4262">
          <cell r="L4262" t="str">
            <v>74302700</v>
          </cell>
        </row>
        <row r="4263">
          <cell r="L4263" t="str">
            <v>74302917</v>
          </cell>
        </row>
        <row r="4264">
          <cell r="L4264" t="str">
            <v>74302918</v>
          </cell>
        </row>
        <row r="4265">
          <cell r="L4265" t="str">
            <v>74302920</v>
          </cell>
        </row>
        <row r="4266">
          <cell r="L4266" t="str">
            <v>74302921</v>
          </cell>
        </row>
        <row r="4267">
          <cell r="L4267" t="str">
            <v>74303976</v>
          </cell>
        </row>
        <row r="4268">
          <cell r="L4268" t="str">
            <v>74305123</v>
          </cell>
        </row>
        <row r="4269">
          <cell r="L4269" t="str">
            <v>74305137</v>
          </cell>
        </row>
        <row r="4270">
          <cell r="L4270" t="str">
            <v>74305138</v>
          </cell>
        </row>
        <row r="4271">
          <cell r="L4271" t="str">
            <v>74305159</v>
          </cell>
        </row>
        <row r="4272">
          <cell r="L4272" t="str">
            <v>74305540</v>
          </cell>
        </row>
        <row r="4273">
          <cell r="L4273" t="str">
            <v>74305579</v>
          </cell>
        </row>
        <row r="4274">
          <cell r="L4274" t="str">
            <v>74305779</v>
          </cell>
        </row>
        <row r="4275">
          <cell r="L4275" t="str">
            <v>74305919</v>
          </cell>
        </row>
        <row r="4276">
          <cell r="L4276" t="str">
            <v>74305921</v>
          </cell>
        </row>
        <row r="4277">
          <cell r="L4277" t="str">
            <v>74306300</v>
          </cell>
        </row>
        <row r="4278">
          <cell r="L4278" t="str">
            <v>74306331</v>
          </cell>
        </row>
        <row r="4279">
          <cell r="L4279" t="str">
            <v>74306420</v>
          </cell>
        </row>
        <row r="4280">
          <cell r="L4280" t="str">
            <v>74306483</v>
          </cell>
        </row>
        <row r="4281">
          <cell r="L4281" t="str">
            <v>74306781</v>
          </cell>
        </row>
        <row r="4282">
          <cell r="L4282" t="str">
            <v>74306940</v>
          </cell>
        </row>
        <row r="4283">
          <cell r="L4283" t="str">
            <v>74307040</v>
          </cell>
        </row>
        <row r="4284">
          <cell r="L4284" t="str">
            <v>74307041</v>
          </cell>
        </row>
        <row r="4285">
          <cell r="L4285" t="str">
            <v>74307043</v>
          </cell>
        </row>
        <row r="4286">
          <cell r="L4286" t="str">
            <v>74307044</v>
          </cell>
        </row>
        <row r="4287">
          <cell r="L4287" t="str">
            <v>74307299</v>
          </cell>
        </row>
        <row r="4288">
          <cell r="L4288" t="str">
            <v>74307319</v>
          </cell>
        </row>
        <row r="4289">
          <cell r="L4289" t="str">
            <v>74307459</v>
          </cell>
        </row>
        <row r="4290">
          <cell r="L4290" t="str">
            <v>74307605</v>
          </cell>
        </row>
        <row r="4291">
          <cell r="L4291" t="str">
            <v>74307811</v>
          </cell>
        </row>
        <row r="4292">
          <cell r="L4292" t="str">
            <v>74307839</v>
          </cell>
        </row>
        <row r="4293">
          <cell r="L4293" t="str">
            <v>74307899</v>
          </cell>
        </row>
        <row r="4294">
          <cell r="L4294" t="str">
            <v>74308162</v>
          </cell>
        </row>
        <row r="4295">
          <cell r="L4295" t="str">
            <v>74308921</v>
          </cell>
        </row>
        <row r="4296">
          <cell r="L4296" t="str">
            <v>74310339</v>
          </cell>
        </row>
        <row r="4297">
          <cell r="L4297" t="str">
            <v>74310882</v>
          </cell>
        </row>
        <row r="4298">
          <cell r="L4298" t="str">
            <v>74310891</v>
          </cell>
        </row>
        <row r="4299">
          <cell r="L4299" t="str">
            <v>74310896</v>
          </cell>
        </row>
        <row r="4300">
          <cell r="L4300" t="str">
            <v>74310899</v>
          </cell>
        </row>
        <row r="4301">
          <cell r="L4301" t="str">
            <v>74310901</v>
          </cell>
        </row>
        <row r="4302">
          <cell r="L4302" t="str">
            <v>74310920</v>
          </cell>
        </row>
        <row r="4303">
          <cell r="L4303" t="str">
            <v>74311706</v>
          </cell>
        </row>
        <row r="4304">
          <cell r="L4304" t="str">
            <v>74312122</v>
          </cell>
        </row>
        <row r="4305">
          <cell r="L4305" t="str">
            <v>74312219</v>
          </cell>
        </row>
        <row r="4306">
          <cell r="L4306" t="str">
            <v>74312236</v>
          </cell>
        </row>
        <row r="4307">
          <cell r="L4307" t="str">
            <v>74312640</v>
          </cell>
        </row>
        <row r="4308">
          <cell r="L4308" t="str">
            <v>74312642</v>
          </cell>
        </row>
        <row r="4309">
          <cell r="L4309" t="str">
            <v>74312647</v>
          </cell>
        </row>
        <row r="4310">
          <cell r="L4310" t="str">
            <v>74312651</v>
          </cell>
        </row>
        <row r="4311">
          <cell r="L4311" t="str">
            <v>74312923</v>
          </cell>
        </row>
        <row r="4312">
          <cell r="L4312" t="str">
            <v>74312965</v>
          </cell>
        </row>
        <row r="4313">
          <cell r="L4313" t="str">
            <v>74314687</v>
          </cell>
        </row>
        <row r="4314">
          <cell r="L4314" t="str">
            <v>74314869</v>
          </cell>
        </row>
        <row r="4315">
          <cell r="L4315" t="str">
            <v>74315340</v>
          </cell>
        </row>
        <row r="4316">
          <cell r="L4316" t="str">
            <v>74315439</v>
          </cell>
        </row>
        <row r="4317">
          <cell r="L4317" t="str">
            <v>74315499</v>
          </cell>
        </row>
        <row r="4318">
          <cell r="L4318" t="str">
            <v>74315621</v>
          </cell>
        </row>
        <row r="4319">
          <cell r="L4319" t="str">
            <v>74315702</v>
          </cell>
        </row>
        <row r="4320">
          <cell r="L4320" t="str">
            <v>74317995</v>
          </cell>
        </row>
        <row r="4321">
          <cell r="L4321" t="str">
            <v>74317998</v>
          </cell>
        </row>
        <row r="4322">
          <cell r="L4322" t="str">
            <v>74318663</v>
          </cell>
        </row>
        <row r="4323">
          <cell r="L4323" t="str">
            <v>74318664</v>
          </cell>
        </row>
        <row r="4324">
          <cell r="L4324" t="str">
            <v>74319321</v>
          </cell>
        </row>
        <row r="4325">
          <cell r="L4325" t="str">
            <v>74319900</v>
          </cell>
        </row>
        <row r="4326">
          <cell r="L4326" t="str">
            <v>74319901</v>
          </cell>
        </row>
        <row r="4327">
          <cell r="L4327" t="str">
            <v>74320241</v>
          </cell>
        </row>
        <row r="4328">
          <cell r="L4328" t="str">
            <v>74226700</v>
          </cell>
        </row>
        <row r="4329">
          <cell r="L4329" t="str">
            <v>74228740</v>
          </cell>
        </row>
        <row r="4330">
          <cell r="L4330" t="str">
            <v>74305739</v>
          </cell>
        </row>
        <row r="4331">
          <cell r="L4331" t="str">
            <v>74233839</v>
          </cell>
        </row>
        <row r="4332">
          <cell r="L4332" t="str">
            <v>74239539</v>
          </cell>
        </row>
        <row r="4333">
          <cell r="L4333" t="str">
            <v>74240192</v>
          </cell>
        </row>
        <row r="4334">
          <cell r="L4334" t="str">
            <v>74297248</v>
          </cell>
        </row>
        <row r="4335">
          <cell r="L4335" t="str">
            <v>74231219</v>
          </cell>
        </row>
        <row r="4336">
          <cell r="L4336" t="str">
            <v>74235765</v>
          </cell>
        </row>
        <row r="4337">
          <cell r="L4337" t="str">
            <v>74237803</v>
          </cell>
        </row>
        <row r="4338">
          <cell r="L4338" t="str">
            <v>74237620</v>
          </cell>
        </row>
        <row r="4339">
          <cell r="L4339" t="str">
            <v>74237809</v>
          </cell>
        </row>
        <row r="4340">
          <cell r="L4340" t="str">
            <v>74237804</v>
          </cell>
        </row>
        <row r="4341">
          <cell r="L4341" t="str">
            <v>74237805</v>
          </cell>
        </row>
        <row r="4342">
          <cell r="L4342" t="str">
            <v>SFactRelImprove0911</v>
          </cell>
        </row>
        <row r="4343">
          <cell r="L4343" t="str">
            <v>74177350</v>
          </cell>
        </row>
        <row r="4344">
          <cell r="L4344" t="str">
            <v>74189840</v>
          </cell>
        </row>
        <row r="4345">
          <cell r="L4345" t="str">
            <v>74189935</v>
          </cell>
        </row>
        <row r="4346">
          <cell r="L4346" t="str">
            <v>74195540</v>
          </cell>
        </row>
        <row r="4347">
          <cell r="L4347" t="str">
            <v>74197205</v>
          </cell>
        </row>
        <row r="4348">
          <cell r="L4348" t="str">
            <v>74200460</v>
          </cell>
        </row>
        <row r="4349">
          <cell r="L4349" t="str">
            <v>74203160</v>
          </cell>
        </row>
        <row r="4350">
          <cell r="L4350" t="str">
            <v>74203162</v>
          </cell>
        </row>
        <row r="4351">
          <cell r="L4351" t="str">
            <v>74210726</v>
          </cell>
        </row>
        <row r="4352">
          <cell r="L4352" t="str">
            <v>74210799</v>
          </cell>
        </row>
        <row r="4353">
          <cell r="L4353" t="str">
            <v>74212346</v>
          </cell>
        </row>
        <row r="4354">
          <cell r="L4354" t="str">
            <v>74215542</v>
          </cell>
        </row>
        <row r="4355">
          <cell r="L4355" t="str">
            <v>74215543</v>
          </cell>
        </row>
        <row r="4356">
          <cell r="L4356" t="str">
            <v>74215544</v>
          </cell>
        </row>
        <row r="4357">
          <cell r="L4357" t="str">
            <v>74215742</v>
          </cell>
        </row>
        <row r="4358">
          <cell r="L4358" t="str">
            <v>74216000</v>
          </cell>
        </row>
        <row r="4359">
          <cell r="L4359" t="str">
            <v>74216367</v>
          </cell>
        </row>
        <row r="4360">
          <cell r="L4360" t="str">
            <v>74216369</v>
          </cell>
        </row>
        <row r="4361">
          <cell r="L4361" t="str">
            <v>74216380</v>
          </cell>
        </row>
        <row r="4362">
          <cell r="L4362" t="str">
            <v>74217562</v>
          </cell>
        </row>
        <row r="4363">
          <cell r="L4363" t="str">
            <v>74224820</v>
          </cell>
        </row>
        <row r="4364">
          <cell r="L4364" t="str">
            <v>74226760</v>
          </cell>
        </row>
        <row r="4365">
          <cell r="L4365" t="str">
            <v>74236241</v>
          </cell>
        </row>
        <row r="4366">
          <cell r="L4366" t="str">
            <v>74241486</v>
          </cell>
        </row>
        <row r="4367">
          <cell r="L4367" t="str">
            <v>74242700</v>
          </cell>
        </row>
        <row r="4368">
          <cell r="L4368" t="str">
            <v>74244740</v>
          </cell>
        </row>
        <row r="4369">
          <cell r="L4369" t="str">
            <v>74247702</v>
          </cell>
        </row>
        <row r="4370">
          <cell r="L4370" t="str">
            <v>74247703</v>
          </cell>
        </row>
        <row r="4371">
          <cell r="L4371" t="str">
            <v>74250259</v>
          </cell>
        </row>
        <row r="4372">
          <cell r="L4372" t="str">
            <v>74250260</v>
          </cell>
        </row>
        <row r="4373">
          <cell r="L4373" t="str">
            <v>74250261</v>
          </cell>
        </row>
        <row r="4374">
          <cell r="L4374" t="str">
            <v>74250639</v>
          </cell>
        </row>
        <row r="4375">
          <cell r="L4375" t="str">
            <v>74251043</v>
          </cell>
        </row>
        <row r="4376">
          <cell r="L4376" t="str">
            <v>74251046</v>
          </cell>
        </row>
        <row r="4377">
          <cell r="L4377" t="str">
            <v>74251047</v>
          </cell>
        </row>
        <row r="4378">
          <cell r="L4378" t="str">
            <v>74251048</v>
          </cell>
        </row>
        <row r="4379">
          <cell r="L4379" t="str">
            <v>74251051</v>
          </cell>
        </row>
        <row r="4380">
          <cell r="L4380" t="str">
            <v>74251054</v>
          </cell>
        </row>
        <row r="4381">
          <cell r="L4381" t="str">
            <v>74251057</v>
          </cell>
        </row>
        <row r="4382">
          <cell r="L4382" t="str">
            <v>74251059</v>
          </cell>
        </row>
        <row r="4383">
          <cell r="L4383" t="str">
            <v>74251080</v>
          </cell>
        </row>
        <row r="4384">
          <cell r="L4384" t="str">
            <v>74251082</v>
          </cell>
        </row>
        <row r="4385">
          <cell r="L4385" t="str">
            <v>74251085</v>
          </cell>
        </row>
        <row r="4386">
          <cell r="L4386" t="str">
            <v>74251087</v>
          </cell>
        </row>
        <row r="4387">
          <cell r="L4387" t="str">
            <v>74251089</v>
          </cell>
        </row>
        <row r="4388">
          <cell r="L4388" t="str">
            <v>74251091</v>
          </cell>
        </row>
        <row r="4389">
          <cell r="L4389" t="str">
            <v>74251099</v>
          </cell>
        </row>
        <row r="4390">
          <cell r="L4390" t="str">
            <v>74251100</v>
          </cell>
        </row>
        <row r="4391">
          <cell r="L4391" t="str">
            <v>74251101</v>
          </cell>
        </row>
        <row r="4392">
          <cell r="L4392" t="str">
            <v>74251102</v>
          </cell>
        </row>
        <row r="4393">
          <cell r="L4393" t="str">
            <v>74251104</v>
          </cell>
        </row>
        <row r="4394">
          <cell r="L4394" t="str">
            <v>74251105</v>
          </cell>
        </row>
        <row r="4395">
          <cell r="L4395" t="str">
            <v>74251106</v>
          </cell>
        </row>
        <row r="4396">
          <cell r="L4396" t="str">
            <v>74251107</v>
          </cell>
        </row>
        <row r="4397">
          <cell r="L4397" t="str">
            <v>74251109</v>
          </cell>
        </row>
        <row r="4398">
          <cell r="L4398" t="str">
            <v>74251110</v>
          </cell>
        </row>
        <row r="4399">
          <cell r="L4399" t="str">
            <v>74251113</v>
          </cell>
        </row>
        <row r="4400">
          <cell r="L4400" t="str">
            <v>74251119</v>
          </cell>
        </row>
        <row r="4401">
          <cell r="L4401" t="str">
            <v>74251122</v>
          </cell>
        </row>
        <row r="4402">
          <cell r="L4402" t="str">
            <v>74251187</v>
          </cell>
        </row>
        <row r="4403">
          <cell r="L4403" t="str">
            <v>74251190</v>
          </cell>
        </row>
        <row r="4404">
          <cell r="L4404" t="str">
            <v>74251192</v>
          </cell>
        </row>
        <row r="4405">
          <cell r="L4405" t="str">
            <v>74251194</v>
          </cell>
        </row>
        <row r="4406">
          <cell r="L4406" t="str">
            <v>74251196</v>
          </cell>
        </row>
        <row r="4407">
          <cell r="L4407" t="str">
            <v>74251198</v>
          </cell>
        </row>
        <row r="4408">
          <cell r="L4408" t="str">
            <v>74251200</v>
          </cell>
        </row>
        <row r="4409">
          <cell r="L4409" t="str">
            <v>74251205</v>
          </cell>
        </row>
        <row r="4410">
          <cell r="L4410" t="str">
            <v>74251207</v>
          </cell>
        </row>
        <row r="4411">
          <cell r="L4411" t="str">
            <v>74251208</v>
          </cell>
        </row>
        <row r="4412">
          <cell r="L4412" t="str">
            <v>74251210</v>
          </cell>
        </row>
        <row r="4413">
          <cell r="L4413" t="str">
            <v>74251212</v>
          </cell>
        </row>
        <row r="4414">
          <cell r="L4414" t="str">
            <v>74251214</v>
          </cell>
        </row>
        <row r="4415">
          <cell r="L4415" t="str">
            <v>74251215</v>
          </cell>
        </row>
        <row r="4416">
          <cell r="L4416" t="str">
            <v>74251218</v>
          </cell>
        </row>
        <row r="4417">
          <cell r="L4417" t="str">
            <v>74252479</v>
          </cell>
        </row>
        <row r="4418">
          <cell r="L4418" t="str">
            <v>74252480</v>
          </cell>
        </row>
        <row r="4419">
          <cell r="L4419" t="str">
            <v>74252481</v>
          </cell>
        </row>
        <row r="4420">
          <cell r="L4420" t="str">
            <v>74252482</v>
          </cell>
        </row>
        <row r="4421">
          <cell r="L4421" t="str">
            <v>74252483</v>
          </cell>
        </row>
        <row r="4422">
          <cell r="L4422" t="str">
            <v>74252643</v>
          </cell>
        </row>
        <row r="4423">
          <cell r="L4423" t="str">
            <v>74252644</v>
          </cell>
        </row>
        <row r="4424">
          <cell r="L4424" t="str">
            <v>74252645</v>
          </cell>
        </row>
        <row r="4425">
          <cell r="L4425" t="str">
            <v>74252646</v>
          </cell>
        </row>
        <row r="4426">
          <cell r="L4426" t="str">
            <v>74252648</v>
          </cell>
        </row>
        <row r="4427">
          <cell r="L4427" t="str">
            <v>74253967</v>
          </cell>
        </row>
        <row r="4428">
          <cell r="L4428" t="str">
            <v>74253969</v>
          </cell>
        </row>
        <row r="4429">
          <cell r="L4429" t="str">
            <v>74253970</v>
          </cell>
        </row>
        <row r="4430">
          <cell r="L4430" t="str">
            <v>74253971</v>
          </cell>
        </row>
        <row r="4431">
          <cell r="L4431" t="str">
            <v>74253972</v>
          </cell>
        </row>
        <row r="4432">
          <cell r="L4432" t="str">
            <v>74253973</v>
          </cell>
        </row>
        <row r="4433">
          <cell r="L4433" t="str">
            <v>74253979</v>
          </cell>
        </row>
        <row r="4434">
          <cell r="L4434" t="str">
            <v>74253981</v>
          </cell>
        </row>
        <row r="4435">
          <cell r="L4435" t="str">
            <v>74253982</v>
          </cell>
        </row>
        <row r="4436">
          <cell r="L4436" t="str">
            <v>74253985</v>
          </cell>
        </row>
        <row r="4437">
          <cell r="L4437" t="str">
            <v>74253986</v>
          </cell>
        </row>
        <row r="4438">
          <cell r="L4438" t="str">
            <v>74253988</v>
          </cell>
        </row>
        <row r="4439">
          <cell r="L4439" t="str">
            <v>74253989</v>
          </cell>
        </row>
        <row r="4440">
          <cell r="L4440" t="str">
            <v>74253992</v>
          </cell>
        </row>
        <row r="4441">
          <cell r="L4441" t="str">
            <v>74253993</v>
          </cell>
        </row>
        <row r="4442">
          <cell r="L4442" t="str">
            <v>74253994</v>
          </cell>
        </row>
        <row r="4443">
          <cell r="L4443" t="str">
            <v>74255906</v>
          </cell>
        </row>
        <row r="4444">
          <cell r="L4444" t="str">
            <v>74256861</v>
          </cell>
        </row>
        <row r="4445">
          <cell r="L4445" t="str">
            <v>74265499</v>
          </cell>
        </row>
        <row r="4446">
          <cell r="L4446" t="str">
            <v>74265502</v>
          </cell>
        </row>
        <row r="4447">
          <cell r="L4447" t="str">
            <v>74265505</v>
          </cell>
        </row>
        <row r="4448">
          <cell r="L4448" t="str">
            <v>74265506</v>
          </cell>
        </row>
        <row r="4449">
          <cell r="L4449" t="str">
            <v>74265508</v>
          </cell>
        </row>
        <row r="4450">
          <cell r="L4450" t="str">
            <v>74265509</v>
          </cell>
        </row>
        <row r="4451">
          <cell r="L4451" t="str">
            <v>74266145</v>
          </cell>
        </row>
        <row r="4452">
          <cell r="L4452" t="str">
            <v>74266149</v>
          </cell>
        </row>
        <row r="4453">
          <cell r="L4453" t="str">
            <v>74270903</v>
          </cell>
        </row>
        <row r="4454">
          <cell r="L4454" t="str">
            <v>74271221</v>
          </cell>
        </row>
        <row r="4455">
          <cell r="L4455" t="str">
            <v>74271223</v>
          </cell>
        </row>
        <row r="4456">
          <cell r="L4456" t="str">
            <v>74271226</v>
          </cell>
        </row>
        <row r="4457">
          <cell r="L4457" t="str">
            <v>74271227</v>
          </cell>
        </row>
        <row r="4458">
          <cell r="L4458" t="str">
            <v>74271228</v>
          </cell>
        </row>
        <row r="4459">
          <cell r="L4459" t="str">
            <v>74271239</v>
          </cell>
        </row>
        <row r="4460">
          <cell r="L4460" t="str">
            <v>74271240</v>
          </cell>
        </row>
        <row r="4461">
          <cell r="L4461" t="str">
            <v>74271241</v>
          </cell>
        </row>
        <row r="4462">
          <cell r="L4462" t="str">
            <v>74271245</v>
          </cell>
        </row>
        <row r="4463">
          <cell r="L4463" t="str">
            <v>74271247</v>
          </cell>
        </row>
        <row r="4464">
          <cell r="L4464" t="str">
            <v>74271248</v>
          </cell>
        </row>
        <row r="4465">
          <cell r="L4465" t="str">
            <v>74271249</v>
          </cell>
        </row>
        <row r="4466">
          <cell r="L4466" t="str">
            <v>74271252</v>
          </cell>
        </row>
        <row r="4467">
          <cell r="L4467" t="str">
            <v>74271253</v>
          </cell>
        </row>
        <row r="4468">
          <cell r="L4468" t="str">
            <v>74271254</v>
          </cell>
        </row>
        <row r="4469">
          <cell r="L4469" t="str">
            <v>74271256</v>
          </cell>
        </row>
        <row r="4470">
          <cell r="L4470" t="str">
            <v>74271257</v>
          </cell>
        </row>
        <row r="4471">
          <cell r="L4471" t="str">
            <v>74271260</v>
          </cell>
        </row>
        <row r="4472">
          <cell r="L4472" t="str">
            <v>74271280</v>
          </cell>
        </row>
        <row r="4473">
          <cell r="L4473" t="str">
            <v>74271281</v>
          </cell>
        </row>
        <row r="4474">
          <cell r="L4474" t="str">
            <v>74271282</v>
          </cell>
        </row>
        <row r="4475">
          <cell r="L4475" t="str">
            <v>74271283</v>
          </cell>
        </row>
        <row r="4476">
          <cell r="L4476" t="str">
            <v>74271284</v>
          </cell>
        </row>
        <row r="4477">
          <cell r="L4477" t="str">
            <v>74273499</v>
          </cell>
        </row>
        <row r="4478">
          <cell r="L4478" t="str">
            <v>74274481</v>
          </cell>
        </row>
        <row r="4479">
          <cell r="L4479" t="str">
            <v>74275240</v>
          </cell>
        </row>
        <row r="4480">
          <cell r="L4480" t="str">
            <v>74277658</v>
          </cell>
        </row>
        <row r="4481">
          <cell r="L4481" t="str">
            <v>74279279</v>
          </cell>
        </row>
        <row r="4482">
          <cell r="L4482" t="str">
            <v>74289781</v>
          </cell>
        </row>
        <row r="4483">
          <cell r="L4483" t="str">
            <v>74289782</v>
          </cell>
        </row>
        <row r="4484">
          <cell r="L4484" t="str">
            <v>74289783</v>
          </cell>
        </row>
        <row r="4485">
          <cell r="L4485" t="str">
            <v>74289784</v>
          </cell>
        </row>
        <row r="4486">
          <cell r="L4486" t="str">
            <v>74289786</v>
          </cell>
        </row>
        <row r="4487">
          <cell r="L4487" t="str">
            <v>74289791</v>
          </cell>
        </row>
        <row r="4488">
          <cell r="L4488" t="str">
            <v>74289792</v>
          </cell>
        </row>
        <row r="4489">
          <cell r="L4489" t="str">
            <v>74289793</v>
          </cell>
        </row>
        <row r="4490">
          <cell r="L4490" t="str">
            <v>74289795</v>
          </cell>
        </row>
        <row r="4491">
          <cell r="L4491" t="str">
            <v>74289796</v>
          </cell>
        </row>
        <row r="4492">
          <cell r="L4492" t="str">
            <v>74290061</v>
          </cell>
        </row>
        <row r="4493">
          <cell r="L4493" t="str">
            <v>74290063</v>
          </cell>
        </row>
        <row r="4494">
          <cell r="L4494" t="str">
            <v>74290169</v>
          </cell>
        </row>
        <row r="4495">
          <cell r="L4495" t="str">
            <v>74290185</v>
          </cell>
        </row>
        <row r="4496">
          <cell r="L4496" t="str">
            <v>74290188</v>
          </cell>
        </row>
        <row r="4497">
          <cell r="L4497" t="str">
            <v>74290189</v>
          </cell>
        </row>
        <row r="4498">
          <cell r="L4498" t="str">
            <v>74290465</v>
          </cell>
        </row>
        <row r="4499">
          <cell r="L4499" t="str">
            <v>74290506</v>
          </cell>
        </row>
        <row r="4500">
          <cell r="L4500" t="str">
            <v>74290559</v>
          </cell>
        </row>
        <row r="4501">
          <cell r="L4501" t="str">
            <v>74290571</v>
          </cell>
        </row>
        <row r="4502">
          <cell r="L4502" t="str">
            <v>74290572</v>
          </cell>
        </row>
        <row r="4503">
          <cell r="L4503" t="str">
            <v>74290576</v>
          </cell>
        </row>
        <row r="4504">
          <cell r="L4504" t="str">
            <v>74237806</v>
          </cell>
        </row>
        <row r="4505">
          <cell r="L4505" t="str">
            <v>74247140</v>
          </cell>
        </row>
        <row r="4506">
          <cell r="L4506" t="str">
            <v>74267910</v>
          </cell>
        </row>
        <row r="4507">
          <cell r="L4507" t="str">
            <v>74322762</v>
          </cell>
        </row>
        <row r="4508">
          <cell r="L4508" t="str">
            <v>74240025</v>
          </cell>
        </row>
        <row r="4509">
          <cell r="L4509" t="str">
            <v>74240782</v>
          </cell>
        </row>
        <row r="4510">
          <cell r="L4510" t="str">
            <v>74240026</v>
          </cell>
        </row>
        <row r="4511">
          <cell r="L4511" t="str">
            <v>74290186</v>
          </cell>
        </row>
        <row r="4512">
          <cell r="L4512" t="str">
            <v>74224822</v>
          </cell>
        </row>
        <row r="4513">
          <cell r="L4513" t="str">
            <v>74237807</v>
          </cell>
        </row>
        <row r="4514">
          <cell r="L4514" t="str">
            <v>74237808</v>
          </cell>
        </row>
        <row r="4515">
          <cell r="L4515" t="str">
            <v>74235743</v>
          </cell>
        </row>
        <row r="4516">
          <cell r="L4516" t="str">
            <v>74242000</v>
          </cell>
        </row>
        <row r="4517">
          <cell r="L4517" t="str">
            <v>74139193</v>
          </cell>
        </row>
        <row r="4518">
          <cell r="L4518" t="str">
            <v>74225502</v>
          </cell>
        </row>
        <row r="4519">
          <cell r="L4519" t="str">
            <v>74247182</v>
          </cell>
        </row>
        <row r="4520">
          <cell r="L4520" t="str">
            <v>74245160</v>
          </cell>
        </row>
        <row r="4521">
          <cell r="L4521" t="str">
            <v>74202105</v>
          </cell>
        </row>
        <row r="4522">
          <cell r="L4522" t="str">
            <v>74252003</v>
          </cell>
        </row>
        <row r="4523">
          <cell r="L4523" t="str">
            <v>74209566</v>
          </cell>
        </row>
        <row r="4524">
          <cell r="L4524" t="str">
            <v>74237419</v>
          </cell>
        </row>
        <row r="4525">
          <cell r="L4525" t="str">
            <v>74250905</v>
          </cell>
        </row>
        <row r="4526">
          <cell r="L4526" t="str">
            <v>74252001</v>
          </cell>
        </row>
        <row r="4527">
          <cell r="L4527" t="str">
            <v>74252004</v>
          </cell>
        </row>
        <row r="4528">
          <cell r="L4528" t="str">
            <v>74252000</v>
          </cell>
        </row>
        <row r="4529">
          <cell r="L4529" t="str">
            <v>74201005</v>
          </cell>
        </row>
        <row r="4530">
          <cell r="L4530" t="str">
            <v>74253599</v>
          </cell>
        </row>
        <row r="4531">
          <cell r="L4531" t="str">
            <v>74247620</v>
          </cell>
        </row>
        <row r="4532">
          <cell r="L4532" t="str">
            <v>74253000</v>
          </cell>
        </row>
        <row r="4533">
          <cell r="L4533" t="str">
            <v>74203163</v>
          </cell>
        </row>
        <row r="4534">
          <cell r="L4534" t="str">
            <v>74264905</v>
          </cell>
        </row>
        <row r="4535">
          <cell r="L4535" t="str">
            <v>74271244</v>
          </cell>
        </row>
        <row r="4536">
          <cell r="L4536" t="str">
            <v>74272751</v>
          </cell>
        </row>
        <row r="4537">
          <cell r="L4537" t="str">
            <v>Mt Tayl</v>
          </cell>
        </row>
        <row r="4538">
          <cell r="L4538" t="str">
            <v>Mt Taylo</v>
          </cell>
        </row>
        <row r="4539">
          <cell r="L4539" t="str">
            <v>74270302</v>
          </cell>
        </row>
        <row r="4540">
          <cell r="L4540" t="str">
            <v>74294039</v>
          </cell>
        </row>
        <row r="4541">
          <cell r="L4541" t="str">
            <v>74273969</v>
          </cell>
        </row>
        <row r="4542">
          <cell r="L4542" t="str">
            <v>74274640</v>
          </cell>
        </row>
        <row r="4543">
          <cell r="L4543" t="str">
            <v>74290704</v>
          </cell>
        </row>
        <row r="4544">
          <cell r="L4544" t="str">
            <v>74290703</v>
          </cell>
        </row>
        <row r="4545">
          <cell r="L4545" t="str">
            <v>74276245</v>
          </cell>
        </row>
        <row r="4546">
          <cell r="L4546" t="str">
            <v>74270239</v>
          </cell>
        </row>
        <row r="4547">
          <cell r="L4547" t="str">
            <v>74275225</v>
          </cell>
        </row>
        <row r="4548">
          <cell r="L4548" t="str">
            <v>74276105</v>
          </cell>
        </row>
        <row r="4549">
          <cell r="L4549" t="str">
            <v>74285776</v>
          </cell>
        </row>
        <row r="4550">
          <cell r="L4550" t="str">
            <v>74276101</v>
          </cell>
        </row>
        <row r="4551">
          <cell r="L4551" t="str">
            <v>74276102</v>
          </cell>
        </row>
        <row r="4552">
          <cell r="L4552" t="str">
            <v>74285777</v>
          </cell>
        </row>
        <row r="4553">
          <cell r="L4553" t="str">
            <v>74276103</v>
          </cell>
        </row>
        <row r="4554">
          <cell r="L4554" t="str">
            <v>74283361</v>
          </cell>
        </row>
        <row r="4555">
          <cell r="L4555" t="str">
            <v>74285725</v>
          </cell>
        </row>
        <row r="4556">
          <cell r="L4556" t="str">
            <v>74285733</v>
          </cell>
        </row>
        <row r="4557">
          <cell r="L4557" t="str">
            <v>74244741</v>
          </cell>
        </row>
        <row r="4558">
          <cell r="L4558" t="str">
            <v>74285732</v>
          </cell>
        </row>
        <row r="4559">
          <cell r="L4559" t="str">
            <v>74309678</v>
          </cell>
        </row>
        <row r="4560">
          <cell r="L4560" t="str">
            <v>74310789</v>
          </cell>
        </row>
        <row r="4561">
          <cell r="L4561" t="str">
            <v>74310886</v>
          </cell>
        </row>
        <row r="4562">
          <cell r="L4562" t="str">
            <v>74310889</v>
          </cell>
        </row>
        <row r="4563">
          <cell r="L4563" t="str">
            <v>74311786</v>
          </cell>
        </row>
        <row r="4564">
          <cell r="L4564" t="str">
            <v>74311792</v>
          </cell>
        </row>
        <row r="4565">
          <cell r="L4565" t="str">
            <v>74311826</v>
          </cell>
        </row>
        <row r="4566">
          <cell r="L4566" t="str">
            <v>74312082</v>
          </cell>
        </row>
        <row r="4567">
          <cell r="L4567" t="str">
            <v>74312090</v>
          </cell>
        </row>
        <row r="4568">
          <cell r="L4568" t="str">
            <v>74313140</v>
          </cell>
        </row>
        <row r="4569">
          <cell r="L4569" t="str">
            <v>74313483</v>
          </cell>
        </row>
        <row r="4570">
          <cell r="L4570" t="str">
            <v>74313499</v>
          </cell>
        </row>
        <row r="4571">
          <cell r="L4571" t="str">
            <v>74313779</v>
          </cell>
        </row>
        <row r="4572">
          <cell r="L4572" t="str">
            <v>74314060</v>
          </cell>
        </row>
        <row r="4573">
          <cell r="L4573" t="str">
            <v>74314123</v>
          </cell>
        </row>
        <row r="4574">
          <cell r="L4574" t="str">
            <v>74314259</v>
          </cell>
        </row>
        <row r="4575">
          <cell r="L4575" t="str">
            <v>74314280</v>
          </cell>
        </row>
        <row r="4576">
          <cell r="L4576" t="str">
            <v>74314387</v>
          </cell>
        </row>
        <row r="4577">
          <cell r="L4577" t="str">
            <v>74315319</v>
          </cell>
        </row>
        <row r="4578">
          <cell r="L4578" t="str">
            <v>74315321</v>
          </cell>
        </row>
        <row r="4579">
          <cell r="L4579" t="str">
            <v>74315520</v>
          </cell>
        </row>
        <row r="4580">
          <cell r="L4580" t="str">
            <v>74315524</v>
          </cell>
        </row>
        <row r="4581">
          <cell r="L4581" t="str">
            <v>74315525</v>
          </cell>
        </row>
        <row r="4582">
          <cell r="L4582" t="str">
            <v>74315526</v>
          </cell>
        </row>
        <row r="4583">
          <cell r="L4583" t="str">
            <v>74315527</v>
          </cell>
        </row>
        <row r="4584">
          <cell r="L4584" t="str">
            <v>74315529</v>
          </cell>
        </row>
        <row r="4585">
          <cell r="L4585" t="str">
            <v>74315533</v>
          </cell>
        </row>
        <row r="4586">
          <cell r="L4586" t="str">
            <v>74315536</v>
          </cell>
        </row>
        <row r="4587">
          <cell r="L4587" t="str">
            <v>74315539</v>
          </cell>
        </row>
        <row r="4588">
          <cell r="L4588" t="str">
            <v>74315541</v>
          </cell>
        </row>
        <row r="4589">
          <cell r="L4589" t="str">
            <v>74315544</v>
          </cell>
        </row>
        <row r="4590">
          <cell r="L4590" t="str">
            <v>74315579</v>
          </cell>
        </row>
        <row r="4591">
          <cell r="L4591" t="str">
            <v>74315580</v>
          </cell>
        </row>
        <row r="4592">
          <cell r="L4592" t="str">
            <v>74315600</v>
          </cell>
        </row>
        <row r="4593">
          <cell r="L4593" t="str">
            <v>74315601</v>
          </cell>
        </row>
        <row r="4594">
          <cell r="L4594" t="str">
            <v>74315602</v>
          </cell>
        </row>
        <row r="4595">
          <cell r="L4595" t="str">
            <v>74315603</v>
          </cell>
        </row>
        <row r="4596">
          <cell r="L4596" t="str">
            <v>74315604</v>
          </cell>
        </row>
        <row r="4597">
          <cell r="L4597" t="str">
            <v>74285734</v>
          </cell>
        </row>
        <row r="4598">
          <cell r="L4598" t="str">
            <v>74285737</v>
          </cell>
        </row>
        <row r="4599">
          <cell r="L4599" t="str">
            <v>74285767</v>
          </cell>
        </row>
        <row r="4600">
          <cell r="L4600" t="str">
            <v>74285775</v>
          </cell>
        </row>
        <row r="4601">
          <cell r="L4601" t="str">
            <v>74285200</v>
          </cell>
        </row>
        <row r="4602">
          <cell r="L4602" t="str">
            <v>74252279</v>
          </cell>
        </row>
        <row r="4603">
          <cell r="L4603" t="str">
            <v>74260781</v>
          </cell>
        </row>
        <row r="4604">
          <cell r="L4604" t="str">
            <v>74271262</v>
          </cell>
        </row>
        <row r="4605">
          <cell r="L4605" t="str">
            <v>74275699</v>
          </cell>
        </row>
        <row r="4606">
          <cell r="L4606" t="str">
            <v>74286990</v>
          </cell>
        </row>
        <row r="4607">
          <cell r="L4607" t="str">
            <v>74288500</v>
          </cell>
        </row>
        <row r="4608">
          <cell r="L4608" t="str">
            <v>74289620</v>
          </cell>
        </row>
        <row r="4609">
          <cell r="L4609" t="str">
            <v>74290143</v>
          </cell>
        </row>
        <row r="4610">
          <cell r="L4610" t="str">
            <v>74292586</v>
          </cell>
        </row>
        <row r="4611">
          <cell r="L4611" t="str">
            <v>74292599</v>
          </cell>
        </row>
        <row r="4612">
          <cell r="L4612" t="str">
            <v>74292638</v>
          </cell>
        </row>
        <row r="4613">
          <cell r="L4613" t="str">
            <v>74292697</v>
          </cell>
        </row>
        <row r="4614">
          <cell r="L4614" t="str">
            <v>74292703</v>
          </cell>
        </row>
        <row r="4615">
          <cell r="L4615" t="str">
            <v>74292708</v>
          </cell>
        </row>
        <row r="4616">
          <cell r="L4616" t="str">
            <v>74292727</v>
          </cell>
        </row>
        <row r="4617">
          <cell r="L4617" t="str">
            <v>74292733</v>
          </cell>
        </row>
        <row r="4618">
          <cell r="L4618" t="str">
            <v>74292742</v>
          </cell>
        </row>
        <row r="4619">
          <cell r="L4619" t="str">
            <v>74292745</v>
          </cell>
        </row>
        <row r="4620">
          <cell r="L4620" t="str">
            <v>74292767</v>
          </cell>
        </row>
        <row r="4621">
          <cell r="L4621" t="str">
            <v>74292838</v>
          </cell>
        </row>
        <row r="4622">
          <cell r="L4622" t="str">
            <v>74292840</v>
          </cell>
        </row>
        <row r="4623">
          <cell r="L4623" t="str">
            <v>74294879</v>
          </cell>
        </row>
        <row r="4624">
          <cell r="L4624" t="str">
            <v>74295685</v>
          </cell>
        </row>
        <row r="4625">
          <cell r="L4625" t="str">
            <v>74296239</v>
          </cell>
        </row>
        <row r="4626">
          <cell r="L4626" t="str">
            <v>74298412</v>
          </cell>
        </row>
        <row r="4627">
          <cell r="L4627" t="str">
            <v>74300179</v>
          </cell>
        </row>
        <row r="4628">
          <cell r="L4628" t="str">
            <v>74300301</v>
          </cell>
        </row>
        <row r="4629">
          <cell r="L4629" t="str">
            <v>74302739</v>
          </cell>
        </row>
        <row r="4630">
          <cell r="L4630" t="str">
            <v>74306019</v>
          </cell>
        </row>
        <row r="4631">
          <cell r="L4631" t="str">
            <v>74307559</v>
          </cell>
        </row>
        <row r="4632">
          <cell r="L4632" t="str">
            <v>74307621</v>
          </cell>
        </row>
        <row r="4633">
          <cell r="L4633" t="str">
            <v>74308442</v>
          </cell>
        </row>
        <row r="4634">
          <cell r="L4634" t="str">
            <v>74308944</v>
          </cell>
        </row>
        <row r="4635">
          <cell r="L4635" t="str">
            <v>74309062</v>
          </cell>
        </row>
        <row r="4636">
          <cell r="L4636" t="str">
            <v>74309963</v>
          </cell>
        </row>
        <row r="4637">
          <cell r="L4637" t="str">
            <v>74309965</v>
          </cell>
        </row>
        <row r="4638">
          <cell r="L4638" t="str">
            <v>74312620</v>
          </cell>
        </row>
        <row r="4639">
          <cell r="L4639" t="str">
            <v>74312807</v>
          </cell>
        </row>
        <row r="4640">
          <cell r="L4640" t="str">
            <v>74313244</v>
          </cell>
        </row>
        <row r="4641">
          <cell r="L4641" t="str">
            <v>74316740</v>
          </cell>
        </row>
        <row r="4642">
          <cell r="L4642" t="str">
            <v>74317519</v>
          </cell>
        </row>
        <row r="4643">
          <cell r="L4643" t="str">
            <v>74320720</v>
          </cell>
        </row>
        <row r="4644">
          <cell r="L4644" t="str">
            <v>74322067</v>
          </cell>
        </row>
        <row r="4645">
          <cell r="L4645" t="str">
            <v>74322080</v>
          </cell>
        </row>
        <row r="4646">
          <cell r="L4646" t="str">
            <v>74322542</v>
          </cell>
        </row>
        <row r="4647">
          <cell r="L4647" t="str">
            <v>74285423</v>
          </cell>
        </row>
        <row r="4648">
          <cell r="L4648" t="str">
            <v>74281320</v>
          </cell>
        </row>
        <row r="4649">
          <cell r="L4649" t="str">
            <v>74281529</v>
          </cell>
        </row>
        <row r="4650">
          <cell r="L4650" t="str">
            <v>74283384</v>
          </cell>
        </row>
        <row r="4651">
          <cell r="L4651" t="str">
            <v>74283581</v>
          </cell>
        </row>
        <row r="4652">
          <cell r="L4652" t="str">
            <v>74283999</v>
          </cell>
        </row>
        <row r="4653">
          <cell r="L4653" t="str">
            <v>74285199</v>
          </cell>
        </row>
        <row r="4654">
          <cell r="L4654" t="str">
            <v>74288283</v>
          </cell>
        </row>
        <row r="4655">
          <cell r="L4655" t="str">
            <v>74315780</v>
          </cell>
        </row>
        <row r="4656">
          <cell r="L4656" t="str">
            <v>74319207</v>
          </cell>
        </row>
        <row r="4657">
          <cell r="L4657" t="str">
            <v>74264979</v>
          </cell>
        </row>
        <row r="4658">
          <cell r="L4658" t="str">
            <v>74285806</v>
          </cell>
        </row>
        <row r="4659">
          <cell r="L4659" t="str">
            <v>74286589</v>
          </cell>
        </row>
        <row r="4660">
          <cell r="L4660" t="str">
            <v>74286900</v>
          </cell>
        </row>
        <row r="4661">
          <cell r="L4661" t="str">
            <v>74285132</v>
          </cell>
        </row>
        <row r="4662">
          <cell r="L4662" t="str">
            <v>74289356</v>
          </cell>
        </row>
        <row r="4663">
          <cell r="L4663" t="str">
            <v>74289340</v>
          </cell>
        </row>
        <row r="4664">
          <cell r="L4664" t="str">
            <v>74289342</v>
          </cell>
        </row>
        <row r="4665">
          <cell r="L4665" t="str">
            <v>74290119</v>
          </cell>
        </row>
        <row r="4666">
          <cell r="L4666" t="str">
            <v>74290121</v>
          </cell>
        </row>
        <row r="4667">
          <cell r="L4667" t="str">
            <v>74290122</v>
          </cell>
        </row>
        <row r="4668">
          <cell r="L4668" t="str">
            <v>74290123</v>
          </cell>
        </row>
        <row r="4669">
          <cell r="L4669" t="str">
            <v>74290124</v>
          </cell>
        </row>
        <row r="4670">
          <cell r="L4670" t="str">
            <v>74290125</v>
          </cell>
        </row>
        <row r="4671">
          <cell r="L4671" t="str">
            <v>74290126</v>
          </cell>
        </row>
        <row r="4672">
          <cell r="L4672" t="str">
            <v>74290127</v>
          </cell>
        </row>
        <row r="4673">
          <cell r="L4673" t="str">
            <v>74290129</v>
          </cell>
        </row>
        <row r="4674">
          <cell r="L4674" t="str">
            <v>74292362</v>
          </cell>
        </row>
        <row r="4675">
          <cell r="L4675" t="str">
            <v>74292363</v>
          </cell>
        </row>
        <row r="4676">
          <cell r="L4676" t="str">
            <v>74283362</v>
          </cell>
        </row>
        <row r="4677">
          <cell r="L4677" t="str">
            <v>74283383</v>
          </cell>
        </row>
        <row r="4678">
          <cell r="L4678" t="str">
            <v>74290139</v>
          </cell>
        </row>
        <row r="4679">
          <cell r="L4679" t="str">
            <v>74290140</v>
          </cell>
        </row>
        <row r="4680">
          <cell r="L4680" t="str">
            <v>74290141</v>
          </cell>
        </row>
        <row r="4681">
          <cell r="L4681" t="str">
            <v>74290144</v>
          </cell>
        </row>
        <row r="4682">
          <cell r="L4682" t="str">
            <v>74290147</v>
          </cell>
        </row>
        <row r="4683">
          <cell r="L4683" t="str">
            <v>74290159</v>
          </cell>
        </row>
        <row r="4684">
          <cell r="L4684" t="str">
            <v>74290161</v>
          </cell>
        </row>
        <row r="4685">
          <cell r="L4685" t="str">
            <v>74290165</v>
          </cell>
        </row>
        <row r="4686">
          <cell r="L4686" t="str">
            <v>74290166</v>
          </cell>
        </row>
        <row r="4687">
          <cell r="L4687" t="str">
            <v>74290168</v>
          </cell>
        </row>
        <row r="4688">
          <cell r="L4688" t="str">
            <v>74290184</v>
          </cell>
        </row>
        <row r="4689">
          <cell r="L4689" t="str">
            <v>74290187</v>
          </cell>
        </row>
        <row r="4690">
          <cell r="L4690" t="str">
            <v>74290193</v>
          </cell>
        </row>
        <row r="4691">
          <cell r="L4691" t="str">
            <v>74290197</v>
          </cell>
        </row>
        <row r="4692">
          <cell r="L4692" t="str">
            <v>74290194</v>
          </cell>
        </row>
        <row r="4693">
          <cell r="L4693" t="str">
            <v>74290195</v>
          </cell>
        </row>
        <row r="4694">
          <cell r="L4694" t="str">
            <v>74290196</v>
          </cell>
        </row>
        <row r="4695">
          <cell r="L4695" t="str">
            <v>74290461</v>
          </cell>
        </row>
        <row r="4696">
          <cell r="L4696" t="str">
            <v>74290462</v>
          </cell>
        </row>
        <row r="4697">
          <cell r="L4697" t="str">
            <v>74290463</v>
          </cell>
        </row>
        <row r="4698">
          <cell r="L4698" t="str">
            <v>74290464</v>
          </cell>
        </row>
        <row r="4699">
          <cell r="L4699" t="str">
            <v>74290466</v>
          </cell>
        </row>
        <row r="4700">
          <cell r="L4700" t="str">
            <v>74290508</v>
          </cell>
        </row>
        <row r="4701">
          <cell r="L4701" t="str">
            <v>74290510</v>
          </cell>
        </row>
        <row r="4702">
          <cell r="L4702" t="str">
            <v>74290511</v>
          </cell>
        </row>
        <row r="4703">
          <cell r="L4703" t="str">
            <v>74290513</v>
          </cell>
        </row>
        <row r="4704">
          <cell r="L4704" t="str">
            <v>74290514</v>
          </cell>
        </row>
        <row r="4705">
          <cell r="L4705" t="str">
            <v>74290519</v>
          </cell>
        </row>
        <row r="4706">
          <cell r="L4706" t="str">
            <v>74290520</v>
          </cell>
        </row>
        <row r="4707">
          <cell r="L4707" t="str">
            <v>74290565</v>
          </cell>
        </row>
        <row r="4708">
          <cell r="L4708" t="str">
            <v>74290567</v>
          </cell>
        </row>
        <row r="4709">
          <cell r="L4709" t="str">
            <v>74290569</v>
          </cell>
        </row>
        <row r="4710">
          <cell r="L4710" t="str">
            <v>74290573</v>
          </cell>
        </row>
        <row r="4711">
          <cell r="L4711" t="str">
            <v>74290580</v>
          </cell>
        </row>
        <row r="4712">
          <cell r="L4712" t="str">
            <v>74290581</v>
          </cell>
        </row>
        <row r="4713">
          <cell r="L4713" t="str">
            <v>74290584</v>
          </cell>
        </row>
        <row r="4714">
          <cell r="L4714" t="str">
            <v>74290586</v>
          </cell>
        </row>
        <row r="4715">
          <cell r="L4715" t="str">
            <v>74290587</v>
          </cell>
        </row>
        <row r="4716">
          <cell r="L4716" t="str">
            <v>74290699</v>
          </cell>
        </row>
        <row r="4717">
          <cell r="L4717" t="str">
            <v>74290700</v>
          </cell>
        </row>
        <row r="4718">
          <cell r="L4718" t="str">
            <v>74290702</v>
          </cell>
        </row>
        <row r="4719">
          <cell r="L4719" t="str">
            <v>74290583</v>
          </cell>
        </row>
        <row r="4720">
          <cell r="L4720" t="str">
            <v>74294619</v>
          </cell>
        </row>
        <row r="4721">
          <cell r="L4721" t="str">
            <v>74294579</v>
          </cell>
        </row>
        <row r="4722">
          <cell r="L4722" t="str">
            <v>74234199</v>
          </cell>
        </row>
        <row r="4723">
          <cell r="L4723" t="str">
            <v>74294580</v>
          </cell>
        </row>
        <row r="4724">
          <cell r="L4724" t="str">
            <v>74294581</v>
          </cell>
        </row>
        <row r="4725">
          <cell r="L4725" t="str">
            <v>74296550</v>
          </cell>
        </row>
        <row r="4726">
          <cell r="L4726" t="str">
            <v>74293590</v>
          </cell>
        </row>
        <row r="4727">
          <cell r="L4727" t="str">
            <v>74298414</v>
          </cell>
        </row>
        <row r="4728">
          <cell r="L4728" t="str">
            <v>74299313</v>
          </cell>
        </row>
        <row r="4729">
          <cell r="L4729" t="str">
            <v>74314561</v>
          </cell>
        </row>
        <row r="4730">
          <cell r="L4730" t="str">
            <v>74315981</v>
          </cell>
        </row>
        <row r="4731">
          <cell r="L4731" t="str">
            <v>74315984</v>
          </cell>
        </row>
        <row r="4732">
          <cell r="L4732" t="str">
            <v>74315987</v>
          </cell>
        </row>
        <row r="4733">
          <cell r="L4733" t="str">
            <v>74316140</v>
          </cell>
        </row>
        <row r="4734">
          <cell r="L4734" t="str">
            <v>74316262</v>
          </cell>
        </row>
        <row r="4735">
          <cell r="L4735" t="str">
            <v>74316719</v>
          </cell>
        </row>
        <row r="4736">
          <cell r="L4736" t="str">
            <v>74300300</v>
          </cell>
        </row>
        <row r="4737">
          <cell r="L4737" t="str">
            <v>74301522</v>
          </cell>
        </row>
        <row r="4738">
          <cell r="L4738" t="str">
            <v>74309869</v>
          </cell>
        </row>
        <row r="4739">
          <cell r="L4739" t="str">
            <v>74309871</v>
          </cell>
        </row>
        <row r="4740">
          <cell r="L4740" t="str">
            <v>74309872</v>
          </cell>
        </row>
        <row r="4741">
          <cell r="L4741" t="str">
            <v>74309874</v>
          </cell>
        </row>
        <row r="4742">
          <cell r="L4742" t="str">
            <v>74309878</v>
          </cell>
        </row>
        <row r="4743">
          <cell r="L4743" t="str">
            <v>74309880</v>
          </cell>
        </row>
        <row r="4744">
          <cell r="L4744" t="str">
            <v>74309882</v>
          </cell>
        </row>
        <row r="4745">
          <cell r="L4745" t="str">
            <v>74309883</v>
          </cell>
        </row>
        <row r="4746">
          <cell r="L4746" t="str">
            <v>74309884</v>
          </cell>
        </row>
        <row r="4747">
          <cell r="L4747" t="str">
            <v>74309886</v>
          </cell>
        </row>
        <row r="4748">
          <cell r="L4748" t="str">
            <v>74309887</v>
          </cell>
        </row>
        <row r="4749">
          <cell r="L4749" t="str">
            <v>74309888</v>
          </cell>
        </row>
        <row r="4750">
          <cell r="L4750" t="str">
            <v>74310140</v>
          </cell>
        </row>
        <row r="4751">
          <cell r="L4751" t="str">
            <v>74310142</v>
          </cell>
        </row>
        <row r="4752">
          <cell r="L4752" t="str">
            <v>74310143</v>
          </cell>
        </row>
        <row r="4753">
          <cell r="L4753" t="str">
            <v>74310144</v>
          </cell>
        </row>
        <row r="4754">
          <cell r="L4754" t="str">
            <v>74310146</v>
          </cell>
        </row>
        <row r="4755">
          <cell r="L4755" t="str">
            <v>74310147</v>
          </cell>
        </row>
        <row r="4756">
          <cell r="L4756" t="str">
            <v>74310148</v>
          </cell>
        </row>
        <row r="4757">
          <cell r="L4757" t="str">
            <v>74310150</v>
          </cell>
        </row>
        <row r="4758">
          <cell r="L4758" t="str">
            <v>74310151</v>
          </cell>
        </row>
        <row r="4759">
          <cell r="L4759" t="str">
            <v>74310152</v>
          </cell>
        </row>
        <row r="4760">
          <cell r="L4760" t="str">
            <v>74310153</v>
          </cell>
        </row>
        <row r="4761">
          <cell r="L4761" t="str">
            <v>74310154</v>
          </cell>
        </row>
        <row r="4762">
          <cell r="L4762" t="str">
            <v>74310155</v>
          </cell>
        </row>
        <row r="4763">
          <cell r="L4763" t="str">
            <v>74310158</v>
          </cell>
        </row>
        <row r="4764">
          <cell r="L4764" t="str">
            <v>74310159</v>
          </cell>
        </row>
        <row r="4765">
          <cell r="L4765" t="str">
            <v>74310160</v>
          </cell>
        </row>
        <row r="4766">
          <cell r="L4766" t="str">
            <v>74310161</v>
          </cell>
        </row>
        <row r="4767">
          <cell r="L4767" t="str">
            <v>74310162</v>
          </cell>
        </row>
        <row r="4768">
          <cell r="L4768" t="str">
            <v>74310163</v>
          </cell>
        </row>
        <row r="4769">
          <cell r="L4769" t="str">
            <v>74310165</v>
          </cell>
        </row>
        <row r="4770">
          <cell r="L4770" t="str">
            <v>74310166</v>
          </cell>
        </row>
        <row r="4771">
          <cell r="L4771" t="str">
            <v>74310167</v>
          </cell>
        </row>
        <row r="4772">
          <cell r="L4772" t="str">
            <v>74310168</v>
          </cell>
        </row>
        <row r="4773">
          <cell r="L4773" t="str">
            <v>74310170</v>
          </cell>
        </row>
        <row r="4774">
          <cell r="L4774" t="str">
            <v>74310171</v>
          </cell>
        </row>
        <row r="4775">
          <cell r="L4775" t="str">
            <v>74310173</v>
          </cell>
        </row>
        <row r="4776">
          <cell r="L4776" t="str">
            <v>74310174</v>
          </cell>
        </row>
        <row r="4777">
          <cell r="L4777" t="str">
            <v>74310175</v>
          </cell>
        </row>
        <row r="4778">
          <cell r="L4778" t="str">
            <v>74310177</v>
          </cell>
        </row>
        <row r="4779">
          <cell r="L4779" t="str">
            <v>74310178</v>
          </cell>
        </row>
        <row r="4780">
          <cell r="L4780" t="str">
            <v>74310180</v>
          </cell>
        </row>
        <row r="4781">
          <cell r="L4781" t="str">
            <v>74310181</v>
          </cell>
        </row>
        <row r="4782">
          <cell r="L4782" t="str">
            <v>74310601</v>
          </cell>
        </row>
        <row r="4783">
          <cell r="L4783" t="str">
            <v>74312046</v>
          </cell>
        </row>
        <row r="4784">
          <cell r="L4784" t="str">
            <v>74301523</v>
          </cell>
        </row>
        <row r="4785">
          <cell r="L4785" t="str">
            <v>74300302</v>
          </cell>
        </row>
        <row r="4786">
          <cell r="L4786" t="str">
            <v>74266503</v>
          </cell>
        </row>
        <row r="4787">
          <cell r="L4787" t="str">
            <v>74301220</v>
          </cell>
        </row>
        <row r="4788">
          <cell r="L4788" t="str">
            <v>74294704</v>
          </cell>
        </row>
        <row r="4789">
          <cell r="L4789" t="str">
            <v>74294705</v>
          </cell>
        </row>
        <row r="4790">
          <cell r="L4790" t="str">
            <v>74294706</v>
          </cell>
        </row>
        <row r="4791">
          <cell r="L4791" t="str">
            <v>74294707</v>
          </cell>
        </row>
        <row r="4792">
          <cell r="L4792" t="str">
            <v>74303886</v>
          </cell>
        </row>
        <row r="4793">
          <cell r="L4793" t="str">
            <v>74140828</v>
          </cell>
        </row>
        <row r="4794">
          <cell r="L4794" t="str">
            <v>74270900</v>
          </cell>
        </row>
        <row r="4795">
          <cell r="L4795" t="str">
            <v>74270901</v>
          </cell>
        </row>
        <row r="4796">
          <cell r="L4796" t="str">
            <v>74270920</v>
          </cell>
        </row>
        <row r="4797">
          <cell r="L4797" t="str">
            <v>74270921</v>
          </cell>
        </row>
        <row r="4798">
          <cell r="L4798" t="str">
            <v>74270922</v>
          </cell>
        </row>
        <row r="4799">
          <cell r="L4799" t="str">
            <v>74270999</v>
          </cell>
        </row>
        <row r="4800">
          <cell r="L4800" t="str">
            <v>74271000</v>
          </cell>
        </row>
        <row r="4801">
          <cell r="L4801" t="str">
            <v>74271200</v>
          </cell>
        </row>
        <row r="4802">
          <cell r="L4802" t="str">
            <v>74271201</v>
          </cell>
        </row>
        <row r="4803">
          <cell r="L4803" t="str">
            <v>74271219</v>
          </cell>
        </row>
        <row r="4804">
          <cell r="L4804" t="str">
            <v>74271222</v>
          </cell>
        </row>
        <row r="4805">
          <cell r="L4805" t="str">
            <v>74271225</v>
          </cell>
        </row>
        <row r="4806">
          <cell r="L4806" t="str">
            <v>74271243</v>
          </cell>
        </row>
        <row r="4807">
          <cell r="L4807" t="str">
            <v>74289952</v>
          </cell>
        </row>
        <row r="4808">
          <cell r="L4808" t="str">
            <v>74289954</v>
          </cell>
        </row>
        <row r="4809">
          <cell r="L4809" t="str">
            <v>74290705</v>
          </cell>
        </row>
        <row r="4810">
          <cell r="L4810" t="str">
            <v>74320244</v>
          </cell>
        </row>
        <row r="4811">
          <cell r="L4811" t="str">
            <v>74320245</v>
          </cell>
        </row>
        <row r="4812">
          <cell r="L4812" t="str">
            <v>74320259</v>
          </cell>
        </row>
        <row r="4813">
          <cell r="L4813" t="str">
            <v>74320262</v>
          </cell>
        </row>
        <row r="4814">
          <cell r="L4814" t="str">
            <v>74320263</v>
          </cell>
        </row>
        <row r="4815">
          <cell r="L4815" t="str">
            <v>74321380</v>
          </cell>
        </row>
        <row r="4816">
          <cell r="L4816" t="str">
            <v>74322123</v>
          </cell>
        </row>
        <row r="4817">
          <cell r="L4817" t="str">
            <v>74322764</v>
          </cell>
        </row>
        <row r="4818">
          <cell r="L4818" t="str">
            <v>74322773</v>
          </cell>
        </row>
        <row r="4819">
          <cell r="L4819" t="str">
            <v>74322885</v>
          </cell>
        </row>
        <row r="4820">
          <cell r="L4820" t="str">
            <v>74322889</v>
          </cell>
        </row>
        <row r="4821">
          <cell r="L4821" t="str">
            <v>74322979</v>
          </cell>
        </row>
        <row r="4822">
          <cell r="L4822" t="str">
            <v>74322763</v>
          </cell>
        </row>
        <row r="4823">
          <cell r="L4823" t="str">
            <v>74322760</v>
          </cell>
        </row>
        <row r="4824">
          <cell r="L4824" t="str">
            <v>74306070</v>
          </cell>
        </row>
        <row r="4825">
          <cell r="L4825" t="str">
            <v>74322526</v>
          </cell>
        </row>
        <row r="4826">
          <cell r="L4826" t="str">
            <v>74304415</v>
          </cell>
        </row>
        <row r="4827">
          <cell r="L4827" t="str">
            <v>74309547</v>
          </cell>
        </row>
        <row r="4828">
          <cell r="L4828" t="str">
            <v>74308300</v>
          </cell>
        </row>
        <row r="4829">
          <cell r="L4829" t="str">
            <v>74309810</v>
          </cell>
        </row>
        <row r="4830">
          <cell r="L4830" t="str">
            <v>74310579</v>
          </cell>
        </row>
        <row r="4831">
          <cell r="L4831" t="str">
            <v>74310628</v>
          </cell>
        </row>
        <row r="4832">
          <cell r="L4832" t="str">
            <v>74310841</v>
          </cell>
        </row>
        <row r="4833">
          <cell r="L4833" t="str">
            <v>74210421</v>
          </cell>
        </row>
        <row r="4834">
          <cell r="L4834" t="str">
            <v>74311262</v>
          </cell>
        </row>
        <row r="4835">
          <cell r="L4835" t="str">
            <v>74312020</v>
          </cell>
        </row>
        <row r="4836">
          <cell r="L4836" t="str">
            <v>74307261</v>
          </cell>
        </row>
        <row r="4837">
          <cell r="L4837" t="str">
            <v>74312243</v>
          </cell>
        </row>
        <row r="4838">
          <cell r="L4838" t="str">
            <v>155 Budget FY1112</v>
          </cell>
        </row>
        <row r="4839">
          <cell r="L4839" t="str">
            <v>74298500</v>
          </cell>
        </row>
        <row r="4840">
          <cell r="L4840" t="str">
            <v>74301970</v>
          </cell>
        </row>
        <row r="4841">
          <cell r="L4841" t="str">
            <v>74304248</v>
          </cell>
        </row>
        <row r="4842">
          <cell r="L4842" t="str">
            <v>74308783</v>
          </cell>
        </row>
        <row r="4843">
          <cell r="L4843" t="str">
            <v>74311339</v>
          </cell>
        </row>
        <row r="4844">
          <cell r="L4844" t="str">
            <v>74312359</v>
          </cell>
        </row>
        <row r="4845">
          <cell r="L4845" t="str">
            <v>74312440</v>
          </cell>
        </row>
        <row r="4846">
          <cell r="L4846" t="str">
            <v>74313681</v>
          </cell>
        </row>
        <row r="4847">
          <cell r="L4847" t="str">
            <v>74314521</v>
          </cell>
        </row>
        <row r="4848">
          <cell r="L4848" t="str">
            <v>74314528</v>
          </cell>
        </row>
        <row r="4849">
          <cell r="L4849" t="str">
            <v>74314602</v>
          </cell>
        </row>
        <row r="4850">
          <cell r="L4850" t="str">
            <v>74315942</v>
          </cell>
        </row>
        <row r="4851">
          <cell r="L4851" t="str">
            <v>74312202</v>
          </cell>
        </row>
        <row r="4852">
          <cell r="L4852" t="str">
            <v>74313039</v>
          </cell>
        </row>
        <row r="4853">
          <cell r="L4853" t="str">
            <v>74315199</v>
          </cell>
        </row>
        <row r="4854">
          <cell r="L4854" t="str">
            <v>74315701</v>
          </cell>
        </row>
        <row r="4855">
          <cell r="L4855" t="str">
            <v>74317221</v>
          </cell>
        </row>
        <row r="4856">
          <cell r="L4856" t="str">
            <v>74317959</v>
          </cell>
        </row>
        <row r="4857">
          <cell r="L4857" t="str">
            <v>74319539</v>
          </cell>
        </row>
        <row r="4858">
          <cell r="L4858" t="str">
            <v>74319560</v>
          </cell>
        </row>
        <row r="4859">
          <cell r="L4859" t="str">
            <v>74319783</v>
          </cell>
        </row>
        <row r="4860">
          <cell r="L4860" t="str">
            <v>74321003</v>
          </cell>
        </row>
        <row r="4861">
          <cell r="L4861" t="str">
            <v>74321004</v>
          </cell>
        </row>
        <row r="4862">
          <cell r="L4862" t="str">
            <v>74322340</v>
          </cell>
        </row>
        <row r="4863">
          <cell r="L4863" t="str">
            <v>74322611</v>
          </cell>
        </row>
        <row r="4864">
          <cell r="L4864" t="str">
            <v>74323919</v>
          </cell>
        </row>
        <row r="4865">
          <cell r="L4865" t="str">
            <v>74326059</v>
          </cell>
        </row>
        <row r="4866">
          <cell r="L4866" t="str">
            <v>74326061</v>
          </cell>
        </row>
        <row r="4867">
          <cell r="L4867" t="str">
            <v>74314930</v>
          </cell>
        </row>
        <row r="4868">
          <cell r="L4868" t="str">
            <v>74315423</v>
          </cell>
        </row>
        <row r="4869">
          <cell r="L4869" t="str">
            <v>74315424</v>
          </cell>
        </row>
        <row r="4870">
          <cell r="L4870" t="str">
            <v>74315425</v>
          </cell>
        </row>
        <row r="4871">
          <cell r="L4871" t="str">
            <v>74316512</v>
          </cell>
        </row>
        <row r="4872">
          <cell r="L4872" t="str">
            <v>74316505</v>
          </cell>
        </row>
        <row r="4873">
          <cell r="L4873" t="str">
            <v>74316508</v>
          </cell>
        </row>
        <row r="4874">
          <cell r="L4874" t="str">
            <v>74316509</v>
          </cell>
        </row>
        <row r="4875">
          <cell r="L4875" t="str">
            <v>74316510</v>
          </cell>
        </row>
        <row r="4876">
          <cell r="L4876" t="str">
            <v>74316679</v>
          </cell>
        </row>
        <row r="4877">
          <cell r="L4877" t="str">
            <v>74316513</v>
          </cell>
        </row>
        <row r="4878">
          <cell r="L4878" t="str">
            <v>74316516</v>
          </cell>
        </row>
        <row r="4879">
          <cell r="L4879" t="str">
            <v>74316517</v>
          </cell>
        </row>
        <row r="4880">
          <cell r="L4880" t="str">
            <v>74316520</v>
          </cell>
        </row>
        <row r="4881">
          <cell r="L4881" t="str">
            <v>74316521</v>
          </cell>
        </row>
        <row r="4882">
          <cell r="L4882" t="str">
            <v>74316529</v>
          </cell>
        </row>
        <row r="4883">
          <cell r="L4883" t="str">
            <v>74316526</v>
          </cell>
        </row>
        <row r="4884">
          <cell r="L4884" t="str">
            <v>74293598</v>
          </cell>
        </row>
        <row r="4885">
          <cell r="L4885" t="str">
            <v>74293585</v>
          </cell>
        </row>
        <row r="4886">
          <cell r="L4886" t="str">
            <v>74317729</v>
          </cell>
        </row>
        <row r="4887">
          <cell r="L4887" t="str">
            <v>74317730</v>
          </cell>
        </row>
        <row r="4888">
          <cell r="L4888" t="str">
            <v>74317731</v>
          </cell>
        </row>
        <row r="4889">
          <cell r="L4889" t="str">
            <v>74317732</v>
          </cell>
        </row>
        <row r="4890">
          <cell r="L4890" t="str">
            <v>74317733</v>
          </cell>
        </row>
        <row r="4891">
          <cell r="L4891" t="str">
            <v>74317734</v>
          </cell>
        </row>
        <row r="4892">
          <cell r="L4892" t="str">
            <v>74316511</v>
          </cell>
        </row>
        <row r="4893">
          <cell r="L4893" t="str">
            <v>74245407</v>
          </cell>
        </row>
        <row r="4894">
          <cell r="L4894" t="str">
            <v>74318881</v>
          </cell>
        </row>
        <row r="4895">
          <cell r="L4895" t="str">
            <v>74321721</v>
          </cell>
        </row>
        <row r="4896">
          <cell r="L4896" t="str">
            <v>74322527</v>
          </cell>
        </row>
        <row r="4897">
          <cell r="L4897" t="str">
            <v>74317861</v>
          </cell>
        </row>
        <row r="4898">
          <cell r="L4898" t="str">
            <v>74309060</v>
          </cell>
        </row>
        <row r="4899">
          <cell r="L4899" t="str">
            <v>74323249</v>
          </cell>
        </row>
        <row r="4900">
          <cell r="L4900" t="str">
            <v>74323311</v>
          </cell>
        </row>
        <row r="4901">
          <cell r="L4901" t="str">
            <v>74325100</v>
          </cell>
        </row>
        <row r="4902">
          <cell r="L4902" t="str">
            <v>74324822</v>
          </cell>
        </row>
        <row r="4903">
          <cell r="L4903" t="str">
            <v>74324823</v>
          </cell>
        </row>
        <row r="4904">
          <cell r="L4904" t="str">
            <v>74321386</v>
          </cell>
        </row>
        <row r="4905">
          <cell r="L4905" t="str">
            <v>ECUST0809</v>
          </cell>
        </row>
        <row r="4906">
          <cell r="L4906" t="str">
            <v>136344</v>
          </cell>
        </row>
        <row r="4907">
          <cell r="L4907" t="str">
            <v>671754</v>
          </cell>
        </row>
        <row r="4908">
          <cell r="L4908" t="str">
            <v>74039563</v>
          </cell>
        </row>
        <row r="4909">
          <cell r="L4909" t="str">
            <v>74077998</v>
          </cell>
        </row>
        <row r="4910">
          <cell r="L4910" t="str">
            <v>74082832</v>
          </cell>
        </row>
        <row r="4911">
          <cell r="L4911" t="str">
            <v>74083086</v>
          </cell>
        </row>
        <row r="4912">
          <cell r="L4912" t="str">
            <v>74083629</v>
          </cell>
        </row>
        <row r="4913">
          <cell r="L4913" t="str">
            <v>74093306</v>
          </cell>
        </row>
        <row r="4914">
          <cell r="L4914" t="str">
            <v>74106962</v>
          </cell>
        </row>
        <row r="4915">
          <cell r="L4915" t="str">
            <v>74116039</v>
          </cell>
        </row>
        <row r="4916">
          <cell r="L4916" t="str">
            <v>74121770</v>
          </cell>
        </row>
        <row r="4917">
          <cell r="L4917" t="str">
            <v>74129896</v>
          </cell>
        </row>
        <row r="4918">
          <cell r="L4918" t="str">
            <v>74137370</v>
          </cell>
        </row>
        <row r="4919">
          <cell r="L4919" t="str">
            <v>74147488</v>
          </cell>
        </row>
        <row r="4920">
          <cell r="L4920" t="str">
            <v>74149751</v>
          </cell>
        </row>
        <row r="4921">
          <cell r="L4921" t="str">
            <v>74152608</v>
          </cell>
        </row>
        <row r="4922">
          <cell r="L4922" t="str">
            <v>74158531</v>
          </cell>
        </row>
        <row r="4923">
          <cell r="L4923" t="str">
            <v>74160535</v>
          </cell>
        </row>
        <row r="4924">
          <cell r="L4924" t="str">
            <v>74164708</v>
          </cell>
        </row>
        <row r="4925">
          <cell r="L4925" t="str">
            <v>74169154</v>
          </cell>
        </row>
        <row r="4926">
          <cell r="L4926" t="str">
            <v>74170569</v>
          </cell>
        </row>
        <row r="4927">
          <cell r="L4927" t="str">
            <v>74171791</v>
          </cell>
        </row>
        <row r="4928">
          <cell r="L4928" t="str">
            <v>74172428</v>
          </cell>
        </row>
        <row r="4929">
          <cell r="L4929" t="str">
            <v>74179132</v>
          </cell>
        </row>
        <row r="4930">
          <cell r="L4930" t="str">
            <v>74179528</v>
          </cell>
        </row>
        <row r="4931">
          <cell r="L4931" t="str">
            <v>74180388</v>
          </cell>
        </row>
        <row r="4932">
          <cell r="L4932" t="str">
            <v>74186335</v>
          </cell>
        </row>
        <row r="4933">
          <cell r="L4933" t="str">
            <v>74188092</v>
          </cell>
        </row>
        <row r="4934">
          <cell r="L4934" t="str">
            <v>74192635</v>
          </cell>
        </row>
        <row r="4935">
          <cell r="L4935" t="str">
            <v>74194881</v>
          </cell>
        </row>
        <row r="4936">
          <cell r="L4936" t="str">
            <v>74195840</v>
          </cell>
        </row>
        <row r="4937">
          <cell r="L4937" t="str">
            <v>74199612</v>
          </cell>
        </row>
        <row r="4938">
          <cell r="L4938" t="str">
            <v>74203372</v>
          </cell>
        </row>
        <row r="4939">
          <cell r="L4939" t="str">
            <v>74203931</v>
          </cell>
        </row>
        <row r="4940">
          <cell r="L4940" t="str">
            <v>74204272</v>
          </cell>
        </row>
        <row r="4941">
          <cell r="L4941" t="str">
            <v>74205701</v>
          </cell>
        </row>
        <row r="4942">
          <cell r="L4942" t="str">
            <v>74206081</v>
          </cell>
        </row>
        <row r="4943">
          <cell r="L4943" t="str">
            <v>74206882</v>
          </cell>
        </row>
        <row r="4944">
          <cell r="L4944" t="str">
            <v>74207081</v>
          </cell>
        </row>
        <row r="4945">
          <cell r="L4945" t="str">
            <v>74207121</v>
          </cell>
        </row>
        <row r="4946">
          <cell r="L4946" t="str">
            <v>74207165</v>
          </cell>
        </row>
        <row r="4947">
          <cell r="L4947" t="str">
            <v>74207547</v>
          </cell>
        </row>
        <row r="4948">
          <cell r="L4948" t="str">
            <v>74209046</v>
          </cell>
        </row>
        <row r="4949">
          <cell r="L4949" t="str">
            <v>74211104</v>
          </cell>
        </row>
        <row r="4950">
          <cell r="L4950" t="str">
            <v>74213681</v>
          </cell>
        </row>
        <row r="4951">
          <cell r="L4951" t="str">
            <v>74213682</v>
          </cell>
        </row>
        <row r="4952">
          <cell r="L4952" t="str">
            <v>74216522</v>
          </cell>
        </row>
        <row r="4953">
          <cell r="L4953" t="str">
            <v>74216523</v>
          </cell>
        </row>
        <row r="4954">
          <cell r="L4954" t="str">
            <v>74221263</v>
          </cell>
        </row>
        <row r="4955">
          <cell r="L4955" t="str">
            <v>74224144</v>
          </cell>
        </row>
        <row r="4956">
          <cell r="L4956" t="str">
            <v>74224391</v>
          </cell>
        </row>
        <row r="4957">
          <cell r="L4957" t="str">
            <v>74224504</v>
          </cell>
        </row>
        <row r="4958">
          <cell r="L4958" t="str">
            <v>74224945</v>
          </cell>
        </row>
        <row r="4959">
          <cell r="L4959" t="str">
            <v>74225160</v>
          </cell>
        </row>
        <row r="4960">
          <cell r="L4960" t="str">
            <v>74225724</v>
          </cell>
        </row>
        <row r="4961">
          <cell r="L4961" t="str">
            <v>74228201</v>
          </cell>
        </row>
        <row r="4962">
          <cell r="L4962" t="str">
            <v>74228428</v>
          </cell>
        </row>
        <row r="4963">
          <cell r="L4963" t="str">
            <v>74228961</v>
          </cell>
        </row>
        <row r="4964">
          <cell r="L4964" t="str">
            <v>74229240</v>
          </cell>
        </row>
        <row r="4965">
          <cell r="L4965" t="str">
            <v>74229242</v>
          </cell>
        </row>
        <row r="4966">
          <cell r="L4966" t="str">
            <v>74229261</v>
          </cell>
        </row>
        <row r="4967">
          <cell r="L4967" t="str">
            <v>74229899</v>
          </cell>
        </row>
        <row r="4968">
          <cell r="L4968" t="str">
            <v>74230720</v>
          </cell>
        </row>
        <row r="4969">
          <cell r="L4969" t="str">
            <v>74232359</v>
          </cell>
        </row>
        <row r="4970">
          <cell r="L4970" t="str">
            <v>74234521</v>
          </cell>
        </row>
        <row r="4971">
          <cell r="L4971" t="str">
            <v>74235601</v>
          </cell>
        </row>
        <row r="4972">
          <cell r="L4972" t="str">
            <v>74235641</v>
          </cell>
        </row>
        <row r="4973">
          <cell r="L4973" t="str">
            <v>74235946</v>
          </cell>
        </row>
        <row r="4974">
          <cell r="L4974" t="str">
            <v>74236399</v>
          </cell>
        </row>
        <row r="4975">
          <cell r="L4975" t="str">
            <v>74236559</v>
          </cell>
        </row>
        <row r="4976">
          <cell r="L4976" t="str">
            <v>74236883</v>
          </cell>
        </row>
        <row r="4977">
          <cell r="L4977" t="str">
            <v>74239321</v>
          </cell>
        </row>
        <row r="4978">
          <cell r="L4978" t="str">
            <v>74241019</v>
          </cell>
        </row>
        <row r="4979">
          <cell r="L4979" t="str">
            <v>74241261</v>
          </cell>
        </row>
        <row r="4980">
          <cell r="L4980" t="str">
            <v>74243184</v>
          </cell>
        </row>
        <row r="4981">
          <cell r="L4981" t="str">
            <v>74243259</v>
          </cell>
        </row>
        <row r="4982">
          <cell r="L4982" t="str">
            <v>74243419</v>
          </cell>
        </row>
        <row r="4983">
          <cell r="L4983" t="str">
            <v>74245209</v>
          </cell>
        </row>
        <row r="4984">
          <cell r="L4984" t="str">
            <v>74245941</v>
          </cell>
        </row>
        <row r="4985">
          <cell r="L4985" t="str">
            <v>74247632</v>
          </cell>
        </row>
        <row r="4986">
          <cell r="L4986" t="str">
            <v>74248013</v>
          </cell>
        </row>
        <row r="4987">
          <cell r="L4987" t="str">
            <v>74249859</v>
          </cell>
        </row>
        <row r="4988">
          <cell r="L4988" t="str">
            <v>74251499</v>
          </cell>
        </row>
        <row r="4989">
          <cell r="L4989" t="str">
            <v>74251501</v>
          </cell>
        </row>
        <row r="4990">
          <cell r="L4990" t="str">
            <v>74252402</v>
          </cell>
        </row>
        <row r="4991">
          <cell r="L4991" t="str">
            <v>74252448</v>
          </cell>
        </row>
        <row r="4992">
          <cell r="L4992" t="str">
            <v>74253440</v>
          </cell>
        </row>
        <row r="4993">
          <cell r="L4993" t="str">
            <v>74255024</v>
          </cell>
        </row>
        <row r="4994">
          <cell r="L4994" t="str">
            <v>74256166</v>
          </cell>
        </row>
        <row r="4995">
          <cell r="L4995" t="str">
            <v>74256282</v>
          </cell>
        </row>
        <row r="4996">
          <cell r="L4996" t="str">
            <v>74256287</v>
          </cell>
        </row>
        <row r="4997">
          <cell r="L4997" t="str">
            <v>74258243</v>
          </cell>
        </row>
        <row r="4998">
          <cell r="L4998" t="str">
            <v>74258742</v>
          </cell>
        </row>
        <row r="4999">
          <cell r="L4999" t="str">
            <v>74259126</v>
          </cell>
        </row>
        <row r="5000">
          <cell r="L5000" t="str">
            <v>74259499</v>
          </cell>
        </row>
        <row r="5001">
          <cell r="L5001" t="str">
            <v>74261759</v>
          </cell>
        </row>
        <row r="5002">
          <cell r="L5002" t="str">
            <v>74263119</v>
          </cell>
        </row>
        <row r="5003">
          <cell r="L5003" t="str">
            <v>74264205</v>
          </cell>
        </row>
        <row r="5004">
          <cell r="L5004" t="str">
            <v>74264499</v>
          </cell>
        </row>
        <row r="5005">
          <cell r="L5005" t="str">
            <v>74265180</v>
          </cell>
        </row>
        <row r="5006">
          <cell r="L5006" t="str">
            <v>74265384</v>
          </cell>
        </row>
        <row r="5007">
          <cell r="L5007" t="str">
            <v>74266319</v>
          </cell>
        </row>
        <row r="5008">
          <cell r="L5008" t="str">
            <v>74267000</v>
          </cell>
        </row>
        <row r="5009">
          <cell r="L5009" t="str">
            <v>74267399</v>
          </cell>
        </row>
        <row r="5010">
          <cell r="L5010" t="str">
            <v>74267620</v>
          </cell>
        </row>
        <row r="5011">
          <cell r="L5011" t="str">
            <v>74267641</v>
          </cell>
        </row>
        <row r="5012">
          <cell r="L5012" t="str">
            <v>74268043</v>
          </cell>
        </row>
        <row r="5013">
          <cell r="L5013" t="str">
            <v>74268061</v>
          </cell>
        </row>
        <row r="5014">
          <cell r="L5014" t="str">
            <v>74269126</v>
          </cell>
        </row>
        <row r="5015">
          <cell r="L5015" t="str">
            <v>74270399</v>
          </cell>
        </row>
        <row r="5016">
          <cell r="L5016" t="str">
            <v>74270439</v>
          </cell>
        </row>
        <row r="5017">
          <cell r="L5017" t="str">
            <v>74270479</v>
          </cell>
        </row>
        <row r="5018">
          <cell r="L5018" t="str">
            <v>74272824</v>
          </cell>
        </row>
        <row r="5019">
          <cell r="L5019" t="str">
            <v>74273235</v>
          </cell>
        </row>
        <row r="5020">
          <cell r="L5020" t="str">
            <v>74273862</v>
          </cell>
        </row>
        <row r="5021">
          <cell r="L5021" t="str">
            <v>74273882</v>
          </cell>
        </row>
        <row r="5022">
          <cell r="L5022" t="str">
            <v>74273983</v>
          </cell>
        </row>
        <row r="5023">
          <cell r="L5023" t="str">
            <v>74274503</v>
          </cell>
        </row>
        <row r="5024">
          <cell r="L5024" t="str">
            <v>74275780</v>
          </cell>
        </row>
        <row r="5025">
          <cell r="L5025" t="str">
            <v>74275816</v>
          </cell>
        </row>
        <row r="5026">
          <cell r="L5026" t="str">
            <v>74276016</v>
          </cell>
        </row>
        <row r="5027">
          <cell r="L5027" t="str">
            <v>74276533</v>
          </cell>
        </row>
        <row r="5028">
          <cell r="L5028" t="str">
            <v>74276719</v>
          </cell>
        </row>
        <row r="5029">
          <cell r="L5029" t="str">
            <v>74276725</v>
          </cell>
        </row>
        <row r="5030">
          <cell r="L5030" t="str">
            <v>74277279</v>
          </cell>
        </row>
        <row r="5031">
          <cell r="L5031" t="str">
            <v>74277421</v>
          </cell>
        </row>
        <row r="5032">
          <cell r="L5032" t="str">
            <v>74277968</v>
          </cell>
        </row>
        <row r="5033">
          <cell r="L5033" t="str">
            <v>74278542</v>
          </cell>
        </row>
        <row r="5034">
          <cell r="L5034" t="str">
            <v>74278802</v>
          </cell>
        </row>
        <row r="5035">
          <cell r="L5035" t="str">
            <v>74278943</v>
          </cell>
        </row>
        <row r="5036">
          <cell r="L5036" t="str">
            <v>74279102</v>
          </cell>
        </row>
        <row r="5037">
          <cell r="L5037" t="str">
            <v>74279651</v>
          </cell>
        </row>
        <row r="5038">
          <cell r="L5038" t="str">
            <v>74279779</v>
          </cell>
        </row>
        <row r="5039">
          <cell r="L5039" t="str">
            <v>74279942</v>
          </cell>
        </row>
        <row r="5040">
          <cell r="L5040" t="str">
            <v>74280078</v>
          </cell>
        </row>
        <row r="5041">
          <cell r="L5041" t="str">
            <v>74281025</v>
          </cell>
        </row>
        <row r="5042">
          <cell r="L5042" t="str">
            <v>74281287</v>
          </cell>
        </row>
        <row r="5043">
          <cell r="L5043" t="str">
            <v>74281292</v>
          </cell>
        </row>
        <row r="5044">
          <cell r="L5044" t="str">
            <v>74281341</v>
          </cell>
        </row>
        <row r="5045">
          <cell r="L5045" t="str">
            <v>74281600</v>
          </cell>
        </row>
        <row r="5046">
          <cell r="L5046" t="str">
            <v>74283143</v>
          </cell>
        </row>
        <row r="5047">
          <cell r="L5047" t="str">
            <v>74283164</v>
          </cell>
        </row>
        <row r="5048">
          <cell r="L5048" t="str">
            <v>74283220</v>
          </cell>
        </row>
        <row r="5049">
          <cell r="L5049" t="str">
            <v>74283519</v>
          </cell>
        </row>
        <row r="5050">
          <cell r="L5050" t="str">
            <v>74283642</v>
          </cell>
        </row>
        <row r="5051">
          <cell r="L5051" t="str">
            <v>74283766</v>
          </cell>
        </row>
        <row r="5052">
          <cell r="L5052" t="str">
            <v>74284367</v>
          </cell>
        </row>
        <row r="5053">
          <cell r="L5053" t="str">
            <v>74285219</v>
          </cell>
        </row>
        <row r="5054">
          <cell r="L5054" t="str">
            <v>74286087</v>
          </cell>
        </row>
        <row r="5055">
          <cell r="L5055" t="str">
            <v>74286260</v>
          </cell>
        </row>
        <row r="5056">
          <cell r="L5056" t="str">
            <v>74286619</v>
          </cell>
        </row>
        <row r="5057">
          <cell r="L5057" t="str">
            <v>74286992</v>
          </cell>
        </row>
        <row r="5058">
          <cell r="L5058" t="str">
            <v>74286995</v>
          </cell>
        </row>
        <row r="5059">
          <cell r="L5059" t="str">
            <v>74287560</v>
          </cell>
        </row>
        <row r="5060">
          <cell r="L5060" t="str">
            <v>74287630</v>
          </cell>
        </row>
        <row r="5061">
          <cell r="L5061" t="str">
            <v>74287984</v>
          </cell>
        </row>
        <row r="5062">
          <cell r="L5062" t="str">
            <v>74288222</v>
          </cell>
        </row>
        <row r="5063">
          <cell r="L5063" t="str">
            <v>74288460</v>
          </cell>
        </row>
        <row r="5064">
          <cell r="L5064" t="str">
            <v>74288461</v>
          </cell>
        </row>
        <row r="5065">
          <cell r="L5065" t="str">
            <v>74288785</v>
          </cell>
        </row>
        <row r="5066">
          <cell r="L5066" t="str">
            <v>74288981</v>
          </cell>
        </row>
        <row r="5067">
          <cell r="L5067" t="str">
            <v>74289431</v>
          </cell>
        </row>
        <row r="5068">
          <cell r="L5068" t="str">
            <v>74289671</v>
          </cell>
        </row>
        <row r="5069">
          <cell r="L5069" t="str">
            <v>74289679</v>
          </cell>
        </row>
        <row r="5070">
          <cell r="L5070" t="str">
            <v>74290002</v>
          </cell>
        </row>
        <row r="5071">
          <cell r="L5071" t="str">
            <v>74290360</v>
          </cell>
        </row>
        <row r="5072">
          <cell r="L5072" t="str">
            <v>74290361</v>
          </cell>
        </row>
        <row r="5073">
          <cell r="L5073" t="str">
            <v>74290499</v>
          </cell>
        </row>
        <row r="5074">
          <cell r="L5074" t="str">
            <v>74290500</v>
          </cell>
        </row>
        <row r="5075">
          <cell r="L5075" t="str">
            <v>74290528</v>
          </cell>
        </row>
        <row r="5076">
          <cell r="L5076" t="str">
            <v>74290619</v>
          </cell>
        </row>
        <row r="5077">
          <cell r="L5077" t="str">
            <v>74290879</v>
          </cell>
        </row>
        <row r="5078">
          <cell r="L5078" t="str">
            <v>74291447</v>
          </cell>
        </row>
        <row r="5079">
          <cell r="L5079" t="str">
            <v>74292221</v>
          </cell>
        </row>
        <row r="5080">
          <cell r="L5080" t="str">
            <v>74293067</v>
          </cell>
        </row>
        <row r="5081">
          <cell r="L5081" t="str">
            <v>74293068</v>
          </cell>
        </row>
        <row r="5082">
          <cell r="L5082" t="str">
            <v>74293390</v>
          </cell>
        </row>
        <row r="5083">
          <cell r="L5083" t="str">
            <v>74293431</v>
          </cell>
        </row>
        <row r="5084">
          <cell r="L5084" t="str">
            <v>74293441</v>
          </cell>
        </row>
        <row r="5085">
          <cell r="L5085" t="str">
            <v>74293456</v>
          </cell>
        </row>
        <row r="5086">
          <cell r="L5086" t="str">
            <v>74293593</v>
          </cell>
        </row>
        <row r="5087">
          <cell r="L5087" t="str">
            <v>74293741</v>
          </cell>
        </row>
        <row r="5088">
          <cell r="L5088" t="str">
            <v>74294021</v>
          </cell>
        </row>
        <row r="5089">
          <cell r="L5089" t="str">
            <v>74294186</v>
          </cell>
        </row>
        <row r="5090">
          <cell r="L5090" t="str">
            <v>74294259</v>
          </cell>
        </row>
        <row r="5091">
          <cell r="L5091" t="str">
            <v>74294330</v>
          </cell>
        </row>
        <row r="5092">
          <cell r="L5092" t="str">
            <v>74294352</v>
          </cell>
        </row>
        <row r="5093">
          <cell r="L5093" t="str">
            <v>74295164</v>
          </cell>
        </row>
        <row r="5094">
          <cell r="L5094" t="str">
            <v>74295221</v>
          </cell>
        </row>
        <row r="5095">
          <cell r="L5095" t="str">
            <v>74295360</v>
          </cell>
        </row>
        <row r="5096">
          <cell r="L5096" t="str">
            <v>74295472</v>
          </cell>
        </row>
        <row r="5097">
          <cell r="L5097" t="str">
            <v>74295486</v>
          </cell>
        </row>
        <row r="5098">
          <cell r="L5098" t="str">
            <v>74295552</v>
          </cell>
        </row>
        <row r="5099">
          <cell r="L5099" t="str">
            <v>74295699</v>
          </cell>
        </row>
        <row r="5100">
          <cell r="L5100" t="str">
            <v>74296080</v>
          </cell>
        </row>
        <row r="5101">
          <cell r="L5101" t="str">
            <v>74296484</v>
          </cell>
        </row>
        <row r="5102">
          <cell r="L5102" t="str">
            <v>74296499</v>
          </cell>
        </row>
        <row r="5103">
          <cell r="L5103" t="str">
            <v>74296591</v>
          </cell>
        </row>
        <row r="5104">
          <cell r="L5104" t="str">
            <v>74296805</v>
          </cell>
        </row>
        <row r="5105">
          <cell r="L5105" t="str">
            <v>74296843</v>
          </cell>
        </row>
        <row r="5106">
          <cell r="L5106" t="str">
            <v>74297119</v>
          </cell>
        </row>
        <row r="5107">
          <cell r="L5107" t="str">
            <v>74297243</v>
          </cell>
        </row>
        <row r="5108">
          <cell r="L5108" t="str">
            <v>74297423</v>
          </cell>
        </row>
        <row r="5109">
          <cell r="L5109" t="str">
            <v>74297443</v>
          </cell>
        </row>
        <row r="5110">
          <cell r="L5110" t="str">
            <v>74297520</v>
          </cell>
        </row>
        <row r="5111">
          <cell r="L5111" t="str">
            <v>74297685</v>
          </cell>
        </row>
        <row r="5112">
          <cell r="L5112" t="str">
            <v>74297690</v>
          </cell>
        </row>
        <row r="5113">
          <cell r="L5113" t="str">
            <v>74297940</v>
          </cell>
        </row>
        <row r="5114">
          <cell r="L5114" t="str">
            <v>74298239</v>
          </cell>
        </row>
        <row r="5115">
          <cell r="L5115" t="str">
            <v>74298364</v>
          </cell>
        </row>
        <row r="5116">
          <cell r="L5116" t="str">
            <v>74298593</v>
          </cell>
        </row>
        <row r="5117">
          <cell r="L5117" t="str">
            <v>74298759</v>
          </cell>
        </row>
        <row r="5118">
          <cell r="L5118" t="str">
            <v>74298763</v>
          </cell>
        </row>
        <row r="5119">
          <cell r="L5119" t="str">
            <v>74299120</v>
          </cell>
        </row>
        <row r="5120">
          <cell r="L5120" t="str">
            <v>74299140</v>
          </cell>
        </row>
        <row r="5121">
          <cell r="L5121" t="str">
            <v>74299246</v>
          </cell>
        </row>
        <row r="5122">
          <cell r="L5122" t="str">
            <v>74299740</v>
          </cell>
        </row>
        <row r="5123">
          <cell r="L5123" t="str">
            <v>74299837</v>
          </cell>
        </row>
        <row r="5124">
          <cell r="L5124" t="str">
            <v>74299839</v>
          </cell>
        </row>
        <row r="5125">
          <cell r="L5125" t="str">
            <v>74299856</v>
          </cell>
        </row>
        <row r="5126">
          <cell r="L5126" t="str">
            <v>74300002</v>
          </cell>
        </row>
        <row r="5127">
          <cell r="L5127" t="str">
            <v>74300163</v>
          </cell>
        </row>
        <row r="5128">
          <cell r="L5128" t="str">
            <v>74300439</v>
          </cell>
        </row>
        <row r="5129">
          <cell r="L5129" t="str">
            <v>74300721</v>
          </cell>
        </row>
        <row r="5130">
          <cell r="L5130" t="str">
            <v>74300793</v>
          </cell>
        </row>
        <row r="5131">
          <cell r="L5131" t="str">
            <v>74300794</v>
          </cell>
        </row>
        <row r="5132">
          <cell r="L5132" t="str">
            <v>74301100</v>
          </cell>
        </row>
        <row r="5133">
          <cell r="L5133" t="str">
            <v>74301111</v>
          </cell>
        </row>
        <row r="5134">
          <cell r="L5134" t="str">
            <v>74301543</v>
          </cell>
        </row>
        <row r="5135">
          <cell r="L5135" t="str">
            <v>74301627</v>
          </cell>
        </row>
        <row r="5136">
          <cell r="L5136" t="str">
            <v>74301679</v>
          </cell>
        </row>
        <row r="5137">
          <cell r="L5137" t="str">
            <v>74301861</v>
          </cell>
        </row>
        <row r="5138">
          <cell r="L5138" t="str">
            <v>74301874</v>
          </cell>
        </row>
        <row r="5139">
          <cell r="L5139" t="str">
            <v>74302659</v>
          </cell>
        </row>
        <row r="5140">
          <cell r="L5140" t="str">
            <v>74302782</v>
          </cell>
        </row>
        <row r="5141">
          <cell r="L5141" t="str">
            <v>74302823</v>
          </cell>
        </row>
        <row r="5142">
          <cell r="L5142" t="str">
            <v>74302855</v>
          </cell>
        </row>
        <row r="5143">
          <cell r="L5143" t="str">
            <v>74302856</v>
          </cell>
        </row>
        <row r="5144">
          <cell r="L5144" t="str">
            <v>74302879</v>
          </cell>
        </row>
        <row r="5145">
          <cell r="L5145" t="str">
            <v>74302941</v>
          </cell>
        </row>
        <row r="5146">
          <cell r="L5146" t="str">
            <v>74303159</v>
          </cell>
        </row>
        <row r="5147">
          <cell r="L5147" t="str">
            <v>74303300</v>
          </cell>
        </row>
        <row r="5148">
          <cell r="L5148" t="str">
            <v>74303419</v>
          </cell>
        </row>
        <row r="5149">
          <cell r="L5149" t="str">
            <v>74303979</v>
          </cell>
        </row>
        <row r="5150">
          <cell r="L5150" t="str">
            <v>74304222</v>
          </cell>
        </row>
        <row r="5151">
          <cell r="L5151" t="str">
            <v>74304307</v>
          </cell>
        </row>
        <row r="5152">
          <cell r="L5152" t="str">
            <v>74304309</v>
          </cell>
        </row>
        <row r="5153">
          <cell r="L5153" t="str">
            <v>74304324</v>
          </cell>
        </row>
        <row r="5154">
          <cell r="L5154" t="str">
            <v>74304339</v>
          </cell>
        </row>
        <row r="5155">
          <cell r="L5155" t="str">
            <v>74304403</v>
          </cell>
        </row>
        <row r="5156">
          <cell r="L5156" t="str">
            <v>74304406</v>
          </cell>
        </row>
        <row r="5157">
          <cell r="L5157" t="str">
            <v>74304426</v>
          </cell>
        </row>
        <row r="5158">
          <cell r="L5158" t="str">
            <v>74304823</v>
          </cell>
        </row>
        <row r="5159">
          <cell r="L5159" t="str">
            <v>74305000</v>
          </cell>
        </row>
        <row r="5160">
          <cell r="L5160" t="str">
            <v>74305147</v>
          </cell>
        </row>
        <row r="5161">
          <cell r="L5161" t="str">
            <v>74305279</v>
          </cell>
        </row>
        <row r="5162">
          <cell r="L5162" t="str">
            <v>74305339</v>
          </cell>
        </row>
        <row r="5163">
          <cell r="L5163" t="str">
            <v>74305398</v>
          </cell>
        </row>
        <row r="5164">
          <cell r="L5164" t="str">
            <v>74305399</v>
          </cell>
        </row>
        <row r="5165">
          <cell r="L5165" t="str">
            <v>74305482</v>
          </cell>
        </row>
        <row r="5166">
          <cell r="L5166" t="str">
            <v>74305679</v>
          </cell>
        </row>
        <row r="5167">
          <cell r="L5167" t="str">
            <v>74306124</v>
          </cell>
        </row>
        <row r="5168">
          <cell r="L5168" t="str">
            <v>74306201</v>
          </cell>
        </row>
        <row r="5169">
          <cell r="L5169" t="str">
            <v>74306260</v>
          </cell>
        </row>
        <row r="5170">
          <cell r="L5170" t="str">
            <v>74306299</v>
          </cell>
        </row>
        <row r="5171">
          <cell r="L5171" t="str">
            <v>74306603</v>
          </cell>
        </row>
        <row r="5172">
          <cell r="L5172" t="str">
            <v>74306617</v>
          </cell>
        </row>
        <row r="5173">
          <cell r="L5173" t="str">
            <v>74306646</v>
          </cell>
        </row>
        <row r="5174">
          <cell r="L5174" t="str">
            <v>74306960</v>
          </cell>
        </row>
        <row r="5175">
          <cell r="L5175" t="str">
            <v>74306979</v>
          </cell>
        </row>
        <row r="5176">
          <cell r="L5176" t="str">
            <v>74306983</v>
          </cell>
        </row>
        <row r="5177">
          <cell r="L5177" t="str">
            <v>74307061</v>
          </cell>
        </row>
        <row r="5178">
          <cell r="L5178" t="str">
            <v>74307179</v>
          </cell>
        </row>
        <row r="5179">
          <cell r="L5179" t="str">
            <v>74307224</v>
          </cell>
        </row>
        <row r="5180">
          <cell r="L5180" t="str">
            <v>74307266</v>
          </cell>
        </row>
        <row r="5181">
          <cell r="L5181" t="str">
            <v>74307449</v>
          </cell>
        </row>
        <row r="5182">
          <cell r="L5182" t="str">
            <v>74307520</v>
          </cell>
        </row>
        <row r="5183">
          <cell r="L5183" t="str">
            <v>74307607</v>
          </cell>
        </row>
        <row r="5184">
          <cell r="L5184" t="str">
            <v>74307673</v>
          </cell>
        </row>
        <row r="5185">
          <cell r="L5185" t="str">
            <v>74307822</v>
          </cell>
        </row>
        <row r="5186">
          <cell r="L5186" t="str">
            <v>74307999</v>
          </cell>
        </row>
        <row r="5187">
          <cell r="L5187" t="str">
            <v>74308086</v>
          </cell>
        </row>
        <row r="5188">
          <cell r="L5188" t="str">
            <v>74308101</v>
          </cell>
        </row>
        <row r="5189">
          <cell r="L5189" t="str">
            <v>74308143</v>
          </cell>
        </row>
        <row r="5190">
          <cell r="L5190" t="str">
            <v>74308144</v>
          </cell>
        </row>
        <row r="5191">
          <cell r="L5191" t="str">
            <v>74308203</v>
          </cell>
        </row>
        <row r="5192">
          <cell r="L5192" t="str">
            <v>74308820</v>
          </cell>
        </row>
        <row r="5193">
          <cell r="L5193" t="str">
            <v>74308821</v>
          </cell>
        </row>
        <row r="5194">
          <cell r="L5194" t="str">
            <v>74308839</v>
          </cell>
        </row>
        <row r="5195">
          <cell r="L5195" t="str">
            <v>74308922</v>
          </cell>
        </row>
        <row r="5196">
          <cell r="L5196" t="str">
            <v>74309093</v>
          </cell>
        </row>
        <row r="5197">
          <cell r="L5197" t="str">
            <v>74309095</v>
          </cell>
        </row>
        <row r="5198">
          <cell r="L5198" t="str">
            <v>74309099</v>
          </cell>
        </row>
        <row r="5199">
          <cell r="L5199" t="str">
            <v>74309100</v>
          </cell>
        </row>
        <row r="5200">
          <cell r="L5200" t="str">
            <v>74309103</v>
          </cell>
        </row>
        <row r="5201">
          <cell r="L5201" t="str">
            <v>74309105</v>
          </cell>
        </row>
        <row r="5202">
          <cell r="L5202" t="str">
            <v>74309108</v>
          </cell>
        </row>
        <row r="5203">
          <cell r="L5203" t="str">
            <v>74309110</v>
          </cell>
        </row>
        <row r="5204">
          <cell r="L5204" t="str">
            <v>74309111</v>
          </cell>
        </row>
        <row r="5205">
          <cell r="L5205" t="str">
            <v>74309114</v>
          </cell>
        </row>
        <row r="5206">
          <cell r="L5206" t="str">
            <v>74309116</v>
          </cell>
        </row>
        <row r="5207">
          <cell r="L5207" t="str">
            <v>74309119</v>
          </cell>
        </row>
        <row r="5208">
          <cell r="L5208" t="str">
            <v>74309200</v>
          </cell>
        </row>
        <row r="5209">
          <cell r="L5209" t="str">
            <v>74309262</v>
          </cell>
        </row>
        <row r="5210">
          <cell r="L5210" t="str">
            <v>74309403</v>
          </cell>
        </row>
        <row r="5211">
          <cell r="L5211" t="str">
            <v>74309462</v>
          </cell>
        </row>
        <row r="5212">
          <cell r="L5212" t="str">
            <v>74309579</v>
          </cell>
        </row>
        <row r="5213">
          <cell r="L5213" t="str">
            <v>74309580</v>
          </cell>
        </row>
        <row r="5214">
          <cell r="L5214" t="str">
            <v>74309606</v>
          </cell>
        </row>
        <row r="5215">
          <cell r="L5215" t="str">
            <v>74309666</v>
          </cell>
        </row>
        <row r="5216">
          <cell r="L5216" t="str">
            <v>74309704</v>
          </cell>
        </row>
        <row r="5217">
          <cell r="L5217" t="str">
            <v>74309901</v>
          </cell>
        </row>
        <row r="5218">
          <cell r="L5218" t="str">
            <v>74310000</v>
          </cell>
        </row>
        <row r="5219">
          <cell r="L5219" t="str">
            <v>74310021</v>
          </cell>
        </row>
        <row r="5220">
          <cell r="L5220" t="str">
            <v>74310022</v>
          </cell>
        </row>
        <row r="5221">
          <cell r="L5221" t="str">
            <v>74310039</v>
          </cell>
        </row>
        <row r="5222">
          <cell r="L5222" t="str">
            <v>74310059</v>
          </cell>
        </row>
        <row r="5223">
          <cell r="L5223" t="str">
            <v>74310399</v>
          </cell>
        </row>
        <row r="5224">
          <cell r="L5224" t="str">
            <v>74310419</v>
          </cell>
        </row>
        <row r="5225">
          <cell r="L5225" t="str">
            <v>74310466</v>
          </cell>
        </row>
        <row r="5226">
          <cell r="L5226" t="str">
            <v>74310479</v>
          </cell>
        </row>
        <row r="5227">
          <cell r="L5227" t="str">
            <v>74310599</v>
          </cell>
        </row>
        <row r="5228">
          <cell r="L5228" t="str">
            <v>74310671</v>
          </cell>
        </row>
        <row r="5229">
          <cell r="L5229" t="str">
            <v>74310780</v>
          </cell>
        </row>
        <row r="5230">
          <cell r="L5230" t="str">
            <v>74310819</v>
          </cell>
        </row>
        <row r="5231">
          <cell r="L5231" t="str">
            <v>74310921</v>
          </cell>
        </row>
        <row r="5232">
          <cell r="L5232" t="str">
            <v>74311079</v>
          </cell>
        </row>
        <row r="5233">
          <cell r="L5233" t="str">
            <v>74311099</v>
          </cell>
        </row>
        <row r="5234">
          <cell r="L5234" t="str">
            <v>74311379</v>
          </cell>
        </row>
        <row r="5235">
          <cell r="L5235" t="str">
            <v>74311445</v>
          </cell>
        </row>
        <row r="5236">
          <cell r="L5236" t="str">
            <v>74311481</v>
          </cell>
        </row>
        <row r="5237">
          <cell r="L5237" t="str">
            <v>74311766</v>
          </cell>
        </row>
        <row r="5238">
          <cell r="L5238" t="str">
            <v>74311793</v>
          </cell>
        </row>
        <row r="5239">
          <cell r="L5239" t="str">
            <v>74311901</v>
          </cell>
        </row>
        <row r="5240">
          <cell r="L5240" t="str">
            <v>74312022</v>
          </cell>
        </row>
        <row r="5241">
          <cell r="L5241" t="str">
            <v>74312044</v>
          </cell>
        </row>
        <row r="5242">
          <cell r="L5242" t="str">
            <v>74312207</v>
          </cell>
        </row>
        <row r="5243">
          <cell r="L5243" t="str">
            <v>74312290</v>
          </cell>
        </row>
        <row r="5244">
          <cell r="L5244" t="str">
            <v>74312400</v>
          </cell>
        </row>
        <row r="5245">
          <cell r="L5245" t="str">
            <v>74312423</v>
          </cell>
        </row>
        <row r="5246">
          <cell r="L5246" t="str">
            <v>74312425</v>
          </cell>
        </row>
        <row r="5247">
          <cell r="L5247" t="str">
            <v>74312541</v>
          </cell>
        </row>
        <row r="5248">
          <cell r="L5248" t="str">
            <v>74312542</v>
          </cell>
        </row>
        <row r="5249">
          <cell r="L5249" t="str">
            <v>74312619</v>
          </cell>
        </row>
        <row r="5250">
          <cell r="L5250" t="str">
            <v>74312622</v>
          </cell>
        </row>
        <row r="5251">
          <cell r="L5251" t="str">
            <v>74312627</v>
          </cell>
        </row>
        <row r="5252">
          <cell r="L5252" t="str">
            <v>74312703</v>
          </cell>
        </row>
        <row r="5253">
          <cell r="L5253" t="str">
            <v>74312706</v>
          </cell>
        </row>
        <row r="5254">
          <cell r="L5254" t="str">
            <v>74312709</v>
          </cell>
        </row>
        <row r="5255">
          <cell r="L5255" t="str">
            <v>74312712</v>
          </cell>
        </row>
        <row r="5256">
          <cell r="L5256" t="str">
            <v>74312713</v>
          </cell>
        </row>
        <row r="5257">
          <cell r="L5257" t="str">
            <v>74312718</v>
          </cell>
        </row>
        <row r="5258">
          <cell r="L5258" t="str">
            <v>74312720</v>
          </cell>
        </row>
        <row r="5259">
          <cell r="L5259" t="str">
            <v>74312721</v>
          </cell>
        </row>
        <row r="5260">
          <cell r="L5260" t="str">
            <v>74312722</v>
          </cell>
        </row>
        <row r="5261">
          <cell r="L5261" t="str">
            <v>74312779</v>
          </cell>
        </row>
        <row r="5262">
          <cell r="L5262" t="str">
            <v>74312781</v>
          </cell>
        </row>
        <row r="5263">
          <cell r="L5263" t="str">
            <v>74312785</v>
          </cell>
        </row>
        <row r="5264">
          <cell r="L5264" t="str">
            <v>74312786</v>
          </cell>
        </row>
        <row r="5265">
          <cell r="L5265" t="str">
            <v>74312788</v>
          </cell>
        </row>
        <row r="5266">
          <cell r="L5266" t="str">
            <v>74312793</v>
          </cell>
        </row>
        <row r="5267">
          <cell r="L5267" t="str">
            <v>74312794</v>
          </cell>
        </row>
        <row r="5268">
          <cell r="L5268" t="str">
            <v>74312795</v>
          </cell>
        </row>
        <row r="5269">
          <cell r="L5269" t="str">
            <v>74312796</v>
          </cell>
        </row>
        <row r="5270">
          <cell r="L5270" t="str">
            <v>74312799</v>
          </cell>
        </row>
        <row r="5271">
          <cell r="L5271" t="str">
            <v>74312800</v>
          </cell>
        </row>
        <row r="5272">
          <cell r="L5272" t="str">
            <v>74312802</v>
          </cell>
        </row>
        <row r="5273">
          <cell r="L5273" t="str">
            <v>74312803</v>
          </cell>
        </row>
        <row r="5274">
          <cell r="L5274" t="str">
            <v>74312804</v>
          </cell>
        </row>
        <row r="5275">
          <cell r="L5275" t="str">
            <v>74312805</v>
          </cell>
        </row>
        <row r="5276">
          <cell r="L5276" t="str">
            <v>74312806</v>
          </cell>
        </row>
        <row r="5277">
          <cell r="L5277" t="str">
            <v>74312903</v>
          </cell>
        </row>
        <row r="5278">
          <cell r="L5278" t="str">
            <v>74313139</v>
          </cell>
        </row>
        <row r="5279">
          <cell r="L5279" t="str">
            <v>74313141</v>
          </cell>
        </row>
        <row r="5280">
          <cell r="L5280" t="str">
            <v>74313335</v>
          </cell>
        </row>
        <row r="5281">
          <cell r="L5281" t="str">
            <v>74313384</v>
          </cell>
        </row>
        <row r="5282">
          <cell r="L5282" t="str">
            <v>74313479</v>
          </cell>
        </row>
        <row r="5283">
          <cell r="L5283" t="str">
            <v>74313544</v>
          </cell>
        </row>
        <row r="5284">
          <cell r="L5284" t="str">
            <v>74313546</v>
          </cell>
        </row>
        <row r="5285">
          <cell r="L5285" t="str">
            <v>74313562</v>
          </cell>
        </row>
        <row r="5286">
          <cell r="L5286" t="str">
            <v>74313570</v>
          </cell>
        </row>
        <row r="5287">
          <cell r="L5287" t="str">
            <v>74313601</v>
          </cell>
        </row>
        <row r="5288">
          <cell r="L5288" t="str">
            <v>74313602</v>
          </cell>
        </row>
        <row r="5289">
          <cell r="L5289" t="str">
            <v>74313621</v>
          </cell>
        </row>
        <row r="5290">
          <cell r="L5290" t="str">
            <v>74313640</v>
          </cell>
        </row>
        <row r="5291">
          <cell r="L5291" t="str">
            <v>74314083</v>
          </cell>
        </row>
        <row r="5292">
          <cell r="L5292" t="str">
            <v>74314180</v>
          </cell>
        </row>
        <row r="5293">
          <cell r="L5293" t="str">
            <v>74314323</v>
          </cell>
        </row>
        <row r="5294">
          <cell r="L5294" t="str">
            <v>74314480</v>
          </cell>
        </row>
        <row r="5295">
          <cell r="L5295" t="str">
            <v>74314482</v>
          </cell>
        </row>
        <row r="5296">
          <cell r="L5296" t="str">
            <v>74314645</v>
          </cell>
        </row>
        <row r="5297">
          <cell r="L5297" t="str">
            <v>74314646</v>
          </cell>
        </row>
        <row r="5298">
          <cell r="L5298" t="str">
            <v>74314652</v>
          </cell>
        </row>
        <row r="5299">
          <cell r="L5299" t="str">
            <v>74314665</v>
          </cell>
        </row>
        <row r="5300">
          <cell r="L5300" t="str">
            <v>74314686</v>
          </cell>
        </row>
        <row r="5301">
          <cell r="L5301" t="str">
            <v>74314862</v>
          </cell>
        </row>
        <row r="5302">
          <cell r="L5302" t="str">
            <v>74314880</v>
          </cell>
        </row>
        <row r="5303">
          <cell r="L5303" t="str">
            <v>74314881</v>
          </cell>
        </row>
        <row r="5304">
          <cell r="L5304" t="str">
            <v>74314882</v>
          </cell>
        </row>
        <row r="5305">
          <cell r="L5305" t="str">
            <v>74314928</v>
          </cell>
        </row>
        <row r="5306">
          <cell r="L5306" t="str">
            <v>74315005</v>
          </cell>
        </row>
        <row r="5307">
          <cell r="L5307" t="str">
            <v>74315087</v>
          </cell>
        </row>
        <row r="5308">
          <cell r="L5308" t="str">
            <v>74315114</v>
          </cell>
        </row>
        <row r="5309">
          <cell r="L5309" t="str">
            <v>74315119</v>
          </cell>
        </row>
        <row r="5310">
          <cell r="L5310" t="str">
            <v>74315260</v>
          </cell>
        </row>
        <row r="5311">
          <cell r="L5311" t="str">
            <v>74315361</v>
          </cell>
        </row>
        <row r="5312">
          <cell r="L5312" t="str">
            <v>74315380</v>
          </cell>
        </row>
        <row r="5313">
          <cell r="L5313" t="str">
            <v>74315382</v>
          </cell>
        </row>
        <row r="5314">
          <cell r="L5314" t="str">
            <v>74315470</v>
          </cell>
        </row>
        <row r="5315">
          <cell r="L5315" t="str">
            <v>74315531</v>
          </cell>
        </row>
        <row r="5316">
          <cell r="L5316" t="str">
            <v>74315537</v>
          </cell>
        </row>
        <row r="5317">
          <cell r="L5317" t="str">
            <v>74315540</v>
          </cell>
        </row>
        <row r="5318">
          <cell r="L5318" t="str">
            <v>74316173</v>
          </cell>
        </row>
        <row r="5319">
          <cell r="L5319" t="str">
            <v>74316191</v>
          </cell>
        </row>
        <row r="5320">
          <cell r="L5320" t="str">
            <v>74316340</v>
          </cell>
        </row>
        <row r="5321">
          <cell r="L5321" t="str">
            <v>74316344</v>
          </cell>
        </row>
        <row r="5322">
          <cell r="L5322" t="str">
            <v>74316360</v>
          </cell>
        </row>
        <row r="5323">
          <cell r="L5323" t="str">
            <v>74316362</v>
          </cell>
        </row>
        <row r="5324">
          <cell r="L5324" t="str">
            <v>74316367</v>
          </cell>
        </row>
        <row r="5325">
          <cell r="L5325" t="str">
            <v>74316368</v>
          </cell>
        </row>
        <row r="5326">
          <cell r="L5326" t="str">
            <v>74316369</v>
          </cell>
        </row>
        <row r="5327">
          <cell r="L5327" t="str">
            <v>74316371</v>
          </cell>
        </row>
        <row r="5328">
          <cell r="L5328" t="str">
            <v>74316373</v>
          </cell>
        </row>
        <row r="5329">
          <cell r="L5329" t="str">
            <v>74316375</v>
          </cell>
        </row>
        <row r="5330">
          <cell r="L5330" t="str">
            <v>74316378</v>
          </cell>
        </row>
        <row r="5331">
          <cell r="L5331" t="str">
            <v>74316382</v>
          </cell>
        </row>
        <row r="5332">
          <cell r="L5332" t="str">
            <v>74316383</v>
          </cell>
        </row>
        <row r="5333">
          <cell r="L5333" t="str">
            <v>74316384</v>
          </cell>
        </row>
        <row r="5334">
          <cell r="L5334" t="str">
            <v>74316386</v>
          </cell>
        </row>
        <row r="5335">
          <cell r="L5335" t="str">
            <v>74316388</v>
          </cell>
        </row>
        <row r="5336">
          <cell r="L5336" t="str">
            <v>74316390</v>
          </cell>
        </row>
        <row r="5337">
          <cell r="L5337" t="str">
            <v>74316392</v>
          </cell>
        </row>
        <row r="5338">
          <cell r="L5338" t="str">
            <v>74316393</v>
          </cell>
        </row>
        <row r="5339">
          <cell r="L5339" t="str">
            <v>74316394</v>
          </cell>
        </row>
        <row r="5340">
          <cell r="L5340" t="str">
            <v>74316398</v>
          </cell>
        </row>
        <row r="5341">
          <cell r="L5341" t="str">
            <v>74316399</v>
          </cell>
        </row>
        <row r="5342">
          <cell r="L5342" t="str">
            <v>74316401</v>
          </cell>
        </row>
        <row r="5343">
          <cell r="L5343" t="str">
            <v>74316402</v>
          </cell>
        </row>
        <row r="5344">
          <cell r="L5344" t="str">
            <v>74316404</v>
          </cell>
        </row>
        <row r="5345">
          <cell r="L5345" t="str">
            <v>74316405</v>
          </cell>
        </row>
        <row r="5346">
          <cell r="L5346" t="str">
            <v>74316407</v>
          </cell>
        </row>
        <row r="5347">
          <cell r="L5347" t="str">
            <v>74316420</v>
          </cell>
        </row>
        <row r="5348">
          <cell r="L5348" t="str">
            <v>74316421</v>
          </cell>
        </row>
        <row r="5349">
          <cell r="L5349" t="str">
            <v>74316636</v>
          </cell>
        </row>
        <row r="5350">
          <cell r="L5350" t="str">
            <v>74316665</v>
          </cell>
        </row>
        <row r="5351">
          <cell r="L5351" t="str">
            <v>74316942</v>
          </cell>
        </row>
        <row r="5352">
          <cell r="L5352" t="str">
            <v>74316951</v>
          </cell>
        </row>
        <row r="5353">
          <cell r="L5353" t="str">
            <v>74317401</v>
          </cell>
        </row>
        <row r="5354">
          <cell r="L5354" t="str">
            <v>74317440</v>
          </cell>
        </row>
        <row r="5355">
          <cell r="L5355" t="str">
            <v>74317501</v>
          </cell>
        </row>
        <row r="5356">
          <cell r="L5356" t="str">
            <v>74317507</v>
          </cell>
        </row>
        <row r="5357">
          <cell r="L5357" t="str">
            <v>74317599</v>
          </cell>
        </row>
        <row r="5358">
          <cell r="L5358" t="str">
            <v>74317602</v>
          </cell>
        </row>
        <row r="5359">
          <cell r="L5359" t="str">
            <v>74317603</v>
          </cell>
        </row>
        <row r="5360">
          <cell r="L5360" t="str">
            <v>74317611</v>
          </cell>
        </row>
        <row r="5361">
          <cell r="L5361" t="str">
            <v>74317620</v>
          </cell>
        </row>
        <row r="5362">
          <cell r="L5362" t="str">
            <v>74317680</v>
          </cell>
        </row>
        <row r="5363">
          <cell r="L5363" t="str">
            <v>74317724</v>
          </cell>
        </row>
        <row r="5364">
          <cell r="L5364" t="str">
            <v>74317781</v>
          </cell>
        </row>
        <row r="5365">
          <cell r="L5365" t="str">
            <v>74317840</v>
          </cell>
        </row>
        <row r="5366">
          <cell r="L5366" t="str">
            <v>74318125</v>
          </cell>
        </row>
        <row r="5367">
          <cell r="L5367" t="str">
            <v>74318160</v>
          </cell>
        </row>
        <row r="5368">
          <cell r="L5368" t="str">
            <v>74318239</v>
          </cell>
        </row>
        <row r="5369">
          <cell r="L5369" t="str">
            <v>74318396</v>
          </cell>
        </row>
        <row r="5370">
          <cell r="L5370" t="str">
            <v>74318640</v>
          </cell>
        </row>
        <row r="5371">
          <cell r="L5371" t="str">
            <v>74318825</v>
          </cell>
        </row>
        <row r="5372">
          <cell r="L5372" t="str">
            <v>74318880</v>
          </cell>
        </row>
        <row r="5373">
          <cell r="L5373" t="str">
            <v>74318886</v>
          </cell>
        </row>
        <row r="5374">
          <cell r="L5374" t="str">
            <v>74318900</v>
          </cell>
        </row>
        <row r="5375">
          <cell r="L5375" t="str">
            <v>74318940</v>
          </cell>
        </row>
        <row r="5376">
          <cell r="L5376" t="str">
            <v>74318960</v>
          </cell>
        </row>
        <row r="5377">
          <cell r="L5377" t="str">
            <v>74319004</v>
          </cell>
        </row>
        <row r="5378">
          <cell r="L5378" t="str">
            <v>74319159</v>
          </cell>
        </row>
        <row r="5379">
          <cell r="L5379" t="str">
            <v>74319361</v>
          </cell>
        </row>
        <row r="5380">
          <cell r="L5380" t="str">
            <v>74319369</v>
          </cell>
        </row>
        <row r="5381">
          <cell r="L5381" t="str">
            <v>74319527</v>
          </cell>
        </row>
        <row r="5382">
          <cell r="L5382" t="str">
            <v>74319921</v>
          </cell>
        </row>
        <row r="5383">
          <cell r="L5383" t="str">
            <v>74320122</v>
          </cell>
        </row>
        <row r="5384">
          <cell r="L5384" t="str">
            <v>74320185</v>
          </cell>
        </row>
        <row r="5385">
          <cell r="L5385" t="str">
            <v>74320220</v>
          </cell>
        </row>
        <row r="5386">
          <cell r="L5386" t="str">
            <v>74320261</v>
          </cell>
        </row>
        <row r="5387">
          <cell r="L5387" t="str">
            <v>74320324</v>
          </cell>
        </row>
        <row r="5388">
          <cell r="L5388" t="str">
            <v>74320325</v>
          </cell>
        </row>
        <row r="5389">
          <cell r="L5389" t="str">
            <v>74320330</v>
          </cell>
        </row>
        <row r="5390">
          <cell r="L5390" t="str">
            <v>74320331</v>
          </cell>
        </row>
        <row r="5391">
          <cell r="L5391" t="str">
            <v>74320332</v>
          </cell>
        </row>
        <row r="5392">
          <cell r="L5392" t="str">
            <v>74320339</v>
          </cell>
        </row>
        <row r="5393">
          <cell r="L5393" t="str">
            <v>74320350</v>
          </cell>
        </row>
        <row r="5394">
          <cell r="L5394" t="str">
            <v>74320357</v>
          </cell>
        </row>
        <row r="5395">
          <cell r="L5395" t="str">
            <v>74320359</v>
          </cell>
        </row>
        <row r="5396">
          <cell r="L5396" t="str">
            <v>74320361</v>
          </cell>
        </row>
        <row r="5397">
          <cell r="L5397" t="str">
            <v>74320362</v>
          </cell>
        </row>
        <row r="5398">
          <cell r="L5398" t="str">
            <v>74320365</v>
          </cell>
        </row>
        <row r="5399">
          <cell r="L5399" t="str">
            <v>74320368</v>
          </cell>
        </row>
        <row r="5400">
          <cell r="L5400" t="str">
            <v>74320399</v>
          </cell>
        </row>
        <row r="5401">
          <cell r="L5401" t="str">
            <v>74320624</v>
          </cell>
        </row>
        <row r="5402">
          <cell r="L5402" t="str">
            <v>74320788</v>
          </cell>
        </row>
        <row r="5403">
          <cell r="L5403" t="str">
            <v>74320984</v>
          </cell>
        </row>
        <row r="5404">
          <cell r="L5404" t="str">
            <v>74321201</v>
          </cell>
        </row>
        <row r="5405">
          <cell r="L5405" t="str">
            <v>74321252</v>
          </cell>
        </row>
        <row r="5406">
          <cell r="L5406" t="str">
            <v>74321291</v>
          </cell>
        </row>
        <row r="5407">
          <cell r="L5407" t="str">
            <v>74321293</v>
          </cell>
        </row>
        <row r="5408">
          <cell r="L5408" t="str">
            <v>74321669</v>
          </cell>
        </row>
        <row r="5409">
          <cell r="L5409" t="str">
            <v>74321681</v>
          </cell>
        </row>
        <row r="5410">
          <cell r="L5410" t="str">
            <v>74321799</v>
          </cell>
        </row>
        <row r="5411">
          <cell r="L5411" t="str">
            <v>74321822</v>
          </cell>
        </row>
        <row r="5412">
          <cell r="L5412" t="str">
            <v>74321863</v>
          </cell>
        </row>
        <row r="5413">
          <cell r="L5413" t="str">
            <v>74321883</v>
          </cell>
        </row>
        <row r="5414">
          <cell r="L5414" t="str">
            <v>74321986</v>
          </cell>
        </row>
        <row r="5415">
          <cell r="L5415" t="str">
            <v>74322180</v>
          </cell>
        </row>
        <row r="5416">
          <cell r="L5416" t="str">
            <v>74322439</v>
          </cell>
        </row>
        <row r="5417">
          <cell r="L5417" t="str">
            <v>74322459</v>
          </cell>
        </row>
        <row r="5418">
          <cell r="L5418" t="str">
            <v>74322560</v>
          </cell>
        </row>
        <row r="5419">
          <cell r="L5419" t="str">
            <v>74322569</v>
          </cell>
        </row>
        <row r="5420">
          <cell r="L5420" t="str">
            <v>74322581</v>
          </cell>
        </row>
        <row r="5421">
          <cell r="L5421" t="str">
            <v>74322582</v>
          </cell>
        </row>
        <row r="5422">
          <cell r="L5422" t="str">
            <v>74322621</v>
          </cell>
        </row>
        <row r="5423">
          <cell r="L5423" t="str">
            <v>74322845</v>
          </cell>
        </row>
        <row r="5424">
          <cell r="L5424" t="str">
            <v>74323199</v>
          </cell>
        </row>
        <row r="5425">
          <cell r="L5425" t="str">
            <v>74323255</v>
          </cell>
        </row>
        <row r="5426">
          <cell r="L5426" t="str">
            <v>74323258</v>
          </cell>
        </row>
        <row r="5427">
          <cell r="L5427" t="str">
            <v>74323280</v>
          </cell>
        </row>
        <row r="5428">
          <cell r="L5428" t="str">
            <v>74323312</v>
          </cell>
        </row>
        <row r="5429">
          <cell r="L5429" t="str">
            <v>74323426</v>
          </cell>
        </row>
        <row r="5430">
          <cell r="L5430" t="str">
            <v>74323429</v>
          </cell>
        </row>
        <row r="5431">
          <cell r="L5431" t="str">
            <v>74323430</v>
          </cell>
        </row>
        <row r="5432">
          <cell r="L5432" t="str">
            <v>74323432</v>
          </cell>
        </row>
        <row r="5433">
          <cell r="L5433" t="str">
            <v>74323433</v>
          </cell>
        </row>
        <row r="5434">
          <cell r="L5434" t="str">
            <v>74323435</v>
          </cell>
        </row>
        <row r="5435">
          <cell r="L5435" t="str">
            <v>74323436</v>
          </cell>
        </row>
        <row r="5436">
          <cell r="L5436" t="str">
            <v>74323441</v>
          </cell>
        </row>
        <row r="5437">
          <cell r="L5437" t="str">
            <v>74323459</v>
          </cell>
        </row>
        <row r="5438">
          <cell r="L5438" t="str">
            <v>74323464</v>
          </cell>
        </row>
        <row r="5439">
          <cell r="L5439" t="str">
            <v>74323511</v>
          </cell>
        </row>
        <row r="5440">
          <cell r="L5440" t="str">
            <v>74323560</v>
          </cell>
        </row>
        <row r="5441">
          <cell r="L5441" t="str">
            <v>74323739</v>
          </cell>
        </row>
        <row r="5442">
          <cell r="L5442" t="str">
            <v>74324159</v>
          </cell>
        </row>
        <row r="5443">
          <cell r="L5443" t="str">
            <v>74324320</v>
          </cell>
        </row>
        <row r="5444">
          <cell r="L5444" t="str">
            <v>74324461</v>
          </cell>
        </row>
        <row r="5445">
          <cell r="L5445" t="str">
            <v>74324599</v>
          </cell>
        </row>
        <row r="5446">
          <cell r="L5446" t="str">
            <v>74324720</v>
          </cell>
        </row>
        <row r="5447">
          <cell r="L5447" t="str">
            <v>74324763</v>
          </cell>
        </row>
        <row r="5448">
          <cell r="L5448" t="str">
            <v>74324771</v>
          </cell>
        </row>
        <row r="5449">
          <cell r="L5449" t="str">
            <v>74324972</v>
          </cell>
        </row>
        <row r="5450">
          <cell r="L5450" t="str">
            <v>74325160</v>
          </cell>
        </row>
        <row r="5451">
          <cell r="L5451" t="str">
            <v>74325240</v>
          </cell>
        </row>
        <row r="5452">
          <cell r="L5452" t="str">
            <v>74325670</v>
          </cell>
        </row>
        <row r="5453">
          <cell r="L5453" t="str">
            <v>74325840</v>
          </cell>
        </row>
        <row r="5454">
          <cell r="L5454" t="str">
            <v>74325948</v>
          </cell>
        </row>
        <row r="5455">
          <cell r="L5455" t="str">
            <v>74325951</v>
          </cell>
        </row>
        <row r="5456">
          <cell r="L5456" t="str">
            <v>BD1187104</v>
          </cell>
        </row>
        <row r="5457">
          <cell r="L5457" t="str">
            <v>BD1187107</v>
          </cell>
        </row>
        <row r="5458">
          <cell r="L5458" t="str">
            <v>BD1187108</v>
          </cell>
        </row>
        <row r="5459">
          <cell r="L5459" t="str">
            <v>BD1187109</v>
          </cell>
        </row>
        <row r="5460">
          <cell r="L5460" t="str">
            <v>BD1187110</v>
          </cell>
        </row>
        <row r="5461">
          <cell r="L5461" t="str">
            <v>BD1187112</v>
          </cell>
        </row>
        <row r="5462">
          <cell r="L5462" t="str">
            <v>BD1187116</v>
          </cell>
        </row>
        <row r="5463">
          <cell r="L5463" t="str">
            <v>BD1187121</v>
          </cell>
        </row>
        <row r="5464">
          <cell r="L5464" t="str">
            <v>BD1188104</v>
          </cell>
        </row>
        <row r="5465">
          <cell r="L5465" t="str">
            <v>BD1188107</v>
          </cell>
        </row>
        <row r="5466">
          <cell r="L5466" t="str">
            <v>BD1188108</v>
          </cell>
        </row>
        <row r="5467">
          <cell r="L5467" t="str">
            <v>BD1188109</v>
          </cell>
        </row>
        <row r="5468">
          <cell r="L5468" t="str">
            <v>BD1188110</v>
          </cell>
        </row>
        <row r="5469">
          <cell r="L5469" t="str">
            <v>BD1188112</v>
          </cell>
        </row>
        <row r="5470">
          <cell r="L5470" t="str">
            <v>BD1188116</v>
          </cell>
        </row>
        <row r="5471">
          <cell r="L5471" t="str">
            <v>BD1188120</v>
          </cell>
        </row>
        <row r="5472">
          <cell r="L5472" t="str">
            <v>BD1188121</v>
          </cell>
        </row>
        <row r="5473">
          <cell r="L5473" t="str">
            <v>BD1424104</v>
          </cell>
        </row>
        <row r="5474">
          <cell r="L5474" t="str">
            <v>BD1424107</v>
          </cell>
        </row>
        <row r="5475">
          <cell r="L5475" t="str">
            <v>BD1424108</v>
          </cell>
        </row>
        <row r="5476">
          <cell r="L5476" t="str">
            <v>BD1424109</v>
          </cell>
        </row>
        <row r="5477">
          <cell r="L5477" t="str">
            <v>BD1424110</v>
          </cell>
        </row>
        <row r="5478">
          <cell r="L5478" t="str">
            <v>BD1424112</v>
          </cell>
        </row>
        <row r="5479">
          <cell r="L5479" t="str">
            <v>BD1424116</v>
          </cell>
        </row>
        <row r="5480">
          <cell r="L5480" t="str">
            <v>BD1424120</v>
          </cell>
        </row>
        <row r="5481">
          <cell r="L5481" t="str">
            <v>BD1582104</v>
          </cell>
        </row>
        <row r="5482">
          <cell r="L5482" t="str">
            <v>BD1582107</v>
          </cell>
        </row>
        <row r="5483">
          <cell r="L5483" t="str">
            <v>BD1582108</v>
          </cell>
        </row>
        <row r="5484">
          <cell r="L5484" t="str">
            <v>BD1582109</v>
          </cell>
        </row>
        <row r="5485">
          <cell r="L5485" t="str">
            <v>BD1582110</v>
          </cell>
        </row>
        <row r="5486">
          <cell r="L5486" t="str">
            <v>BD1582112</v>
          </cell>
        </row>
        <row r="5487">
          <cell r="L5487" t="str">
            <v>BD1582116</v>
          </cell>
        </row>
        <row r="5488">
          <cell r="L5488" t="str">
            <v>BD1582120</v>
          </cell>
        </row>
        <row r="5489">
          <cell r="L5489" t="str">
            <v>BD1582121</v>
          </cell>
        </row>
        <row r="5490">
          <cell r="L5490" t="str">
            <v>BD2183118</v>
          </cell>
        </row>
        <row r="5491">
          <cell r="L5491" t="str">
            <v>BD2704104</v>
          </cell>
        </row>
        <row r="5492">
          <cell r="L5492" t="str">
            <v>BD2704107</v>
          </cell>
        </row>
        <row r="5493">
          <cell r="L5493" t="str">
            <v>BD2704108</v>
          </cell>
        </row>
        <row r="5494">
          <cell r="L5494" t="str">
            <v>BD2704109</v>
          </cell>
        </row>
        <row r="5495">
          <cell r="L5495" t="str">
            <v>BD2704110</v>
          </cell>
        </row>
        <row r="5496">
          <cell r="L5496" t="str">
            <v>BD2704112</v>
          </cell>
        </row>
        <row r="5497">
          <cell r="L5497" t="str">
            <v>BD2704116</v>
          </cell>
        </row>
        <row r="5498">
          <cell r="L5498" t="str">
            <v>BD2776104</v>
          </cell>
        </row>
        <row r="5499">
          <cell r="L5499" t="str">
            <v>BD2776107</v>
          </cell>
        </row>
        <row r="5500">
          <cell r="L5500" t="str">
            <v>BD2776108</v>
          </cell>
        </row>
        <row r="5501">
          <cell r="L5501" t="str">
            <v>BD2776109</v>
          </cell>
        </row>
        <row r="5502">
          <cell r="L5502" t="str">
            <v>BD2776110</v>
          </cell>
        </row>
        <row r="5503">
          <cell r="L5503" t="str">
            <v>BD2776112</v>
          </cell>
        </row>
        <row r="5504">
          <cell r="L5504" t="str">
            <v>BD2776116</v>
          </cell>
        </row>
        <row r="5505">
          <cell r="L5505" t="str">
            <v>BD2776121</v>
          </cell>
        </row>
        <row r="5506">
          <cell r="L5506" t="str">
            <v>BD2891104</v>
          </cell>
        </row>
        <row r="5507">
          <cell r="L5507" t="str">
            <v>BD2891107</v>
          </cell>
        </row>
        <row r="5508">
          <cell r="L5508" t="str">
            <v>BD2891108</v>
          </cell>
        </row>
        <row r="5509">
          <cell r="L5509" t="str">
            <v>BD2891109</v>
          </cell>
        </row>
        <row r="5510">
          <cell r="L5510" t="str">
            <v>BD2891110</v>
          </cell>
        </row>
        <row r="5511">
          <cell r="L5511" t="str">
            <v>BD2891112</v>
          </cell>
        </row>
        <row r="5512">
          <cell r="L5512" t="str">
            <v>BD2891116</v>
          </cell>
        </row>
        <row r="5513">
          <cell r="L5513" t="str">
            <v>BD2891120</v>
          </cell>
        </row>
        <row r="5514">
          <cell r="L5514" t="str">
            <v>BD2891121</v>
          </cell>
        </row>
        <row r="5515">
          <cell r="L5515" t="str">
            <v>BD2896104</v>
          </cell>
        </row>
        <row r="5516">
          <cell r="L5516" t="str">
            <v>BD2896107</v>
          </cell>
        </row>
        <row r="5517">
          <cell r="L5517" t="str">
            <v>BD2896108</v>
          </cell>
        </row>
        <row r="5518">
          <cell r="L5518" t="str">
            <v>BD2896109</v>
          </cell>
        </row>
        <row r="5519">
          <cell r="L5519" t="str">
            <v>BD2896110</v>
          </cell>
        </row>
        <row r="5520">
          <cell r="L5520" t="str">
            <v>BD2896112</v>
          </cell>
        </row>
        <row r="5521">
          <cell r="L5521" t="str">
            <v>BD2896116</v>
          </cell>
        </row>
        <row r="5522">
          <cell r="L5522" t="str">
            <v>BD2896118</v>
          </cell>
        </row>
        <row r="5523">
          <cell r="L5523" t="str">
            <v>BD2896120</v>
          </cell>
        </row>
        <row r="5524">
          <cell r="L5524" t="str">
            <v>BD2896121</v>
          </cell>
        </row>
        <row r="5525">
          <cell r="L5525" t="str">
            <v>BD3028104</v>
          </cell>
        </row>
        <row r="5526">
          <cell r="L5526" t="str">
            <v>BD3028107</v>
          </cell>
        </row>
        <row r="5527">
          <cell r="L5527" t="str">
            <v>BD3028108</v>
          </cell>
        </row>
        <row r="5528">
          <cell r="L5528" t="str">
            <v>BD3028109</v>
          </cell>
        </row>
        <row r="5529">
          <cell r="L5529" t="str">
            <v>BD3028110</v>
          </cell>
        </row>
        <row r="5530">
          <cell r="L5530" t="str">
            <v>BD3028112</v>
          </cell>
        </row>
        <row r="5531">
          <cell r="L5531" t="str">
            <v>BD3028116</v>
          </cell>
        </row>
        <row r="5532">
          <cell r="L5532" t="str">
            <v>BD3028120</v>
          </cell>
        </row>
        <row r="5533">
          <cell r="L5533" t="str">
            <v>BD3028121</v>
          </cell>
        </row>
        <row r="5534">
          <cell r="L5534" t="str">
            <v>BD3828108</v>
          </cell>
        </row>
        <row r="5535">
          <cell r="L5535" t="str">
            <v>BD3828116</v>
          </cell>
        </row>
        <row r="5536">
          <cell r="L5536" t="str">
            <v>BD4419104</v>
          </cell>
        </row>
        <row r="5537">
          <cell r="L5537" t="str">
            <v>BD4419108</v>
          </cell>
        </row>
        <row r="5538">
          <cell r="L5538" t="str">
            <v>BD4419110</v>
          </cell>
        </row>
        <row r="5539">
          <cell r="L5539" t="str">
            <v>BD4621104</v>
          </cell>
        </row>
        <row r="5540">
          <cell r="L5540" t="str">
            <v>BD4621107</v>
          </cell>
        </row>
        <row r="5541">
          <cell r="L5541" t="str">
            <v>BD4621108</v>
          </cell>
        </row>
        <row r="5542">
          <cell r="L5542" t="str">
            <v>BD4621109</v>
          </cell>
        </row>
        <row r="5543">
          <cell r="L5543" t="str">
            <v>BD4621110</v>
          </cell>
        </row>
        <row r="5544">
          <cell r="L5544" t="str">
            <v>BD4621112</v>
          </cell>
        </row>
        <row r="5545">
          <cell r="L5545" t="str">
            <v>BD4621116</v>
          </cell>
        </row>
        <row r="5546">
          <cell r="L5546" t="str">
            <v>BD4621120</v>
          </cell>
        </row>
        <row r="5547">
          <cell r="L5547" t="str">
            <v>BD4621121</v>
          </cell>
        </row>
        <row r="5548">
          <cell r="L5548" t="str">
            <v>BD4627104</v>
          </cell>
        </row>
        <row r="5549">
          <cell r="L5549" t="str">
            <v>BD4627107</v>
          </cell>
        </row>
        <row r="5550">
          <cell r="L5550" t="str">
            <v>BD4627108</v>
          </cell>
        </row>
        <row r="5551">
          <cell r="L5551" t="str">
            <v>BD4627109</v>
          </cell>
        </row>
        <row r="5552">
          <cell r="L5552" t="str">
            <v>BD4627110</v>
          </cell>
        </row>
        <row r="5553">
          <cell r="L5553" t="str">
            <v>BD4627112</v>
          </cell>
        </row>
        <row r="5554">
          <cell r="L5554" t="str">
            <v>BD4627116</v>
          </cell>
        </row>
        <row r="5555">
          <cell r="L5555" t="str">
            <v>BD4627120</v>
          </cell>
        </row>
        <row r="5556">
          <cell r="L5556" t="str">
            <v>BD4627121</v>
          </cell>
        </row>
        <row r="5557">
          <cell r="L5557" t="str">
            <v>BD5172104</v>
          </cell>
        </row>
        <row r="5558">
          <cell r="L5558" t="str">
            <v>BD5172107</v>
          </cell>
        </row>
        <row r="5559">
          <cell r="L5559" t="str">
            <v>BD5172108</v>
          </cell>
        </row>
        <row r="5560">
          <cell r="L5560" t="str">
            <v>BD5172109</v>
          </cell>
        </row>
        <row r="5561">
          <cell r="L5561" t="str">
            <v>BD5172110</v>
          </cell>
        </row>
        <row r="5562">
          <cell r="L5562" t="str">
            <v>BD5172112</v>
          </cell>
        </row>
        <row r="5563">
          <cell r="L5563" t="str">
            <v>BD5172116</v>
          </cell>
        </row>
        <row r="5564">
          <cell r="L5564" t="str">
            <v>BD5172120</v>
          </cell>
        </row>
        <row r="5565">
          <cell r="L5565" t="str">
            <v>BD5172121</v>
          </cell>
        </row>
        <row r="5566">
          <cell r="L5566" t="str">
            <v>BD5482104</v>
          </cell>
        </row>
        <row r="5567">
          <cell r="L5567" t="str">
            <v>BD5482107</v>
          </cell>
        </row>
        <row r="5568">
          <cell r="L5568" t="str">
            <v>BD5482108</v>
          </cell>
        </row>
        <row r="5569">
          <cell r="L5569" t="str">
            <v>BD5482109</v>
          </cell>
        </row>
        <row r="5570">
          <cell r="L5570" t="str">
            <v>BD5482110</v>
          </cell>
        </row>
        <row r="5571">
          <cell r="L5571" t="str">
            <v>BD5482112</v>
          </cell>
        </row>
        <row r="5572">
          <cell r="L5572" t="str">
            <v>BD5482116</v>
          </cell>
        </row>
        <row r="5573">
          <cell r="L5573" t="str">
            <v>BD5482120</v>
          </cell>
        </row>
        <row r="5574">
          <cell r="L5574" t="str">
            <v>BD5482121</v>
          </cell>
        </row>
        <row r="5575">
          <cell r="L5575" t="str">
            <v>BD5909107</v>
          </cell>
        </row>
        <row r="5576">
          <cell r="L5576" t="str">
            <v>BD5909109</v>
          </cell>
        </row>
        <row r="5577">
          <cell r="L5577" t="str">
            <v>BD5909112</v>
          </cell>
        </row>
        <row r="5578">
          <cell r="L5578" t="str">
            <v>BD5909120</v>
          </cell>
        </row>
        <row r="5579">
          <cell r="L5579" t="str">
            <v>BD6014104</v>
          </cell>
        </row>
        <row r="5580">
          <cell r="L5580" t="str">
            <v>BD6014108</v>
          </cell>
        </row>
        <row r="5581">
          <cell r="L5581" t="str">
            <v>BD6014110</v>
          </cell>
        </row>
        <row r="5582">
          <cell r="L5582" t="str">
            <v>BD6014116</v>
          </cell>
        </row>
        <row r="5583">
          <cell r="L5583" t="str">
            <v>BD6014118</v>
          </cell>
        </row>
        <row r="5584">
          <cell r="L5584" t="str">
            <v>BD6014121</v>
          </cell>
        </row>
        <row r="5585">
          <cell r="L5585" t="str">
            <v>BD6528104</v>
          </cell>
        </row>
        <row r="5586">
          <cell r="L5586" t="str">
            <v>BD6528107</v>
          </cell>
        </row>
        <row r="5587">
          <cell r="L5587" t="str">
            <v>BD6528108</v>
          </cell>
        </row>
        <row r="5588">
          <cell r="L5588" t="str">
            <v>BD6528109</v>
          </cell>
        </row>
        <row r="5589">
          <cell r="L5589" t="str">
            <v>BD6528110</v>
          </cell>
        </row>
        <row r="5590">
          <cell r="L5590" t="str">
            <v>BD6528112</v>
          </cell>
        </row>
        <row r="5591">
          <cell r="L5591" t="str">
            <v>BD6528116</v>
          </cell>
        </row>
        <row r="5592">
          <cell r="L5592" t="str">
            <v>BD6528120</v>
          </cell>
        </row>
        <row r="5593">
          <cell r="L5593" t="str">
            <v>BD6621107</v>
          </cell>
        </row>
        <row r="5594">
          <cell r="L5594" t="str">
            <v>BD6621109</v>
          </cell>
        </row>
        <row r="5595">
          <cell r="L5595" t="str">
            <v>BD6621112</v>
          </cell>
        </row>
        <row r="5596">
          <cell r="L5596" t="str">
            <v>BD6621120</v>
          </cell>
        </row>
        <row r="5597">
          <cell r="L5597" t="str">
            <v>BD7054108</v>
          </cell>
        </row>
        <row r="5598">
          <cell r="L5598" t="str">
            <v>BD7054116</v>
          </cell>
        </row>
        <row r="5599">
          <cell r="L5599" t="str">
            <v>BD7236104</v>
          </cell>
        </row>
        <row r="5600">
          <cell r="L5600" t="str">
            <v>BD7236108</v>
          </cell>
        </row>
        <row r="5601">
          <cell r="L5601" t="str">
            <v>BD7236110</v>
          </cell>
        </row>
        <row r="5602">
          <cell r="L5602" t="str">
            <v>BD7236116</v>
          </cell>
        </row>
        <row r="5603">
          <cell r="L5603" t="str">
            <v>BD7236120</v>
          </cell>
        </row>
        <row r="5604">
          <cell r="L5604" t="str">
            <v>BD7236121</v>
          </cell>
        </row>
        <row r="5605">
          <cell r="L5605" t="str">
            <v>BD7366104</v>
          </cell>
        </row>
        <row r="5606">
          <cell r="L5606" t="str">
            <v>BD7366107</v>
          </cell>
        </row>
        <row r="5607">
          <cell r="L5607" t="str">
            <v>BD7366108</v>
          </cell>
        </row>
        <row r="5608">
          <cell r="L5608" t="str">
            <v>BD7366109</v>
          </cell>
        </row>
        <row r="5609">
          <cell r="L5609" t="str">
            <v>BD7366110</v>
          </cell>
        </row>
        <row r="5610">
          <cell r="L5610" t="str">
            <v>BD7366112</v>
          </cell>
        </row>
        <row r="5611">
          <cell r="L5611" t="str">
            <v>BD7366116</v>
          </cell>
        </row>
        <row r="5612">
          <cell r="L5612" t="str">
            <v>BD7366120</v>
          </cell>
        </row>
        <row r="5613">
          <cell r="L5613" t="str">
            <v>BD7366121</v>
          </cell>
        </row>
        <row r="5614">
          <cell r="L5614" t="str">
            <v>BD7379104</v>
          </cell>
        </row>
        <row r="5615">
          <cell r="L5615" t="str">
            <v>BD7379107</v>
          </cell>
        </row>
        <row r="5616">
          <cell r="L5616" t="str">
            <v>BD7379108</v>
          </cell>
        </row>
        <row r="5617">
          <cell r="L5617" t="str">
            <v>BD7379109</v>
          </cell>
        </row>
        <row r="5618">
          <cell r="L5618" t="str">
            <v>BD7379110</v>
          </cell>
        </row>
        <row r="5619">
          <cell r="L5619" t="str">
            <v>BD7379112</v>
          </cell>
        </row>
        <row r="5620">
          <cell r="L5620" t="str">
            <v>BD7379116</v>
          </cell>
        </row>
        <row r="5621">
          <cell r="L5621" t="str">
            <v>BD7379120</v>
          </cell>
        </row>
        <row r="5622">
          <cell r="L5622" t="str">
            <v>BD7379121</v>
          </cell>
        </row>
        <row r="5623">
          <cell r="L5623" t="str">
            <v>BD7634104</v>
          </cell>
        </row>
        <row r="5624">
          <cell r="L5624" t="str">
            <v>BD7634107</v>
          </cell>
        </row>
        <row r="5625">
          <cell r="L5625" t="str">
            <v>BD7634108</v>
          </cell>
        </row>
        <row r="5626">
          <cell r="L5626" t="str">
            <v>BD7634109</v>
          </cell>
        </row>
        <row r="5627">
          <cell r="L5627" t="str">
            <v>BD7634110</v>
          </cell>
        </row>
        <row r="5628">
          <cell r="L5628" t="str">
            <v>BD7634112</v>
          </cell>
        </row>
        <row r="5629">
          <cell r="L5629" t="str">
            <v>BD7634116</v>
          </cell>
        </row>
        <row r="5630">
          <cell r="L5630" t="str">
            <v>BD7634120</v>
          </cell>
        </row>
        <row r="5631">
          <cell r="L5631" t="str">
            <v>BD7634121</v>
          </cell>
        </row>
        <row r="5632">
          <cell r="L5632" t="str">
            <v>BD7985107</v>
          </cell>
        </row>
        <row r="5633">
          <cell r="L5633" t="str">
            <v>BD7985109</v>
          </cell>
        </row>
        <row r="5634">
          <cell r="L5634" t="str">
            <v>BD7985112</v>
          </cell>
        </row>
        <row r="5635">
          <cell r="L5635" t="str">
            <v>BD7985120</v>
          </cell>
        </row>
        <row r="5636">
          <cell r="L5636" t="str">
            <v>BD8970104</v>
          </cell>
        </row>
        <row r="5637">
          <cell r="L5637" t="str">
            <v>BD8970107</v>
          </cell>
        </row>
        <row r="5638">
          <cell r="L5638" t="str">
            <v>BD8970108</v>
          </cell>
        </row>
        <row r="5639">
          <cell r="L5639" t="str">
            <v>BD8970110</v>
          </cell>
        </row>
        <row r="5640">
          <cell r="L5640" t="str">
            <v>BD8970116</v>
          </cell>
        </row>
        <row r="5641">
          <cell r="L5641" t="str">
            <v>BD8970121</v>
          </cell>
        </row>
        <row r="5642">
          <cell r="L5642" t="str">
            <v>BD9591104</v>
          </cell>
        </row>
        <row r="5643">
          <cell r="L5643" t="str">
            <v>BD9591107</v>
          </cell>
        </row>
        <row r="5644">
          <cell r="L5644" t="str">
            <v>BD9591108</v>
          </cell>
        </row>
        <row r="5645">
          <cell r="L5645" t="str">
            <v>BD9591109</v>
          </cell>
        </row>
        <row r="5646">
          <cell r="L5646" t="str">
            <v>BD9591110</v>
          </cell>
        </row>
        <row r="5647">
          <cell r="L5647" t="str">
            <v>BD9591112</v>
          </cell>
        </row>
        <row r="5648">
          <cell r="L5648" t="str">
            <v>BD9591116</v>
          </cell>
        </row>
        <row r="5649">
          <cell r="L5649" t="str">
            <v>BD9591120</v>
          </cell>
        </row>
        <row r="5650">
          <cell r="L5650" t="str">
            <v>BD9591121</v>
          </cell>
        </row>
        <row r="5651">
          <cell r="L5651" t="str">
            <v>BD9953108</v>
          </cell>
        </row>
        <row r="5652">
          <cell r="L5652" t="str">
            <v>BD9953116</v>
          </cell>
        </row>
        <row r="5653">
          <cell r="L5653" t="str">
            <v>BDL107</v>
          </cell>
        </row>
        <row r="5654">
          <cell r="L5654" t="str">
            <v>BDL109</v>
          </cell>
        </row>
        <row r="5655">
          <cell r="L5655" t="str">
            <v>BDL112</v>
          </cell>
        </row>
        <row r="5656">
          <cell r="L5656" t="str">
            <v>BDL120</v>
          </cell>
        </row>
        <row r="5657">
          <cell r="L5657" t="str">
            <v>BEN107</v>
          </cell>
        </row>
        <row r="5658">
          <cell r="L5658" t="str">
            <v>BEN109</v>
          </cell>
        </row>
        <row r="5659">
          <cell r="L5659" t="str">
            <v>BEN112</v>
          </cell>
        </row>
        <row r="5660">
          <cell r="L5660" t="str">
            <v>BEN120</v>
          </cell>
        </row>
        <row r="5661">
          <cell r="L5661" t="str">
            <v>BFD107</v>
          </cell>
        </row>
        <row r="5662">
          <cell r="L5662" t="str">
            <v>BFD109</v>
          </cell>
        </row>
        <row r="5663">
          <cell r="L5663" t="str">
            <v>BFD112</v>
          </cell>
        </row>
        <row r="5664">
          <cell r="L5664" t="str">
            <v>BFD120</v>
          </cell>
        </row>
        <row r="5665">
          <cell r="L5665" t="str">
            <v>BT3828108</v>
          </cell>
        </row>
        <row r="5666">
          <cell r="L5666" t="str">
            <v>BT3828116</v>
          </cell>
        </row>
        <row r="5667">
          <cell r="L5667" t="str">
            <v>BT5172104</v>
          </cell>
        </row>
        <row r="5668">
          <cell r="L5668" t="str">
            <v>BT5172107</v>
          </cell>
        </row>
        <row r="5669">
          <cell r="L5669" t="str">
            <v>BT5172108</v>
          </cell>
        </row>
        <row r="5670">
          <cell r="L5670" t="str">
            <v>BT5172109</v>
          </cell>
        </row>
        <row r="5671">
          <cell r="L5671" t="str">
            <v>BT5172110</v>
          </cell>
        </row>
        <row r="5672">
          <cell r="L5672" t="str">
            <v>BT5172112</v>
          </cell>
        </row>
        <row r="5673">
          <cell r="L5673" t="str">
            <v>BT5172116</v>
          </cell>
        </row>
        <row r="5674">
          <cell r="L5674" t="str">
            <v>BT5172120</v>
          </cell>
        </row>
        <row r="5675">
          <cell r="L5675" t="str">
            <v>BT5172121</v>
          </cell>
        </row>
        <row r="5676">
          <cell r="L5676" t="str">
            <v>BT7054108</v>
          </cell>
        </row>
        <row r="5677">
          <cell r="L5677" t="str">
            <v>BT7054116</v>
          </cell>
        </row>
        <row r="5678">
          <cell r="L5678" t="str">
            <v>BT9953108</v>
          </cell>
        </row>
        <row r="5679">
          <cell r="L5679" t="str">
            <v>BT9953116</v>
          </cell>
        </row>
        <row r="5680">
          <cell r="L5680" t="str">
            <v>CASERRORS</v>
          </cell>
        </row>
        <row r="5681">
          <cell r="L5681" t="str">
            <v>CCALLOHDS</v>
          </cell>
        </row>
        <row r="5682">
          <cell r="L5682" t="str">
            <v>Clyde</v>
          </cell>
        </row>
        <row r="5683">
          <cell r="L5683" t="str">
            <v>FSCCUOH12</v>
          </cell>
        </row>
        <row r="5684">
          <cell r="L5684" t="str">
            <v>FSECUOH12</v>
          </cell>
        </row>
        <row r="5685">
          <cell r="L5685" t="str">
            <v>FSNCUOH12</v>
          </cell>
        </row>
        <row r="5686">
          <cell r="L5686" t="str">
            <v>ITECHCCEE</v>
          </cell>
        </row>
        <row r="5687">
          <cell r="L5687" t="str">
            <v>ITECHCCEN</v>
          </cell>
        </row>
        <row r="5688">
          <cell r="L5688" t="str">
            <v>LDL107</v>
          </cell>
        </row>
        <row r="5689">
          <cell r="L5689" t="str">
            <v>LDL109</v>
          </cell>
        </row>
        <row r="5690">
          <cell r="L5690" t="str">
            <v>LDL112</v>
          </cell>
        </row>
        <row r="5691">
          <cell r="L5691" t="str">
            <v>LDL120</v>
          </cell>
        </row>
        <row r="5692">
          <cell r="L5692" t="str">
            <v>LEO107</v>
          </cell>
        </row>
        <row r="5693">
          <cell r="L5693" t="str">
            <v>LEO109</v>
          </cell>
        </row>
        <row r="5694">
          <cell r="L5694" t="str">
            <v>LEO112</v>
          </cell>
        </row>
        <row r="5695">
          <cell r="L5695" t="str">
            <v>LEO120</v>
          </cell>
        </row>
        <row r="5696">
          <cell r="L5696" t="str">
            <v>NSC107</v>
          </cell>
        </row>
        <row r="5697">
          <cell r="L5697" t="str">
            <v>NSC109</v>
          </cell>
        </row>
        <row r="5698">
          <cell r="L5698" t="str">
            <v>NSC112</v>
          </cell>
        </row>
        <row r="5699">
          <cell r="L5699" t="str">
            <v>NSC120</v>
          </cell>
        </row>
        <row r="5700">
          <cell r="L5700" t="str">
            <v>SEY107</v>
          </cell>
        </row>
        <row r="5701">
          <cell r="L5701" t="str">
            <v>SEY109</v>
          </cell>
        </row>
        <row r="5702">
          <cell r="L5702" t="str">
            <v>SEY112</v>
          </cell>
        </row>
        <row r="5703">
          <cell r="L5703" t="str">
            <v>SEY120</v>
          </cell>
        </row>
        <row r="5704">
          <cell r="L5704" t="str">
            <v>SMG107</v>
          </cell>
        </row>
        <row r="5705">
          <cell r="L5705" t="str">
            <v>SMG109</v>
          </cell>
        </row>
        <row r="5706">
          <cell r="L5706" t="str">
            <v>SMG112</v>
          </cell>
        </row>
        <row r="5707">
          <cell r="L5707" t="str">
            <v>SMG120</v>
          </cell>
        </row>
        <row r="5708">
          <cell r="L5708" t="str">
            <v>TGN107</v>
          </cell>
        </row>
        <row r="5709">
          <cell r="L5709" t="str">
            <v>TGN109</v>
          </cell>
        </row>
        <row r="5710">
          <cell r="L5710" t="str">
            <v>TGN112</v>
          </cell>
        </row>
        <row r="5711">
          <cell r="L5711" t="str">
            <v>TGN120</v>
          </cell>
        </row>
        <row r="5712">
          <cell r="L5712" t="str">
            <v>WOD107</v>
          </cell>
        </row>
        <row r="5713">
          <cell r="L5713" t="str">
            <v>WOD109</v>
          </cell>
        </row>
        <row r="5714">
          <cell r="L5714" t="str">
            <v>WOD112</v>
          </cell>
        </row>
        <row r="5715">
          <cell r="L5715" t="str">
            <v>WOD120</v>
          </cell>
        </row>
        <row r="5716">
          <cell r="L5716" t="str">
            <v>74284079</v>
          </cell>
        </row>
        <row r="5717">
          <cell r="L5717" t="str">
            <v>74064488</v>
          </cell>
        </row>
        <row r="5718">
          <cell r="L5718" t="str">
            <v>74196091</v>
          </cell>
        </row>
        <row r="5719">
          <cell r="L5719" t="str">
            <v>74252863</v>
          </cell>
        </row>
        <row r="5720">
          <cell r="L5720" t="str">
            <v>74274661</v>
          </cell>
        </row>
        <row r="5721">
          <cell r="L5721" t="str">
            <v>74274859</v>
          </cell>
        </row>
        <row r="5722">
          <cell r="L5722" t="str">
            <v>74285292</v>
          </cell>
        </row>
        <row r="5723">
          <cell r="L5723" t="str">
            <v>74286341</v>
          </cell>
        </row>
        <row r="5724">
          <cell r="L5724" t="str">
            <v>74288101</v>
          </cell>
        </row>
        <row r="5725">
          <cell r="L5725" t="str">
            <v>74291639</v>
          </cell>
        </row>
        <row r="5726">
          <cell r="L5726" t="str">
            <v>74292533</v>
          </cell>
        </row>
        <row r="5727">
          <cell r="L5727" t="str">
            <v>74294123</v>
          </cell>
        </row>
        <row r="5728">
          <cell r="L5728" t="str">
            <v>74295622</v>
          </cell>
        </row>
        <row r="5729">
          <cell r="L5729" t="str">
            <v>74295907</v>
          </cell>
        </row>
        <row r="5730">
          <cell r="L5730" t="str">
            <v>74296440</v>
          </cell>
        </row>
        <row r="5731">
          <cell r="L5731" t="str">
            <v>74297487</v>
          </cell>
        </row>
        <row r="5732">
          <cell r="L5732" t="str">
            <v>74298384</v>
          </cell>
        </row>
        <row r="5733">
          <cell r="L5733" t="str">
            <v>74298649</v>
          </cell>
        </row>
        <row r="5734">
          <cell r="L5734" t="str">
            <v>74298902</v>
          </cell>
        </row>
        <row r="5735">
          <cell r="L5735" t="str">
            <v>74300525</v>
          </cell>
        </row>
        <row r="5736">
          <cell r="L5736" t="str">
            <v>74300624</v>
          </cell>
        </row>
        <row r="5737">
          <cell r="L5737" t="str">
            <v>74301153</v>
          </cell>
        </row>
        <row r="5738">
          <cell r="L5738" t="str">
            <v>74301542</v>
          </cell>
        </row>
        <row r="5739">
          <cell r="L5739" t="str">
            <v>74301574</v>
          </cell>
        </row>
        <row r="5740">
          <cell r="L5740" t="str">
            <v>74301871</v>
          </cell>
        </row>
        <row r="5741">
          <cell r="L5741" t="str">
            <v>74303020</v>
          </cell>
        </row>
        <row r="5742">
          <cell r="L5742" t="str">
            <v>74303220</v>
          </cell>
        </row>
        <row r="5743">
          <cell r="L5743" t="str">
            <v>74303221</v>
          </cell>
        </row>
        <row r="5744">
          <cell r="L5744" t="str">
            <v>74304004</v>
          </cell>
        </row>
        <row r="5745">
          <cell r="L5745" t="str">
            <v>74306241</v>
          </cell>
        </row>
        <row r="5746">
          <cell r="L5746" t="str">
            <v>74306570</v>
          </cell>
        </row>
        <row r="5747">
          <cell r="L5747" t="str">
            <v>74307668</v>
          </cell>
        </row>
        <row r="5748">
          <cell r="L5748" t="str">
            <v>74311027</v>
          </cell>
        </row>
        <row r="5749">
          <cell r="L5749" t="str">
            <v>74311363</v>
          </cell>
        </row>
        <row r="5750">
          <cell r="L5750" t="str">
            <v>74311794</v>
          </cell>
        </row>
        <row r="5751">
          <cell r="L5751" t="str">
            <v>74312180</v>
          </cell>
        </row>
        <row r="5752">
          <cell r="L5752" t="str">
            <v>74312655</v>
          </cell>
        </row>
        <row r="5753">
          <cell r="L5753" t="str">
            <v>74315865</v>
          </cell>
        </row>
        <row r="5754">
          <cell r="L5754" t="str">
            <v>74316443</v>
          </cell>
        </row>
        <row r="5755">
          <cell r="L5755" t="str">
            <v>74316479</v>
          </cell>
        </row>
        <row r="5756">
          <cell r="L5756" t="str">
            <v>74317487</v>
          </cell>
        </row>
        <row r="5757">
          <cell r="L5757" t="str">
            <v>74318829</v>
          </cell>
        </row>
        <row r="5758">
          <cell r="L5758" t="str">
            <v>74319999</v>
          </cell>
        </row>
        <row r="5759">
          <cell r="L5759" t="str">
            <v>74322444</v>
          </cell>
        </row>
        <row r="5760">
          <cell r="L5760" t="str">
            <v>74300740</v>
          </cell>
        </row>
        <row r="5761">
          <cell r="L5761" t="str">
            <v>74134475</v>
          </cell>
        </row>
        <row r="5762">
          <cell r="L5762" t="str">
            <v>74203780</v>
          </cell>
        </row>
        <row r="5763">
          <cell r="L5763" t="str">
            <v>74214997</v>
          </cell>
        </row>
        <row r="5764">
          <cell r="L5764" t="str">
            <v>74233052</v>
          </cell>
        </row>
        <row r="5765">
          <cell r="L5765" t="str">
            <v>74235961</v>
          </cell>
        </row>
        <row r="5766">
          <cell r="L5766" t="str">
            <v>74241201</v>
          </cell>
        </row>
        <row r="5767">
          <cell r="L5767" t="str">
            <v>74245219</v>
          </cell>
        </row>
        <row r="5768">
          <cell r="L5768" t="str">
            <v>74247085</v>
          </cell>
        </row>
        <row r="5769">
          <cell r="L5769" t="str">
            <v>74255072</v>
          </cell>
        </row>
        <row r="5770">
          <cell r="L5770" t="str">
            <v>74262719</v>
          </cell>
        </row>
        <row r="5771">
          <cell r="L5771" t="str">
            <v>74274361</v>
          </cell>
        </row>
        <row r="5772">
          <cell r="L5772" t="str">
            <v>74275466</v>
          </cell>
        </row>
        <row r="5773">
          <cell r="L5773" t="str">
            <v>74289666</v>
          </cell>
        </row>
        <row r="5774">
          <cell r="L5774" t="str">
            <v>74114115</v>
          </cell>
        </row>
        <row r="5775">
          <cell r="L5775" t="str">
            <v>74120011</v>
          </cell>
        </row>
        <row r="5776">
          <cell r="L5776" t="str">
            <v>74157399</v>
          </cell>
        </row>
        <row r="5777">
          <cell r="L5777" t="str">
            <v>74192041</v>
          </cell>
        </row>
        <row r="5778">
          <cell r="L5778" t="str">
            <v>74203165</v>
          </cell>
        </row>
        <row r="5779">
          <cell r="L5779" t="str">
            <v>74206439</v>
          </cell>
        </row>
        <row r="5780">
          <cell r="L5780" t="str">
            <v>74221401</v>
          </cell>
        </row>
        <row r="5781">
          <cell r="L5781" t="str">
            <v>74225485</v>
          </cell>
        </row>
        <row r="5782">
          <cell r="L5782" t="str">
            <v>74281661</v>
          </cell>
        </row>
        <row r="5783">
          <cell r="L5783" t="str">
            <v>74000697</v>
          </cell>
        </row>
        <row r="5784">
          <cell r="L5784" t="str">
            <v>74203044</v>
          </cell>
        </row>
        <row r="5785">
          <cell r="L5785" t="str">
            <v>74218668</v>
          </cell>
        </row>
        <row r="5786">
          <cell r="L5786" t="str">
            <v>74112114</v>
          </cell>
        </row>
        <row r="5787">
          <cell r="L5787" t="str">
            <v>74132350</v>
          </cell>
        </row>
        <row r="5788">
          <cell r="L5788" t="str">
            <v>74142438</v>
          </cell>
        </row>
        <row r="5789">
          <cell r="L5789" t="str">
            <v>74213839</v>
          </cell>
        </row>
        <row r="5790">
          <cell r="L5790" t="str">
            <v>74235225</v>
          </cell>
        </row>
        <row r="5791">
          <cell r="L5791" t="str">
            <v>74245660</v>
          </cell>
        </row>
        <row r="5792">
          <cell r="L5792" t="str">
            <v>74264749</v>
          </cell>
        </row>
        <row r="5793">
          <cell r="L5793" t="str">
            <v>74266953</v>
          </cell>
        </row>
        <row r="5794">
          <cell r="L5794" t="str">
            <v>74276239</v>
          </cell>
        </row>
        <row r="5795">
          <cell r="L5795" t="str">
            <v>74279988</v>
          </cell>
        </row>
        <row r="5796">
          <cell r="L5796" t="str">
            <v>74288581</v>
          </cell>
        </row>
        <row r="5797">
          <cell r="L5797" t="str">
            <v>74291559</v>
          </cell>
        </row>
        <row r="5798">
          <cell r="L5798" t="str">
            <v>74292499</v>
          </cell>
        </row>
        <row r="5799">
          <cell r="L5799" t="str">
            <v>74294131</v>
          </cell>
        </row>
        <row r="5800">
          <cell r="L5800" t="str">
            <v>74294761</v>
          </cell>
        </row>
        <row r="5801">
          <cell r="L5801" t="str">
            <v>74296223</v>
          </cell>
        </row>
        <row r="5802">
          <cell r="L5802" t="str">
            <v>74297497</v>
          </cell>
        </row>
        <row r="5803">
          <cell r="L5803" t="str">
            <v>74299263</v>
          </cell>
        </row>
        <row r="5804">
          <cell r="L5804" t="str">
            <v>74300276</v>
          </cell>
        </row>
        <row r="5805">
          <cell r="L5805" t="str">
            <v>74300939</v>
          </cell>
        </row>
        <row r="5806">
          <cell r="L5806" t="str">
            <v>74301113</v>
          </cell>
        </row>
        <row r="5807">
          <cell r="L5807" t="str">
            <v>74303564</v>
          </cell>
        </row>
        <row r="5808">
          <cell r="L5808" t="str">
            <v>74304240</v>
          </cell>
        </row>
        <row r="5809">
          <cell r="L5809" t="str">
            <v>74307127</v>
          </cell>
        </row>
        <row r="5810">
          <cell r="L5810" t="str">
            <v>74308861</v>
          </cell>
        </row>
        <row r="5811">
          <cell r="L5811" t="str">
            <v>74309260</v>
          </cell>
        </row>
        <row r="5812">
          <cell r="L5812" t="str">
            <v>74310315</v>
          </cell>
        </row>
        <row r="5813">
          <cell r="L5813" t="str">
            <v>74311601</v>
          </cell>
        </row>
        <row r="5814">
          <cell r="L5814" t="str">
            <v>74314301</v>
          </cell>
        </row>
        <row r="5815">
          <cell r="L5815" t="str">
            <v>74319264</v>
          </cell>
        </row>
        <row r="5816">
          <cell r="L5816" t="str">
            <v>74251058</v>
          </cell>
        </row>
        <row r="5817">
          <cell r="L5817" t="str">
            <v>74274307</v>
          </cell>
        </row>
        <row r="5818">
          <cell r="L5818" t="str">
            <v>74288105</v>
          </cell>
        </row>
        <row r="5819">
          <cell r="L5819" t="str">
            <v>74289779</v>
          </cell>
        </row>
        <row r="5820">
          <cell r="L5820" t="str">
            <v>74310364</v>
          </cell>
        </row>
        <row r="5821">
          <cell r="L5821" t="str">
            <v>74256880</v>
          </cell>
        </row>
        <row r="5822">
          <cell r="L5822" t="str">
            <v>74194961</v>
          </cell>
        </row>
        <row r="5823">
          <cell r="L5823" t="str">
            <v>74270440</v>
          </cell>
        </row>
        <row r="5824">
          <cell r="L5824" t="str">
            <v>74273236</v>
          </cell>
        </row>
        <row r="5825">
          <cell r="L5825" t="str">
            <v>74283961</v>
          </cell>
        </row>
        <row r="5826">
          <cell r="L5826" t="str">
            <v>74287467</v>
          </cell>
        </row>
        <row r="5827">
          <cell r="L5827" t="str">
            <v>74288366</v>
          </cell>
        </row>
        <row r="5828">
          <cell r="L5828" t="str">
            <v>74288566</v>
          </cell>
        </row>
        <row r="5829">
          <cell r="L5829" t="str">
            <v>74289019</v>
          </cell>
        </row>
        <row r="5830">
          <cell r="L5830" t="str">
            <v>74289262</v>
          </cell>
        </row>
        <row r="5831">
          <cell r="L5831" t="str">
            <v>74292469</v>
          </cell>
        </row>
        <row r="5832">
          <cell r="L5832" t="str">
            <v>74294092</v>
          </cell>
        </row>
        <row r="5833">
          <cell r="L5833" t="str">
            <v>74297691</v>
          </cell>
        </row>
        <row r="5834">
          <cell r="L5834" t="str">
            <v>74298026</v>
          </cell>
        </row>
        <row r="5835">
          <cell r="L5835" t="str">
            <v>74090927</v>
          </cell>
        </row>
        <row r="5836">
          <cell r="L5836" t="str">
            <v>74123713</v>
          </cell>
        </row>
        <row r="5837">
          <cell r="L5837" t="str">
            <v>74167736</v>
          </cell>
        </row>
        <row r="5838">
          <cell r="L5838" t="str">
            <v>74209520</v>
          </cell>
        </row>
        <row r="5839">
          <cell r="L5839" t="str">
            <v>74227290</v>
          </cell>
        </row>
        <row r="5840">
          <cell r="L5840" t="str">
            <v>74232398</v>
          </cell>
        </row>
        <row r="5841">
          <cell r="L5841" t="str">
            <v>74242839</v>
          </cell>
        </row>
        <row r="5842">
          <cell r="L5842" t="str">
            <v>74246999</v>
          </cell>
        </row>
        <row r="5843">
          <cell r="L5843" t="str">
            <v>74254099</v>
          </cell>
        </row>
        <row r="5844">
          <cell r="L5844" t="str">
            <v>74262625</v>
          </cell>
        </row>
        <row r="5845">
          <cell r="L5845" t="str">
            <v>74265259</v>
          </cell>
        </row>
        <row r="5846">
          <cell r="L5846" t="str">
            <v>74276865</v>
          </cell>
        </row>
        <row r="5847">
          <cell r="L5847" t="str">
            <v>74279470</v>
          </cell>
        </row>
        <row r="5848">
          <cell r="L5848" t="str">
            <v>74280245</v>
          </cell>
        </row>
        <row r="5849">
          <cell r="L5849" t="str">
            <v>74286029</v>
          </cell>
        </row>
        <row r="5850">
          <cell r="L5850" t="str">
            <v>74286586</v>
          </cell>
        </row>
        <row r="5851">
          <cell r="L5851" t="str">
            <v>74290720</v>
          </cell>
        </row>
        <row r="5852">
          <cell r="L5852" t="str">
            <v>74293784</v>
          </cell>
        </row>
        <row r="5853">
          <cell r="L5853" t="str">
            <v>74294132</v>
          </cell>
        </row>
        <row r="5854">
          <cell r="L5854" t="str">
            <v>74294134</v>
          </cell>
        </row>
        <row r="5855">
          <cell r="L5855" t="str">
            <v>74294185</v>
          </cell>
        </row>
        <row r="5856">
          <cell r="L5856" t="str">
            <v>74295533</v>
          </cell>
        </row>
        <row r="5857">
          <cell r="L5857" t="str">
            <v>74298004</v>
          </cell>
        </row>
        <row r="5858">
          <cell r="L5858" t="str">
            <v>74299523</v>
          </cell>
        </row>
        <row r="5859">
          <cell r="L5859" t="str">
            <v>74300100</v>
          </cell>
        </row>
        <row r="5860">
          <cell r="L5860" t="str">
            <v>74300523</v>
          </cell>
        </row>
        <row r="5861">
          <cell r="L5861" t="str">
            <v>74303724</v>
          </cell>
        </row>
        <row r="5862">
          <cell r="L5862" t="str">
            <v>74304026</v>
          </cell>
        </row>
        <row r="5863">
          <cell r="L5863" t="str">
            <v>74304520</v>
          </cell>
        </row>
        <row r="5864">
          <cell r="L5864" t="str">
            <v>74304806</v>
          </cell>
        </row>
        <row r="5865">
          <cell r="L5865" t="str">
            <v>74310887</v>
          </cell>
        </row>
        <row r="5866">
          <cell r="L5866" t="str">
            <v>74311703</v>
          </cell>
        </row>
        <row r="5867">
          <cell r="L5867" t="str">
            <v>74315272</v>
          </cell>
        </row>
        <row r="5868">
          <cell r="L5868" t="str">
            <v>74318400</v>
          </cell>
        </row>
        <row r="5869">
          <cell r="L5869" t="str">
            <v>74321280</v>
          </cell>
        </row>
        <row r="5870">
          <cell r="L5870" t="str">
            <v>74083587</v>
          </cell>
        </row>
        <row r="5871">
          <cell r="L5871" t="str">
            <v>74144837</v>
          </cell>
        </row>
        <row r="5872">
          <cell r="L5872" t="str">
            <v>74144933</v>
          </cell>
        </row>
        <row r="5873">
          <cell r="L5873" t="str">
            <v>74237161</v>
          </cell>
        </row>
        <row r="5874">
          <cell r="L5874" t="str">
            <v>74262600</v>
          </cell>
        </row>
        <row r="5875">
          <cell r="L5875" t="str">
            <v>74267159</v>
          </cell>
        </row>
        <row r="5876">
          <cell r="L5876" t="str">
            <v>74271661</v>
          </cell>
        </row>
        <row r="5877">
          <cell r="L5877" t="str">
            <v>74272750</v>
          </cell>
        </row>
        <row r="5878">
          <cell r="L5878" t="str">
            <v>74275580</v>
          </cell>
        </row>
        <row r="5879">
          <cell r="L5879" t="str">
            <v>74279955</v>
          </cell>
        </row>
        <row r="5880">
          <cell r="L5880" t="str">
            <v>74289268</v>
          </cell>
        </row>
        <row r="5881">
          <cell r="L5881" t="str">
            <v>74293499</v>
          </cell>
        </row>
        <row r="5882">
          <cell r="L5882" t="str">
            <v>74295539</v>
          </cell>
        </row>
        <row r="5883">
          <cell r="L5883" t="str">
            <v>74301610</v>
          </cell>
        </row>
        <row r="5884">
          <cell r="L5884" t="str">
            <v>74321179</v>
          </cell>
        </row>
        <row r="5885">
          <cell r="L5885" t="str">
            <v>74321532</v>
          </cell>
        </row>
        <row r="5886">
          <cell r="L5886" t="str">
            <v>74321871</v>
          </cell>
        </row>
        <row r="5887">
          <cell r="L5887" t="str">
            <v>74294204</v>
          </cell>
        </row>
        <row r="5888">
          <cell r="L5888" t="str">
            <v>733354</v>
          </cell>
        </row>
        <row r="5889">
          <cell r="L5889" t="str">
            <v>74102275</v>
          </cell>
        </row>
        <row r="5890">
          <cell r="L5890" t="str">
            <v>74210919</v>
          </cell>
        </row>
        <row r="5891">
          <cell r="L5891" t="str">
            <v>74220364</v>
          </cell>
        </row>
        <row r="5892">
          <cell r="L5892" t="str">
            <v>74225960</v>
          </cell>
        </row>
        <row r="5893">
          <cell r="L5893" t="str">
            <v>74226640</v>
          </cell>
        </row>
        <row r="5894">
          <cell r="L5894" t="str">
            <v>74228665</v>
          </cell>
        </row>
        <row r="5895">
          <cell r="L5895" t="str">
            <v>74235239</v>
          </cell>
        </row>
        <row r="5896">
          <cell r="L5896" t="str">
            <v>74236820</v>
          </cell>
        </row>
        <row r="5897">
          <cell r="L5897" t="str">
            <v>74237446</v>
          </cell>
        </row>
        <row r="5898">
          <cell r="L5898" t="str">
            <v>74245460</v>
          </cell>
        </row>
        <row r="5899">
          <cell r="L5899" t="str">
            <v>74253708</v>
          </cell>
        </row>
        <row r="5900">
          <cell r="L5900" t="str">
            <v>74255440</v>
          </cell>
        </row>
        <row r="5901">
          <cell r="L5901" t="str">
            <v>74257964</v>
          </cell>
        </row>
        <row r="5902">
          <cell r="L5902" t="str">
            <v>74258901</v>
          </cell>
        </row>
        <row r="5903">
          <cell r="L5903" t="str">
            <v>74258903</v>
          </cell>
        </row>
        <row r="5904">
          <cell r="L5904" t="str">
            <v>74259521</v>
          </cell>
        </row>
        <row r="5905">
          <cell r="L5905" t="str">
            <v>74265639</v>
          </cell>
        </row>
        <row r="5906">
          <cell r="L5906" t="str">
            <v>74268919</v>
          </cell>
        </row>
        <row r="5907">
          <cell r="L5907" t="str">
            <v>74269282</v>
          </cell>
        </row>
        <row r="5908">
          <cell r="L5908" t="str">
            <v>74270462</v>
          </cell>
        </row>
        <row r="5909">
          <cell r="L5909" t="str">
            <v>74274671</v>
          </cell>
        </row>
        <row r="5910">
          <cell r="L5910" t="str">
            <v>74276373</v>
          </cell>
        </row>
        <row r="5911">
          <cell r="L5911" t="str">
            <v>74278583</v>
          </cell>
        </row>
        <row r="5912">
          <cell r="L5912" t="str">
            <v>74280481</v>
          </cell>
        </row>
        <row r="5913">
          <cell r="L5913" t="str">
            <v>74280482</v>
          </cell>
        </row>
        <row r="5914">
          <cell r="L5914" t="str">
            <v>74283482</v>
          </cell>
        </row>
        <row r="5915">
          <cell r="L5915" t="str">
            <v>74291403</v>
          </cell>
        </row>
        <row r="5916">
          <cell r="L5916" t="str">
            <v>74012405</v>
          </cell>
        </row>
        <row r="5917">
          <cell r="L5917" t="str">
            <v>74036693</v>
          </cell>
        </row>
        <row r="5918">
          <cell r="L5918" t="str">
            <v>74139849</v>
          </cell>
        </row>
        <row r="5919">
          <cell r="L5919" t="str">
            <v>74147381</v>
          </cell>
        </row>
        <row r="5920">
          <cell r="L5920" t="str">
            <v>74172692</v>
          </cell>
        </row>
        <row r="5921">
          <cell r="L5921" t="str">
            <v>74190334</v>
          </cell>
        </row>
        <row r="5922">
          <cell r="L5922" t="str">
            <v>74191530</v>
          </cell>
        </row>
        <row r="5923">
          <cell r="L5923" t="str">
            <v>74199567</v>
          </cell>
        </row>
        <row r="5924">
          <cell r="L5924" t="str">
            <v>74204965</v>
          </cell>
        </row>
        <row r="5925">
          <cell r="L5925" t="str">
            <v>74213319</v>
          </cell>
        </row>
        <row r="5926">
          <cell r="L5926" t="str">
            <v>74218680</v>
          </cell>
        </row>
        <row r="5927">
          <cell r="L5927" t="str">
            <v>74223379</v>
          </cell>
        </row>
        <row r="5928">
          <cell r="L5928" t="str">
            <v>74287380</v>
          </cell>
        </row>
        <row r="5929">
          <cell r="L5929" t="str">
            <v>74294083</v>
          </cell>
        </row>
        <row r="5930">
          <cell r="L5930" t="str">
            <v>74294821</v>
          </cell>
        </row>
        <row r="5931">
          <cell r="L5931" t="str">
            <v>74310669</v>
          </cell>
        </row>
        <row r="5932">
          <cell r="L5932" t="str">
            <v>74252970</v>
          </cell>
        </row>
        <row r="5933">
          <cell r="L5933" t="str">
            <v>74283644</v>
          </cell>
        </row>
        <row r="5934">
          <cell r="L5934" t="str">
            <v>74290566</v>
          </cell>
        </row>
        <row r="5935">
          <cell r="L5935" t="str">
            <v>74295640</v>
          </cell>
        </row>
        <row r="5936">
          <cell r="L5936" t="str">
            <v>74298904</v>
          </cell>
        </row>
        <row r="5937">
          <cell r="L5937" t="str">
            <v>74298969</v>
          </cell>
        </row>
        <row r="5938">
          <cell r="L5938" t="str">
            <v>74300722</v>
          </cell>
        </row>
        <row r="5939">
          <cell r="L5939" t="str">
            <v>74303319</v>
          </cell>
        </row>
        <row r="5940">
          <cell r="L5940" t="str">
            <v>74304003</v>
          </cell>
        </row>
        <row r="5941">
          <cell r="L5941" t="str">
            <v>74280520</v>
          </cell>
        </row>
        <row r="5942">
          <cell r="L5942" t="str">
            <v>74075363</v>
          </cell>
        </row>
        <row r="5943">
          <cell r="L5943" t="str">
            <v>74201468</v>
          </cell>
        </row>
        <row r="5944">
          <cell r="L5944" t="str">
            <v>74225261</v>
          </cell>
        </row>
        <row r="5945">
          <cell r="L5945" t="str">
            <v>74228262</v>
          </cell>
        </row>
        <row r="5946">
          <cell r="L5946" t="str">
            <v>74237468</v>
          </cell>
        </row>
        <row r="5947">
          <cell r="L5947" t="str">
            <v>74278986</v>
          </cell>
        </row>
        <row r="5948">
          <cell r="L5948" t="str">
            <v>74297480</v>
          </cell>
        </row>
        <row r="5949">
          <cell r="L5949" t="str">
            <v>74300745</v>
          </cell>
        </row>
        <row r="5950">
          <cell r="L5950" t="str">
            <v>74214783</v>
          </cell>
        </row>
        <row r="5951">
          <cell r="L5951" t="str">
            <v>74259759</v>
          </cell>
        </row>
        <row r="5952">
          <cell r="L5952" t="str">
            <v>74030310</v>
          </cell>
        </row>
        <row r="5953">
          <cell r="L5953" t="str">
            <v>74119844</v>
          </cell>
        </row>
        <row r="5954">
          <cell r="L5954" t="str">
            <v>74183392</v>
          </cell>
        </row>
        <row r="5955">
          <cell r="L5955" t="str">
            <v>74196227</v>
          </cell>
        </row>
        <row r="5956">
          <cell r="L5956" t="str">
            <v>74218342</v>
          </cell>
        </row>
        <row r="5957">
          <cell r="L5957" t="str">
            <v>74219509</v>
          </cell>
        </row>
        <row r="5958">
          <cell r="L5958" t="str">
            <v>74231080</v>
          </cell>
        </row>
        <row r="5959">
          <cell r="L5959" t="str">
            <v>74232042</v>
          </cell>
        </row>
        <row r="5960">
          <cell r="L5960" t="str">
            <v>74235244</v>
          </cell>
        </row>
        <row r="5961">
          <cell r="L5961" t="str">
            <v>74235245</v>
          </cell>
        </row>
        <row r="5962">
          <cell r="L5962" t="str">
            <v>74235819</v>
          </cell>
        </row>
        <row r="5963">
          <cell r="L5963" t="str">
            <v>74236362</v>
          </cell>
        </row>
        <row r="5964">
          <cell r="L5964" t="str">
            <v>74237939</v>
          </cell>
        </row>
        <row r="5965">
          <cell r="L5965" t="str">
            <v>74238542</v>
          </cell>
        </row>
        <row r="5966">
          <cell r="L5966" t="str">
            <v>74258363</v>
          </cell>
        </row>
        <row r="5967">
          <cell r="L5967" t="str">
            <v>74172376</v>
          </cell>
        </row>
        <row r="5968">
          <cell r="L5968" t="str">
            <v>74194701</v>
          </cell>
        </row>
        <row r="5969">
          <cell r="L5969" t="str">
            <v>74197522</v>
          </cell>
        </row>
        <row r="5970">
          <cell r="L5970" t="str">
            <v>74201428</v>
          </cell>
        </row>
        <row r="5971">
          <cell r="L5971" t="str">
            <v>74159781</v>
          </cell>
        </row>
        <row r="5972">
          <cell r="L5972" t="str">
            <v>74237448</v>
          </cell>
        </row>
        <row r="5973">
          <cell r="L5973" t="str">
            <v>74192513</v>
          </cell>
        </row>
        <row r="5974">
          <cell r="L5974" t="str">
            <v>74253499</v>
          </cell>
        </row>
        <row r="5975">
          <cell r="L5975" t="str">
            <v>74172200</v>
          </cell>
        </row>
        <row r="5976">
          <cell r="L5976" t="str">
            <v>74214084</v>
          </cell>
        </row>
        <row r="5977">
          <cell r="L5977" t="str">
            <v>74240061</v>
          </cell>
        </row>
        <row r="5978">
          <cell r="L5978" t="str">
            <v>74262979</v>
          </cell>
        </row>
        <row r="5979">
          <cell r="L5979" t="str">
            <v>74276199</v>
          </cell>
        </row>
        <row r="5980">
          <cell r="L5980" t="str">
            <v>74278661</v>
          </cell>
        </row>
        <row r="5981">
          <cell r="L5981" t="str">
            <v>74283161</v>
          </cell>
        </row>
        <row r="5982">
          <cell r="L5982" t="str">
            <v>74284746</v>
          </cell>
        </row>
        <row r="5983">
          <cell r="L5983" t="str">
            <v>74288652</v>
          </cell>
        </row>
        <row r="5984">
          <cell r="L5984" t="str">
            <v>74292961</v>
          </cell>
        </row>
        <row r="5985">
          <cell r="L5985" t="str">
            <v>74293583</v>
          </cell>
        </row>
        <row r="5986">
          <cell r="L5986" t="str">
            <v>74298165</v>
          </cell>
        </row>
        <row r="5987">
          <cell r="L5987" t="str">
            <v>74298294</v>
          </cell>
        </row>
        <row r="5988">
          <cell r="L5988" t="str">
            <v>74302721</v>
          </cell>
        </row>
        <row r="5989">
          <cell r="L5989" t="str">
            <v>74314389</v>
          </cell>
        </row>
        <row r="5990">
          <cell r="L5990" t="str">
            <v>74310172</v>
          </cell>
        </row>
        <row r="5991">
          <cell r="L5991" t="str">
            <v>74255026</v>
          </cell>
        </row>
        <row r="5992">
          <cell r="L5992" t="str">
            <v>74049004</v>
          </cell>
        </row>
        <row r="5993">
          <cell r="L5993" t="str">
            <v>74060987</v>
          </cell>
        </row>
        <row r="5994">
          <cell r="L5994" t="str">
            <v>74074622</v>
          </cell>
        </row>
        <row r="5995">
          <cell r="L5995" t="str">
            <v>74091003</v>
          </cell>
        </row>
        <row r="5996">
          <cell r="L5996" t="str">
            <v>74108906</v>
          </cell>
        </row>
        <row r="5997">
          <cell r="L5997" t="str">
            <v>74123068</v>
          </cell>
        </row>
        <row r="5998">
          <cell r="L5998" t="str">
            <v>74126592</v>
          </cell>
        </row>
        <row r="5999">
          <cell r="L5999" t="str">
            <v>74134497</v>
          </cell>
        </row>
        <row r="6000">
          <cell r="L6000" t="str">
            <v>74139069</v>
          </cell>
        </row>
        <row r="6001">
          <cell r="L6001" t="str">
            <v>74169153</v>
          </cell>
        </row>
        <row r="6002">
          <cell r="L6002" t="str">
            <v>74169947</v>
          </cell>
        </row>
        <row r="6003">
          <cell r="L6003" t="str">
            <v>74195159</v>
          </cell>
        </row>
        <row r="6004">
          <cell r="L6004" t="str">
            <v>74195606</v>
          </cell>
        </row>
        <row r="6005">
          <cell r="L6005" t="str">
            <v>74195608</v>
          </cell>
        </row>
        <row r="6006">
          <cell r="L6006" t="str">
            <v>74197804</v>
          </cell>
        </row>
        <row r="6007">
          <cell r="L6007" t="str">
            <v>74198102</v>
          </cell>
        </row>
        <row r="6008">
          <cell r="L6008" t="str">
            <v>74199420</v>
          </cell>
        </row>
        <row r="6009">
          <cell r="L6009" t="str">
            <v>74200759</v>
          </cell>
        </row>
        <row r="6010">
          <cell r="L6010" t="str">
            <v>74205240</v>
          </cell>
        </row>
        <row r="6011">
          <cell r="L6011" t="str">
            <v>74207253</v>
          </cell>
        </row>
        <row r="6012">
          <cell r="L6012" t="str">
            <v>74223667</v>
          </cell>
        </row>
        <row r="6013">
          <cell r="L6013" t="str">
            <v>74223702</v>
          </cell>
        </row>
        <row r="6014">
          <cell r="L6014" t="str">
            <v>74227560</v>
          </cell>
        </row>
        <row r="6015">
          <cell r="L6015" t="str">
            <v>74227561</v>
          </cell>
        </row>
        <row r="6016">
          <cell r="L6016" t="str">
            <v>74231385</v>
          </cell>
        </row>
        <row r="6017">
          <cell r="L6017" t="str">
            <v>74231579</v>
          </cell>
        </row>
        <row r="6018">
          <cell r="L6018" t="str">
            <v>74234527</v>
          </cell>
        </row>
        <row r="6019">
          <cell r="L6019" t="str">
            <v>74236180</v>
          </cell>
        </row>
        <row r="6020">
          <cell r="L6020" t="str">
            <v>74238605</v>
          </cell>
        </row>
        <row r="6021">
          <cell r="L6021" t="str">
            <v>74238803</v>
          </cell>
        </row>
        <row r="6022">
          <cell r="L6022" t="str">
            <v>74239564</v>
          </cell>
        </row>
        <row r="6023">
          <cell r="L6023" t="str">
            <v>74239720</v>
          </cell>
        </row>
        <row r="6024">
          <cell r="L6024" t="str">
            <v>74239739</v>
          </cell>
        </row>
        <row r="6025">
          <cell r="L6025" t="str">
            <v>74239740</v>
          </cell>
        </row>
        <row r="6026">
          <cell r="L6026" t="str">
            <v>74240860</v>
          </cell>
        </row>
        <row r="6027">
          <cell r="L6027" t="str">
            <v>74242101</v>
          </cell>
        </row>
        <row r="6028">
          <cell r="L6028" t="str">
            <v>74242340</v>
          </cell>
        </row>
        <row r="6029">
          <cell r="L6029" t="str">
            <v>74242360</v>
          </cell>
        </row>
        <row r="6030">
          <cell r="L6030" t="str">
            <v>74242362</v>
          </cell>
        </row>
        <row r="6031">
          <cell r="L6031" t="str">
            <v>74242363</v>
          </cell>
        </row>
        <row r="6032">
          <cell r="L6032" t="str">
            <v>74242500</v>
          </cell>
        </row>
        <row r="6033">
          <cell r="L6033" t="str">
            <v>74242502</v>
          </cell>
        </row>
        <row r="6034">
          <cell r="L6034" t="str">
            <v>74245540</v>
          </cell>
        </row>
        <row r="6035">
          <cell r="L6035" t="str">
            <v>74248224</v>
          </cell>
        </row>
        <row r="6036">
          <cell r="L6036" t="str">
            <v>74248919</v>
          </cell>
        </row>
        <row r="6037">
          <cell r="L6037" t="str">
            <v>74249340</v>
          </cell>
        </row>
        <row r="6038">
          <cell r="L6038" t="str">
            <v>74249341</v>
          </cell>
        </row>
        <row r="6039">
          <cell r="L6039" t="str">
            <v>74250500</v>
          </cell>
        </row>
        <row r="6040">
          <cell r="L6040" t="str">
            <v>74251349</v>
          </cell>
        </row>
        <row r="6041">
          <cell r="L6041" t="str">
            <v>74252759</v>
          </cell>
        </row>
        <row r="6042">
          <cell r="L6042" t="str">
            <v>74253521</v>
          </cell>
        </row>
        <row r="6043">
          <cell r="L6043" t="str">
            <v>74253525</v>
          </cell>
        </row>
        <row r="6044">
          <cell r="L6044" t="str">
            <v>74254223</v>
          </cell>
        </row>
        <row r="6045">
          <cell r="L6045" t="str">
            <v>74255882</v>
          </cell>
        </row>
        <row r="6046">
          <cell r="L6046" t="str">
            <v>74257822</v>
          </cell>
        </row>
        <row r="6047">
          <cell r="L6047" t="str">
            <v>74258526</v>
          </cell>
        </row>
        <row r="6048">
          <cell r="L6048" t="str">
            <v>74258663</v>
          </cell>
        </row>
        <row r="6049">
          <cell r="L6049" t="str">
            <v>74260279</v>
          </cell>
        </row>
        <row r="6050">
          <cell r="L6050" t="str">
            <v>74261259</v>
          </cell>
        </row>
        <row r="6051">
          <cell r="L6051" t="str">
            <v>74261880</v>
          </cell>
        </row>
        <row r="6052">
          <cell r="L6052" t="str">
            <v>74263445</v>
          </cell>
        </row>
        <row r="6053">
          <cell r="L6053" t="str">
            <v>74265503</v>
          </cell>
        </row>
        <row r="6054">
          <cell r="L6054" t="str">
            <v>74265504</v>
          </cell>
        </row>
        <row r="6055">
          <cell r="L6055" t="str">
            <v>74265539</v>
          </cell>
        </row>
        <row r="6056">
          <cell r="L6056" t="str">
            <v>74265902</v>
          </cell>
        </row>
        <row r="6057">
          <cell r="L6057" t="str">
            <v>74266487</v>
          </cell>
        </row>
        <row r="6058">
          <cell r="L6058" t="str">
            <v>74267820</v>
          </cell>
        </row>
        <row r="6059">
          <cell r="L6059" t="str">
            <v>74274359</v>
          </cell>
        </row>
        <row r="6060">
          <cell r="L6060" t="str">
            <v>74275482</v>
          </cell>
        </row>
        <row r="6061">
          <cell r="L6061" t="str">
            <v>74276182</v>
          </cell>
        </row>
        <row r="6062">
          <cell r="L6062" t="str">
            <v>74276783</v>
          </cell>
        </row>
        <row r="6063">
          <cell r="L6063" t="str">
            <v>74276785</v>
          </cell>
        </row>
        <row r="6064">
          <cell r="L6064" t="str">
            <v>74278420</v>
          </cell>
        </row>
        <row r="6065">
          <cell r="L6065" t="str">
            <v>74279563</v>
          </cell>
        </row>
        <row r="6066">
          <cell r="L6066" t="str">
            <v>74280429</v>
          </cell>
        </row>
        <row r="6067">
          <cell r="L6067" t="str">
            <v>74281042</v>
          </cell>
        </row>
        <row r="6068">
          <cell r="L6068" t="str">
            <v>74281147</v>
          </cell>
        </row>
        <row r="6069">
          <cell r="L6069" t="str">
            <v>74281179</v>
          </cell>
        </row>
        <row r="6070">
          <cell r="L6070" t="str">
            <v>74281639</v>
          </cell>
        </row>
        <row r="6071">
          <cell r="L6071" t="str">
            <v>74282669</v>
          </cell>
        </row>
        <row r="6072">
          <cell r="L6072" t="str">
            <v>74283242</v>
          </cell>
        </row>
        <row r="6073">
          <cell r="L6073" t="str">
            <v>74288140</v>
          </cell>
        </row>
        <row r="6074">
          <cell r="L6074" t="str">
            <v>74288209</v>
          </cell>
        </row>
        <row r="6075">
          <cell r="L6075" t="str">
            <v>74288261</v>
          </cell>
        </row>
        <row r="6076">
          <cell r="L6076" t="str">
            <v>74288301</v>
          </cell>
        </row>
        <row r="6077">
          <cell r="L6077" t="str">
            <v>74290163</v>
          </cell>
        </row>
        <row r="6078">
          <cell r="L6078" t="str">
            <v>74291139</v>
          </cell>
        </row>
        <row r="6079">
          <cell r="L6079" t="str">
            <v>74291780</v>
          </cell>
        </row>
        <row r="6080">
          <cell r="L6080" t="str">
            <v>74293079</v>
          </cell>
        </row>
        <row r="6081">
          <cell r="L6081" t="str">
            <v>74293559</v>
          </cell>
        </row>
        <row r="6082">
          <cell r="L6082" t="str">
            <v>74294221</v>
          </cell>
        </row>
        <row r="6083">
          <cell r="L6083" t="str">
            <v>74294823</v>
          </cell>
        </row>
        <row r="6084">
          <cell r="L6084" t="str">
            <v>74295682</v>
          </cell>
        </row>
        <row r="6085">
          <cell r="L6085" t="str">
            <v>74295822</v>
          </cell>
        </row>
        <row r="6086">
          <cell r="L6086" t="str">
            <v>74297189</v>
          </cell>
        </row>
        <row r="6087">
          <cell r="L6087" t="str">
            <v>74297279</v>
          </cell>
        </row>
        <row r="6088">
          <cell r="L6088" t="str">
            <v>74297739</v>
          </cell>
        </row>
        <row r="6089">
          <cell r="L6089" t="str">
            <v>74301823</v>
          </cell>
        </row>
        <row r="6090">
          <cell r="L6090" t="str">
            <v>74303700</v>
          </cell>
        </row>
        <row r="6091">
          <cell r="L6091" t="str">
            <v>74304310</v>
          </cell>
        </row>
        <row r="6092">
          <cell r="L6092" t="str">
            <v>74305361</v>
          </cell>
        </row>
        <row r="6093">
          <cell r="L6093" t="str">
            <v>74306645</v>
          </cell>
        </row>
        <row r="6094">
          <cell r="L6094" t="str">
            <v>74309223</v>
          </cell>
        </row>
        <row r="6095">
          <cell r="L6095" t="str">
            <v>74313059</v>
          </cell>
        </row>
        <row r="6096">
          <cell r="L6096" t="str">
            <v>74314879</v>
          </cell>
        </row>
        <row r="6097">
          <cell r="L6097" t="str">
            <v>74080876</v>
          </cell>
        </row>
        <row r="6098">
          <cell r="L6098" t="str">
            <v>74091676</v>
          </cell>
        </row>
        <row r="6099">
          <cell r="L6099" t="str">
            <v>74091687</v>
          </cell>
        </row>
        <row r="6100">
          <cell r="L6100" t="str">
            <v>74091689</v>
          </cell>
        </row>
        <row r="6101">
          <cell r="L6101" t="str">
            <v>74097633</v>
          </cell>
        </row>
        <row r="6102">
          <cell r="L6102" t="str">
            <v>74097738</v>
          </cell>
        </row>
        <row r="6103">
          <cell r="L6103" t="str">
            <v>74097827</v>
          </cell>
        </row>
        <row r="6104">
          <cell r="L6104" t="str">
            <v>74103251</v>
          </cell>
        </row>
        <row r="6105">
          <cell r="L6105" t="str">
            <v>74113170</v>
          </cell>
        </row>
        <row r="6106">
          <cell r="L6106" t="str">
            <v>74116175</v>
          </cell>
        </row>
        <row r="6107">
          <cell r="L6107" t="str">
            <v>74125429</v>
          </cell>
        </row>
        <row r="6108">
          <cell r="L6108" t="str">
            <v>74125890</v>
          </cell>
        </row>
        <row r="6109">
          <cell r="L6109" t="str">
            <v>74131816</v>
          </cell>
        </row>
        <row r="6110">
          <cell r="L6110" t="str">
            <v>74134535</v>
          </cell>
        </row>
        <row r="6111">
          <cell r="L6111" t="str">
            <v>74138049</v>
          </cell>
        </row>
        <row r="6112">
          <cell r="L6112" t="str">
            <v>74139664</v>
          </cell>
        </row>
        <row r="6113">
          <cell r="L6113" t="str">
            <v>74139695</v>
          </cell>
        </row>
        <row r="6114">
          <cell r="L6114" t="str">
            <v>74143887</v>
          </cell>
        </row>
        <row r="6115">
          <cell r="L6115" t="str">
            <v>74143928</v>
          </cell>
        </row>
        <row r="6116">
          <cell r="L6116" t="str">
            <v>74144068</v>
          </cell>
        </row>
        <row r="6117">
          <cell r="L6117" t="str">
            <v>74144270</v>
          </cell>
        </row>
        <row r="6118">
          <cell r="L6118" t="str">
            <v>74145969</v>
          </cell>
        </row>
        <row r="6119">
          <cell r="L6119" t="str">
            <v>74146909</v>
          </cell>
        </row>
        <row r="6120">
          <cell r="L6120" t="str">
            <v>74149050</v>
          </cell>
        </row>
        <row r="6121">
          <cell r="L6121" t="str">
            <v>74149789</v>
          </cell>
        </row>
        <row r="6122">
          <cell r="L6122" t="str">
            <v>74149848</v>
          </cell>
        </row>
        <row r="6123">
          <cell r="L6123" t="str">
            <v>74152137</v>
          </cell>
        </row>
        <row r="6124">
          <cell r="L6124" t="str">
            <v>74155949</v>
          </cell>
        </row>
        <row r="6125">
          <cell r="L6125" t="str">
            <v>74156034</v>
          </cell>
        </row>
        <row r="6126">
          <cell r="L6126" t="str">
            <v>74156038</v>
          </cell>
        </row>
        <row r="6127">
          <cell r="L6127" t="str">
            <v>74159131</v>
          </cell>
        </row>
        <row r="6128">
          <cell r="L6128" t="str">
            <v>74159143</v>
          </cell>
        </row>
        <row r="6129">
          <cell r="L6129" t="str">
            <v>74159814</v>
          </cell>
        </row>
        <row r="6130">
          <cell r="L6130" t="str">
            <v>74160429</v>
          </cell>
        </row>
        <row r="6131">
          <cell r="L6131" t="str">
            <v>74163392</v>
          </cell>
        </row>
        <row r="6132">
          <cell r="L6132" t="str">
            <v>74171284</v>
          </cell>
        </row>
        <row r="6133">
          <cell r="L6133" t="str">
            <v>74171556</v>
          </cell>
        </row>
        <row r="6134">
          <cell r="L6134" t="str">
            <v>74171790</v>
          </cell>
        </row>
        <row r="6135">
          <cell r="L6135" t="str">
            <v>74172231</v>
          </cell>
        </row>
        <row r="6136">
          <cell r="L6136" t="str">
            <v>74172248</v>
          </cell>
        </row>
        <row r="6137">
          <cell r="L6137" t="str">
            <v>74172529</v>
          </cell>
        </row>
        <row r="6138">
          <cell r="L6138" t="str">
            <v>74175009</v>
          </cell>
        </row>
        <row r="6139">
          <cell r="L6139" t="str">
            <v>74175953</v>
          </cell>
        </row>
        <row r="6140">
          <cell r="L6140" t="str">
            <v>74177375</v>
          </cell>
        </row>
        <row r="6141">
          <cell r="L6141" t="str">
            <v>74177569</v>
          </cell>
        </row>
        <row r="6142">
          <cell r="L6142" t="str">
            <v>74177665</v>
          </cell>
        </row>
        <row r="6143">
          <cell r="L6143" t="str">
            <v>74179908</v>
          </cell>
        </row>
        <row r="6144">
          <cell r="L6144" t="str">
            <v>74180830</v>
          </cell>
        </row>
        <row r="6145">
          <cell r="L6145" t="str">
            <v>74180832</v>
          </cell>
        </row>
        <row r="6146">
          <cell r="L6146" t="str">
            <v>74183572</v>
          </cell>
        </row>
        <row r="6147">
          <cell r="L6147" t="str">
            <v>74183709</v>
          </cell>
        </row>
        <row r="6148">
          <cell r="L6148" t="str">
            <v>74183890</v>
          </cell>
        </row>
        <row r="6149">
          <cell r="L6149" t="str">
            <v>74184779</v>
          </cell>
        </row>
        <row r="6150">
          <cell r="L6150" t="str">
            <v>74185273</v>
          </cell>
        </row>
        <row r="6151">
          <cell r="L6151" t="str">
            <v>74188191</v>
          </cell>
        </row>
        <row r="6152">
          <cell r="L6152" t="str">
            <v>74188974</v>
          </cell>
        </row>
        <row r="6153">
          <cell r="L6153" t="str">
            <v>74188977</v>
          </cell>
        </row>
        <row r="6154">
          <cell r="L6154" t="str">
            <v>74189138</v>
          </cell>
        </row>
        <row r="6155">
          <cell r="L6155" t="str">
            <v>74189449</v>
          </cell>
        </row>
        <row r="6156">
          <cell r="L6156" t="str">
            <v>74190190</v>
          </cell>
        </row>
        <row r="6157">
          <cell r="L6157" t="str">
            <v>74190329</v>
          </cell>
        </row>
        <row r="6158">
          <cell r="L6158" t="str">
            <v>74192188</v>
          </cell>
        </row>
        <row r="6159">
          <cell r="L6159" t="str">
            <v>74193098</v>
          </cell>
        </row>
        <row r="6160">
          <cell r="L6160" t="str">
            <v>74193800</v>
          </cell>
        </row>
        <row r="6161">
          <cell r="L6161" t="str">
            <v>74194755</v>
          </cell>
        </row>
        <row r="6162">
          <cell r="L6162" t="str">
            <v>74194779</v>
          </cell>
        </row>
        <row r="6163">
          <cell r="L6163" t="str">
            <v>74194879</v>
          </cell>
        </row>
        <row r="6164">
          <cell r="L6164" t="str">
            <v>74195439</v>
          </cell>
        </row>
        <row r="6165">
          <cell r="L6165" t="str">
            <v>74197021</v>
          </cell>
        </row>
        <row r="6166">
          <cell r="L6166" t="str">
            <v>74197793</v>
          </cell>
        </row>
        <row r="6167">
          <cell r="L6167" t="str">
            <v>74197802</v>
          </cell>
        </row>
        <row r="6168">
          <cell r="L6168" t="str">
            <v>74198479</v>
          </cell>
        </row>
        <row r="6169">
          <cell r="L6169" t="str">
            <v>74198480</v>
          </cell>
        </row>
        <row r="6170">
          <cell r="L6170" t="str">
            <v>74198901</v>
          </cell>
        </row>
        <row r="6171">
          <cell r="L6171" t="str">
            <v>74199424</v>
          </cell>
        </row>
        <row r="6172">
          <cell r="L6172" t="str">
            <v>74200120</v>
          </cell>
        </row>
        <row r="6173">
          <cell r="L6173" t="str">
            <v>74201040</v>
          </cell>
        </row>
        <row r="6174">
          <cell r="L6174" t="str">
            <v>74202200</v>
          </cell>
        </row>
        <row r="6175">
          <cell r="L6175" t="str">
            <v>74202202</v>
          </cell>
        </row>
        <row r="6176">
          <cell r="L6176" t="str">
            <v>74202343</v>
          </cell>
        </row>
        <row r="6177">
          <cell r="L6177" t="str">
            <v>74204600</v>
          </cell>
        </row>
        <row r="6178">
          <cell r="L6178" t="str">
            <v>74205239</v>
          </cell>
        </row>
        <row r="6179">
          <cell r="L6179" t="str">
            <v>74206500</v>
          </cell>
        </row>
        <row r="6180">
          <cell r="L6180" t="str">
            <v>74208365</v>
          </cell>
        </row>
        <row r="6181">
          <cell r="L6181" t="str">
            <v>74208430</v>
          </cell>
        </row>
        <row r="6182">
          <cell r="L6182" t="str">
            <v>74210067</v>
          </cell>
        </row>
        <row r="6183">
          <cell r="L6183" t="str">
            <v>74213200</v>
          </cell>
        </row>
        <row r="6184">
          <cell r="L6184" t="str">
            <v>74213691</v>
          </cell>
        </row>
        <row r="6185">
          <cell r="L6185" t="str">
            <v>74214683</v>
          </cell>
        </row>
        <row r="6186">
          <cell r="L6186" t="str">
            <v>74214780</v>
          </cell>
        </row>
        <row r="6187">
          <cell r="L6187" t="str">
            <v>74216392</v>
          </cell>
        </row>
        <row r="6188">
          <cell r="L6188" t="str">
            <v>74217167</v>
          </cell>
        </row>
        <row r="6189">
          <cell r="L6189" t="str">
            <v>74218939</v>
          </cell>
        </row>
        <row r="6190">
          <cell r="L6190" t="str">
            <v>74224599</v>
          </cell>
        </row>
        <row r="6191">
          <cell r="L6191" t="str">
            <v>74226859</v>
          </cell>
        </row>
        <row r="6192">
          <cell r="L6192" t="str">
            <v>74229639</v>
          </cell>
        </row>
        <row r="6193">
          <cell r="L6193" t="str">
            <v>74229641</v>
          </cell>
        </row>
        <row r="6194">
          <cell r="L6194" t="str">
            <v>74230900</v>
          </cell>
        </row>
        <row r="6195">
          <cell r="L6195" t="str">
            <v>74230901</v>
          </cell>
        </row>
        <row r="6196">
          <cell r="L6196" t="str">
            <v>74234419</v>
          </cell>
        </row>
        <row r="6197">
          <cell r="L6197" t="str">
            <v>74235060</v>
          </cell>
        </row>
        <row r="6198">
          <cell r="L6198" t="str">
            <v>74235840</v>
          </cell>
        </row>
        <row r="6199">
          <cell r="L6199" t="str">
            <v>74238224</v>
          </cell>
        </row>
        <row r="6200">
          <cell r="L6200" t="str">
            <v>74238225</v>
          </cell>
        </row>
        <row r="6201">
          <cell r="L6201" t="str">
            <v>74242221</v>
          </cell>
        </row>
        <row r="6202">
          <cell r="L6202" t="str">
            <v>74242319</v>
          </cell>
        </row>
        <row r="6203">
          <cell r="L6203" t="str">
            <v>74244019</v>
          </cell>
        </row>
        <row r="6204">
          <cell r="L6204" t="str">
            <v>74244039</v>
          </cell>
        </row>
        <row r="6205">
          <cell r="L6205" t="str">
            <v>74244763</v>
          </cell>
        </row>
        <row r="6206">
          <cell r="L6206" t="str">
            <v>74248922</v>
          </cell>
        </row>
        <row r="6207">
          <cell r="L6207" t="str">
            <v>74252627</v>
          </cell>
        </row>
        <row r="6208">
          <cell r="L6208" t="str">
            <v>74253261</v>
          </cell>
        </row>
        <row r="6209">
          <cell r="L6209" t="str">
            <v>74261420</v>
          </cell>
        </row>
        <row r="6210">
          <cell r="L6210" t="str">
            <v>74261540</v>
          </cell>
        </row>
        <row r="6211">
          <cell r="L6211" t="str">
            <v>74261960</v>
          </cell>
        </row>
        <row r="6212">
          <cell r="L6212" t="str">
            <v>74266720</v>
          </cell>
        </row>
        <row r="6213">
          <cell r="L6213" t="str">
            <v>74270861</v>
          </cell>
        </row>
        <row r="6214">
          <cell r="L6214" t="str">
            <v>74286239</v>
          </cell>
        </row>
        <row r="6215">
          <cell r="L6215" t="str">
            <v>74286439</v>
          </cell>
        </row>
        <row r="6216">
          <cell r="L6216" t="str">
            <v>74289760</v>
          </cell>
        </row>
        <row r="6217">
          <cell r="L6217" t="str">
            <v>74294082</v>
          </cell>
        </row>
        <row r="6218">
          <cell r="L6218" t="str">
            <v>74294154</v>
          </cell>
        </row>
        <row r="6219">
          <cell r="L6219" t="str">
            <v>74294156</v>
          </cell>
        </row>
        <row r="6220">
          <cell r="L6220" t="str">
            <v>74296399</v>
          </cell>
        </row>
        <row r="6221">
          <cell r="L6221" t="str">
            <v>74297639</v>
          </cell>
        </row>
        <row r="6222">
          <cell r="L6222" t="str">
            <v>74299307</v>
          </cell>
        </row>
        <row r="6223">
          <cell r="L6223" t="str">
            <v>74301319</v>
          </cell>
        </row>
        <row r="6224">
          <cell r="L6224" t="str">
            <v>74265219</v>
          </cell>
        </row>
        <row r="6225">
          <cell r="L6225" t="str">
            <v>74142711</v>
          </cell>
        </row>
        <row r="6226">
          <cell r="L6226" t="str">
            <v>74144117</v>
          </cell>
        </row>
        <row r="6227">
          <cell r="L6227" t="str">
            <v>74177634</v>
          </cell>
        </row>
        <row r="6228">
          <cell r="L6228" t="str">
            <v>74180831</v>
          </cell>
        </row>
        <row r="6229">
          <cell r="L6229" t="str">
            <v>74183889</v>
          </cell>
        </row>
        <row r="6230">
          <cell r="L6230" t="str">
            <v>74185908</v>
          </cell>
        </row>
        <row r="6231">
          <cell r="L6231" t="str">
            <v>74186878</v>
          </cell>
        </row>
        <row r="6232">
          <cell r="L6232" t="str">
            <v>74221363</v>
          </cell>
        </row>
        <row r="6233">
          <cell r="L6233" t="str">
            <v>74228582</v>
          </cell>
        </row>
        <row r="6234">
          <cell r="L6234" t="str">
            <v>74230899</v>
          </cell>
        </row>
        <row r="6235">
          <cell r="L6235" t="str">
            <v>74235080</v>
          </cell>
        </row>
        <row r="6236">
          <cell r="L6236" t="str">
            <v>74236133</v>
          </cell>
        </row>
        <row r="6237">
          <cell r="L6237" t="str">
            <v>74239006</v>
          </cell>
        </row>
        <row r="6238">
          <cell r="L6238" t="str">
            <v>74239007</v>
          </cell>
        </row>
        <row r="6239">
          <cell r="L6239" t="str">
            <v>74239009</v>
          </cell>
        </row>
        <row r="6240">
          <cell r="L6240" t="str">
            <v>74240120</v>
          </cell>
        </row>
        <row r="6241">
          <cell r="L6241" t="str">
            <v>74241121</v>
          </cell>
        </row>
        <row r="6242">
          <cell r="L6242" t="str">
            <v>74241480</v>
          </cell>
        </row>
        <row r="6243">
          <cell r="L6243" t="str">
            <v>74242339</v>
          </cell>
        </row>
        <row r="6244">
          <cell r="L6244" t="str">
            <v>74244824</v>
          </cell>
        </row>
        <row r="6245">
          <cell r="L6245" t="str">
            <v>74248939</v>
          </cell>
        </row>
        <row r="6246">
          <cell r="L6246" t="str">
            <v>74249740</v>
          </cell>
        </row>
        <row r="6247">
          <cell r="L6247" t="str">
            <v>74252120</v>
          </cell>
        </row>
        <row r="6248">
          <cell r="L6248" t="str">
            <v>74252179</v>
          </cell>
        </row>
        <row r="6249">
          <cell r="L6249" t="str">
            <v>74252628</v>
          </cell>
        </row>
        <row r="6250">
          <cell r="L6250" t="str">
            <v>74252629</v>
          </cell>
        </row>
        <row r="6251">
          <cell r="L6251" t="str">
            <v>74252642</v>
          </cell>
        </row>
        <row r="6252">
          <cell r="L6252" t="str">
            <v>74253611</v>
          </cell>
        </row>
        <row r="6253">
          <cell r="L6253" t="str">
            <v>74253667</v>
          </cell>
        </row>
        <row r="6254">
          <cell r="L6254" t="str">
            <v>74253701</v>
          </cell>
        </row>
        <row r="6255">
          <cell r="L6255" t="str">
            <v>74253704</v>
          </cell>
        </row>
        <row r="6256">
          <cell r="L6256" t="str">
            <v>74253964</v>
          </cell>
        </row>
        <row r="6257">
          <cell r="L6257" t="str">
            <v>74253965</v>
          </cell>
        </row>
        <row r="6258">
          <cell r="L6258" t="str">
            <v>74255880</v>
          </cell>
        </row>
        <row r="6259">
          <cell r="L6259" t="str">
            <v>74257283</v>
          </cell>
        </row>
        <row r="6260">
          <cell r="L6260" t="str">
            <v>74257284</v>
          </cell>
        </row>
        <row r="6261">
          <cell r="L6261" t="str">
            <v>74258662</v>
          </cell>
        </row>
        <row r="6262">
          <cell r="L6262" t="str">
            <v>74261840</v>
          </cell>
        </row>
        <row r="6263">
          <cell r="L6263" t="str">
            <v>74261899</v>
          </cell>
        </row>
        <row r="6264">
          <cell r="L6264" t="str">
            <v>74261961</v>
          </cell>
        </row>
        <row r="6265">
          <cell r="L6265" t="str">
            <v>74265081</v>
          </cell>
        </row>
        <row r="6266">
          <cell r="L6266" t="str">
            <v>74265500</v>
          </cell>
        </row>
        <row r="6267">
          <cell r="L6267" t="str">
            <v>74265501</v>
          </cell>
        </row>
        <row r="6268">
          <cell r="L6268" t="str">
            <v>74265881</v>
          </cell>
        </row>
        <row r="6269">
          <cell r="L6269" t="str">
            <v>74266160</v>
          </cell>
        </row>
        <row r="6270">
          <cell r="L6270" t="str">
            <v>74266519</v>
          </cell>
        </row>
        <row r="6271">
          <cell r="L6271" t="str">
            <v>74266779</v>
          </cell>
        </row>
        <row r="6272">
          <cell r="L6272" t="str">
            <v>74267821</v>
          </cell>
        </row>
        <row r="6273">
          <cell r="L6273" t="str">
            <v>74267822</v>
          </cell>
        </row>
        <row r="6274">
          <cell r="L6274" t="str">
            <v>74268259</v>
          </cell>
        </row>
        <row r="6275">
          <cell r="L6275" t="str">
            <v>74268380</v>
          </cell>
        </row>
        <row r="6276">
          <cell r="L6276" t="str">
            <v>74269202</v>
          </cell>
        </row>
        <row r="6277">
          <cell r="L6277" t="str">
            <v>74273567</v>
          </cell>
        </row>
        <row r="6278">
          <cell r="L6278" t="str">
            <v>74274360</v>
          </cell>
        </row>
        <row r="6279">
          <cell r="L6279" t="str">
            <v>74275474</v>
          </cell>
        </row>
        <row r="6280">
          <cell r="L6280" t="str">
            <v>74275483</v>
          </cell>
        </row>
        <row r="6281">
          <cell r="L6281" t="str">
            <v>74276784</v>
          </cell>
        </row>
        <row r="6282">
          <cell r="L6282" t="str">
            <v>74276840</v>
          </cell>
        </row>
        <row r="6283">
          <cell r="L6283" t="str">
            <v>74276850</v>
          </cell>
        </row>
        <row r="6284">
          <cell r="L6284" t="str">
            <v>74276939</v>
          </cell>
        </row>
        <row r="6285">
          <cell r="L6285" t="str">
            <v>74277964</v>
          </cell>
        </row>
        <row r="6286">
          <cell r="L6286" t="str">
            <v>74280107</v>
          </cell>
        </row>
        <row r="6287">
          <cell r="L6287" t="str">
            <v>74280599</v>
          </cell>
        </row>
        <row r="6288">
          <cell r="L6288" t="str">
            <v>74280879</v>
          </cell>
        </row>
        <row r="6289">
          <cell r="L6289" t="str">
            <v>74281039</v>
          </cell>
        </row>
        <row r="6290">
          <cell r="L6290" t="str">
            <v>74281043</v>
          </cell>
        </row>
        <row r="6291">
          <cell r="L6291" t="str">
            <v>74281539</v>
          </cell>
        </row>
        <row r="6292">
          <cell r="L6292" t="str">
            <v>74281566</v>
          </cell>
        </row>
        <row r="6293">
          <cell r="L6293" t="str">
            <v>74281620</v>
          </cell>
        </row>
        <row r="6294">
          <cell r="L6294" t="str">
            <v>74282820</v>
          </cell>
        </row>
        <row r="6295">
          <cell r="L6295" t="str">
            <v>74283081</v>
          </cell>
        </row>
        <row r="6296">
          <cell r="L6296" t="str">
            <v>74285379</v>
          </cell>
        </row>
        <row r="6297">
          <cell r="L6297" t="str">
            <v>74285380</v>
          </cell>
        </row>
        <row r="6298">
          <cell r="L6298" t="str">
            <v>74285480</v>
          </cell>
        </row>
        <row r="6299">
          <cell r="L6299" t="str">
            <v>74287260</v>
          </cell>
        </row>
        <row r="6300">
          <cell r="L6300" t="str">
            <v>74287636</v>
          </cell>
        </row>
        <row r="6301">
          <cell r="L6301" t="str">
            <v>74288143</v>
          </cell>
        </row>
        <row r="6302">
          <cell r="L6302" t="str">
            <v>74288659</v>
          </cell>
        </row>
        <row r="6303">
          <cell r="L6303" t="str">
            <v>74288662</v>
          </cell>
        </row>
        <row r="6304">
          <cell r="L6304" t="str">
            <v>74288703</v>
          </cell>
        </row>
        <row r="6305">
          <cell r="L6305" t="str">
            <v>74291759</v>
          </cell>
        </row>
        <row r="6306">
          <cell r="L6306" t="str">
            <v>74292361</v>
          </cell>
        </row>
        <row r="6307">
          <cell r="L6307" t="str">
            <v>74293099</v>
          </cell>
        </row>
        <row r="6308">
          <cell r="L6308" t="str">
            <v>74293560</v>
          </cell>
        </row>
        <row r="6309">
          <cell r="L6309" t="str">
            <v>74296700</v>
          </cell>
        </row>
        <row r="6310">
          <cell r="L6310" t="str">
            <v>74299308</v>
          </cell>
        </row>
        <row r="6311">
          <cell r="L6311" t="str">
            <v>74312861</v>
          </cell>
        </row>
        <row r="6312">
          <cell r="L6312" t="str">
            <v>74116878</v>
          </cell>
        </row>
        <row r="6313">
          <cell r="L6313" t="str">
            <v>74159469</v>
          </cell>
        </row>
        <row r="6314">
          <cell r="L6314" t="str">
            <v>74181548</v>
          </cell>
        </row>
        <row r="6315">
          <cell r="L6315" t="str">
            <v>74188869</v>
          </cell>
        </row>
        <row r="6316">
          <cell r="L6316" t="str">
            <v>74200159</v>
          </cell>
        </row>
        <row r="6317">
          <cell r="L6317" t="str">
            <v>74213781</v>
          </cell>
        </row>
        <row r="6318">
          <cell r="L6318" t="str">
            <v>74215103</v>
          </cell>
        </row>
        <row r="6319">
          <cell r="L6319" t="str">
            <v>74220362</v>
          </cell>
        </row>
        <row r="6320">
          <cell r="L6320" t="str">
            <v>74225081</v>
          </cell>
        </row>
        <row r="6321">
          <cell r="L6321" t="str">
            <v>74227085</v>
          </cell>
        </row>
        <row r="6322">
          <cell r="L6322" t="str">
            <v>74230001</v>
          </cell>
        </row>
        <row r="6323">
          <cell r="L6323" t="str">
            <v>74230639</v>
          </cell>
        </row>
        <row r="6324">
          <cell r="L6324" t="str">
            <v>74231286</v>
          </cell>
        </row>
        <row r="6325">
          <cell r="L6325" t="str">
            <v>74231339</v>
          </cell>
        </row>
        <row r="6326">
          <cell r="L6326" t="str">
            <v>74235183</v>
          </cell>
        </row>
        <row r="6327">
          <cell r="L6327" t="str">
            <v>74235581</v>
          </cell>
        </row>
        <row r="6328">
          <cell r="L6328" t="str">
            <v>74235661</v>
          </cell>
        </row>
        <row r="6329">
          <cell r="L6329" t="str">
            <v>74235687</v>
          </cell>
        </row>
        <row r="6330">
          <cell r="L6330" t="str">
            <v>74239281</v>
          </cell>
        </row>
        <row r="6331">
          <cell r="L6331" t="str">
            <v>74239639</v>
          </cell>
        </row>
        <row r="6332">
          <cell r="L6332" t="str">
            <v>74240163</v>
          </cell>
        </row>
        <row r="6333">
          <cell r="L6333" t="str">
            <v>74240499</v>
          </cell>
        </row>
        <row r="6334">
          <cell r="L6334" t="str">
            <v>74243123</v>
          </cell>
        </row>
        <row r="6335">
          <cell r="L6335" t="str">
            <v>74245020</v>
          </cell>
        </row>
        <row r="6336">
          <cell r="L6336" t="str">
            <v>74247179</v>
          </cell>
        </row>
        <row r="6337">
          <cell r="L6337" t="str">
            <v>74247779</v>
          </cell>
        </row>
        <row r="6338">
          <cell r="L6338" t="str">
            <v>74248002</v>
          </cell>
        </row>
        <row r="6339">
          <cell r="L6339" t="str">
            <v>74248199</v>
          </cell>
        </row>
        <row r="6340">
          <cell r="L6340" t="str">
            <v>74251306</v>
          </cell>
        </row>
        <row r="6341">
          <cell r="L6341" t="str">
            <v>74252061</v>
          </cell>
        </row>
        <row r="6342">
          <cell r="L6342" t="str">
            <v>74255023</v>
          </cell>
        </row>
        <row r="6343">
          <cell r="L6343" t="str">
            <v>74255182</v>
          </cell>
        </row>
        <row r="6344">
          <cell r="L6344" t="str">
            <v>74258185</v>
          </cell>
        </row>
        <row r="6345">
          <cell r="L6345" t="str">
            <v>74258939</v>
          </cell>
        </row>
        <row r="6346">
          <cell r="L6346" t="str">
            <v>74265223</v>
          </cell>
        </row>
        <row r="6347">
          <cell r="L6347" t="str">
            <v>74268520</v>
          </cell>
        </row>
        <row r="6348">
          <cell r="L6348" t="str">
            <v>74273761</v>
          </cell>
        </row>
        <row r="6349">
          <cell r="L6349" t="str">
            <v>74275005</v>
          </cell>
        </row>
        <row r="6350">
          <cell r="L6350" t="str">
            <v>74275201</v>
          </cell>
        </row>
        <row r="6351">
          <cell r="L6351" t="str">
            <v>74276542</v>
          </cell>
        </row>
        <row r="6352">
          <cell r="L6352" t="str">
            <v>74277144</v>
          </cell>
        </row>
        <row r="6353">
          <cell r="L6353" t="str">
            <v>74277479</v>
          </cell>
        </row>
        <row r="6354">
          <cell r="L6354" t="str">
            <v>74278279</v>
          </cell>
        </row>
        <row r="6355">
          <cell r="L6355" t="str">
            <v>74281581</v>
          </cell>
        </row>
        <row r="6356">
          <cell r="L6356" t="str">
            <v>74282321</v>
          </cell>
        </row>
        <row r="6357">
          <cell r="L6357" t="str">
            <v>74282659</v>
          </cell>
        </row>
        <row r="6358">
          <cell r="L6358" t="str">
            <v>74283239</v>
          </cell>
        </row>
        <row r="6359">
          <cell r="L6359" t="str">
            <v>74285447</v>
          </cell>
        </row>
        <row r="6360">
          <cell r="L6360" t="str">
            <v>74289446</v>
          </cell>
        </row>
        <row r="6361">
          <cell r="L6361" t="str">
            <v>74294349</v>
          </cell>
        </row>
        <row r="6362">
          <cell r="L6362" t="str">
            <v>74295308</v>
          </cell>
        </row>
        <row r="6363">
          <cell r="L6363" t="str">
            <v>74295543</v>
          </cell>
        </row>
        <row r="6364">
          <cell r="L6364" t="str">
            <v>74295579</v>
          </cell>
        </row>
        <row r="6365">
          <cell r="L6365" t="str">
            <v>74296462</v>
          </cell>
        </row>
        <row r="6366">
          <cell r="L6366" t="str">
            <v>74297209</v>
          </cell>
        </row>
        <row r="6367">
          <cell r="L6367" t="str">
            <v>74297288</v>
          </cell>
        </row>
        <row r="6368">
          <cell r="L6368" t="str">
            <v>74298584</v>
          </cell>
        </row>
        <row r="6369">
          <cell r="L6369" t="str">
            <v>74299662</v>
          </cell>
        </row>
        <row r="6370">
          <cell r="L6370" t="str">
            <v>74299766</v>
          </cell>
        </row>
        <row r="6371">
          <cell r="L6371" t="str">
            <v>74300882</v>
          </cell>
        </row>
        <row r="6372">
          <cell r="L6372" t="str">
            <v>74301524</v>
          </cell>
        </row>
        <row r="6373">
          <cell r="L6373" t="str">
            <v>74304826</v>
          </cell>
        </row>
        <row r="6374">
          <cell r="L6374" t="str">
            <v>74308644</v>
          </cell>
        </row>
        <row r="6375">
          <cell r="L6375" t="str">
            <v>74308862</v>
          </cell>
        </row>
        <row r="6376">
          <cell r="L6376" t="str">
            <v>74316319</v>
          </cell>
        </row>
        <row r="6377">
          <cell r="L6377" t="str">
            <v>74316722</v>
          </cell>
        </row>
        <row r="6378">
          <cell r="L6378" t="str">
            <v>74317121</v>
          </cell>
        </row>
        <row r="6379">
          <cell r="L6379" t="str">
            <v>74318060</v>
          </cell>
        </row>
        <row r="6380">
          <cell r="L6380" t="str">
            <v>74318124</v>
          </cell>
        </row>
        <row r="6381">
          <cell r="L6381" t="str">
            <v>74318485</v>
          </cell>
        </row>
        <row r="6382">
          <cell r="L6382" t="str">
            <v>74319667</v>
          </cell>
        </row>
        <row r="6383">
          <cell r="L6383" t="str">
            <v>74056520</v>
          </cell>
        </row>
        <row r="6384">
          <cell r="L6384" t="str">
            <v>74136555</v>
          </cell>
        </row>
        <row r="6385">
          <cell r="L6385" t="str">
            <v>74192546</v>
          </cell>
        </row>
        <row r="6386">
          <cell r="L6386" t="str">
            <v>74197620</v>
          </cell>
        </row>
        <row r="6387">
          <cell r="L6387" t="str">
            <v>74211441</v>
          </cell>
        </row>
        <row r="6388">
          <cell r="L6388" t="str">
            <v>74215282</v>
          </cell>
        </row>
        <row r="6389">
          <cell r="L6389" t="str">
            <v>74216344</v>
          </cell>
        </row>
        <row r="6390">
          <cell r="L6390" t="str">
            <v>74217680</v>
          </cell>
        </row>
        <row r="6391">
          <cell r="L6391" t="str">
            <v>74219442</v>
          </cell>
        </row>
        <row r="6392">
          <cell r="L6392" t="str">
            <v>74222639</v>
          </cell>
        </row>
        <row r="6393">
          <cell r="L6393" t="str">
            <v>74223902</v>
          </cell>
        </row>
        <row r="6394">
          <cell r="L6394" t="str">
            <v>74224539</v>
          </cell>
        </row>
        <row r="6395">
          <cell r="L6395" t="str">
            <v>74227026</v>
          </cell>
        </row>
        <row r="6396">
          <cell r="L6396" t="str">
            <v>74232459</v>
          </cell>
        </row>
        <row r="6397">
          <cell r="L6397" t="str">
            <v>74243187</v>
          </cell>
        </row>
        <row r="6398">
          <cell r="L6398" t="str">
            <v>74245419</v>
          </cell>
        </row>
        <row r="6399">
          <cell r="L6399" t="str">
            <v>74249103</v>
          </cell>
        </row>
        <row r="6400">
          <cell r="L6400" t="str">
            <v>74250980</v>
          </cell>
        </row>
        <row r="6401">
          <cell r="L6401" t="str">
            <v>74275343</v>
          </cell>
        </row>
        <row r="6402">
          <cell r="L6402" t="str">
            <v>74190791</v>
          </cell>
        </row>
        <row r="6403">
          <cell r="L6403" t="str">
            <v>74095926</v>
          </cell>
        </row>
        <row r="6404">
          <cell r="L6404" t="str">
            <v>74189448</v>
          </cell>
        </row>
        <row r="6405">
          <cell r="L6405" t="str">
            <v>74193804</v>
          </cell>
        </row>
        <row r="6406">
          <cell r="L6406" t="str">
            <v>74266741</v>
          </cell>
        </row>
        <row r="6407">
          <cell r="L6407" t="str">
            <v>74270023</v>
          </cell>
        </row>
        <row r="6408">
          <cell r="L6408" t="str">
            <v>74273206</v>
          </cell>
        </row>
        <row r="6409">
          <cell r="L6409" t="str">
            <v>74284160</v>
          </cell>
        </row>
        <row r="6410">
          <cell r="L6410" t="str">
            <v>74285446</v>
          </cell>
        </row>
        <row r="6411">
          <cell r="L6411" t="str">
            <v>74297494</v>
          </cell>
        </row>
        <row r="6412">
          <cell r="L6412" t="str">
            <v>74300759</v>
          </cell>
        </row>
        <row r="6413">
          <cell r="L6413" t="str">
            <v>74301887</v>
          </cell>
        </row>
        <row r="6414">
          <cell r="L6414" t="str">
            <v>74304245</v>
          </cell>
        </row>
        <row r="6415">
          <cell r="L6415" t="str">
            <v>74219119</v>
          </cell>
        </row>
        <row r="6416">
          <cell r="L6416" t="str">
            <v>74232540</v>
          </cell>
        </row>
        <row r="6417">
          <cell r="L6417" t="str">
            <v>74232663</v>
          </cell>
        </row>
        <row r="6418">
          <cell r="L6418" t="str">
            <v>74245651</v>
          </cell>
        </row>
        <row r="6419">
          <cell r="L6419" t="str">
            <v>74247926</v>
          </cell>
        </row>
        <row r="6420">
          <cell r="L6420" t="str">
            <v>74249799</v>
          </cell>
        </row>
        <row r="6421">
          <cell r="L6421" t="str">
            <v>74236080</v>
          </cell>
        </row>
        <row r="6422">
          <cell r="L6422" t="str">
            <v>74055812</v>
          </cell>
        </row>
        <row r="6423">
          <cell r="L6423" t="str">
            <v>74262679</v>
          </cell>
        </row>
        <row r="6424">
          <cell r="L6424" t="str">
            <v>74280647</v>
          </cell>
        </row>
        <row r="6425">
          <cell r="L6425" t="str">
            <v>74288800</v>
          </cell>
        </row>
        <row r="6426">
          <cell r="L6426" t="str">
            <v>74289780</v>
          </cell>
        </row>
        <row r="6427">
          <cell r="L6427" t="str">
            <v>74290259</v>
          </cell>
        </row>
        <row r="6428">
          <cell r="L6428" t="str">
            <v>74300366</v>
          </cell>
        </row>
        <row r="6429">
          <cell r="L6429" t="str">
            <v>74300368</v>
          </cell>
        </row>
        <row r="6430">
          <cell r="L6430" t="str">
            <v>74300723</v>
          </cell>
        </row>
        <row r="6431">
          <cell r="L6431" t="str">
            <v>74301439</v>
          </cell>
        </row>
        <row r="6432">
          <cell r="L6432" t="str">
            <v>74301500</v>
          </cell>
        </row>
        <row r="6433">
          <cell r="L6433" t="str">
            <v>74301560</v>
          </cell>
        </row>
        <row r="6434">
          <cell r="L6434" t="str">
            <v>74302107</v>
          </cell>
        </row>
        <row r="6435">
          <cell r="L6435" t="str">
            <v>74302569</v>
          </cell>
        </row>
        <row r="6436">
          <cell r="L6436" t="str">
            <v>74302883</v>
          </cell>
        </row>
        <row r="6437">
          <cell r="L6437" t="str">
            <v>74304402</v>
          </cell>
        </row>
        <row r="6438">
          <cell r="L6438" t="str">
            <v>74304739</v>
          </cell>
        </row>
        <row r="6439">
          <cell r="L6439" t="str">
            <v>74306610</v>
          </cell>
        </row>
        <row r="6440">
          <cell r="L6440" t="str">
            <v>74311159</v>
          </cell>
        </row>
        <row r="6441">
          <cell r="L6441" t="str">
            <v>74312064</v>
          </cell>
        </row>
        <row r="6442">
          <cell r="L6442" t="str">
            <v>74313041</v>
          </cell>
        </row>
        <row r="6443">
          <cell r="L6443" t="str">
            <v>74313165</v>
          </cell>
        </row>
        <row r="6444">
          <cell r="L6444" t="str">
            <v>74314508</v>
          </cell>
        </row>
        <row r="6445">
          <cell r="L6445" t="str">
            <v>74314642</v>
          </cell>
        </row>
        <row r="6446">
          <cell r="L6446" t="str">
            <v>74316580</v>
          </cell>
        </row>
        <row r="6447">
          <cell r="L6447" t="str">
            <v>74318739</v>
          </cell>
        </row>
        <row r="6448">
          <cell r="L6448" t="str">
            <v>74319720</v>
          </cell>
        </row>
        <row r="6449">
          <cell r="L6449" t="str">
            <v>74320004</v>
          </cell>
        </row>
        <row r="6450">
          <cell r="L6450" t="str">
            <v>74309808</v>
          </cell>
        </row>
        <row r="6451">
          <cell r="L6451" t="str">
            <v>74297485</v>
          </cell>
        </row>
        <row r="6452">
          <cell r="L6452" t="str">
            <v>74121191</v>
          </cell>
        </row>
        <row r="6453">
          <cell r="L6453" t="str">
            <v>74071658</v>
          </cell>
        </row>
        <row r="6454">
          <cell r="L6454" t="str">
            <v>74102285</v>
          </cell>
        </row>
        <row r="6455">
          <cell r="L6455" t="str">
            <v>74154237</v>
          </cell>
        </row>
        <row r="6456">
          <cell r="L6456" t="str">
            <v>74176711</v>
          </cell>
        </row>
        <row r="6457">
          <cell r="L6457" t="str">
            <v>74202824</v>
          </cell>
        </row>
        <row r="6458">
          <cell r="L6458" t="str">
            <v>74223052</v>
          </cell>
        </row>
        <row r="6459">
          <cell r="L6459" t="str">
            <v>74227844</v>
          </cell>
        </row>
        <row r="6460">
          <cell r="L6460" t="str">
            <v>74241561</v>
          </cell>
        </row>
        <row r="6461">
          <cell r="L6461" t="str">
            <v>74243400</v>
          </cell>
        </row>
        <row r="6462">
          <cell r="L6462" t="str">
            <v>74244879</v>
          </cell>
        </row>
        <row r="6463">
          <cell r="L6463" t="str">
            <v>74247062</v>
          </cell>
        </row>
        <row r="6464">
          <cell r="L6464" t="str">
            <v>74252464</v>
          </cell>
        </row>
        <row r="6465">
          <cell r="L6465" t="str">
            <v>74253950</v>
          </cell>
        </row>
        <row r="6466">
          <cell r="L6466" t="str">
            <v>74254200</v>
          </cell>
        </row>
        <row r="6467">
          <cell r="L6467" t="str">
            <v>74262659</v>
          </cell>
        </row>
        <row r="6468">
          <cell r="L6468" t="str">
            <v>74265127</v>
          </cell>
        </row>
        <row r="6469">
          <cell r="L6469" t="str">
            <v>74272879</v>
          </cell>
        </row>
        <row r="6470">
          <cell r="L6470" t="str">
            <v>74273227</v>
          </cell>
        </row>
        <row r="6471">
          <cell r="L6471" t="str">
            <v>74278988</v>
          </cell>
        </row>
        <row r="6472">
          <cell r="L6472" t="str">
            <v>74283068</v>
          </cell>
        </row>
        <row r="6473">
          <cell r="L6473" t="str">
            <v>74283839</v>
          </cell>
        </row>
        <row r="6474">
          <cell r="L6474" t="str">
            <v>74284179</v>
          </cell>
        </row>
        <row r="6475">
          <cell r="L6475" t="str">
            <v>74289820</v>
          </cell>
        </row>
        <row r="6476">
          <cell r="L6476" t="str">
            <v>74290679</v>
          </cell>
        </row>
        <row r="6477">
          <cell r="L6477" t="str">
            <v>74299267</v>
          </cell>
        </row>
        <row r="6478">
          <cell r="L6478" t="str">
            <v>74300041</v>
          </cell>
        </row>
        <row r="6479">
          <cell r="L6479" t="str">
            <v>74302115</v>
          </cell>
        </row>
        <row r="6480">
          <cell r="L6480" t="str">
            <v>74303699</v>
          </cell>
        </row>
        <row r="6481">
          <cell r="L6481" t="str">
            <v>74311041</v>
          </cell>
        </row>
        <row r="6482">
          <cell r="L6482" t="str">
            <v>74311059</v>
          </cell>
        </row>
        <row r="6483">
          <cell r="L6483" t="str">
            <v>74311660</v>
          </cell>
        </row>
        <row r="6484">
          <cell r="L6484" t="str">
            <v>74312179</v>
          </cell>
        </row>
        <row r="6485">
          <cell r="L6485" t="str">
            <v>74312632</v>
          </cell>
        </row>
        <row r="6486">
          <cell r="L6486" t="str">
            <v>74314359</v>
          </cell>
        </row>
        <row r="6487">
          <cell r="L6487" t="str">
            <v>74314501</v>
          </cell>
        </row>
        <row r="6488">
          <cell r="L6488" t="str">
            <v>74320488</v>
          </cell>
        </row>
        <row r="6489">
          <cell r="L6489" t="str">
            <v>74321389</v>
          </cell>
        </row>
        <row r="6490">
          <cell r="L6490" t="str">
            <v>74322832</v>
          </cell>
        </row>
        <row r="6491">
          <cell r="L6491" t="str">
            <v>74324560</v>
          </cell>
        </row>
        <row r="6492">
          <cell r="L6492" t="str">
            <v>74176997</v>
          </cell>
        </row>
        <row r="6493">
          <cell r="L6493" t="str">
            <v>74198203</v>
          </cell>
        </row>
        <row r="6494">
          <cell r="L6494" t="str">
            <v>74221239</v>
          </cell>
        </row>
        <row r="6495">
          <cell r="L6495" t="str">
            <v>74227081</v>
          </cell>
        </row>
        <row r="6496">
          <cell r="L6496" t="str">
            <v>74259451</v>
          </cell>
        </row>
        <row r="6497">
          <cell r="L6497" t="str">
            <v>74315509</v>
          </cell>
        </row>
        <row r="6498">
          <cell r="L6498" t="str">
            <v>74316820</v>
          </cell>
        </row>
        <row r="6499">
          <cell r="L6499" t="str">
            <v>74263079</v>
          </cell>
        </row>
        <row r="6500">
          <cell r="L6500" t="str">
            <v>74281029</v>
          </cell>
        </row>
        <row r="6501">
          <cell r="L6501" t="str">
            <v>74287519</v>
          </cell>
        </row>
        <row r="6502">
          <cell r="L6502" t="str">
            <v>74300491</v>
          </cell>
        </row>
        <row r="6503">
          <cell r="L6503" t="str">
            <v>74230239</v>
          </cell>
        </row>
        <row r="6504">
          <cell r="L6504" t="str">
            <v>74165933</v>
          </cell>
        </row>
        <row r="6505">
          <cell r="L6505" t="str">
            <v>74172430</v>
          </cell>
        </row>
        <row r="6506">
          <cell r="L6506" t="str">
            <v>74187872</v>
          </cell>
        </row>
        <row r="6507">
          <cell r="L6507" t="str">
            <v>74192848</v>
          </cell>
        </row>
        <row r="6508">
          <cell r="L6508" t="str">
            <v>74193159</v>
          </cell>
        </row>
        <row r="6509">
          <cell r="L6509" t="str">
            <v>74216922</v>
          </cell>
        </row>
        <row r="6510">
          <cell r="L6510" t="str">
            <v>74227084</v>
          </cell>
        </row>
        <row r="6511">
          <cell r="L6511" t="str">
            <v>74232081</v>
          </cell>
        </row>
        <row r="6512">
          <cell r="L6512" t="str">
            <v>74233720</v>
          </cell>
        </row>
        <row r="6513">
          <cell r="L6513" t="str">
            <v>74235763</v>
          </cell>
        </row>
        <row r="6514">
          <cell r="L6514" t="str">
            <v>74241100</v>
          </cell>
        </row>
        <row r="6515">
          <cell r="L6515" t="str">
            <v>74243144</v>
          </cell>
        </row>
        <row r="6516">
          <cell r="L6516" t="str">
            <v>74244200</v>
          </cell>
        </row>
        <row r="6517">
          <cell r="L6517" t="str">
            <v>74246220</v>
          </cell>
        </row>
        <row r="6518">
          <cell r="L6518" t="str">
            <v>74253019</v>
          </cell>
        </row>
        <row r="6519">
          <cell r="L6519" t="str">
            <v>74255022</v>
          </cell>
        </row>
        <row r="6520">
          <cell r="L6520" t="str">
            <v>74257345</v>
          </cell>
        </row>
        <row r="6521">
          <cell r="L6521" t="str">
            <v>74264760</v>
          </cell>
        </row>
        <row r="6522">
          <cell r="L6522" t="str">
            <v>74267229</v>
          </cell>
        </row>
        <row r="6523">
          <cell r="L6523" t="str">
            <v>74269289</v>
          </cell>
        </row>
        <row r="6524">
          <cell r="L6524" t="str">
            <v>74270024</v>
          </cell>
        </row>
        <row r="6525">
          <cell r="L6525" t="str">
            <v>74270645</v>
          </cell>
        </row>
        <row r="6526">
          <cell r="L6526" t="str">
            <v>74273364</v>
          </cell>
        </row>
        <row r="6527">
          <cell r="L6527" t="str">
            <v>74274605</v>
          </cell>
        </row>
        <row r="6528">
          <cell r="L6528" t="str">
            <v>74286994</v>
          </cell>
        </row>
        <row r="6529">
          <cell r="L6529" t="str">
            <v>74289363</v>
          </cell>
        </row>
        <row r="6530">
          <cell r="L6530" t="str">
            <v>74290401</v>
          </cell>
        </row>
        <row r="6531">
          <cell r="L6531" t="str">
            <v>74291579</v>
          </cell>
        </row>
        <row r="6532">
          <cell r="L6532" t="str">
            <v>74294603</v>
          </cell>
        </row>
        <row r="6533">
          <cell r="L6533" t="str">
            <v>74296625</v>
          </cell>
        </row>
        <row r="6534">
          <cell r="L6534" t="str">
            <v>74300539</v>
          </cell>
        </row>
        <row r="6535">
          <cell r="L6535" t="str">
            <v>74305319</v>
          </cell>
        </row>
        <row r="6536">
          <cell r="L6536" t="str">
            <v>74308164</v>
          </cell>
        </row>
        <row r="6537">
          <cell r="L6537" t="str">
            <v>74308596</v>
          </cell>
        </row>
        <row r="6538">
          <cell r="L6538" t="str">
            <v>74308639</v>
          </cell>
        </row>
        <row r="6539">
          <cell r="L6539" t="str">
            <v>74309585</v>
          </cell>
        </row>
        <row r="6540">
          <cell r="L6540" t="str">
            <v>74310672</v>
          </cell>
        </row>
        <row r="6541">
          <cell r="L6541" t="str">
            <v>74312299</v>
          </cell>
        </row>
        <row r="6542">
          <cell r="L6542" t="str">
            <v>74316377</v>
          </cell>
        </row>
        <row r="6543">
          <cell r="L6543" t="str">
            <v>74316406</v>
          </cell>
        </row>
        <row r="6544">
          <cell r="L6544" t="str">
            <v>74289951</v>
          </cell>
        </row>
        <row r="6545">
          <cell r="L6545" t="str">
            <v>74078214</v>
          </cell>
        </row>
        <row r="6546">
          <cell r="L6546" t="str">
            <v>74150868</v>
          </cell>
        </row>
        <row r="6547">
          <cell r="L6547" t="str">
            <v>74174592</v>
          </cell>
        </row>
        <row r="6548">
          <cell r="L6548" t="str">
            <v>74258530</v>
          </cell>
        </row>
        <row r="6549">
          <cell r="L6549" t="str">
            <v>74304299</v>
          </cell>
        </row>
        <row r="6550">
          <cell r="L6550" t="str">
            <v>74318682</v>
          </cell>
        </row>
        <row r="6551">
          <cell r="L6551" t="str">
            <v>74125210</v>
          </cell>
        </row>
        <row r="6552">
          <cell r="L6552" t="str">
            <v>74196173</v>
          </cell>
        </row>
        <row r="6553">
          <cell r="L6553" t="str">
            <v>74294742</v>
          </cell>
        </row>
        <row r="6554">
          <cell r="L6554" t="str">
            <v>74314960</v>
          </cell>
        </row>
        <row r="6555">
          <cell r="L6555" t="str">
            <v>74221940</v>
          </cell>
        </row>
        <row r="6556">
          <cell r="L6556" t="str">
            <v>74313222</v>
          </cell>
        </row>
        <row r="6557">
          <cell r="L6557" t="str">
            <v>74084670</v>
          </cell>
        </row>
        <row r="6558">
          <cell r="L6558" t="str">
            <v>74107900</v>
          </cell>
        </row>
        <row r="6559">
          <cell r="L6559" t="str">
            <v>74144672</v>
          </cell>
        </row>
        <row r="6560">
          <cell r="L6560" t="str">
            <v>74152129</v>
          </cell>
        </row>
        <row r="6561">
          <cell r="L6561" t="str">
            <v>74166251</v>
          </cell>
        </row>
        <row r="6562">
          <cell r="L6562" t="str">
            <v>74195821</v>
          </cell>
        </row>
        <row r="6563">
          <cell r="L6563" t="str">
            <v>74209412</v>
          </cell>
        </row>
        <row r="6564">
          <cell r="L6564" t="str">
            <v>74209519</v>
          </cell>
        </row>
        <row r="6565">
          <cell r="L6565" t="str">
            <v>74210219</v>
          </cell>
        </row>
        <row r="6566">
          <cell r="L6566" t="str">
            <v>74215243</v>
          </cell>
        </row>
        <row r="6567">
          <cell r="L6567" t="str">
            <v>74224383</v>
          </cell>
        </row>
        <row r="6568">
          <cell r="L6568" t="str">
            <v>74227041</v>
          </cell>
        </row>
        <row r="6569">
          <cell r="L6569" t="str">
            <v>74230271</v>
          </cell>
        </row>
        <row r="6570">
          <cell r="L6570" t="str">
            <v>74238540</v>
          </cell>
        </row>
        <row r="6571">
          <cell r="L6571" t="str">
            <v>74242559</v>
          </cell>
        </row>
        <row r="6572">
          <cell r="L6572" t="str">
            <v>74242639</v>
          </cell>
        </row>
        <row r="6573">
          <cell r="L6573" t="str">
            <v>74243302</v>
          </cell>
        </row>
        <row r="6574">
          <cell r="L6574" t="str">
            <v>74246781</v>
          </cell>
        </row>
        <row r="6575">
          <cell r="L6575" t="str">
            <v>74249211</v>
          </cell>
        </row>
        <row r="6576">
          <cell r="L6576" t="str">
            <v>74251489</v>
          </cell>
        </row>
        <row r="6577">
          <cell r="L6577" t="str">
            <v>74252222</v>
          </cell>
        </row>
        <row r="6578">
          <cell r="L6578" t="str">
            <v>74252223</v>
          </cell>
        </row>
        <row r="6579">
          <cell r="L6579" t="str">
            <v>74252779</v>
          </cell>
        </row>
        <row r="6580">
          <cell r="L6580" t="str">
            <v>74253379</v>
          </cell>
        </row>
        <row r="6581">
          <cell r="L6581" t="str">
            <v>74254212</v>
          </cell>
        </row>
        <row r="6582">
          <cell r="L6582" t="str">
            <v>74254460</v>
          </cell>
        </row>
        <row r="6583">
          <cell r="L6583" t="str">
            <v>74256686</v>
          </cell>
        </row>
        <row r="6584">
          <cell r="L6584" t="str">
            <v>74257102</v>
          </cell>
        </row>
        <row r="6585">
          <cell r="L6585" t="str">
            <v>74257304</v>
          </cell>
        </row>
        <row r="6586">
          <cell r="L6586" t="str">
            <v>74259402</v>
          </cell>
        </row>
        <row r="6587">
          <cell r="L6587" t="str">
            <v>74262139</v>
          </cell>
        </row>
        <row r="6588">
          <cell r="L6588" t="str">
            <v>74262384</v>
          </cell>
        </row>
        <row r="6589">
          <cell r="L6589" t="str">
            <v>74264322</v>
          </cell>
        </row>
        <row r="6590">
          <cell r="L6590" t="str">
            <v>74265543</v>
          </cell>
        </row>
        <row r="6591">
          <cell r="L6591" t="str">
            <v>74271041</v>
          </cell>
        </row>
        <row r="6592">
          <cell r="L6592" t="str">
            <v>74271460</v>
          </cell>
        </row>
        <row r="6593">
          <cell r="L6593" t="str">
            <v>74272019</v>
          </cell>
        </row>
        <row r="6594">
          <cell r="L6594" t="str">
            <v>74272228</v>
          </cell>
        </row>
        <row r="6595">
          <cell r="L6595" t="str">
            <v>74272282</v>
          </cell>
        </row>
        <row r="6596">
          <cell r="L6596" t="str">
            <v>74273695</v>
          </cell>
        </row>
        <row r="6597">
          <cell r="L6597" t="str">
            <v>74273890</v>
          </cell>
        </row>
        <row r="6598">
          <cell r="L6598" t="str">
            <v>74274051</v>
          </cell>
        </row>
        <row r="6599">
          <cell r="L6599" t="str">
            <v>74274344</v>
          </cell>
        </row>
        <row r="6600">
          <cell r="L6600" t="str">
            <v>74274660</v>
          </cell>
        </row>
        <row r="6601">
          <cell r="L6601" t="str">
            <v>74274947</v>
          </cell>
        </row>
        <row r="6602">
          <cell r="L6602" t="str">
            <v>74275570</v>
          </cell>
        </row>
        <row r="6603">
          <cell r="L6603" t="str">
            <v>74275747</v>
          </cell>
        </row>
        <row r="6604">
          <cell r="L6604" t="str">
            <v>74275766</v>
          </cell>
        </row>
        <row r="6605">
          <cell r="L6605" t="str">
            <v>74275870</v>
          </cell>
        </row>
        <row r="6606">
          <cell r="L6606" t="str">
            <v>74276540</v>
          </cell>
        </row>
        <row r="6607">
          <cell r="L6607" t="str">
            <v>74276552</v>
          </cell>
        </row>
        <row r="6608">
          <cell r="L6608" t="str">
            <v>74276919</v>
          </cell>
        </row>
        <row r="6609">
          <cell r="L6609" t="str">
            <v>74279741</v>
          </cell>
        </row>
        <row r="6610">
          <cell r="L6610" t="str">
            <v>74281520</v>
          </cell>
        </row>
        <row r="6611">
          <cell r="L6611" t="str">
            <v>74281521</v>
          </cell>
        </row>
        <row r="6612">
          <cell r="L6612" t="str">
            <v>74281767</v>
          </cell>
        </row>
        <row r="6613">
          <cell r="L6613" t="str">
            <v>74282035</v>
          </cell>
        </row>
        <row r="6614">
          <cell r="L6614" t="str">
            <v>74285462</v>
          </cell>
        </row>
        <row r="6615">
          <cell r="L6615" t="str">
            <v>74285885</v>
          </cell>
        </row>
        <row r="6616">
          <cell r="L6616" t="str">
            <v>74286419</v>
          </cell>
        </row>
        <row r="6617">
          <cell r="L6617" t="str">
            <v>74157493</v>
          </cell>
        </row>
        <row r="6618">
          <cell r="L6618" t="str">
            <v>74159571</v>
          </cell>
        </row>
        <row r="6619">
          <cell r="L6619" t="str">
            <v>74164748</v>
          </cell>
        </row>
        <row r="6620">
          <cell r="L6620" t="str">
            <v>74165549</v>
          </cell>
        </row>
        <row r="6621">
          <cell r="L6621" t="str">
            <v>74165791</v>
          </cell>
        </row>
        <row r="6622">
          <cell r="L6622" t="str">
            <v>74166571</v>
          </cell>
        </row>
        <row r="6623">
          <cell r="L6623" t="str">
            <v>74171272</v>
          </cell>
        </row>
        <row r="6624">
          <cell r="L6624" t="str">
            <v>74173271</v>
          </cell>
        </row>
        <row r="6625">
          <cell r="L6625" t="str">
            <v>74173827</v>
          </cell>
        </row>
        <row r="6626">
          <cell r="L6626" t="str">
            <v>74181028</v>
          </cell>
        </row>
        <row r="6627">
          <cell r="L6627" t="str">
            <v>74185094</v>
          </cell>
        </row>
        <row r="6628">
          <cell r="L6628" t="str">
            <v>74194364</v>
          </cell>
        </row>
        <row r="6629">
          <cell r="L6629" t="str">
            <v>74198911</v>
          </cell>
        </row>
        <row r="6630">
          <cell r="L6630" t="str">
            <v>74199239</v>
          </cell>
        </row>
        <row r="6631">
          <cell r="L6631" t="str">
            <v>74201045</v>
          </cell>
        </row>
        <row r="6632">
          <cell r="L6632" t="str">
            <v>74201335</v>
          </cell>
        </row>
        <row r="6633">
          <cell r="L6633" t="str">
            <v>74201641</v>
          </cell>
        </row>
        <row r="6634">
          <cell r="L6634" t="str">
            <v>74203007</v>
          </cell>
        </row>
        <row r="6635">
          <cell r="L6635" t="str">
            <v>74208450</v>
          </cell>
        </row>
        <row r="6636">
          <cell r="L6636" t="str">
            <v>74209336</v>
          </cell>
        </row>
        <row r="6637">
          <cell r="L6637" t="str">
            <v>74209479</v>
          </cell>
        </row>
        <row r="6638">
          <cell r="L6638" t="str">
            <v>74209886</v>
          </cell>
        </row>
        <row r="6639">
          <cell r="L6639" t="str">
            <v>74211143</v>
          </cell>
        </row>
        <row r="6640">
          <cell r="L6640" t="str">
            <v>74213981</v>
          </cell>
        </row>
        <row r="6641">
          <cell r="L6641" t="str">
            <v>74214460</v>
          </cell>
        </row>
        <row r="6642">
          <cell r="L6642" t="str">
            <v>74221214</v>
          </cell>
        </row>
        <row r="6643">
          <cell r="L6643" t="str">
            <v>74228663</v>
          </cell>
        </row>
        <row r="6644">
          <cell r="L6644" t="str">
            <v>74230289</v>
          </cell>
        </row>
        <row r="6645">
          <cell r="L6645" t="str">
            <v>74233005</v>
          </cell>
        </row>
        <row r="6646">
          <cell r="L6646" t="str">
            <v>74238619</v>
          </cell>
        </row>
        <row r="6647">
          <cell r="L6647" t="str">
            <v>74239243</v>
          </cell>
        </row>
        <row r="6648">
          <cell r="L6648" t="str">
            <v>74260820</v>
          </cell>
        </row>
        <row r="6649">
          <cell r="L6649" t="str">
            <v>74266324</v>
          </cell>
        </row>
        <row r="6650">
          <cell r="L6650" t="str">
            <v>74265699</v>
          </cell>
        </row>
        <row r="6651">
          <cell r="L6651" t="str">
            <v>74125590</v>
          </cell>
        </row>
        <row r="6652">
          <cell r="L6652" t="str">
            <v>74160628</v>
          </cell>
        </row>
        <row r="6653">
          <cell r="L6653" t="str">
            <v>74202729</v>
          </cell>
        </row>
        <row r="6654">
          <cell r="L6654" t="str">
            <v>74255699</v>
          </cell>
        </row>
        <row r="6655">
          <cell r="L6655" t="str">
            <v>74258380</v>
          </cell>
        </row>
        <row r="6656">
          <cell r="L6656" t="str">
            <v>74260600</v>
          </cell>
        </row>
        <row r="6657">
          <cell r="L6657" t="str">
            <v>74261119</v>
          </cell>
        </row>
        <row r="6658">
          <cell r="L6658" t="str">
            <v>74263660</v>
          </cell>
        </row>
        <row r="6659">
          <cell r="L6659" t="str">
            <v>74273238</v>
          </cell>
        </row>
        <row r="6660">
          <cell r="L6660" t="str">
            <v>74274304</v>
          </cell>
        </row>
        <row r="6661">
          <cell r="L6661" t="str">
            <v>74277399</v>
          </cell>
        </row>
        <row r="6662">
          <cell r="L6662" t="str">
            <v>74284114</v>
          </cell>
        </row>
        <row r="6663">
          <cell r="L6663" t="str">
            <v>74223021</v>
          </cell>
        </row>
        <row r="6664">
          <cell r="L6664" t="str">
            <v>74175363</v>
          </cell>
        </row>
        <row r="6665">
          <cell r="L6665" t="str">
            <v>74190911</v>
          </cell>
        </row>
        <row r="6666">
          <cell r="L6666" t="str">
            <v>74205814</v>
          </cell>
        </row>
        <row r="6667">
          <cell r="L6667" t="str">
            <v>74229860</v>
          </cell>
        </row>
        <row r="6668">
          <cell r="L6668" t="str">
            <v>74255259</v>
          </cell>
        </row>
        <row r="6669">
          <cell r="L6669" t="str">
            <v>74143988</v>
          </cell>
        </row>
        <row r="6670">
          <cell r="L6670" t="str">
            <v>74181151</v>
          </cell>
        </row>
        <row r="6671">
          <cell r="L6671" t="str">
            <v>74228282</v>
          </cell>
        </row>
        <row r="6672">
          <cell r="L6672" t="str">
            <v>74258906</v>
          </cell>
        </row>
        <row r="6673">
          <cell r="L6673" t="str">
            <v>74038435</v>
          </cell>
        </row>
        <row r="6674">
          <cell r="L6674" t="str">
            <v>74063949</v>
          </cell>
        </row>
        <row r="6675">
          <cell r="L6675" t="str">
            <v>74126588</v>
          </cell>
        </row>
        <row r="6676">
          <cell r="L6676" t="str">
            <v>74132489</v>
          </cell>
        </row>
        <row r="6677">
          <cell r="L6677" t="str">
            <v>74135718</v>
          </cell>
        </row>
        <row r="6678">
          <cell r="L6678" t="str">
            <v>74137849</v>
          </cell>
        </row>
        <row r="6679">
          <cell r="L6679" t="str">
            <v>74150776</v>
          </cell>
        </row>
        <row r="6680">
          <cell r="L6680" t="str">
            <v>74152716</v>
          </cell>
        </row>
        <row r="6681">
          <cell r="L6681" t="str">
            <v>74157658</v>
          </cell>
        </row>
        <row r="6682">
          <cell r="L6682" t="str">
            <v>74157768</v>
          </cell>
        </row>
        <row r="6683">
          <cell r="L6683" t="str">
            <v>74164429</v>
          </cell>
        </row>
        <row r="6684">
          <cell r="L6684" t="str">
            <v>74178816</v>
          </cell>
        </row>
        <row r="6685">
          <cell r="L6685" t="str">
            <v>74182271</v>
          </cell>
        </row>
        <row r="6686">
          <cell r="L6686" t="str">
            <v>74191941</v>
          </cell>
        </row>
        <row r="6687">
          <cell r="L6687" t="str">
            <v>74196220</v>
          </cell>
        </row>
        <row r="6688">
          <cell r="L6688" t="str">
            <v>74197754</v>
          </cell>
        </row>
        <row r="6689">
          <cell r="L6689" t="str">
            <v>74209402</v>
          </cell>
        </row>
        <row r="6690">
          <cell r="L6690" t="str">
            <v>74215526</v>
          </cell>
        </row>
        <row r="6691">
          <cell r="L6691" t="str">
            <v>74217764</v>
          </cell>
        </row>
        <row r="6692">
          <cell r="L6692" t="str">
            <v>74222199</v>
          </cell>
        </row>
        <row r="6693">
          <cell r="L6693" t="str">
            <v>74224129</v>
          </cell>
        </row>
        <row r="6694">
          <cell r="L6694" t="str">
            <v>74225781</v>
          </cell>
        </row>
        <row r="6695">
          <cell r="L6695" t="str">
            <v>74228419</v>
          </cell>
        </row>
        <row r="6696">
          <cell r="L6696" t="str">
            <v>74229839</v>
          </cell>
        </row>
        <row r="6697">
          <cell r="L6697" t="str">
            <v>74235214</v>
          </cell>
        </row>
        <row r="6698">
          <cell r="L6698" t="str">
            <v>74236519</v>
          </cell>
        </row>
        <row r="6699">
          <cell r="L6699" t="str">
            <v>74239004</v>
          </cell>
        </row>
        <row r="6700">
          <cell r="L6700" t="str">
            <v>74243822</v>
          </cell>
        </row>
        <row r="6701">
          <cell r="L6701" t="str">
            <v>74246959</v>
          </cell>
        </row>
        <row r="6702">
          <cell r="L6702" t="str">
            <v>74247541</v>
          </cell>
        </row>
        <row r="6703">
          <cell r="L6703" t="str">
            <v>74247888</v>
          </cell>
        </row>
        <row r="6704">
          <cell r="L6704" t="str">
            <v>74253383</v>
          </cell>
        </row>
        <row r="6705">
          <cell r="L6705" t="str">
            <v>74253942</v>
          </cell>
        </row>
        <row r="6706">
          <cell r="L6706" t="str">
            <v>74254365</v>
          </cell>
        </row>
        <row r="6707">
          <cell r="L6707" t="str">
            <v>74254479</v>
          </cell>
        </row>
        <row r="6708">
          <cell r="L6708" t="str">
            <v>74256991</v>
          </cell>
        </row>
        <row r="6709">
          <cell r="L6709" t="str">
            <v>74264539</v>
          </cell>
        </row>
        <row r="6710">
          <cell r="L6710" t="str">
            <v>74265679</v>
          </cell>
        </row>
        <row r="6711">
          <cell r="L6711" t="str">
            <v>74265906</v>
          </cell>
        </row>
        <row r="6712">
          <cell r="L6712" t="str">
            <v>74269268</v>
          </cell>
        </row>
        <row r="6713">
          <cell r="L6713" t="str">
            <v>74269839</v>
          </cell>
        </row>
        <row r="6714">
          <cell r="L6714" t="str">
            <v>74269942</v>
          </cell>
        </row>
        <row r="6715">
          <cell r="L6715" t="str">
            <v>74270161</v>
          </cell>
        </row>
        <row r="6716">
          <cell r="L6716" t="str">
            <v>74273764</v>
          </cell>
        </row>
        <row r="6717">
          <cell r="L6717" t="str">
            <v>74273961</v>
          </cell>
        </row>
        <row r="6718">
          <cell r="L6718" t="str">
            <v>74274053</v>
          </cell>
        </row>
        <row r="6719">
          <cell r="L6719" t="str">
            <v>74274290</v>
          </cell>
        </row>
        <row r="6720">
          <cell r="L6720" t="str">
            <v>74274501</v>
          </cell>
        </row>
        <row r="6721">
          <cell r="L6721" t="str">
            <v>74276327</v>
          </cell>
        </row>
        <row r="6722">
          <cell r="L6722" t="str">
            <v>74277940</v>
          </cell>
        </row>
        <row r="6723">
          <cell r="L6723" t="str">
            <v>74280280</v>
          </cell>
        </row>
        <row r="6724">
          <cell r="L6724" t="str">
            <v>74281011</v>
          </cell>
        </row>
        <row r="6725">
          <cell r="L6725" t="str">
            <v>74282541</v>
          </cell>
        </row>
        <row r="6726">
          <cell r="L6726" t="str">
            <v>74283580</v>
          </cell>
        </row>
        <row r="6727">
          <cell r="L6727" t="str">
            <v>74283582</v>
          </cell>
        </row>
        <row r="6728">
          <cell r="L6728" t="str">
            <v>74284721</v>
          </cell>
        </row>
        <row r="6729">
          <cell r="L6729" t="str">
            <v>74285026</v>
          </cell>
        </row>
        <row r="6730">
          <cell r="L6730" t="str">
            <v>74285048</v>
          </cell>
        </row>
        <row r="6731">
          <cell r="L6731" t="str">
            <v>74286486</v>
          </cell>
        </row>
        <row r="6732">
          <cell r="L6732" t="str">
            <v>74291402</v>
          </cell>
        </row>
        <row r="6733">
          <cell r="L6733" t="str">
            <v>74296788</v>
          </cell>
        </row>
        <row r="6734">
          <cell r="L6734" t="str">
            <v>74297201</v>
          </cell>
        </row>
        <row r="6735">
          <cell r="L6735" t="str">
            <v>74297879</v>
          </cell>
        </row>
        <row r="6736">
          <cell r="L6736" t="str">
            <v>74298635</v>
          </cell>
        </row>
        <row r="6737">
          <cell r="L6737" t="str">
            <v>74298651</v>
          </cell>
        </row>
        <row r="6738">
          <cell r="L6738" t="str">
            <v>74299445</v>
          </cell>
        </row>
        <row r="6739">
          <cell r="L6739" t="str">
            <v>74303719</v>
          </cell>
        </row>
        <row r="6740">
          <cell r="L6740" t="str">
            <v>74307540</v>
          </cell>
        </row>
        <row r="6741">
          <cell r="L6741" t="str">
            <v>74074942</v>
          </cell>
        </row>
        <row r="6742">
          <cell r="L6742" t="str">
            <v>74103277</v>
          </cell>
        </row>
        <row r="6743">
          <cell r="L6743" t="str">
            <v>74150790</v>
          </cell>
        </row>
        <row r="6744">
          <cell r="L6744" t="str">
            <v>74161778</v>
          </cell>
        </row>
        <row r="6745">
          <cell r="L6745" t="str">
            <v>74166872</v>
          </cell>
        </row>
        <row r="6746">
          <cell r="L6746" t="str">
            <v>74190489</v>
          </cell>
        </row>
        <row r="6747">
          <cell r="L6747" t="str">
            <v>74197215</v>
          </cell>
        </row>
        <row r="6748">
          <cell r="L6748" t="str">
            <v>74201521</v>
          </cell>
        </row>
        <row r="6749">
          <cell r="L6749" t="str">
            <v>74209400</v>
          </cell>
        </row>
        <row r="6750">
          <cell r="L6750" t="str">
            <v>74219504</v>
          </cell>
        </row>
        <row r="6751">
          <cell r="L6751" t="str">
            <v>74221756</v>
          </cell>
        </row>
        <row r="6752">
          <cell r="L6752" t="str">
            <v>74236282</v>
          </cell>
        </row>
        <row r="6753">
          <cell r="L6753" t="str">
            <v>74238340</v>
          </cell>
        </row>
        <row r="6754">
          <cell r="L6754" t="str">
            <v>74286488</v>
          </cell>
        </row>
        <row r="6755">
          <cell r="L6755" t="str">
            <v>74288559</v>
          </cell>
        </row>
        <row r="6756">
          <cell r="L6756" t="str">
            <v>74293481</v>
          </cell>
        </row>
        <row r="6757">
          <cell r="L6757" t="str">
            <v>74299882</v>
          </cell>
        </row>
        <row r="6758">
          <cell r="L6758" t="str">
            <v>74304244</v>
          </cell>
        </row>
        <row r="6759">
          <cell r="L6759" t="str">
            <v>74305639</v>
          </cell>
        </row>
        <row r="6760">
          <cell r="L6760" t="str">
            <v>74307640</v>
          </cell>
        </row>
        <row r="6761">
          <cell r="L6761" t="str">
            <v>74308784</v>
          </cell>
        </row>
        <row r="6762">
          <cell r="L6762" t="str">
            <v>74310794</v>
          </cell>
        </row>
        <row r="6763">
          <cell r="L6763" t="str">
            <v>74310893</v>
          </cell>
        </row>
        <row r="6764">
          <cell r="L6764" t="str">
            <v>74311485</v>
          </cell>
        </row>
        <row r="6765">
          <cell r="L6765" t="str">
            <v>74312049</v>
          </cell>
        </row>
        <row r="6766">
          <cell r="L6766" t="str">
            <v>74313549</v>
          </cell>
        </row>
        <row r="6767">
          <cell r="L6767" t="str">
            <v>74314688</v>
          </cell>
        </row>
        <row r="6768">
          <cell r="L6768" t="str">
            <v>74200719</v>
          </cell>
        </row>
        <row r="6769">
          <cell r="L6769" t="str">
            <v>74236292</v>
          </cell>
        </row>
        <row r="6770">
          <cell r="L6770" t="str">
            <v>74247947</v>
          </cell>
        </row>
        <row r="6771">
          <cell r="L6771" t="str">
            <v>74251484</v>
          </cell>
        </row>
        <row r="6772">
          <cell r="L6772" t="str">
            <v>74251919</v>
          </cell>
        </row>
        <row r="6773">
          <cell r="L6773" t="str">
            <v>74271821</v>
          </cell>
        </row>
        <row r="6774">
          <cell r="L6774" t="str">
            <v>74273566</v>
          </cell>
        </row>
        <row r="6775">
          <cell r="L6775" t="str">
            <v>74275862</v>
          </cell>
        </row>
        <row r="6776">
          <cell r="L6776" t="str">
            <v>74290064</v>
          </cell>
        </row>
        <row r="6777">
          <cell r="L6777" t="str">
            <v>74292463</v>
          </cell>
        </row>
        <row r="6778">
          <cell r="L6778" t="str">
            <v>74295899</v>
          </cell>
        </row>
        <row r="6779">
          <cell r="L6779" t="str">
            <v>74125603</v>
          </cell>
        </row>
        <row r="6780">
          <cell r="L6780" t="str">
            <v>74265379</v>
          </cell>
        </row>
        <row r="6781">
          <cell r="L6781" t="str">
            <v>74134378</v>
          </cell>
        </row>
        <row r="6782">
          <cell r="L6782" t="str">
            <v>74177630</v>
          </cell>
        </row>
        <row r="6783">
          <cell r="L6783" t="str">
            <v>74191596</v>
          </cell>
        </row>
        <row r="6784">
          <cell r="L6784" t="str">
            <v>74211282</v>
          </cell>
        </row>
        <row r="6785">
          <cell r="L6785" t="str">
            <v>74219281</v>
          </cell>
        </row>
        <row r="6786">
          <cell r="L6786" t="str">
            <v>74224420</v>
          </cell>
        </row>
        <row r="6787">
          <cell r="L6787" t="str">
            <v>74241889</v>
          </cell>
        </row>
        <row r="6788">
          <cell r="L6788" t="str">
            <v>74245824</v>
          </cell>
        </row>
        <row r="6789">
          <cell r="L6789" t="str">
            <v>74254482</v>
          </cell>
        </row>
        <row r="6790">
          <cell r="L6790" t="str">
            <v>74255202</v>
          </cell>
        </row>
        <row r="6791">
          <cell r="L6791" t="str">
            <v>74261245</v>
          </cell>
        </row>
        <row r="6792">
          <cell r="L6792" t="str">
            <v>74262059</v>
          </cell>
        </row>
        <row r="6793">
          <cell r="L6793" t="str">
            <v>74262159</v>
          </cell>
        </row>
        <row r="6794">
          <cell r="L6794" t="str">
            <v>74265280</v>
          </cell>
        </row>
        <row r="6795">
          <cell r="L6795" t="str">
            <v>74267039</v>
          </cell>
        </row>
        <row r="6796">
          <cell r="L6796" t="str">
            <v>74274989</v>
          </cell>
        </row>
        <row r="6797">
          <cell r="L6797" t="str">
            <v>74276026</v>
          </cell>
        </row>
        <row r="6798">
          <cell r="L6798" t="str">
            <v>74276600</v>
          </cell>
        </row>
        <row r="6799">
          <cell r="L6799" t="str">
            <v>74276620</v>
          </cell>
        </row>
        <row r="6800">
          <cell r="L6800" t="str">
            <v>74277140</v>
          </cell>
        </row>
        <row r="6801">
          <cell r="L6801" t="str">
            <v>74278530</v>
          </cell>
        </row>
        <row r="6802">
          <cell r="L6802" t="str">
            <v>74278989</v>
          </cell>
        </row>
        <row r="6803">
          <cell r="L6803" t="str">
            <v>74279940</v>
          </cell>
        </row>
        <row r="6804">
          <cell r="L6804" t="str">
            <v>74280999</v>
          </cell>
        </row>
        <row r="6805">
          <cell r="L6805" t="str">
            <v>74281079</v>
          </cell>
        </row>
        <row r="6806">
          <cell r="L6806" t="str">
            <v>74283459</v>
          </cell>
        </row>
        <row r="6807">
          <cell r="L6807" t="str">
            <v>74283620</v>
          </cell>
        </row>
        <row r="6808">
          <cell r="L6808" t="str">
            <v>74284121</v>
          </cell>
        </row>
        <row r="6809">
          <cell r="L6809" t="str">
            <v>74286540</v>
          </cell>
        </row>
        <row r="6810">
          <cell r="L6810" t="str">
            <v>74290240</v>
          </cell>
        </row>
        <row r="6811">
          <cell r="L6811" t="str">
            <v>74290443</v>
          </cell>
        </row>
        <row r="6812">
          <cell r="L6812" t="str">
            <v>74291026</v>
          </cell>
        </row>
        <row r="6813">
          <cell r="L6813" t="str">
            <v>74291681</v>
          </cell>
        </row>
        <row r="6814">
          <cell r="L6814" t="str">
            <v>74296680</v>
          </cell>
        </row>
        <row r="6815">
          <cell r="L6815" t="str">
            <v>74298519</v>
          </cell>
        </row>
        <row r="6816">
          <cell r="L6816" t="str">
            <v>74301904</v>
          </cell>
        </row>
        <row r="6817">
          <cell r="L6817" t="str">
            <v>74302919</v>
          </cell>
        </row>
        <row r="6818">
          <cell r="L6818" t="str">
            <v>74305135</v>
          </cell>
        </row>
        <row r="6819">
          <cell r="L6819" t="str">
            <v>74307279</v>
          </cell>
        </row>
        <row r="6820">
          <cell r="L6820" t="str">
            <v>74307391</v>
          </cell>
        </row>
        <row r="6821">
          <cell r="L6821" t="str">
            <v>74308919</v>
          </cell>
        </row>
        <row r="6822">
          <cell r="L6822" t="str">
            <v>74310620</v>
          </cell>
        </row>
        <row r="6823">
          <cell r="L6823" t="str">
            <v>74310788</v>
          </cell>
        </row>
        <row r="6824">
          <cell r="L6824" t="str">
            <v>74311795</v>
          </cell>
        </row>
        <row r="6825">
          <cell r="L6825" t="str">
            <v>74311796</v>
          </cell>
        </row>
        <row r="6826">
          <cell r="L6826" t="str">
            <v>74314661</v>
          </cell>
        </row>
        <row r="6827">
          <cell r="L6827" t="str">
            <v>74315465</v>
          </cell>
        </row>
        <row r="6828">
          <cell r="L6828" t="str">
            <v>74319465</v>
          </cell>
        </row>
        <row r="6829">
          <cell r="L6829" t="str">
            <v>74296459</v>
          </cell>
        </row>
        <row r="6830">
          <cell r="L6830" t="str">
            <v>74289461</v>
          </cell>
        </row>
        <row r="6831">
          <cell r="L6831" t="str">
            <v>74122146</v>
          </cell>
        </row>
        <row r="6832">
          <cell r="L6832" t="str">
            <v>74195485</v>
          </cell>
        </row>
        <row r="6833">
          <cell r="L6833" t="str">
            <v>74179253</v>
          </cell>
        </row>
        <row r="6834">
          <cell r="L6834" t="str">
            <v>74203983</v>
          </cell>
        </row>
        <row r="6835">
          <cell r="L6835" t="str">
            <v>74208797</v>
          </cell>
        </row>
        <row r="6836">
          <cell r="L6836" t="str">
            <v>74225074</v>
          </cell>
        </row>
        <row r="6837">
          <cell r="L6837" t="str">
            <v>74235206</v>
          </cell>
        </row>
        <row r="6838">
          <cell r="L6838" t="str">
            <v>74235208</v>
          </cell>
        </row>
        <row r="6839">
          <cell r="L6839" t="str">
            <v>74235240</v>
          </cell>
        </row>
        <row r="6840">
          <cell r="L6840" t="str">
            <v>74243421</v>
          </cell>
        </row>
        <row r="6841">
          <cell r="L6841" t="str">
            <v>74251582</v>
          </cell>
        </row>
        <row r="6842">
          <cell r="L6842" t="str">
            <v>74255113</v>
          </cell>
        </row>
        <row r="6843">
          <cell r="L6843" t="str">
            <v>74258261</v>
          </cell>
        </row>
        <row r="6844">
          <cell r="L6844" t="str">
            <v>74262661</v>
          </cell>
        </row>
        <row r="6845">
          <cell r="L6845" t="str">
            <v>74262880</v>
          </cell>
        </row>
        <row r="6846">
          <cell r="L6846" t="str">
            <v>74264207</v>
          </cell>
        </row>
        <row r="6847">
          <cell r="L6847" t="str">
            <v>74266947</v>
          </cell>
        </row>
        <row r="6848">
          <cell r="L6848" t="str">
            <v>74268740</v>
          </cell>
        </row>
        <row r="6849">
          <cell r="L6849" t="str">
            <v>74269179</v>
          </cell>
        </row>
        <row r="6850">
          <cell r="L6850" t="str">
            <v>74269980</v>
          </cell>
        </row>
        <row r="6851">
          <cell r="L6851" t="str">
            <v>74270183</v>
          </cell>
        </row>
        <row r="6852">
          <cell r="L6852" t="str">
            <v>74273010</v>
          </cell>
        </row>
        <row r="6853">
          <cell r="L6853" t="str">
            <v>74273111</v>
          </cell>
        </row>
        <row r="6854">
          <cell r="L6854" t="str">
            <v>74273615</v>
          </cell>
        </row>
        <row r="6855">
          <cell r="L6855" t="str">
            <v>74274167</v>
          </cell>
        </row>
        <row r="6856">
          <cell r="L6856" t="str">
            <v>74274584</v>
          </cell>
        </row>
        <row r="6857">
          <cell r="L6857" t="str">
            <v>74274954</v>
          </cell>
        </row>
        <row r="6858">
          <cell r="L6858" t="str">
            <v>74275821</v>
          </cell>
        </row>
        <row r="6859">
          <cell r="L6859" t="str">
            <v>74276159</v>
          </cell>
        </row>
        <row r="6860">
          <cell r="L6860" t="str">
            <v>74276241</v>
          </cell>
        </row>
        <row r="6861">
          <cell r="L6861" t="str">
            <v>74276534</v>
          </cell>
        </row>
        <row r="6862">
          <cell r="L6862" t="str">
            <v>74276535</v>
          </cell>
        </row>
        <row r="6863">
          <cell r="L6863" t="str">
            <v>74276536</v>
          </cell>
        </row>
        <row r="6864">
          <cell r="L6864" t="str">
            <v>74276537</v>
          </cell>
        </row>
        <row r="6865">
          <cell r="L6865" t="str">
            <v>74277360</v>
          </cell>
        </row>
        <row r="6866">
          <cell r="L6866" t="str">
            <v>74277742</v>
          </cell>
        </row>
        <row r="6867">
          <cell r="L6867" t="str">
            <v>74277926</v>
          </cell>
        </row>
        <row r="6868">
          <cell r="L6868" t="str">
            <v>74278500</v>
          </cell>
        </row>
        <row r="6869">
          <cell r="L6869" t="str">
            <v>74279863</v>
          </cell>
        </row>
        <row r="6870">
          <cell r="L6870" t="str">
            <v>74279941</v>
          </cell>
        </row>
        <row r="6871">
          <cell r="L6871" t="str">
            <v>74281013</v>
          </cell>
        </row>
        <row r="6872">
          <cell r="L6872" t="str">
            <v>74282002</v>
          </cell>
        </row>
        <row r="6873">
          <cell r="L6873" t="str">
            <v>74282460</v>
          </cell>
        </row>
        <row r="6874">
          <cell r="L6874" t="str">
            <v>74282545</v>
          </cell>
        </row>
        <row r="6875">
          <cell r="L6875" t="str">
            <v>74283666</v>
          </cell>
        </row>
        <row r="6876">
          <cell r="L6876" t="str">
            <v>74283779</v>
          </cell>
        </row>
        <row r="6877">
          <cell r="L6877" t="str">
            <v>74283915</v>
          </cell>
        </row>
        <row r="6878">
          <cell r="L6878" t="str">
            <v>74284001</v>
          </cell>
        </row>
        <row r="6879">
          <cell r="L6879" t="str">
            <v>74284733</v>
          </cell>
        </row>
        <row r="6880">
          <cell r="L6880" t="str">
            <v>74285036</v>
          </cell>
        </row>
        <row r="6881">
          <cell r="L6881" t="str">
            <v>74287443</v>
          </cell>
        </row>
        <row r="6882">
          <cell r="L6882" t="str">
            <v>74287446</v>
          </cell>
        </row>
        <row r="6883">
          <cell r="L6883" t="str">
            <v>74287637</v>
          </cell>
        </row>
        <row r="6884">
          <cell r="L6884" t="str">
            <v>74287720</v>
          </cell>
        </row>
        <row r="6885">
          <cell r="L6885" t="str">
            <v>74287824</v>
          </cell>
        </row>
        <row r="6886">
          <cell r="L6886" t="str">
            <v>74288650</v>
          </cell>
        </row>
        <row r="6887">
          <cell r="L6887" t="str">
            <v>74289660</v>
          </cell>
        </row>
        <row r="6888">
          <cell r="L6888" t="str">
            <v>74291546</v>
          </cell>
        </row>
        <row r="6889">
          <cell r="L6889" t="str">
            <v>74291953</v>
          </cell>
        </row>
        <row r="6890">
          <cell r="L6890" t="str">
            <v>74292999</v>
          </cell>
        </row>
        <row r="6891">
          <cell r="L6891" t="str">
            <v>74293206</v>
          </cell>
        </row>
        <row r="6892">
          <cell r="L6892" t="str">
            <v>74295102</v>
          </cell>
        </row>
        <row r="6893">
          <cell r="L6893" t="str">
            <v>74295166</v>
          </cell>
        </row>
        <row r="6894">
          <cell r="L6894" t="str">
            <v>74295239</v>
          </cell>
        </row>
        <row r="6895">
          <cell r="L6895" t="str">
            <v>74295364</v>
          </cell>
        </row>
        <row r="6896">
          <cell r="L6896" t="str">
            <v>74295942</v>
          </cell>
        </row>
        <row r="6897">
          <cell r="L6897" t="str">
            <v>74296873</v>
          </cell>
        </row>
        <row r="6898">
          <cell r="L6898" t="str">
            <v>74299310</v>
          </cell>
        </row>
        <row r="6899">
          <cell r="L6899" t="str">
            <v>74300234</v>
          </cell>
        </row>
        <row r="6900">
          <cell r="L6900" t="str">
            <v>74301529</v>
          </cell>
        </row>
        <row r="6901">
          <cell r="L6901" t="str">
            <v>74303900</v>
          </cell>
        </row>
        <row r="6902">
          <cell r="L6902" t="str">
            <v>74306567</v>
          </cell>
        </row>
        <row r="6903">
          <cell r="L6903" t="str">
            <v>74306568</v>
          </cell>
        </row>
        <row r="6904">
          <cell r="L6904" t="str">
            <v>74307442</v>
          </cell>
        </row>
        <row r="6905">
          <cell r="L6905" t="str">
            <v>74309320</v>
          </cell>
        </row>
        <row r="6906">
          <cell r="L6906" t="str">
            <v>74309565</v>
          </cell>
        </row>
        <row r="6907">
          <cell r="L6907" t="str">
            <v>74310261</v>
          </cell>
        </row>
        <row r="6908">
          <cell r="L6908" t="str">
            <v>74313539</v>
          </cell>
        </row>
        <row r="6909">
          <cell r="L6909" t="str">
            <v>74316168</v>
          </cell>
        </row>
        <row r="6910">
          <cell r="L6910" t="str">
            <v>74294020</v>
          </cell>
        </row>
        <row r="6911">
          <cell r="L6911" t="str">
            <v>74294110</v>
          </cell>
        </row>
        <row r="6912">
          <cell r="L6912" t="str">
            <v>74296878</v>
          </cell>
        </row>
        <row r="6913">
          <cell r="L6913" t="str">
            <v>74299362</v>
          </cell>
        </row>
        <row r="6914">
          <cell r="L6914" t="str">
            <v>74299853</v>
          </cell>
        </row>
        <row r="6915">
          <cell r="L6915" t="str">
            <v>74301141</v>
          </cell>
        </row>
        <row r="6916">
          <cell r="L6916" t="str">
            <v>74301687</v>
          </cell>
        </row>
        <row r="6917">
          <cell r="L6917" t="str">
            <v>74317824</v>
          </cell>
        </row>
        <row r="6918">
          <cell r="L6918" t="str">
            <v>74318394</v>
          </cell>
        </row>
        <row r="6919">
          <cell r="L6919" t="str">
            <v>74318397</v>
          </cell>
        </row>
        <row r="6920">
          <cell r="L6920" t="str">
            <v>74318750</v>
          </cell>
        </row>
        <row r="6921">
          <cell r="L6921" t="str">
            <v>74319927</v>
          </cell>
        </row>
        <row r="6922">
          <cell r="L6922" t="str">
            <v>74321359</v>
          </cell>
        </row>
        <row r="6923">
          <cell r="L6923" t="str">
            <v>74322445</v>
          </cell>
        </row>
        <row r="6924">
          <cell r="L6924" t="str">
            <v>74324519</v>
          </cell>
        </row>
        <row r="6925">
          <cell r="L6925" t="str">
            <v>74320159</v>
          </cell>
        </row>
        <row r="6926">
          <cell r="L6926" t="str">
            <v>BAWBAWG3</v>
          </cell>
        </row>
        <row r="6927">
          <cell r="L6927" t="str">
            <v>TBA2370</v>
          </cell>
        </row>
        <row r="6928">
          <cell r="L6928" t="str">
            <v>74127768</v>
          </cell>
        </row>
        <row r="6929">
          <cell r="L6929" t="str">
            <v>74141478</v>
          </cell>
        </row>
        <row r="6930">
          <cell r="L6930" t="str">
            <v>74143149</v>
          </cell>
        </row>
        <row r="6931">
          <cell r="L6931" t="str">
            <v>74143151</v>
          </cell>
        </row>
        <row r="6932">
          <cell r="L6932" t="str">
            <v>74117355</v>
          </cell>
        </row>
        <row r="6933">
          <cell r="L6933" t="str">
            <v>74039259</v>
          </cell>
        </row>
        <row r="6934">
          <cell r="L6934" t="str">
            <v>74162116</v>
          </cell>
        </row>
        <row r="6935">
          <cell r="L6935" t="str">
            <v>74167811</v>
          </cell>
        </row>
        <row r="6936">
          <cell r="L6936" t="str">
            <v>74209800</v>
          </cell>
        </row>
        <row r="6937">
          <cell r="L6937" t="str">
            <v>74125318</v>
          </cell>
        </row>
        <row r="6938">
          <cell r="L6938" t="str">
            <v>74204546</v>
          </cell>
        </row>
        <row r="6939">
          <cell r="L6939" t="str">
            <v>74318751</v>
          </cell>
        </row>
        <row r="6940">
          <cell r="L6940" t="str">
            <v>74321966</v>
          </cell>
        </row>
        <row r="6941">
          <cell r="L6941" t="str">
            <v>74322422</v>
          </cell>
        </row>
        <row r="6942">
          <cell r="L6942" t="str">
            <v>74147191</v>
          </cell>
        </row>
        <row r="6943">
          <cell r="L6943" t="str">
            <v>74188139</v>
          </cell>
        </row>
        <row r="6944">
          <cell r="L6944" t="str">
            <v>74227042</v>
          </cell>
        </row>
        <row r="6945">
          <cell r="L6945" t="str">
            <v>74229195</v>
          </cell>
        </row>
        <row r="6946">
          <cell r="L6946" t="str">
            <v>74232375</v>
          </cell>
        </row>
        <row r="6947">
          <cell r="L6947" t="str">
            <v>74240999</v>
          </cell>
        </row>
        <row r="6948">
          <cell r="L6948" t="str">
            <v>74241061</v>
          </cell>
        </row>
        <row r="6949">
          <cell r="L6949" t="str">
            <v>74245211</v>
          </cell>
        </row>
        <row r="6950">
          <cell r="L6950" t="str">
            <v>74247099</v>
          </cell>
        </row>
        <row r="6951">
          <cell r="L6951" t="str">
            <v>74249439</v>
          </cell>
        </row>
        <row r="6952">
          <cell r="L6952" t="str">
            <v>74258504</v>
          </cell>
        </row>
        <row r="6953">
          <cell r="L6953" t="str">
            <v>74279653</v>
          </cell>
        </row>
        <row r="6954">
          <cell r="L6954" t="str">
            <v>74017028</v>
          </cell>
        </row>
        <row r="6955">
          <cell r="L6955" t="str">
            <v>74039108</v>
          </cell>
        </row>
        <row r="6956">
          <cell r="L6956" t="str">
            <v>74095946</v>
          </cell>
        </row>
        <row r="6957">
          <cell r="L6957" t="str">
            <v>74130638</v>
          </cell>
        </row>
        <row r="6958">
          <cell r="L6958" t="str">
            <v>74153049</v>
          </cell>
        </row>
        <row r="6959">
          <cell r="L6959" t="str">
            <v>74153070</v>
          </cell>
        </row>
        <row r="6960">
          <cell r="L6960" t="str">
            <v>74164268</v>
          </cell>
        </row>
        <row r="6961">
          <cell r="L6961" t="str">
            <v>74167369</v>
          </cell>
        </row>
        <row r="6962">
          <cell r="L6962" t="str">
            <v>74168528</v>
          </cell>
        </row>
        <row r="6963">
          <cell r="L6963" t="str">
            <v>74176611</v>
          </cell>
        </row>
        <row r="6964">
          <cell r="L6964" t="str">
            <v>74180952</v>
          </cell>
        </row>
        <row r="6965">
          <cell r="L6965" t="str">
            <v>74184776</v>
          </cell>
        </row>
        <row r="6966">
          <cell r="L6966" t="str">
            <v>74186262</v>
          </cell>
        </row>
        <row r="6967">
          <cell r="L6967" t="str">
            <v>74187369</v>
          </cell>
        </row>
        <row r="6968">
          <cell r="L6968" t="str">
            <v>74200373</v>
          </cell>
        </row>
        <row r="6969">
          <cell r="L6969" t="str">
            <v>74222160</v>
          </cell>
        </row>
        <row r="6970">
          <cell r="L6970" t="str">
            <v>74231860</v>
          </cell>
        </row>
        <row r="6971">
          <cell r="L6971" t="str">
            <v>74260233</v>
          </cell>
        </row>
        <row r="6972">
          <cell r="L6972" t="str">
            <v>74273548</v>
          </cell>
        </row>
        <row r="6973">
          <cell r="L6973" t="str">
            <v>74282040</v>
          </cell>
        </row>
        <row r="6974">
          <cell r="L6974" t="str">
            <v>74290620</v>
          </cell>
        </row>
        <row r="6975">
          <cell r="L6975" t="str">
            <v>74295121</v>
          </cell>
        </row>
        <row r="6976">
          <cell r="L6976" t="str">
            <v>74297659</v>
          </cell>
        </row>
        <row r="6977">
          <cell r="L6977" t="str">
            <v>74303048</v>
          </cell>
        </row>
        <row r="6978">
          <cell r="L6978" t="str">
            <v>74303601</v>
          </cell>
        </row>
        <row r="6979">
          <cell r="L6979" t="str">
            <v>74305184</v>
          </cell>
        </row>
        <row r="6980">
          <cell r="L6980" t="str">
            <v>74197401</v>
          </cell>
        </row>
        <row r="6981">
          <cell r="L6981" t="str">
            <v>74169548</v>
          </cell>
        </row>
        <row r="6982">
          <cell r="L6982" t="str">
            <v>74147378</v>
          </cell>
        </row>
        <row r="6983">
          <cell r="L6983" t="str">
            <v>74169942</v>
          </cell>
        </row>
        <row r="6984">
          <cell r="L6984" t="str">
            <v>74200465</v>
          </cell>
        </row>
        <row r="6985">
          <cell r="L6985" t="str">
            <v>74303392</v>
          </cell>
        </row>
        <row r="6986">
          <cell r="L6986" t="str">
            <v>74064230</v>
          </cell>
        </row>
        <row r="6987">
          <cell r="L6987" t="str">
            <v>74234523</v>
          </cell>
        </row>
        <row r="6988">
          <cell r="L6988" t="str">
            <v>74235619</v>
          </cell>
        </row>
        <row r="6989">
          <cell r="L6989" t="str">
            <v>74167738</v>
          </cell>
        </row>
        <row r="6990">
          <cell r="L6990" t="str">
            <v>74199884</v>
          </cell>
        </row>
        <row r="6991">
          <cell r="L6991" t="str">
            <v>74230222</v>
          </cell>
        </row>
        <row r="6992">
          <cell r="L6992" t="str">
            <v>74279739</v>
          </cell>
        </row>
        <row r="6993">
          <cell r="L6993" t="str">
            <v>74285900</v>
          </cell>
        </row>
        <row r="6994">
          <cell r="L6994" t="str">
            <v>74289279</v>
          </cell>
        </row>
        <row r="6995">
          <cell r="L6995" t="str">
            <v>74293343</v>
          </cell>
        </row>
        <row r="6996">
          <cell r="L6996" t="str">
            <v>74302110</v>
          </cell>
        </row>
        <row r="6997">
          <cell r="L6997" t="str">
            <v>74306069</v>
          </cell>
        </row>
        <row r="6998">
          <cell r="L6998" t="str">
            <v>74307560</v>
          </cell>
        </row>
        <row r="6999">
          <cell r="L6999" t="str">
            <v>74035373</v>
          </cell>
        </row>
        <row r="7000">
          <cell r="L7000" t="str">
            <v>74296060</v>
          </cell>
        </row>
        <row r="7001">
          <cell r="L7001" t="str">
            <v>74121173</v>
          </cell>
        </row>
        <row r="7002">
          <cell r="L7002" t="str">
            <v>74192819</v>
          </cell>
        </row>
        <row r="7003">
          <cell r="L7003" t="str">
            <v>74199439</v>
          </cell>
        </row>
        <row r="7004">
          <cell r="L7004" t="str">
            <v>74200665</v>
          </cell>
        </row>
        <row r="7005">
          <cell r="L7005" t="str">
            <v>74204983</v>
          </cell>
        </row>
        <row r="7006">
          <cell r="L7006" t="str">
            <v>74223744</v>
          </cell>
        </row>
        <row r="7007">
          <cell r="L7007" t="str">
            <v>74232039</v>
          </cell>
        </row>
        <row r="7008">
          <cell r="L7008" t="str">
            <v>74236947</v>
          </cell>
        </row>
        <row r="7009">
          <cell r="L7009" t="str">
            <v>74239379</v>
          </cell>
        </row>
        <row r="7010">
          <cell r="L7010" t="str">
            <v>74252623</v>
          </cell>
        </row>
        <row r="7011">
          <cell r="L7011" t="str">
            <v>74255704</v>
          </cell>
        </row>
        <row r="7012">
          <cell r="L7012" t="str">
            <v>74256822</v>
          </cell>
        </row>
        <row r="7013">
          <cell r="L7013" t="str">
            <v>74268079</v>
          </cell>
        </row>
        <row r="7014">
          <cell r="L7014" t="str">
            <v>74287281</v>
          </cell>
        </row>
        <row r="7015">
          <cell r="L7015" t="str">
            <v>74307670</v>
          </cell>
        </row>
        <row r="7016">
          <cell r="L7016" t="str">
            <v>74264919</v>
          </cell>
        </row>
        <row r="7017">
          <cell r="L7017" t="str">
            <v>74286376</v>
          </cell>
        </row>
        <row r="7018">
          <cell r="L7018" t="str">
            <v>74293061</v>
          </cell>
        </row>
        <row r="7019">
          <cell r="L7019" t="str">
            <v>74300370</v>
          </cell>
        </row>
        <row r="7020">
          <cell r="L7020" t="str">
            <v>74304565</v>
          </cell>
        </row>
        <row r="7021">
          <cell r="L7021" t="str">
            <v>74306182</v>
          </cell>
        </row>
        <row r="7022">
          <cell r="L7022" t="str">
            <v>74307541</v>
          </cell>
        </row>
        <row r="7023">
          <cell r="L7023" t="str">
            <v>74308142</v>
          </cell>
        </row>
        <row r="7024">
          <cell r="L7024" t="str">
            <v>74309164</v>
          </cell>
        </row>
        <row r="7025">
          <cell r="L7025" t="str">
            <v>74309703</v>
          </cell>
        </row>
        <row r="7026">
          <cell r="L7026" t="str">
            <v>74311787</v>
          </cell>
        </row>
        <row r="7027">
          <cell r="L7027" t="str">
            <v>74314219</v>
          </cell>
        </row>
        <row r="7028">
          <cell r="L7028" t="str">
            <v>74319279</v>
          </cell>
        </row>
        <row r="7029">
          <cell r="L7029" t="str">
            <v>74296224</v>
          </cell>
        </row>
        <row r="7030">
          <cell r="L7030" t="str">
            <v>74299284</v>
          </cell>
        </row>
        <row r="7031">
          <cell r="L7031" t="str">
            <v>74303222</v>
          </cell>
        </row>
        <row r="7032">
          <cell r="L7032" t="str">
            <v>74304025</v>
          </cell>
        </row>
        <row r="7033">
          <cell r="L7033" t="str">
            <v>74314159</v>
          </cell>
        </row>
        <row r="7034">
          <cell r="L7034" t="str">
            <v>74099213</v>
          </cell>
        </row>
        <row r="7035">
          <cell r="L7035" t="str">
            <v>74207959</v>
          </cell>
        </row>
        <row r="7036">
          <cell r="L7036" t="str">
            <v>74223705</v>
          </cell>
        </row>
        <row r="7037">
          <cell r="L7037" t="str">
            <v>74256580</v>
          </cell>
        </row>
        <row r="7038">
          <cell r="L7038" t="str">
            <v>74257399</v>
          </cell>
        </row>
        <row r="7039">
          <cell r="L7039" t="str">
            <v>74262460</v>
          </cell>
        </row>
        <row r="7040">
          <cell r="L7040" t="str">
            <v>74269219</v>
          </cell>
        </row>
        <row r="7041">
          <cell r="L7041" t="str">
            <v>74269960</v>
          </cell>
        </row>
        <row r="7042">
          <cell r="L7042" t="str">
            <v>74275139</v>
          </cell>
        </row>
        <row r="7043">
          <cell r="L7043" t="str">
            <v>74282519</v>
          </cell>
        </row>
        <row r="7044">
          <cell r="L7044" t="str">
            <v>74291826</v>
          </cell>
        </row>
        <row r="7045">
          <cell r="L7045" t="str">
            <v>74293703</v>
          </cell>
        </row>
        <row r="7046">
          <cell r="L7046" t="str">
            <v>74235204</v>
          </cell>
        </row>
        <row r="7047">
          <cell r="L7047" t="str">
            <v>74268840</v>
          </cell>
        </row>
        <row r="7048">
          <cell r="L7048" t="str">
            <v>74288520</v>
          </cell>
        </row>
        <row r="7049">
          <cell r="L7049" t="str">
            <v>74288579</v>
          </cell>
        </row>
        <row r="7050">
          <cell r="L7050" t="str">
            <v>74297821</v>
          </cell>
        </row>
        <row r="7051">
          <cell r="L7051" t="str">
            <v>74312181</v>
          </cell>
        </row>
        <row r="7052">
          <cell r="L7052" t="str">
            <v>74112240</v>
          </cell>
        </row>
        <row r="7053">
          <cell r="L7053" t="str">
            <v>74181849</v>
          </cell>
        </row>
        <row r="7054">
          <cell r="L7054" t="str">
            <v>74184609</v>
          </cell>
        </row>
        <row r="7055">
          <cell r="L7055" t="str">
            <v>74205541</v>
          </cell>
        </row>
        <row r="7056">
          <cell r="L7056" t="str">
            <v>74230879</v>
          </cell>
        </row>
        <row r="7057">
          <cell r="L7057" t="str">
            <v>74235522</v>
          </cell>
        </row>
        <row r="7058">
          <cell r="L7058" t="str">
            <v>74240412</v>
          </cell>
        </row>
        <row r="7059">
          <cell r="L7059" t="str">
            <v>74240445</v>
          </cell>
        </row>
        <row r="7060">
          <cell r="L7060" t="str">
            <v>74251882</v>
          </cell>
        </row>
        <row r="7061">
          <cell r="L7061" t="str">
            <v>74261559</v>
          </cell>
        </row>
        <row r="7062">
          <cell r="L7062" t="str">
            <v>74261963</v>
          </cell>
        </row>
        <row r="7063">
          <cell r="L7063" t="str">
            <v>74275919</v>
          </cell>
        </row>
        <row r="7064">
          <cell r="L7064" t="str">
            <v>74277106</v>
          </cell>
        </row>
        <row r="7065">
          <cell r="L7065" t="str">
            <v>74279543</v>
          </cell>
        </row>
        <row r="7066">
          <cell r="L7066" t="str">
            <v>74281679</v>
          </cell>
        </row>
        <row r="7067">
          <cell r="L7067" t="str">
            <v>74281680</v>
          </cell>
        </row>
        <row r="7068">
          <cell r="L7068" t="str">
            <v>74281841</v>
          </cell>
        </row>
        <row r="7069">
          <cell r="L7069" t="str">
            <v>74287742</v>
          </cell>
        </row>
        <row r="7070">
          <cell r="L7070" t="str">
            <v>74290042</v>
          </cell>
        </row>
        <row r="7071">
          <cell r="L7071" t="str">
            <v>74296000</v>
          </cell>
        </row>
        <row r="7072">
          <cell r="L7072" t="str">
            <v>74296103</v>
          </cell>
        </row>
        <row r="7073">
          <cell r="L7073" t="str">
            <v>74298662</v>
          </cell>
        </row>
        <row r="7074">
          <cell r="L7074" t="str">
            <v>74299481</v>
          </cell>
        </row>
        <row r="7075">
          <cell r="L7075" t="str">
            <v>74304023</v>
          </cell>
        </row>
        <row r="7076">
          <cell r="L7076" t="str">
            <v>74307603</v>
          </cell>
        </row>
        <row r="7077">
          <cell r="L7077" t="str">
            <v>74159925</v>
          </cell>
        </row>
        <row r="7078">
          <cell r="L7078" t="str">
            <v>74179173</v>
          </cell>
        </row>
        <row r="7079">
          <cell r="L7079" t="str">
            <v>74198084</v>
          </cell>
        </row>
        <row r="7080">
          <cell r="L7080" t="str">
            <v>74214735</v>
          </cell>
        </row>
        <row r="7081">
          <cell r="L7081" t="str">
            <v>74216450</v>
          </cell>
        </row>
        <row r="7082">
          <cell r="L7082" t="str">
            <v>74219781</v>
          </cell>
        </row>
        <row r="7083">
          <cell r="L7083" t="str">
            <v>74219790</v>
          </cell>
        </row>
        <row r="7084">
          <cell r="L7084" t="str">
            <v>74222231</v>
          </cell>
        </row>
        <row r="7085">
          <cell r="L7085" t="str">
            <v>74222261</v>
          </cell>
        </row>
        <row r="7086">
          <cell r="L7086" t="str">
            <v>74224121</v>
          </cell>
        </row>
        <row r="7087">
          <cell r="L7087" t="str">
            <v>74224125</v>
          </cell>
        </row>
        <row r="7088">
          <cell r="L7088" t="str">
            <v>74225467</v>
          </cell>
        </row>
        <row r="7089">
          <cell r="L7089" t="str">
            <v>74225490</v>
          </cell>
        </row>
        <row r="7090">
          <cell r="L7090" t="str">
            <v>74227729</v>
          </cell>
        </row>
        <row r="7091">
          <cell r="L7091" t="str">
            <v>74228427</v>
          </cell>
        </row>
        <row r="7092">
          <cell r="L7092" t="str">
            <v>74228430</v>
          </cell>
        </row>
        <row r="7093">
          <cell r="L7093" t="str">
            <v>74228437</v>
          </cell>
        </row>
        <row r="7094">
          <cell r="L7094" t="str">
            <v>74228450</v>
          </cell>
        </row>
        <row r="7095">
          <cell r="L7095" t="str">
            <v>74233099</v>
          </cell>
        </row>
        <row r="7096">
          <cell r="L7096" t="str">
            <v>74233783</v>
          </cell>
        </row>
        <row r="7097">
          <cell r="L7097" t="str">
            <v>74235626</v>
          </cell>
        </row>
        <row r="7098">
          <cell r="L7098" t="str">
            <v>74235629</v>
          </cell>
        </row>
        <row r="7099">
          <cell r="L7099" t="str">
            <v>74235631</v>
          </cell>
        </row>
        <row r="7100">
          <cell r="L7100" t="str">
            <v>74235636</v>
          </cell>
        </row>
        <row r="7101">
          <cell r="L7101" t="str">
            <v>74236581</v>
          </cell>
        </row>
        <row r="7102">
          <cell r="L7102" t="str">
            <v>74237899</v>
          </cell>
        </row>
        <row r="7103">
          <cell r="L7103" t="str">
            <v>74238048</v>
          </cell>
        </row>
        <row r="7104">
          <cell r="L7104" t="str">
            <v>74238051</v>
          </cell>
        </row>
        <row r="7105">
          <cell r="L7105" t="str">
            <v>74238055</v>
          </cell>
        </row>
        <row r="7106">
          <cell r="L7106" t="str">
            <v>74238060</v>
          </cell>
        </row>
        <row r="7107">
          <cell r="L7107" t="str">
            <v>74238061</v>
          </cell>
        </row>
        <row r="7108">
          <cell r="L7108" t="str">
            <v>74239295</v>
          </cell>
        </row>
        <row r="7109">
          <cell r="L7109" t="str">
            <v>74239320</v>
          </cell>
        </row>
        <row r="7110">
          <cell r="L7110" t="str">
            <v>74239339</v>
          </cell>
        </row>
        <row r="7111">
          <cell r="L7111" t="str">
            <v>74239342</v>
          </cell>
        </row>
        <row r="7112">
          <cell r="L7112" t="str">
            <v>74239361</v>
          </cell>
        </row>
        <row r="7113">
          <cell r="L7113" t="str">
            <v>74239384</v>
          </cell>
        </row>
        <row r="7114">
          <cell r="L7114" t="str">
            <v>74239387</v>
          </cell>
        </row>
        <row r="7115">
          <cell r="L7115" t="str">
            <v>74239391</v>
          </cell>
        </row>
        <row r="7116">
          <cell r="L7116" t="str">
            <v>74239393</v>
          </cell>
        </row>
        <row r="7117">
          <cell r="L7117" t="str">
            <v>74243039</v>
          </cell>
        </row>
        <row r="7118">
          <cell r="L7118" t="str">
            <v>74243042</v>
          </cell>
        </row>
        <row r="7119">
          <cell r="L7119" t="str">
            <v>74243060</v>
          </cell>
        </row>
        <row r="7120">
          <cell r="L7120" t="str">
            <v>74243061</v>
          </cell>
        </row>
        <row r="7121">
          <cell r="L7121" t="str">
            <v>74243064</v>
          </cell>
        </row>
        <row r="7122">
          <cell r="L7122" t="str">
            <v>74243084</v>
          </cell>
        </row>
        <row r="7123">
          <cell r="L7123" t="str">
            <v>74243099</v>
          </cell>
        </row>
        <row r="7124">
          <cell r="L7124" t="str">
            <v>74243103</v>
          </cell>
        </row>
        <row r="7125">
          <cell r="L7125" t="str">
            <v>74243104</v>
          </cell>
        </row>
        <row r="7126">
          <cell r="L7126" t="str">
            <v>74243125</v>
          </cell>
        </row>
        <row r="7127">
          <cell r="L7127" t="str">
            <v>74243140</v>
          </cell>
        </row>
        <row r="7128">
          <cell r="L7128" t="str">
            <v>74243365</v>
          </cell>
        </row>
        <row r="7129">
          <cell r="L7129" t="str">
            <v>74246270</v>
          </cell>
        </row>
        <row r="7130">
          <cell r="L7130" t="str">
            <v>74246281</v>
          </cell>
        </row>
        <row r="7131">
          <cell r="L7131" t="str">
            <v>74246283</v>
          </cell>
        </row>
        <row r="7132">
          <cell r="L7132" t="str">
            <v>74246284</v>
          </cell>
        </row>
        <row r="7133">
          <cell r="L7133" t="str">
            <v>74246287</v>
          </cell>
        </row>
        <row r="7134">
          <cell r="L7134" t="str">
            <v>74246289</v>
          </cell>
        </row>
        <row r="7135">
          <cell r="L7135" t="str">
            <v>74246290</v>
          </cell>
        </row>
        <row r="7136">
          <cell r="L7136" t="str">
            <v>74246294</v>
          </cell>
        </row>
        <row r="7137">
          <cell r="L7137" t="str">
            <v>74246295</v>
          </cell>
        </row>
        <row r="7138">
          <cell r="L7138" t="str">
            <v>74246299</v>
          </cell>
        </row>
        <row r="7139">
          <cell r="L7139" t="str">
            <v>74246302</v>
          </cell>
        </row>
        <row r="7140">
          <cell r="L7140" t="str">
            <v>74246320</v>
          </cell>
        </row>
        <row r="7141">
          <cell r="L7141" t="str">
            <v>74246321</v>
          </cell>
        </row>
        <row r="7142">
          <cell r="L7142" t="str">
            <v>74246342</v>
          </cell>
        </row>
        <row r="7143">
          <cell r="L7143" t="str">
            <v>74246343</v>
          </cell>
        </row>
        <row r="7144">
          <cell r="L7144" t="str">
            <v>74249467</v>
          </cell>
        </row>
        <row r="7145">
          <cell r="L7145" t="str">
            <v>74249488</v>
          </cell>
        </row>
        <row r="7146">
          <cell r="L7146" t="str">
            <v>74249639</v>
          </cell>
        </row>
        <row r="7147">
          <cell r="L7147" t="str">
            <v>74249642</v>
          </cell>
        </row>
        <row r="7148">
          <cell r="L7148" t="str">
            <v>74251112</v>
          </cell>
        </row>
        <row r="7149">
          <cell r="L7149" t="str">
            <v>74251181</v>
          </cell>
        </row>
        <row r="7150">
          <cell r="L7150" t="str">
            <v>74251188</v>
          </cell>
        </row>
        <row r="7151">
          <cell r="L7151" t="str">
            <v>74251201</v>
          </cell>
        </row>
        <row r="7152">
          <cell r="L7152" t="str">
            <v>74251202</v>
          </cell>
        </row>
        <row r="7153">
          <cell r="L7153" t="str">
            <v>74251206</v>
          </cell>
        </row>
        <row r="7154">
          <cell r="L7154" t="str">
            <v>74251211</v>
          </cell>
        </row>
        <row r="7155">
          <cell r="L7155" t="str">
            <v>74253423</v>
          </cell>
        </row>
        <row r="7156">
          <cell r="L7156" t="str">
            <v>74253424</v>
          </cell>
        </row>
        <row r="7157">
          <cell r="L7157" t="str">
            <v>74253445</v>
          </cell>
        </row>
        <row r="7158">
          <cell r="L7158" t="str">
            <v>74253449</v>
          </cell>
        </row>
        <row r="7159">
          <cell r="L7159" t="str">
            <v>74253457</v>
          </cell>
        </row>
        <row r="7160">
          <cell r="L7160" t="str">
            <v>74253463</v>
          </cell>
        </row>
        <row r="7161">
          <cell r="L7161" t="str">
            <v>74253466</v>
          </cell>
        </row>
        <row r="7162">
          <cell r="L7162" t="str">
            <v>74256285</v>
          </cell>
        </row>
        <row r="7163">
          <cell r="L7163" t="str">
            <v>74256299</v>
          </cell>
        </row>
        <row r="7164">
          <cell r="L7164" t="str">
            <v>74256300</v>
          </cell>
        </row>
        <row r="7165">
          <cell r="L7165" t="str">
            <v>74256302</v>
          </cell>
        </row>
        <row r="7166">
          <cell r="L7166" t="str">
            <v>74256304</v>
          </cell>
        </row>
        <row r="7167">
          <cell r="L7167" t="str">
            <v>74256348</v>
          </cell>
        </row>
        <row r="7168">
          <cell r="L7168" t="str">
            <v>74256349</v>
          </cell>
        </row>
        <row r="7169">
          <cell r="L7169" t="str">
            <v>74259322</v>
          </cell>
        </row>
        <row r="7170">
          <cell r="L7170" t="str">
            <v>74259805</v>
          </cell>
        </row>
        <row r="7171">
          <cell r="L7171" t="str">
            <v>74259806</v>
          </cell>
        </row>
        <row r="7172">
          <cell r="L7172" t="str">
            <v>74259821</v>
          </cell>
        </row>
        <row r="7173">
          <cell r="L7173" t="str">
            <v>74259861</v>
          </cell>
        </row>
        <row r="7174">
          <cell r="L7174" t="str">
            <v>74259869</v>
          </cell>
        </row>
        <row r="7175">
          <cell r="L7175" t="str">
            <v>74259871</v>
          </cell>
        </row>
        <row r="7176">
          <cell r="L7176" t="str">
            <v>74259890</v>
          </cell>
        </row>
        <row r="7177">
          <cell r="L7177" t="str">
            <v>74262681</v>
          </cell>
        </row>
        <row r="7178">
          <cell r="L7178" t="str">
            <v>74262685</v>
          </cell>
        </row>
        <row r="7179">
          <cell r="L7179" t="str">
            <v>74262687</v>
          </cell>
        </row>
        <row r="7180">
          <cell r="L7180" t="str">
            <v>74262688</v>
          </cell>
        </row>
        <row r="7181">
          <cell r="L7181" t="str">
            <v>74262689</v>
          </cell>
        </row>
        <row r="7182">
          <cell r="L7182" t="str">
            <v>74262690</v>
          </cell>
        </row>
        <row r="7183">
          <cell r="L7183" t="str">
            <v>74262700</v>
          </cell>
        </row>
        <row r="7184">
          <cell r="L7184" t="str">
            <v>74262825</v>
          </cell>
        </row>
        <row r="7185">
          <cell r="L7185" t="str">
            <v>74262835</v>
          </cell>
        </row>
        <row r="7186">
          <cell r="L7186" t="str">
            <v>74262838</v>
          </cell>
        </row>
        <row r="7187">
          <cell r="L7187" t="str">
            <v>74266077</v>
          </cell>
        </row>
        <row r="7188">
          <cell r="L7188" t="str">
            <v>74266078</v>
          </cell>
        </row>
        <row r="7189">
          <cell r="L7189" t="str">
            <v>74266082</v>
          </cell>
        </row>
        <row r="7190">
          <cell r="L7190" t="str">
            <v>74266089</v>
          </cell>
        </row>
        <row r="7191">
          <cell r="L7191" t="str">
            <v>74266091</v>
          </cell>
        </row>
        <row r="7192">
          <cell r="L7192" t="str">
            <v>74266095</v>
          </cell>
        </row>
        <row r="7193">
          <cell r="L7193" t="str">
            <v>74266098</v>
          </cell>
        </row>
        <row r="7194">
          <cell r="L7194" t="str">
            <v>74269149</v>
          </cell>
        </row>
        <row r="7195">
          <cell r="L7195" t="str">
            <v>74269154</v>
          </cell>
        </row>
        <row r="7196">
          <cell r="L7196" t="str">
            <v>74272180</v>
          </cell>
        </row>
        <row r="7197">
          <cell r="L7197" t="str">
            <v>74272192</v>
          </cell>
        </row>
        <row r="7198">
          <cell r="L7198" t="str">
            <v>74272195</v>
          </cell>
        </row>
        <row r="7199">
          <cell r="L7199" t="str">
            <v>74272224</v>
          </cell>
        </row>
        <row r="7200">
          <cell r="L7200" t="str">
            <v>74272248</v>
          </cell>
        </row>
        <row r="7201">
          <cell r="L7201" t="str">
            <v>74274085</v>
          </cell>
        </row>
        <row r="7202">
          <cell r="L7202" t="str">
            <v>74274087</v>
          </cell>
        </row>
        <row r="7203">
          <cell r="L7203" t="str">
            <v>74274088</v>
          </cell>
        </row>
        <row r="7204">
          <cell r="L7204" t="str">
            <v>74274093</v>
          </cell>
        </row>
        <row r="7205">
          <cell r="L7205" t="str">
            <v>74274099</v>
          </cell>
        </row>
        <row r="7206">
          <cell r="L7206" t="str">
            <v>74274102</v>
          </cell>
        </row>
        <row r="7207">
          <cell r="L7207" t="str">
            <v>74274107</v>
          </cell>
        </row>
        <row r="7208">
          <cell r="L7208" t="str">
            <v>74274108</v>
          </cell>
        </row>
        <row r="7209">
          <cell r="L7209" t="str">
            <v>74275744</v>
          </cell>
        </row>
        <row r="7210">
          <cell r="L7210" t="str">
            <v>74275746</v>
          </cell>
        </row>
        <row r="7211">
          <cell r="L7211" t="str">
            <v>74275748</v>
          </cell>
        </row>
        <row r="7212">
          <cell r="L7212" t="str">
            <v>74275755</v>
          </cell>
        </row>
        <row r="7213">
          <cell r="L7213" t="str">
            <v>74275759</v>
          </cell>
        </row>
        <row r="7214">
          <cell r="L7214" t="str">
            <v>74275776</v>
          </cell>
        </row>
        <row r="7215">
          <cell r="L7215" t="str">
            <v>74277861</v>
          </cell>
        </row>
        <row r="7216">
          <cell r="L7216" t="str">
            <v>74277864</v>
          </cell>
        </row>
        <row r="7217">
          <cell r="L7217" t="str">
            <v>74277869</v>
          </cell>
        </row>
        <row r="7218">
          <cell r="L7218" t="str">
            <v>74277873</v>
          </cell>
        </row>
        <row r="7219">
          <cell r="L7219" t="str">
            <v>74277878</v>
          </cell>
        </row>
        <row r="7220">
          <cell r="L7220" t="str">
            <v>74277907</v>
          </cell>
        </row>
        <row r="7221">
          <cell r="L7221" t="str">
            <v>74277909</v>
          </cell>
        </row>
        <row r="7222">
          <cell r="L7222" t="str">
            <v>74277918</v>
          </cell>
        </row>
        <row r="7223">
          <cell r="L7223" t="str">
            <v>74277922</v>
          </cell>
        </row>
        <row r="7224">
          <cell r="L7224" t="str">
            <v>74280081</v>
          </cell>
        </row>
        <row r="7225">
          <cell r="L7225" t="str">
            <v>74280082</v>
          </cell>
        </row>
        <row r="7226">
          <cell r="L7226" t="str">
            <v>74280086</v>
          </cell>
        </row>
        <row r="7227">
          <cell r="L7227" t="str">
            <v>74280096</v>
          </cell>
        </row>
        <row r="7228">
          <cell r="L7228" t="str">
            <v>74283900</v>
          </cell>
        </row>
        <row r="7229">
          <cell r="L7229" t="str">
            <v>74283906</v>
          </cell>
        </row>
        <row r="7230">
          <cell r="L7230" t="str">
            <v>74283916</v>
          </cell>
        </row>
        <row r="7231">
          <cell r="L7231" t="str">
            <v>74283928</v>
          </cell>
        </row>
        <row r="7232">
          <cell r="L7232" t="str">
            <v>74283929</v>
          </cell>
        </row>
        <row r="7233">
          <cell r="L7233" t="str">
            <v>74283933</v>
          </cell>
        </row>
        <row r="7234">
          <cell r="L7234" t="str">
            <v>74285141</v>
          </cell>
        </row>
        <row r="7235">
          <cell r="L7235" t="str">
            <v>74285147</v>
          </cell>
        </row>
        <row r="7236">
          <cell r="L7236" t="str">
            <v>74285148</v>
          </cell>
        </row>
        <row r="7237">
          <cell r="L7237" t="str">
            <v>74285150</v>
          </cell>
        </row>
        <row r="7238">
          <cell r="L7238" t="str">
            <v>74285151</v>
          </cell>
        </row>
        <row r="7239">
          <cell r="L7239" t="str">
            <v>74285152</v>
          </cell>
        </row>
        <row r="7240">
          <cell r="L7240" t="str">
            <v>74285156</v>
          </cell>
        </row>
        <row r="7241">
          <cell r="L7241" t="str">
            <v>74285159</v>
          </cell>
        </row>
        <row r="7242">
          <cell r="L7242" t="str">
            <v>74287341</v>
          </cell>
        </row>
        <row r="7243">
          <cell r="L7243" t="str">
            <v>74287346</v>
          </cell>
        </row>
        <row r="7244">
          <cell r="L7244" t="str">
            <v>74287349</v>
          </cell>
        </row>
        <row r="7245">
          <cell r="L7245" t="str">
            <v>74287361</v>
          </cell>
        </row>
        <row r="7246">
          <cell r="L7246" t="str">
            <v>74289348</v>
          </cell>
        </row>
        <row r="7247">
          <cell r="L7247" t="str">
            <v>74289357</v>
          </cell>
        </row>
        <row r="7248">
          <cell r="L7248" t="str">
            <v>74289376</v>
          </cell>
        </row>
        <row r="7249">
          <cell r="L7249" t="str">
            <v>74293428</v>
          </cell>
        </row>
        <row r="7250">
          <cell r="L7250" t="str">
            <v>74293455</v>
          </cell>
        </row>
        <row r="7251">
          <cell r="L7251" t="str">
            <v>74295467</v>
          </cell>
        </row>
        <row r="7252">
          <cell r="L7252" t="str">
            <v>74295473</v>
          </cell>
        </row>
        <row r="7253">
          <cell r="L7253" t="str">
            <v>74295651</v>
          </cell>
        </row>
        <row r="7254">
          <cell r="L7254" t="str">
            <v>74297422</v>
          </cell>
        </row>
        <row r="7255">
          <cell r="L7255" t="str">
            <v>74297425</v>
          </cell>
        </row>
        <row r="7256">
          <cell r="L7256" t="str">
            <v>74297434</v>
          </cell>
        </row>
        <row r="7257">
          <cell r="L7257" t="str">
            <v>74297438</v>
          </cell>
        </row>
        <row r="7258">
          <cell r="L7258" t="str">
            <v>74297439</v>
          </cell>
        </row>
        <row r="7259">
          <cell r="L7259" t="str">
            <v>74300800</v>
          </cell>
        </row>
        <row r="7260">
          <cell r="L7260" t="str">
            <v>74302833</v>
          </cell>
        </row>
        <row r="7261">
          <cell r="L7261" t="str">
            <v>74306600</v>
          </cell>
        </row>
        <row r="7262">
          <cell r="L7262" t="str">
            <v>74306602</v>
          </cell>
        </row>
        <row r="7263">
          <cell r="L7263" t="str">
            <v>74306618</v>
          </cell>
        </row>
        <row r="7264">
          <cell r="L7264" t="str">
            <v>74309094</v>
          </cell>
        </row>
        <row r="7265">
          <cell r="L7265" t="str">
            <v>74309097</v>
          </cell>
        </row>
        <row r="7266">
          <cell r="L7266" t="str">
            <v>74184477</v>
          </cell>
        </row>
        <row r="7267">
          <cell r="L7267" t="str">
            <v>74193319</v>
          </cell>
        </row>
        <row r="7268">
          <cell r="L7268" t="str">
            <v>74195906</v>
          </cell>
        </row>
        <row r="7269">
          <cell r="L7269" t="str">
            <v>74195912</v>
          </cell>
        </row>
        <row r="7270">
          <cell r="L7270" t="str">
            <v>74198075</v>
          </cell>
        </row>
        <row r="7271">
          <cell r="L7271" t="str">
            <v>74198082</v>
          </cell>
        </row>
        <row r="7272">
          <cell r="L7272" t="str">
            <v>74202801</v>
          </cell>
        </row>
        <row r="7273">
          <cell r="L7273" t="str">
            <v>74202826</v>
          </cell>
        </row>
        <row r="7274">
          <cell r="L7274" t="str">
            <v>74205170</v>
          </cell>
        </row>
        <row r="7275">
          <cell r="L7275" t="str">
            <v>74205175</v>
          </cell>
        </row>
        <row r="7276">
          <cell r="L7276" t="str">
            <v>74205179</v>
          </cell>
        </row>
        <row r="7277">
          <cell r="L7277" t="str">
            <v>74207843</v>
          </cell>
        </row>
        <row r="7278">
          <cell r="L7278" t="str">
            <v>74209182</v>
          </cell>
        </row>
        <row r="7279">
          <cell r="L7279" t="str">
            <v>74209202</v>
          </cell>
        </row>
        <row r="7280">
          <cell r="L7280" t="str">
            <v>74209224</v>
          </cell>
        </row>
        <row r="7281">
          <cell r="L7281" t="str">
            <v>74211162</v>
          </cell>
        </row>
        <row r="7282">
          <cell r="L7282" t="str">
            <v>74216427</v>
          </cell>
        </row>
        <row r="7283">
          <cell r="L7283" t="str">
            <v>74216431</v>
          </cell>
        </row>
        <row r="7284">
          <cell r="L7284" t="str">
            <v>74218468</v>
          </cell>
        </row>
        <row r="7285">
          <cell r="L7285" t="str">
            <v>74219798</v>
          </cell>
        </row>
        <row r="7286">
          <cell r="L7286" t="str">
            <v>74219805</v>
          </cell>
        </row>
        <row r="7287">
          <cell r="L7287" t="str">
            <v>74222267</v>
          </cell>
        </row>
        <row r="7288">
          <cell r="L7288" t="str">
            <v>74228439</v>
          </cell>
        </row>
        <row r="7289">
          <cell r="L7289" t="str">
            <v>74233760</v>
          </cell>
        </row>
        <row r="7290">
          <cell r="L7290" t="str">
            <v>74233761</v>
          </cell>
        </row>
        <row r="7291">
          <cell r="L7291" t="str">
            <v>74243142</v>
          </cell>
        </row>
        <row r="7292">
          <cell r="L7292" t="str">
            <v>74246360</v>
          </cell>
        </row>
        <row r="7293">
          <cell r="L7293" t="str">
            <v>74253451</v>
          </cell>
        </row>
        <row r="7294">
          <cell r="L7294" t="str">
            <v>74256340</v>
          </cell>
        </row>
        <row r="7295">
          <cell r="L7295" t="str">
            <v>74256347</v>
          </cell>
        </row>
        <row r="7296">
          <cell r="L7296" t="str">
            <v>74262839</v>
          </cell>
        </row>
        <row r="7297">
          <cell r="L7297" t="str">
            <v>74269152</v>
          </cell>
        </row>
        <row r="7298">
          <cell r="L7298" t="str">
            <v>74272179</v>
          </cell>
        </row>
        <row r="7299">
          <cell r="L7299" t="str">
            <v>74274101</v>
          </cell>
        </row>
        <row r="7300">
          <cell r="L7300" t="str">
            <v>74275769</v>
          </cell>
        </row>
        <row r="7301">
          <cell r="L7301" t="str">
            <v>74277762</v>
          </cell>
        </row>
        <row r="7302">
          <cell r="L7302" t="str">
            <v>74283905</v>
          </cell>
        </row>
        <row r="7303">
          <cell r="L7303" t="str">
            <v>74280084</v>
          </cell>
        </row>
        <row r="7304">
          <cell r="L7304" t="str">
            <v>74160921</v>
          </cell>
        </row>
        <row r="7305">
          <cell r="L7305" t="str">
            <v>74195983</v>
          </cell>
        </row>
        <row r="7306">
          <cell r="L7306" t="str">
            <v>74108694</v>
          </cell>
        </row>
        <row r="7307">
          <cell r="L7307" t="str">
            <v>74123774</v>
          </cell>
        </row>
        <row r="7308">
          <cell r="L7308" t="str">
            <v>74133722</v>
          </cell>
        </row>
        <row r="7309">
          <cell r="L7309" t="str">
            <v>74188109</v>
          </cell>
        </row>
        <row r="7310">
          <cell r="L7310" t="str">
            <v>74189030</v>
          </cell>
        </row>
        <row r="7311">
          <cell r="L7311" t="str">
            <v>74192011</v>
          </cell>
        </row>
        <row r="7312">
          <cell r="L7312" t="str">
            <v>74209762</v>
          </cell>
        </row>
        <row r="7313">
          <cell r="L7313" t="str">
            <v>74239062</v>
          </cell>
        </row>
        <row r="7314">
          <cell r="L7314" t="str">
            <v>74243079</v>
          </cell>
        </row>
        <row r="7315">
          <cell r="L7315" t="str">
            <v>74244264</v>
          </cell>
        </row>
        <row r="7316">
          <cell r="L7316" t="str">
            <v>74244919</v>
          </cell>
        </row>
        <row r="7317">
          <cell r="L7317" t="str">
            <v>74246880</v>
          </cell>
        </row>
        <row r="7318">
          <cell r="L7318" t="str">
            <v>74251427</v>
          </cell>
        </row>
        <row r="7319">
          <cell r="L7319" t="str">
            <v>74256719</v>
          </cell>
        </row>
        <row r="7320">
          <cell r="L7320" t="str">
            <v>74256739</v>
          </cell>
        </row>
        <row r="7321">
          <cell r="L7321" t="str">
            <v>74257720</v>
          </cell>
        </row>
        <row r="7322">
          <cell r="L7322" t="str">
            <v>74261740</v>
          </cell>
        </row>
        <row r="7323">
          <cell r="L7323" t="str">
            <v>74275360</v>
          </cell>
        </row>
        <row r="7324">
          <cell r="L7324" t="str">
            <v>74277161</v>
          </cell>
        </row>
        <row r="7325">
          <cell r="L7325" t="str">
            <v>74277801</v>
          </cell>
        </row>
        <row r="7326">
          <cell r="L7326" t="str">
            <v>74279540</v>
          </cell>
        </row>
        <row r="7327">
          <cell r="L7327" t="str">
            <v>74281280</v>
          </cell>
        </row>
        <row r="7328">
          <cell r="L7328" t="str">
            <v>74281282</v>
          </cell>
        </row>
        <row r="7329">
          <cell r="L7329" t="str">
            <v>74285181</v>
          </cell>
        </row>
        <row r="7330">
          <cell r="L7330" t="str">
            <v>74302422</v>
          </cell>
        </row>
        <row r="7331">
          <cell r="L7331" t="str">
            <v>74296119</v>
          </cell>
        </row>
        <row r="7332">
          <cell r="L7332" t="str">
            <v>74070336</v>
          </cell>
        </row>
        <row r="7333">
          <cell r="L7333" t="str">
            <v>74072131</v>
          </cell>
        </row>
        <row r="7334">
          <cell r="L7334" t="str">
            <v>74075004</v>
          </cell>
        </row>
        <row r="7335">
          <cell r="L7335" t="str">
            <v>74077200</v>
          </cell>
        </row>
        <row r="7336">
          <cell r="L7336" t="str">
            <v>74077203</v>
          </cell>
        </row>
        <row r="7337">
          <cell r="L7337" t="str">
            <v>74078127</v>
          </cell>
        </row>
        <row r="7338">
          <cell r="L7338" t="str">
            <v>74092347</v>
          </cell>
        </row>
        <row r="7339">
          <cell r="L7339" t="str">
            <v>74095991</v>
          </cell>
        </row>
        <row r="7340">
          <cell r="L7340" t="str">
            <v>74098587</v>
          </cell>
        </row>
        <row r="7341">
          <cell r="L7341" t="str">
            <v>74098768</v>
          </cell>
        </row>
        <row r="7342">
          <cell r="L7342" t="str">
            <v>74101419</v>
          </cell>
        </row>
        <row r="7343">
          <cell r="L7343" t="str">
            <v>74108627</v>
          </cell>
        </row>
        <row r="7344">
          <cell r="L7344" t="str">
            <v>74110897</v>
          </cell>
        </row>
        <row r="7345">
          <cell r="L7345" t="str">
            <v>74123928</v>
          </cell>
        </row>
        <row r="7346">
          <cell r="L7346" t="str">
            <v>74125655</v>
          </cell>
        </row>
        <row r="7347">
          <cell r="L7347" t="str">
            <v>74127629</v>
          </cell>
        </row>
        <row r="7348">
          <cell r="L7348" t="str">
            <v>74134379</v>
          </cell>
        </row>
        <row r="7349">
          <cell r="L7349" t="str">
            <v>74135165</v>
          </cell>
        </row>
        <row r="7350">
          <cell r="L7350" t="str">
            <v>74139889</v>
          </cell>
        </row>
        <row r="7351">
          <cell r="L7351" t="str">
            <v>74156037</v>
          </cell>
        </row>
        <row r="7352">
          <cell r="L7352" t="str">
            <v>74159372</v>
          </cell>
        </row>
        <row r="7353">
          <cell r="L7353" t="str">
            <v>74159796</v>
          </cell>
        </row>
        <row r="7354">
          <cell r="L7354" t="str">
            <v>74159987</v>
          </cell>
        </row>
        <row r="7355">
          <cell r="L7355" t="str">
            <v>74173109</v>
          </cell>
        </row>
        <row r="7356">
          <cell r="L7356" t="str">
            <v>74173331</v>
          </cell>
        </row>
        <row r="7357">
          <cell r="L7357" t="str">
            <v>74176569</v>
          </cell>
        </row>
        <row r="7358">
          <cell r="L7358" t="str">
            <v>74177048</v>
          </cell>
        </row>
        <row r="7359">
          <cell r="L7359" t="str">
            <v>74181433</v>
          </cell>
        </row>
        <row r="7360">
          <cell r="L7360" t="str">
            <v>74185689</v>
          </cell>
        </row>
        <row r="7361">
          <cell r="L7361" t="str">
            <v>74190016</v>
          </cell>
        </row>
        <row r="7362">
          <cell r="L7362" t="str">
            <v>74191773</v>
          </cell>
        </row>
        <row r="7363">
          <cell r="L7363" t="str">
            <v>74191995</v>
          </cell>
        </row>
        <row r="7364">
          <cell r="L7364" t="str">
            <v>74191996</v>
          </cell>
        </row>
        <row r="7365">
          <cell r="L7365" t="str">
            <v>74192150</v>
          </cell>
        </row>
        <row r="7366">
          <cell r="L7366" t="str">
            <v>74192688</v>
          </cell>
        </row>
        <row r="7367">
          <cell r="L7367" t="str">
            <v>74197406</v>
          </cell>
        </row>
        <row r="7368">
          <cell r="L7368" t="str">
            <v>74197599</v>
          </cell>
        </row>
        <row r="7369">
          <cell r="L7369" t="str">
            <v>74199520</v>
          </cell>
        </row>
        <row r="7370">
          <cell r="L7370" t="str">
            <v>74201590</v>
          </cell>
        </row>
        <row r="7371">
          <cell r="L7371" t="str">
            <v>74204222</v>
          </cell>
        </row>
        <row r="7372">
          <cell r="L7372" t="str">
            <v>74204280</v>
          </cell>
        </row>
        <row r="7373">
          <cell r="L7373" t="str">
            <v>74206049</v>
          </cell>
        </row>
        <row r="7374">
          <cell r="L7374" t="str">
            <v>74214101</v>
          </cell>
        </row>
        <row r="7375">
          <cell r="L7375" t="str">
            <v>74217606</v>
          </cell>
        </row>
        <row r="7376">
          <cell r="L7376" t="str">
            <v>74219793</v>
          </cell>
        </row>
        <row r="7377">
          <cell r="L7377" t="str">
            <v>74223124</v>
          </cell>
        </row>
        <row r="7378">
          <cell r="L7378" t="str">
            <v>74229359</v>
          </cell>
        </row>
        <row r="7379">
          <cell r="L7379" t="str">
            <v>74229360</v>
          </cell>
        </row>
        <row r="7380">
          <cell r="L7380" t="str">
            <v>74232300</v>
          </cell>
        </row>
        <row r="7381">
          <cell r="L7381" t="str">
            <v>74233079</v>
          </cell>
        </row>
        <row r="7382">
          <cell r="L7382" t="str">
            <v>74244221</v>
          </cell>
        </row>
        <row r="7383">
          <cell r="L7383" t="str">
            <v>74250340</v>
          </cell>
        </row>
        <row r="7384">
          <cell r="L7384" t="str">
            <v>74251300</v>
          </cell>
        </row>
        <row r="7385">
          <cell r="L7385" t="str">
            <v>74277101</v>
          </cell>
        </row>
        <row r="7386">
          <cell r="L7386" t="str">
            <v>74278900</v>
          </cell>
        </row>
        <row r="7387">
          <cell r="L7387" t="str">
            <v>74282159</v>
          </cell>
        </row>
        <row r="7388">
          <cell r="L7388" t="str">
            <v>74296120</v>
          </cell>
        </row>
        <row r="7389">
          <cell r="L7389" t="str">
            <v>74297025</v>
          </cell>
        </row>
        <row r="7390">
          <cell r="L7390" t="str">
            <v>74298660</v>
          </cell>
        </row>
        <row r="7391">
          <cell r="L7391" t="str">
            <v>74301182</v>
          </cell>
        </row>
        <row r="7392">
          <cell r="L7392" t="str">
            <v>74301680</v>
          </cell>
        </row>
        <row r="7393">
          <cell r="L7393" t="str">
            <v>74302889</v>
          </cell>
        </row>
        <row r="7394">
          <cell r="L7394" t="str">
            <v>74306444</v>
          </cell>
        </row>
        <row r="7395">
          <cell r="L7395" t="str">
            <v>74306445</v>
          </cell>
        </row>
        <row r="7396">
          <cell r="L7396" t="str">
            <v>74311560</v>
          </cell>
        </row>
        <row r="7397">
          <cell r="L7397" t="str">
            <v>74319844</v>
          </cell>
        </row>
        <row r="7398">
          <cell r="L7398" t="str">
            <v>74324921</v>
          </cell>
        </row>
        <row r="7399">
          <cell r="L7399" t="str">
            <v>74225584</v>
          </cell>
        </row>
        <row r="7400">
          <cell r="L7400" t="str">
            <v>74071877</v>
          </cell>
        </row>
        <row r="7401">
          <cell r="L7401" t="str">
            <v>74073259</v>
          </cell>
        </row>
        <row r="7402">
          <cell r="L7402" t="str">
            <v>74080351</v>
          </cell>
        </row>
        <row r="7403">
          <cell r="L7403" t="str">
            <v>74102646</v>
          </cell>
        </row>
        <row r="7404">
          <cell r="L7404" t="str">
            <v>74108630</v>
          </cell>
        </row>
        <row r="7405">
          <cell r="L7405" t="str">
            <v>74108808</v>
          </cell>
        </row>
        <row r="7406">
          <cell r="L7406" t="str">
            <v>74114950</v>
          </cell>
        </row>
        <row r="7407">
          <cell r="L7407" t="str">
            <v>74121772</v>
          </cell>
        </row>
        <row r="7408">
          <cell r="L7408" t="str">
            <v>74124741</v>
          </cell>
        </row>
        <row r="7409">
          <cell r="L7409" t="str">
            <v>74126226</v>
          </cell>
        </row>
        <row r="7410">
          <cell r="L7410" t="str">
            <v>74141889</v>
          </cell>
        </row>
        <row r="7411">
          <cell r="L7411" t="str">
            <v>74146932</v>
          </cell>
        </row>
        <row r="7412">
          <cell r="L7412" t="str">
            <v>74171172</v>
          </cell>
        </row>
        <row r="7413">
          <cell r="L7413" t="str">
            <v>74184539</v>
          </cell>
        </row>
        <row r="7414">
          <cell r="L7414" t="str">
            <v>74184549</v>
          </cell>
        </row>
        <row r="7415">
          <cell r="L7415" t="str">
            <v>74184903</v>
          </cell>
        </row>
        <row r="7416">
          <cell r="L7416" t="str">
            <v>74195460</v>
          </cell>
        </row>
        <row r="7417">
          <cell r="L7417" t="str">
            <v>74195462</v>
          </cell>
        </row>
        <row r="7418">
          <cell r="L7418" t="str">
            <v>74198759</v>
          </cell>
        </row>
        <row r="7419">
          <cell r="L7419" t="str">
            <v>74205282</v>
          </cell>
        </row>
        <row r="7420">
          <cell r="L7420" t="str">
            <v>74205339</v>
          </cell>
        </row>
        <row r="7421">
          <cell r="L7421" t="str">
            <v>74207019</v>
          </cell>
        </row>
        <row r="7422">
          <cell r="L7422" t="str">
            <v>74207907</v>
          </cell>
        </row>
        <row r="7423">
          <cell r="L7423" t="str">
            <v>74210720</v>
          </cell>
        </row>
        <row r="7424">
          <cell r="L7424" t="str">
            <v>74223048</v>
          </cell>
        </row>
        <row r="7425">
          <cell r="L7425" t="str">
            <v>74231559</v>
          </cell>
        </row>
        <row r="7426">
          <cell r="L7426" t="str">
            <v>74239523</v>
          </cell>
        </row>
        <row r="7427">
          <cell r="L7427" t="str">
            <v>74242146</v>
          </cell>
        </row>
        <row r="7428">
          <cell r="L7428" t="str">
            <v>74243900</v>
          </cell>
        </row>
        <row r="7429">
          <cell r="L7429" t="str">
            <v>74244229</v>
          </cell>
        </row>
        <row r="7430">
          <cell r="L7430" t="str">
            <v>74250319</v>
          </cell>
        </row>
        <row r="7431">
          <cell r="L7431" t="str">
            <v>74251448</v>
          </cell>
        </row>
        <row r="7432">
          <cell r="L7432" t="str">
            <v>74255080</v>
          </cell>
        </row>
        <row r="7433">
          <cell r="L7433" t="str">
            <v>74255599</v>
          </cell>
        </row>
        <row r="7434">
          <cell r="L7434" t="str">
            <v>74259440</v>
          </cell>
        </row>
        <row r="7435">
          <cell r="L7435" t="str">
            <v>74259443</v>
          </cell>
        </row>
        <row r="7436">
          <cell r="L7436" t="str">
            <v>74259867</v>
          </cell>
        </row>
        <row r="7437">
          <cell r="L7437" t="str">
            <v>74265159</v>
          </cell>
        </row>
        <row r="7438">
          <cell r="L7438" t="str">
            <v>74266780</v>
          </cell>
        </row>
        <row r="7439">
          <cell r="L7439" t="str">
            <v>74271499</v>
          </cell>
        </row>
        <row r="7440">
          <cell r="L7440" t="str">
            <v>74271500</v>
          </cell>
        </row>
        <row r="7441">
          <cell r="L7441" t="str">
            <v>74275079</v>
          </cell>
        </row>
        <row r="7442">
          <cell r="L7442" t="str">
            <v>74275359</v>
          </cell>
        </row>
        <row r="7443">
          <cell r="L7443" t="str">
            <v>74275361</v>
          </cell>
        </row>
        <row r="7444">
          <cell r="L7444" t="str">
            <v>74277103</v>
          </cell>
        </row>
        <row r="7445">
          <cell r="L7445" t="str">
            <v>74279475</v>
          </cell>
        </row>
        <row r="7446">
          <cell r="L7446" t="str">
            <v>74281142</v>
          </cell>
        </row>
        <row r="7447">
          <cell r="L7447" t="str">
            <v>74281219</v>
          </cell>
        </row>
        <row r="7448">
          <cell r="L7448" t="str">
            <v>74281289</v>
          </cell>
        </row>
        <row r="7449">
          <cell r="L7449" t="str">
            <v>74281359</v>
          </cell>
        </row>
        <row r="7450">
          <cell r="L7450" t="str">
            <v>74281381</v>
          </cell>
        </row>
        <row r="7451">
          <cell r="L7451" t="str">
            <v>74281399</v>
          </cell>
        </row>
        <row r="7452">
          <cell r="L7452" t="str">
            <v>74283764</v>
          </cell>
        </row>
        <row r="7453">
          <cell r="L7453" t="str">
            <v>74284502</v>
          </cell>
        </row>
        <row r="7454">
          <cell r="L7454" t="str">
            <v>74284505</v>
          </cell>
        </row>
        <row r="7455">
          <cell r="L7455" t="str">
            <v>74286988</v>
          </cell>
        </row>
        <row r="7456">
          <cell r="L7456" t="str">
            <v>74287579</v>
          </cell>
        </row>
        <row r="7457">
          <cell r="L7457" t="str">
            <v>74289188</v>
          </cell>
        </row>
        <row r="7458">
          <cell r="L7458" t="str">
            <v>74291523</v>
          </cell>
        </row>
        <row r="7459">
          <cell r="L7459" t="str">
            <v>74291859</v>
          </cell>
        </row>
        <row r="7460">
          <cell r="L7460" t="str">
            <v>74293561</v>
          </cell>
        </row>
        <row r="7461">
          <cell r="L7461" t="str">
            <v>74295530</v>
          </cell>
        </row>
        <row r="7462">
          <cell r="L7462" t="str">
            <v>74296219</v>
          </cell>
        </row>
        <row r="7463">
          <cell r="L7463" t="str">
            <v>74302423</v>
          </cell>
        </row>
        <row r="7464">
          <cell r="L7464" t="str">
            <v>74302619</v>
          </cell>
        </row>
        <row r="7465">
          <cell r="L7465" t="str">
            <v>74303840</v>
          </cell>
        </row>
        <row r="7466">
          <cell r="L7466" t="str">
            <v>74305942</v>
          </cell>
        </row>
        <row r="7467">
          <cell r="L7467" t="str">
            <v>74311120</v>
          </cell>
        </row>
        <row r="7468">
          <cell r="L7468" t="str">
            <v>74311962</v>
          </cell>
        </row>
        <row r="7469">
          <cell r="L7469" t="str">
            <v>74316960</v>
          </cell>
        </row>
        <row r="7470">
          <cell r="L7470" t="str">
            <v>74321199</v>
          </cell>
        </row>
        <row r="7471">
          <cell r="L7471" t="str">
            <v>74173196</v>
          </cell>
        </row>
        <row r="7472">
          <cell r="L7472" t="str">
            <v>74267941</v>
          </cell>
        </row>
        <row r="7473">
          <cell r="L7473" t="str">
            <v>74304326</v>
          </cell>
        </row>
        <row r="7474">
          <cell r="L7474" t="str">
            <v>74107898</v>
          </cell>
        </row>
        <row r="7475">
          <cell r="L7475" t="str">
            <v>74132096</v>
          </cell>
        </row>
        <row r="7476">
          <cell r="L7476" t="str">
            <v>74288361</v>
          </cell>
        </row>
        <row r="7477">
          <cell r="L7477" t="str">
            <v>74297574</v>
          </cell>
        </row>
        <row r="7478">
          <cell r="L7478" t="str">
            <v>74320335</v>
          </cell>
        </row>
        <row r="7479">
          <cell r="L7479" t="str">
            <v>74320489</v>
          </cell>
        </row>
        <row r="7480">
          <cell r="L7480" t="str">
            <v>74052794</v>
          </cell>
        </row>
        <row r="7481">
          <cell r="L7481" t="str">
            <v>74107846</v>
          </cell>
        </row>
        <row r="7482">
          <cell r="L7482" t="str">
            <v>74121391</v>
          </cell>
        </row>
        <row r="7483">
          <cell r="L7483" t="str">
            <v>74129644</v>
          </cell>
        </row>
        <row r="7484">
          <cell r="L7484" t="str">
            <v>74138307</v>
          </cell>
        </row>
        <row r="7485">
          <cell r="L7485" t="str">
            <v>74149732</v>
          </cell>
        </row>
        <row r="7486">
          <cell r="L7486" t="str">
            <v>74153937</v>
          </cell>
        </row>
        <row r="7487">
          <cell r="L7487" t="str">
            <v>74171874</v>
          </cell>
        </row>
        <row r="7488">
          <cell r="L7488" t="str">
            <v>74173692</v>
          </cell>
        </row>
        <row r="7489">
          <cell r="L7489" t="str">
            <v>74194702</v>
          </cell>
        </row>
        <row r="7490">
          <cell r="L7490" t="str">
            <v>74197442</v>
          </cell>
        </row>
        <row r="7491">
          <cell r="L7491" t="str">
            <v>74197725</v>
          </cell>
        </row>
        <row r="7492">
          <cell r="L7492" t="str">
            <v>74198988</v>
          </cell>
        </row>
        <row r="7493">
          <cell r="L7493" t="str">
            <v>74200826</v>
          </cell>
        </row>
        <row r="7494">
          <cell r="L7494" t="str">
            <v>74201329</v>
          </cell>
        </row>
        <row r="7495">
          <cell r="L7495" t="str">
            <v>74207399</v>
          </cell>
        </row>
        <row r="7496">
          <cell r="L7496" t="str">
            <v>74212779</v>
          </cell>
        </row>
        <row r="7497">
          <cell r="L7497" t="str">
            <v>74216100</v>
          </cell>
        </row>
        <row r="7498">
          <cell r="L7498" t="str">
            <v>74216147</v>
          </cell>
        </row>
        <row r="7499">
          <cell r="L7499" t="str">
            <v>74221120</v>
          </cell>
        </row>
        <row r="7500">
          <cell r="L7500" t="str">
            <v>74223202</v>
          </cell>
        </row>
        <row r="7501">
          <cell r="L7501" t="str">
            <v>74225248</v>
          </cell>
        </row>
        <row r="7502">
          <cell r="L7502" t="str">
            <v>74225599</v>
          </cell>
        </row>
        <row r="7503">
          <cell r="L7503" t="str">
            <v>74229820</v>
          </cell>
        </row>
        <row r="7504">
          <cell r="L7504" t="str">
            <v>74230824</v>
          </cell>
        </row>
        <row r="7505">
          <cell r="L7505" t="str">
            <v>74232122</v>
          </cell>
        </row>
        <row r="7506">
          <cell r="L7506" t="str">
            <v>74234040</v>
          </cell>
        </row>
        <row r="7507">
          <cell r="L7507" t="str">
            <v>74235217</v>
          </cell>
        </row>
        <row r="7508">
          <cell r="L7508" t="str">
            <v>74235400</v>
          </cell>
        </row>
        <row r="7509">
          <cell r="L7509" t="str">
            <v>74236887</v>
          </cell>
        </row>
        <row r="7510">
          <cell r="L7510" t="str">
            <v>74237825</v>
          </cell>
        </row>
        <row r="7511">
          <cell r="L7511" t="str">
            <v>74238341</v>
          </cell>
        </row>
        <row r="7512">
          <cell r="L7512" t="str">
            <v>74238681</v>
          </cell>
        </row>
        <row r="7513">
          <cell r="L7513" t="str">
            <v>74239219</v>
          </cell>
        </row>
        <row r="7514">
          <cell r="L7514" t="str">
            <v>74239394</v>
          </cell>
        </row>
        <row r="7515">
          <cell r="L7515" t="str">
            <v>74239543</v>
          </cell>
        </row>
        <row r="7516">
          <cell r="L7516" t="str">
            <v>74239544</v>
          </cell>
        </row>
        <row r="7517">
          <cell r="L7517" t="str">
            <v>74240679</v>
          </cell>
        </row>
        <row r="7518">
          <cell r="L7518" t="str">
            <v>74240704</v>
          </cell>
        </row>
        <row r="7519">
          <cell r="L7519" t="str">
            <v>74242742</v>
          </cell>
        </row>
        <row r="7520">
          <cell r="L7520" t="str">
            <v>74242799</v>
          </cell>
        </row>
        <row r="7521">
          <cell r="L7521" t="str">
            <v>74242860</v>
          </cell>
        </row>
        <row r="7522">
          <cell r="L7522" t="str">
            <v>74243374</v>
          </cell>
        </row>
        <row r="7523">
          <cell r="L7523" t="str">
            <v>74243861</v>
          </cell>
        </row>
        <row r="7524">
          <cell r="L7524" t="str">
            <v>74246588</v>
          </cell>
        </row>
        <row r="7525">
          <cell r="L7525" t="str">
            <v>74247626</v>
          </cell>
        </row>
        <row r="7526">
          <cell r="L7526" t="str">
            <v>74247861</v>
          </cell>
        </row>
        <row r="7527">
          <cell r="L7527" t="str">
            <v>74249030</v>
          </cell>
        </row>
        <row r="7528">
          <cell r="L7528" t="str">
            <v>74252813</v>
          </cell>
        </row>
        <row r="7529">
          <cell r="L7529" t="str">
            <v>74253456</v>
          </cell>
        </row>
        <row r="7530">
          <cell r="L7530" t="str">
            <v>74254239</v>
          </cell>
        </row>
        <row r="7531">
          <cell r="L7531" t="str">
            <v>74254761</v>
          </cell>
        </row>
        <row r="7532">
          <cell r="L7532" t="str">
            <v>74255062</v>
          </cell>
        </row>
        <row r="7533">
          <cell r="L7533" t="str">
            <v>74255679</v>
          </cell>
        </row>
        <row r="7534">
          <cell r="L7534" t="str">
            <v>74256987</v>
          </cell>
        </row>
        <row r="7535">
          <cell r="L7535" t="str">
            <v>74257524</v>
          </cell>
        </row>
        <row r="7536">
          <cell r="L7536" t="str">
            <v>74257539</v>
          </cell>
        </row>
        <row r="7537">
          <cell r="L7537" t="str">
            <v>74258059</v>
          </cell>
        </row>
        <row r="7538">
          <cell r="L7538" t="str">
            <v>74259039</v>
          </cell>
        </row>
        <row r="7539">
          <cell r="L7539" t="str">
            <v>74259119</v>
          </cell>
        </row>
        <row r="7540">
          <cell r="L7540" t="str">
            <v>74259162</v>
          </cell>
        </row>
        <row r="7541">
          <cell r="L7541" t="str">
            <v>74259261</v>
          </cell>
        </row>
        <row r="7542">
          <cell r="L7542" t="str">
            <v>74260821</v>
          </cell>
        </row>
        <row r="7543">
          <cell r="L7543" t="str">
            <v>74261160</v>
          </cell>
        </row>
        <row r="7544">
          <cell r="L7544" t="str">
            <v>74262243</v>
          </cell>
        </row>
        <row r="7545">
          <cell r="L7545" t="str">
            <v>74263739</v>
          </cell>
        </row>
        <row r="7546">
          <cell r="L7546" t="str">
            <v>74266660</v>
          </cell>
        </row>
        <row r="7547">
          <cell r="L7547" t="str">
            <v>74266967</v>
          </cell>
        </row>
        <row r="7548">
          <cell r="L7548" t="str">
            <v>74267465</v>
          </cell>
        </row>
        <row r="7549">
          <cell r="L7549" t="str">
            <v>74268720</v>
          </cell>
        </row>
        <row r="7550">
          <cell r="L7550" t="str">
            <v>74269281</v>
          </cell>
        </row>
        <row r="7551">
          <cell r="L7551" t="str">
            <v>74270939</v>
          </cell>
        </row>
        <row r="7552">
          <cell r="L7552" t="str">
            <v>74272100</v>
          </cell>
        </row>
        <row r="7553">
          <cell r="L7553" t="str">
            <v>74273463</v>
          </cell>
        </row>
        <row r="7554">
          <cell r="L7554" t="str">
            <v>74276166</v>
          </cell>
        </row>
        <row r="7555">
          <cell r="L7555" t="str">
            <v>74276519</v>
          </cell>
        </row>
        <row r="7556">
          <cell r="L7556" t="str">
            <v>74278419</v>
          </cell>
        </row>
        <row r="7557">
          <cell r="L7557" t="str">
            <v>74279408</v>
          </cell>
        </row>
        <row r="7558">
          <cell r="L7558" t="str">
            <v>74279654</v>
          </cell>
        </row>
        <row r="7559">
          <cell r="L7559" t="str">
            <v>74280161</v>
          </cell>
        </row>
        <row r="7560">
          <cell r="L7560" t="str">
            <v>74280479</v>
          </cell>
        </row>
        <row r="7561">
          <cell r="L7561" t="str">
            <v>74280620</v>
          </cell>
        </row>
        <row r="7562">
          <cell r="L7562" t="str">
            <v>74281659</v>
          </cell>
        </row>
        <row r="7563">
          <cell r="L7563" t="str">
            <v>74282520</v>
          </cell>
        </row>
        <row r="7564">
          <cell r="L7564" t="str">
            <v>74283679</v>
          </cell>
        </row>
        <row r="7565">
          <cell r="L7565" t="str">
            <v>74284199</v>
          </cell>
        </row>
        <row r="7566">
          <cell r="L7566" t="str">
            <v>74284499</v>
          </cell>
        </row>
        <row r="7567">
          <cell r="L7567" t="str">
            <v>74284947</v>
          </cell>
        </row>
        <row r="7568">
          <cell r="L7568" t="str">
            <v>74285034</v>
          </cell>
        </row>
        <row r="7569">
          <cell r="L7569" t="str">
            <v>74285740</v>
          </cell>
        </row>
        <row r="7570">
          <cell r="L7570" t="str">
            <v>74285887</v>
          </cell>
        </row>
        <row r="7571">
          <cell r="L7571" t="str">
            <v>74286348</v>
          </cell>
        </row>
        <row r="7572">
          <cell r="L7572" t="str">
            <v>74286467</v>
          </cell>
        </row>
        <row r="7573">
          <cell r="L7573" t="str">
            <v>74286543</v>
          </cell>
        </row>
        <row r="7574">
          <cell r="L7574" t="str">
            <v>74288321</v>
          </cell>
        </row>
        <row r="7575">
          <cell r="L7575" t="str">
            <v>74288339</v>
          </cell>
        </row>
        <row r="7576">
          <cell r="L7576" t="str">
            <v>74288783</v>
          </cell>
        </row>
        <row r="7577">
          <cell r="L7577" t="str">
            <v>74288786</v>
          </cell>
        </row>
        <row r="7578">
          <cell r="L7578" t="str">
            <v>74289947</v>
          </cell>
        </row>
        <row r="7579">
          <cell r="L7579" t="str">
            <v>74290039</v>
          </cell>
        </row>
        <row r="7580">
          <cell r="L7580" t="str">
            <v>74290059</v>
          </cell>
        </row>
        <row r="7581">
          <cell r="L7581" t="str">
            <v>74290226</v>
          </cell>
        </row>
        <row r="7582">
          <cell r="L7582" t="str">
            <v>74293344</v>
          </cell>
        </row>
        <row r="7583">
          <cell r="L7583" t="str">
            <v>74293400</v>
          </cell>
        </row>
        <row r="7584">
          <cell r="L7584" t="str">
            <v>74300980</v>
          </cell>
        </row>
        <row r="7585">
          <cell r="L7585" t="str">
            <v>74094388</v>
          </cell>
        </row>
        <row r="7586">
          <cell r="L7586" t="str">
            <v>74112227</v>
          </cell>
        </row>
        <row r="7587">
          <cell r="L7587" t="str">
            <v>74153720</v>
          </cell>
        </row>
        <row r="7588">
          <cell r="L7588" t="str">
            <v>74159370</v>
          </cell>
        </row>
        <row r="7589">
          <cell r="L7589" t="str">
            <v>74185510</v>
          </cell>
        </row>
        <row r="7590">
          <cell r="L7590" t="str">
            <v>74202790</v>
          </cell>
        </row>
        <row r="7591">
          <cell r="L7591" t="str">
            <v>74214420</v>
          </cell>
        </row>
        <row r="7592">
          <cell r="L7592" t="str">
            <v>74216159</v>
          </cell>
        </row>
        <row r="7593">
          <cell r="L7593" t="str">
            <v>74222699</v>
          </cell>
        </row>
        <row r="7594">
          <cell r="L7594" t="str">
            <v>74222989</v>
          </cell>
        </row>
        <row r="7595">
          <cell r="L7595" t="str">
            <v>74226364</v>
          </cell>
        </row>
        <row r="7596">
          <cell r="L7596" t="str">
            <v>74231701</v>
          </cell>
        </row>
        <row r="7597">
          <cell r="L7597" t="str">
            <v>74232441</v>
          </cell>
        </row>
        <row r="7598">
          <cell r="L7598" t="str">
            <v>74265279</v>
          </cell>
        </row>
        <row r="7599">
          <cell r="L7599" t="str">
            <v>74273807</v>
          </cell>
        </row>
        <row r="7600">
          <cell r="L7600" t="str">
            <v>74274221</v>
          </cell>
        </row>
        <row r="7601">
          <cell r="L7601" t="str">
            <v>74274229</v>
          </cell>
        </row>
        <row r="7602">
          <cell r="L7602" t="str">
            <v>74274500</v>
          </cell>
        </row>
        <row r="7603">
          <cell r="L7603" t="str">
            <v>74277439</v>
          </cell>
        </row>
        <row r="7604">
          <cell r="L7604" t="str">
            <v>74279406</v>
          </cell>
        </row>
        <row r="7605">
          <cell r="L7605" t="str">
            <v>74280273</v>
          </cell>
        </row>
        <row r="7606">
          <cell r="L7606" t="str">
            <v>74281146</v>
          </cell>
        </row>
        <row r="7607">
          <cell r="L7607" t="str">
            <v>74282286</v>
          </cell>
        </row>
        <row r="7608">
          <cell r="L7608" t="str">
            <v>74285623</v>
          </cell>
        </row>
        <row r="7609">
          <cell r="L7609" t="str">
            <v>74286500</v>
          </cell>
        </row>
        <row r="7610">
          <cell r="L7610" t="str">
            <v>74286517</v>
          </cell>
        </row>
        <row r="7611">
          <cell r="L7611" t="str">
            <v>74290644</v>
          </cell>
        </row>
        <row r="7612">
          <cell r="L7612" t="str">
            <v>74291130</v>
          </cell>
        </row>
        <row r="7613">
          <cell r="L7613" t="str">
            <v>74292365</v>
          </cell>
        </row>
        <row r="7614">
          <cell r="L7614" t="str">
            <v>74293280</v>
          </cell>
        </row>
        <row r="7615">
          <cell r="L7615" t="str">
            <v>74295902</v>
          </cell>
        </row>
        <row r="7616">
          <cell r="L7616" t="str">
            <v>74296420</v>
          </cell>
        </row>
        <row r="7617">
          <cell r="L7617" t="str">
            <v>74296588</v>
          </cell>
        </row>
        <row r="7618">
          <cell r="L7618" t="str">
            <v>74298730</v>
          </cell>
        </row>
        <row r="7619">
          <cell r="L7619" t="str">
            <v>74299220</v>
          </cell>
        </row>
        <row r="7620">
          <cell r="L7620" t="str">
            <v>74299554</v>
          </cell>
        </row>
        <row r="7621">
          <cell r="L7621" t="str">
            <v>74299745</v>
          </cell>
        </row>
        <row r="7622">
          <cell r="L7622" t="str">
            <v>74300124</v>
          </cell>
        </row>
        <row r="7623">
          <cell r="L7623" t="str">
            <v>74304400</v>
          </cell>
        </row>
        <row r="7624">
          <cell r="L7624" t="str">
            <v>74304500</v>
          </cell>
        </row>
        <row r="7625">
          <cell r="L7625" t="str">
            <v>74304686</v>
          </cell>
        </row>
        <row r="7626">
          <cell r="L7626" t="str">
            <v>74304870</v>
          </cell>
        </row>
        <row r="7627">
          <cell r="L7627" t="str">
            <v>74305799</v>
          </cell>
        </row>
        <row r="7628">
          <cell r="L7628" t="str">
            <v>74307499</v>
          </cell>
        </row>
        <row r="7629">
          <cell r="L7629" t="str">
            <v>74307665</v>
          </cell>
        </row>
        <row r="7630">
          <cell r="L7630" t="str">
            <v>74307889</v>
          </cell>
        </row>
        <row r="7631">
          <cell r="L7631" t="str">
            <v>74308020</v>
          </cell>
        </row>
        <row r="7632">
          <cell r="L7632" t="str">
            <v>74308088</v>
          </cell>
        </row>
        <row r="7633">
          <cell r="L7633" t="str">
            <v>74309640</v>
          </cell>
        </row>
        <row r="7634">
          <cell r="L7634" t="str">
            <v>74309978</v>
          </cell>
        </row>
        <row r="7635">
          <cell r="L7635" t="str">
            <v>74312633</v>
          </cell>
        </row>
        <row r="7636">
          <cell r="L7636" t="str">
            <v>74314799</v>
          </cell>
        </row>
        <row r="7637">
          <cell r="L7637" t="str">
            <v>74317180</v>
          </cell>
        </row>
        <row r="7638">
          <cell r="L7638" t="str">
            <v>74318539</v>
          </cell>
        </row>
        <row r="7639">
          <cell r="L7639" t="str">
            <v>74324440</v>
          </cell>
        </row>
        <row r="7640">
          <cell r="L7640" t="str">
            <v>74158895</v>
          </cell>
        </row>
        <row r="7641">
          <cell r="L7641" t="str">
            <v>74222326</v>
          </cell>
        </row>
        <row r="7642">
          <cell r="L7642" t="str">
            <v>74251899</v>
          </cell>
        </row>
        <row r="7643">
          <cell r="L7643" t="str">
            <v>74092731</v>
          </cell>
        </row>
        <row r="7644">
          <cell r="L7644" t="str">
            <v>74095347</v>
          </cell>
        </row>
        <row r="7645">
          <cell r="L7645" t="str">
            <v>74133216</v>
          </cell>
        </row>
        <row r="7646">
          <cell r="L7646" t="str">
            <v>74137372</v>
          </cell>
        </row>
        <row r="7647">
          <cell r="L7647" t="str">
            <v>74139873</v>
          </cell>
        </row>
        <row r="7648">
          <cell r="L7648" t="str">
            <v>74150999</v>
          </cell>
        </row>
        <row r="7649">
          <cell r="L7649" t="str">
            <v>74153721</v>
          </cell>
        </row>
        <row r="7650">
          <cell r="L7650" t="str">
            <v>74161911</v>
          </cell>
        </row>
        <row r="7651">
          <cell r="L7651" t="str">
            <v>74167228</v>
          </cell>
        </row>
        <row r="7652">
          <cell r="L7652" t="str">
            <v>74176971</v>
          </cell>
        </row>
        <row r="7653">
          <cell r="L7653" t="str">
            <v>74178688</v>
          </cell>
        </row>
        <row r="7654">
          <cell r="L7654" t="str">
            <v>74191969</v>
          </cell>
        </row>
        <row r="7655">
          <cell r="L7655" t="str">
            <v>74195189</v>
          </cell>
        </row>
        <row r="7656">
          <cell r="L7656" t="str">
            <v>74196104</v>
          </cell>
        </row>
        <row r="7657">
          <cell r="L7657" t="str">
            <v>74196232</v>
          </cell>
        </row>
        <row r="7658">
          <cell r="L7658" t="str">
            <v>74197102</v>
          </cell>
        </row>
        <row r="7659">
          <cell r="L7659" t="str">
            <v>74199912</v>
          </cell>
        </row>
        <row r="7660">
          <cell r="L7660" t="str">
            <v>74201880</v>
          </cell>
        </row>
        <row r="7661">
          <cell r="L7661" t="str">
            <v>74204991</v>
          </cell>
        </row>
        <row r="7662">
          <cell r="L7662" t="str">
            <v>74207160</v>
          </cell>
        </row>
        <row r="7663">
          <cell r="L7663" t="str">
            <v>74211981</v>
          </cell>
        </row>
        <row r="7664">
          <cell r="L7664" t="str">
            <v>74222299</v>
          </cell>
        </row>
        <row r="7665">
          <cell r="L7665" t="str">
            <v>74222520</v>
          </cell>
        </row>
        <row r="7666">
          <cell r="L7666" t="str">
            <v>74233082</v>
          </cell>
        </row>
        <row r="7667">
          <cell r="L7667" t="str">
            <v>74235482</v>
          </cell>
        </row>
        <row r="7668">
          <cell r="L7668" t="str">
            <v>74247159</v>
          </cell>
        </row>
        <row r="7669">
          <cell r="L7669" t="str">
            <v>74247499</v>
          </cell>
        </row>
        <row r="7670">
          <cell r="L7670" t="str">
            <v>74250420</v>
          </cell>
        </row>
        <row r="7671">
          <cell r="L7671" t="str">
            <v>74250879</v>
          </cell>
        </row>
        <row r="7672">
          <cell r="L7672" t="str">
            <v>74264719</v>
          </cell>
        </row>
        <row r="7673">
          <cell r="L7673" t="str">
            <v>74268779</v>
          </cell>
        </row>
        <row r="7674">
          <cell r="L7674" t="str">
            <v>74273083</v>
          </cell>
        </row>
        <row r="7675">
          <cell r="L7675" t="str">
            <v>74273359</v>
          </cell>
        </row>
        <row r="7676">
          <cell r="L7676" t="str">
            <v>74274293</v>
          </cell>
        </row>
        <row r="7677">
          <cell r="L7677" t="str">
            <v>74275806</v>
          </cell>
        </row>
        <row r="7678">
          <cell r="L7678" t="str">
            <v>74276036</v>
          </cell>
        </row>
        <row r="7679">
          <cell r="L7679" t="str">
            <v>74276344</v>
          </cell>
        </row>
        <row r="7680">
          <cell r="L7680" t="str">
            <v>74283670</v>
          </cell>
        </row>
        <row r="7681">
          <cell r="L7681" t="str">
            <v>74283924</v>
          </cell>
        </row>
        <row r="7682">
          <cell r="L7682" t="str">
            <v>74285046</v>
          </cell>
        </row>
        <row r="7683">
          <cell r="L7683" t="str">
            <v>74291220</v>
          </cell>
        </row>
        <row r="7684">
          <cell r="L7684" t="str">
            <v>74294783</v>
          </cell>
        </row>
        <row r="7685">
          <cell r="L7685" t="str">
            <v>74309614</v>
          </cell>
        </row>
        <row r="7686">
          <cell r="L7686" t="str">
            <v>74310670</v>
          </cell>
        </row>
        <row r="7687">
          <cell r="L7687" t="str">
            <v>74068366</v>
          </cell>
        </row>
        <row r="7688">
          <cell r="L7688" t="str">
            <v>74047576</v>
          </cell>
        </row>
        <row r="7689">
          <cell r="L7689" t="str">
            <v>74070003</v>
          </cell>
        </row>
        <row r="7690">
          <cell r="L7690" t="str">
            <v>74084207</v>
          </cell>
        </row>
        <row r="7691">
          <cell r="L7691" t="str">
            <v>74100314</v>
          </cell>
        </row>
        <row r="7692">
          <cell r="L7692" t="str">
            <v>74101607</v>
          </cell>
        </row>
        <row r="7693">
          <cell r="L7693" t="str">
            <v>74207781</v>
          </cell>
        </row>
        <row r="7694">
          <cell r="L7694" t="str">
            <v>74210185</v>
          </cell>
        </row>
        <row r="7695">
          <cell r="L7695" t="str">
            <v>74231340</v>
          </cell>
        </row>
        <row r="7696">
          <cell r="L7696" t="str">
            <v>74255361</v>
          </cell>
        </row>
        <row r="7697">
          <cell r="L7697" t="str">
            <v>74042441</v>
          </cell>
        </row>
        <row r="7698">
          <cell r="L7698" t="str">
            <v>74063407</v>
          </cell>
        </row>
        <row r="7699">
          <cell r="L7699" t="str">
            <v>74118528</v>
          </cell>
        </row>
        <row r="7700">
          <cell r="L7700" t="str">
            <v>74128988</v>
          </cell>
        </row>
        <row r="7701">
          <cell r="L7701" t="str">
            <v>74147908</v>
          </cell>
        </row>
        <row r="7702">
          <cell r="L7702" t="str">
            <v>74161509</v>
          </cell>
        </row>
        <row r="7703">
          <cell r="L7703" t="str">
            <v>74171548</v>
          </cell>
        </row>
        <row r="7704">
          <cell r="L7704" t="str">
            <v>74177628</v>
          </cell>
        </row>
        <row r="7705">
          <cell r="L7705" t="str">
            <v>74184152</v>
          </cell>
        </row>
        <row r="7706">
          <cell r="L7706" t="str">
            <v>74185457</v>
          </cell>
        </row>
        <row r="7707">
          <cell r="L7707" t="str">
            <v>74187173</v>
          </cell>
        </row>
        <row r="7708">
          <cell r="L7708" t="str">
            <v>74200318</v>
          </cell>
        </row>
        <row r="7709">
          <cell r="L7709" t="str">
            <v>74231081</v>
          </cell>
        </row>
        <row r="7710">
          <cell r="L7710" t="str">
            <v>74243619</v>
          </cell>
        </row>
        <row r="7711">
          <cell r="L7711" t="str">
            <v>74272596</v>
          </cell>
        </row>
        <row r="7712">
          <cell r="L7712" t="str">
            <v>74292473</v>
          </cell>
        </row>
        <row r="7713">
          <cell r="L7713" t="str">
            <v>74301640</v>
          </cell>
        </row>
        <row r="7714">
          <cell r="L7714" t="str">
            <v>74141391</v>
          </cell>
        </row>
        <row r="7715">
          <cell r="L7715" t="str">
            <v>74158910</v>
          </cell>
        </row>
        <row r="7716">
          <cell r="L7716" t="str">
            <v>74205760</v>
          </cell>
        </row>
        <row r="7717">
          <cell r="L7717" t="str">
            <v>74249301</v>
          </cell>
        </row>
        <row r="7718">
          <cell r="L7718" t="str">
            <v>74285021</v>
          </cell>
        </row>
        <row r="7719">
          <cell r="L7719" t="str">
            <v>74268601</v>
          </cell>
        </row>
        <row r="7720">
          <cell r="L7720" t="str">
            <v>74275487</v>
          </cell>
        </row>
        <row r="7721">
          <cell r="L7721" t="str">
            <v>74295299</v>
          </cell>
        </row>
        <row r="7722">
          <cell r="L7722" t="str">
            <v>74296419</v>
          </cell>
        </row>
        <row r="7723">
          <cell r="L7723" t="str">
            <v>74296421</v>
          </cell>
        </row>
        <row r="7724">
          <cell r="L7724" t="str">
            <v>74296844</v>
          </cell>
        </row>
        <row r="7725">
          <cell r="L7725" t="str">
            <v>74298242</v>
          </cell>
        </row>
        <row r="7726">
          <cell r="L7726" t="str">
            <v>74298823</v>
          </cell>
        </row>
        <row r="7727">
          <cell r="L7727" t="str">
            <v>74300001</v>
          </cell>
        </row>
        <row r="7728">
          <cell r="L7728" t="str">
            <v>74296161</v>
          </cell>
        </row>
        <row r="7729">
          <cell r="L7729" t="str">
            <v>74189140</v>
          </cell>
        </row>
        <row r="7730">
          <cell r="L7730" t="str">
            <v>74190620</v>
          </cell>
        </row>
        <row r="7731">
          <cell r="L7731" t="str">
            <v>74208130</v>
          </cell>
        </row>
        <row r="7732">
          <cell r="L7732" t="str">
            <v>74209331</v>
          </cell>
        </row>
        <row r="7733">
          <cell r="L7733" t="str">
            <v>74216663</v>
          </cell>
        </row>
        <row r="7734">
          <cell r="L7734" t="str">
            <v>74225477</v>
          </cell>
        </row>
        <row r="7735">
          <cell r="L7735" t="str">
            <v>74227160</v>
          </cell>
        </row>
        <row r="7736">
          <cell r="L7736" t="str">
            <v>74230819</v>
          </cell>
        </row>
        <row r="7737">
          <cell r="L7737" t="str">
            <v>74232099</v>
          </cell>
        </row>
        <row r="7738">
          <cell r="L7738" t="str">
            <v>74232959</v>
          </cell>
        </row>
        <row r="7739">
          <cell r="L7739" t="str">
            <v>74235862</v>
          </cell>
        </row>
        <row r="7740">
          <cell r="L7740" t="str">
            <v>74235943</v>
          </cell>
        </row>
        <row r="7741">
          <cell r="L7741" t="str">
            <v>74236349</v>
          </cell>
        </row>
        <row r="7742">
          <cell r="L7742" t="str">
            <v>74237565</v>
          </cell>
        </row>
        <row r="7743">
          <cell r="L7743" t="str">
            <v>74238939</v>
          </cell>
        </row>
        <row r="7744">
          <cell r="L7744" t="str">
            <v>74240399</v>
          </cell>
        </row>
        <row r="7745">
          <cell r="L7745" t="str">
            <v>74242400</v>
          </cell>
        </row>
        <row r="7746">
          <cell r="L7746" t="str">
            <v>74247560</v>
          </cell>
        </row>
        <row r="7747">
          <cell r="L7747" t="str">
            <v>74249119</v>
          </cell>
        </row>
        <row r="7748">
          <cell r="L7748" t="str">
            <v>74251642</v>
          </cell>
        </row>
        <row r="7749">
          <cell r="L7749" t="str">
            <v>74253183</v>
          </cell>
        </row>
        <row r="7750">
          <cell r="L7750" t="str">
            <v>74253700</v>
          </cell>
        </row>
        <row r="7751">
          <cell r="L7751" t="str">
            <v>74254563</v>
          </cell>
        </row>
        <row r="7752">
          <cell r="L7752" t="str">
            <v>74264639</v>
          </cell>
        </row>
        <row r="7753">
          <cell r="L7753" t="str">
            <v>74249440</v>
          </cell>
        </row>
        <row r="7754">
          <cell r="L7754" t="str">
            <v>74276099</v>
          </cell>
        </row>
        <row r="7755">
          <cell r="L7755" t="str">
            <v>74214125</v>
          </cell>
        </row>
        <row r="7756">
          <cell r="L7756" t="str">
            <v>74255596</v>
          </cell>
        </row>
        <row r="7757">
          <cell r="L7757" t="str">
            <v>74258959</v>
          </cell>
        </row>
        <row r="7758">
          <cell r="L7758" t="str">
            <v>74318199</v>
          </cell>
        </row>
        <row r="7759">
          <cell r="L7759" t="str">
            <v>74296361</v>
          </cell>
        </row>
        <row r="7760">
          <cell r="L7760" t="str">
            <v>74310322</v>
          </cell>
        </row>
        <row r="7761">
          <cell r="L7761" t="str">
            <v>74322940</v>
          </cell>
        </row>
        <row r="7762">
          <cell r="L7762" t="str">
            <v>74305379</v>
          </cell>
        </row>
        <row r="7763">
          <cell r="L7763" t="str">
            <v>74310600</v>
          </cell>
        </row>
        <row r="7764">
          <cell r="L7764" t="str">
            <v>74321245</v>
          </cell>
        </row>
        <row r="7765">
          <cell r="L7765" t="str">
            <v>74321980</v>
          </cell>
        </row>
        <row r="7766">
          <cell r="L7766" t="str">
            <v>74324188</v>
          </cell>
        </row>
        <row r="7767">
          <cell r="L7767" t="str">
            <v>74309669</v>
          </cell>
        </row>
        <row r="7768">
          <cell r="L7768" t="str">
            <v>74321923</v>
          </cell>
        </row>
        <row r="7769">
          <cell r="L7769" t="str">
            <v>74325324</v>
          </cell>
        </row>
        <row r="7770">
          <cell r="L7770" t="str">
            <v>74299756</v>
          </cell>
        </row>
        <row r="7771">
          <cell r="L7771" t="str">
            <v>74193237</v>
          </cell>
        </row>
        <row r="7772">
          <cell r="L7772" t="str">
            <v>74192496</v>
          </cell>
        </row>
        <row r="7773">
          <cell r="L7773" t="str">
            <v>74204061</v>
          </cell>
        </row>
        <row r="7774">
          <cell r="L7774" t="str">
            <v>74223463</v>
          </cell>
        </row>
        <row r="7775">
          <cell r="L7775" t="str">
            <v>74227987</v>
          </cell>
        </row>
        <row r="7776">
          <cell r="L7776" t="str">
            <v>74233053</v>
          </cell>
        </row>
        <row r="7777">
          <cell r="L7777" t="str">
            <v>74233741</v>
          </cell>
        </row>
        <row r="7778">
          <cell r="L7778" t="str">
            <v>74236085</v>
          </cell>
        </row>
        <row r="7779">
          <cell r="L7779" t="str">
            <v>74243382</v>
          </cell>
        </row>
        <row r="7780">
          <cell r="L7780" t="str">
            <v>74247639</v>
          </cell>
        </row>
        <row r="7781">
          <cell r="L7781" t="str">
            <v>74247949</v>
          </cell>
        </row>
        <row r="7782">
          <cell r="L7782" t="str">
            <v>74249592</v>
          </cell>
        </row>
        <row r="7783">
          <cell r="L7783" t="str">
            <v>74249594</v>
          </cell>
        </row>
        <row r="7784">
          <cell r="L7784" t="str">
            <v>74257527</v>
          </cell>
        </row>
        <row r="7785">
          <cell r="L7785" t="str">
            <v>74258246</v>
          </cell>
        </row>
        <row r="7786">
          <cell r="L7786" t="str">
            <v>74260619</v>
          </cell>
        </row>
        <row r="7787">
          <cell r="L7787" t="str">
            <v>74261342</v>
          </cell>
        </row>
        <row r="7788">
          <cell r="L7788" t="str">
            <v>74276025</v>
          </cell>
        </row>
        <row r="7789">
          <cell r="L7789" t="str">
            <v>74287752</v>
          </cell>
        </row>
        <row r="7790">
          <cell r="L7790" t="str">
            <v>74296283</v>
          </cell>
        </row>
        <row r="7791">
          <cell r="L7791" t="str">
            <v>74299305</v>
          </cell>
        </row>
        <row r="7792">
          <cell r="L7792" t="str">
            <v>74301862</v>
          </cell>
        </row>
        <row r="7793">
          <cell r="L7793" t="str">
            <v>74307293</v>
          </cell>
        </row>
        <row r="7794">
          <cell r="L7794" t="str">
            <v>74313442</v>
          </cell>
        </row>
        <row r="7795">
          <cell r="L7795" t="str">
            <v>74317141</v>
          </cell>
        </row>
        <row r="7796">
          <cell r="L7796" t="str">
            <v>74319700</v>
          </cell>
        </row>
        <row r="7797">
          <cell r="L7797" t="str">
            <v>74322379</v>
          </cell>
        </row>
        <row r="7798">
          <cell r="L7798" t="str">
            <v>74324541</v>
          </cell>
        </row>
        <row r="7799">
          <cell r="L7799" t="str">
            <v>74271459</v>
          </cell>
        </row>
        <row r="7800">
          <cell r="L7800" t="str">
            <v>74272142</v>
          </cell>
        </row>
        <row r="7801">
          <cell r="L7801" t="str">
            <v>74276682</v>
          </cell>
        </row>
        <row r="7802">
          <cell r="L7802" t="str">
            <v>74243430</v>
          </cell>
        </row>
        <row r="7803">
          <cell r="L7803" t="str">
            <v>74273779</v>
          </cell>
        </row>
        <row r="7804">
          <cell r="L7804" t="str">
            <v>74270259</v>
          </cell>
        </row>
        <row r="7805">
          <cell r="L7805" t="str">
            <v>74270620</v>
          </cell>
        </row>
        <row r="7806">
          <cell r="L7806" t="str">
            <v>74286349</v>
          </cell>
        </row>
        <row r="7807">
          <cell r="L7807" t="str">
            <v>74245042</v>
          </cell>
        </row>
        <row r="7808">
          <cell r="L7808" t="str">
            <v>74253502</v>
          </cell>
        </row>
        <row r="7809">
          <cell r="L7809" t="str">
            <v>74253880</v>
          </cell>
        </row>
        <row r="7810">
          <cell r="L7810" t="str">
            <v>74259820</v>
          </cell>
        </row>
        <row r="7811">
          <cell r="L7811" t="str">
            <v>74261541</v>
          </cell>
        </row>
        <row r="7812">
          <cell r="L7812" t="str">
            <v>74271920</v>
          </cell>
        </row>
        <row r="7813">
          <cell r="L7813" t="str">
            <v>74285784</v>
          </cell>
        </row>
        <row r="7814">
          <cell r="L7814" t="str">
            <v>74286284</v>
          </cell>
        </row>
        <row r="7815">
          <cell r="L7815" t="str">
            <v>74287627</v>
          </cell>
        </row>
        <row r="7816">
          <cell r="L7816" t="str">
            <v>74287629</v>
          </cell>
        </row>
        <row r="7817">
          <cell r="L7817" t="str">
            <v>74302880</v>
          </cell>
        </row>
        <row r="7818">
          <cell r="L7818" t="str">
            <v>74303963</v>
          </cell>
        </row>
        <row r="7819">
          <cell r="L7819" t="str">
            <v>74304820</v>
          </cell>
        </row>
        <row r="7820">
          <cell r="L7820" t="str">
            <v>74308722</v>
          </cell>
        </row>
        <row r="7821">
          <cell r="L7821" t="str">
            <v>74309807</v>
          </cell>
        </row>
        <row r="7822">
          <cell r="L7822" t="str">
            <v>74309922</v>
          </cell>
        </row>
        <row r="7823">
          <cell r="L7823" t="str">
            <v>74311829</v>
          </cell>
        </row>
        <row r="7824">
          <cell r="L7824" t="str">
            <v>74315468</v>
          </cell>
        </row>
        <row r="7825">
          <cell r="L7825" t="str">
            <v>74315528</v>
          </cell>
        </row>
        <row r="7826">
          <cell r="L7826" t="str">
            <v>74315725</v>
          </cell>
        </row>
        <row r="7827">
          <cell r="L7827" t="str">
            <v>74317246</v>
          </cell>
        </row>
        <row r="7828">
          <cell r="L7828" t="str">
            <v>74142470</v>
          </cell>
        </row>
        <row r="7829">
          <cell r="L7829" t="str">
            <v>74212320</v>
          </cell>
        </row>
        <row r="7830">
          <cell r="L7830" t="str">
            <v>74274119</v>
          </cell>
        </row>
        <row r="7831">
          <cell r="L7831" t="str">
            <v>74281519</v>
          </cell>
        </row>
        <row r="7832">
          <cell r="L7832" t="str">
            <v>74285939</v>
          </cell>
        </row>
        <row r="7833">
          <cell r="L7833" t="str">
            <v>74296281</v>
          </cell>
        </row>
        <row r="7834">
          <cell r="L7834" t="str">
            <v>74270519</v>
          </cell>
        </row>
        <row r="7835">
          <cell r="L7835" t="str">
            <v>74226601</v>
          </cell>
        </row>
        <row r="7836">
          <cell r="L7836" t="str">
            <v>74324980</v>
          </cell>
        </row>
        <row r="7837">
          <cell r="L7837" t="str">
            <v>74199641</v>
          </cell>
        </row>
        <row r="7838">
          <cell r="L7838" t="str">
            <v>74213180</v>
          </cell>
        </row>
        <row r="7839">
          <cell r="L7839" t="str">
            <v>74215283</v>
          </cell>
        </row>
        <row r="7840">
          <cell r="L7840" t="str">
            <v>74252581</v>
          </cell>
        </row>
        <row r="7841">
          <cell r="L7841" t="str">
            <v>74288984</v>
          </cell>
        </row>
        <row r="7842">
          <cell r="L7842" t="str">
            <v>74222305</v>
          </cell>
        </row>
        <row r="7843">
          <cell r="L7843" t="str">
            <v>74073197</v>
          </cell>
        </row>
        <row r="7844">
          <cell r="L7844" t="str">
            <v>74121268</v>
          </cell>
        </row>
        <row r="7845">
          <cell r="L7845" t="str">
            <v>74125164</v>
          </cell>
        </row>
        <row r="7846">
          <cell r="L7846" t="str">
            <v>74134089</v>
          </cell>
        </row>
        <row r="7847">
          <cell r="L7847" t="str">
            <v>74150239</v>
          </cell>
        </row>
        <row r="7848">
          <cell r="L7848" t="str">
            <v>74160391</v>
          </cell>
        </row>
        <row r="7849">
          <cell r="L7849" t="str">
            <v>74163839</v>
          </cell>
        </row>
        <row r="7850">
          <cell r="L7850" t="str">
            <v>74172490</v>
          </cell>
        </row>
        <row r="7851">
          <cell r="L7851" t="str">
            <v>74173693</v>
          </cell>
        </row>
        <row r="7852">
          <cell r="L7852" t="str">
            <v>74180055</v>
          </cell>
        </row>
        <row r="7853">
          <cell r="L7853" t="str">
            <v>74191548</v>
          </cell>
        </row>
        <row r="7854">
          <cell r="L7854" t="str">
            <v>74191732</v>
          </cell>
        </row>
        <row r="7855">
          <cell r="L7855" t="str">
            <v>74194242</v>
          </cell>
        </row>
        <row r="7856">
          <cell r="L7856" t="str">
            <v>74197446</v>
          </cell>
        </row>
        <row r="7857">
          <cell r="L7857" t="str">
            <v>74207543</v>
          </cell>
        </row>
        <row r="7858">
          <cell r="L7858" t="str">
            <v>74208455</v>
          </cell>
        </row>
        <row r="7859">
          <cell r="L7859" t="str">
            <v>74221101</v>
          </cell>
        </row>
        <row r="7860">
          <cell r="L7860" t="str">
            <v>74222225</v>
          </cell>
        </row>
        <row r="7861">
          <cell r="L7861" t="str">
            <v>74226904</v>
          </cell>
        </row>
        <row r="7862">
          <cell r="L7862" t="str">
            <v>74229157</v>
          </cell>
        </row>
        <row r="7863">
          <cell r="L7863" t="str">
            <v>74232919</v>
          </cell>
        </row>
        <row r="7864">
          <cell r="L7864" t="str">
            <v>74233147</v>
          </cell>
        </row>
        <row r="7865">
          <cell r="L7865" t="str">
            <v>74235202</v>
          </cell>
        </row>
        <row r="7866">
          <cell r="L7866" t="str">
            <v>74236131</v>
          </cell>
        </row>
        <row r="7867">
          <cell r="L7867" t="str">
            <v>74240060</v>
          </cell>
        </row>
        <row r="7868">
          <cell r="L7868" t="str">
            <v>74241101</v>
          </cell>
        </row>
        <row r="7869">
          <cell r="L7869" t="str">
            <v>74243375</v>
          </cell>
        </row>
        <row r="7870">
          <cell r="L7870" t="str">
            <v>74245201</v>
          </cell>
        </row>
        <row r="7871">
          <cell r="L7871" t="str">
            <v>74245559</v>
          </cell>
        </row>
        <row r="7872">
          <cell r="L7872" t="str">
            <v>74246203</v>
          </cell>
        </row>
        <row r="7873">
          <cell r="L7873" t="str">
            <v>74247561</v>
          </cell>
        </row>
        <row r="7874">
          <cell r="L7874" t="str">
            <v>74248422</v>
          </cell>
        </row>
        <row r="7875">
          <cell r="L7875" t="str">
            <v>74249454</v>
          </cell>
        </row>
        <row r="7876">
          <cell r="L7876" t="str">
            <v>74250142</v>
          </cell>
        </row>
        <row r="7877">
          <cell r="L7877" t="str">
            <v>74250579</v>
          </cell>
        </row>
        <row r="7878">
          <cell r="L7878" t="str">
            <v>74250722</v>
          </cell>
        </row>
        <row r="7879">
          <cell r="L7879" t="str">
            <v>74250919</v>
          </cell>
        </row>
        <row r="7880">
          <cell r="L7880" t="str">
            <v>74252600</v>
          </cell>
        </row>
        <row r="7881">
          <cell r="L7881" t="str">
            <v>74254184</v>
          </cell>
        </row>
        <row r="7882">
          <cell r="L7882" t="str">
            <v>74255402</v>
          </cell>
        </row>
        <row r="7883">
          <cell r="L7883" t="str">
            <v>74257139</v>
          </cell>
        </row>
        <row r="7884">
          <cell r="L7884" t="str">
            <v>74259660</v>
          </cell>
        </row>
        <row r="7885">
          <cell r="L7885" t="str">
            <v>74260029</v>
          </cell>
        </row>
        <row r="7886">
          <cell r="L7886" t="str">
            <v>74262604</v>
          </cell>
        </row>
        <row r="7887">
          <cell r="L7887" t="str">
            <v>74265055</v>
          </cell>
        </row>
        <row r="7888">
          <cell r="L7888" t="str">
            <v>74265061</v>
          </cell>
        </row>
        <row r="7889">
          <cell r="L7889" t="str">
            <v>74268920</v>
          </cell>
        </row>
        <row r="7890">
          <cell r="L7890" t="str">
            <v>74270060</v>
          </cell>
        </row>
        <row r="7891">
          <cell r="L7891" t="str">
            <v>74271762</v>
          </cell>
        </row>
        <row r="7892">
          <cell r="L7892" t="str">
            <v>74273205</v>
          </cell>
        </row>
        <row r="7893">
          <cell r="L7893" t="str">
            <v>74273960</v>
          </cell>
        </row>
        <row r="7894">
          <cell r="L7894" t="str">
            <v>74274159</v>
          </cell>
        </row>
        <row r="7895">
          <cell r="L7895" t="str">
            <v>74274194</v>
          </cell>
        </row>
        <row r="7896">
          <cell r="L7896" t="str">
            <v>74275574</v>
          </cell>
        </row>
        <row r="7897">
          <cell r="L7897" t="str">
            <v>74276006</v>
          </cell>
        </row>
        <row r="7898">
          <cell r="L7898" t="str">
            <v>74278844</v>
          </cell>
        </row>
        <row r="7899">
          <cell r="L7899" t="str">
            <v>74278979</v>
          </cell>
        </row>
        <row r="7900">
          <cell r="L7900" t="str">
            <v>74279403</v>
          </cell>
        </row>
        <row r="7901">
          <cell r="L7901" t="str">
            <v>74279943</v>
          </cell>
        </row>
        <row r="7902">
          <cell r="L7902" t="str">
            <v>74280400</v>
          </cell>
        </row>
        <row r="7903">
          <cell r="L7903" t="str">
            <v>74280799</v>
          </cell>
        </row>
        <row r="7904">
          <cell r="L7904" t="str">
            <v>74280944</v>
          </cell>
        </row>
        <row r="7905">
          <cell r="L7905" t="str">
            <v>74281261</v>
          </cell>
        </row>
        <row r="7906">
          <cell r="L7906" t="str">
            <v>74281525</v>
          </cell>
        </row>
        <row r="7907">
          <cell r="L7907" t="str">
            <v>74281619</v>
          </cell>
        </row>
        <row r="7908">
          <cell r="L7908" t="str">
            <v>74283163</v>
          </cell>
        </row>
        <row r="7909">
          <cell r="L7909" t="str">
            <v>74283339</v>
          </cell>
        </row>
        <row r="7910">
          <cell r="L7910" t="str">
            <v>74283564</v>
          </cell>
        </row>
        <row r="7911">
          <cell r="L7911" t="str">
            <v>74284949</v>
          </cell>
        </row>
        <row r="7912">
          <cell r="L7912" t="str">
            <v>74285761</v>
          </cell>
        </row>
        <row r="7913">
          <cell r="L7913" t="str">
            <v>74288205</v>
          </cell>
        </row>
        <row r="7914">
          <cell r="L7914" t="str">
            <v>74289244</v>
          </cell>
        </row>
        <row r="7915">
          <cell r="L7915" t="str">
            <v>74292223</v>
          </cell>
        </row>
        <row r="7916">
          <cell r="L7916" t="str">
            <v>74292560</v>
          </cell>
        </row>
        <row r="7917">
          <cell r="L7917" t="str">
            <v>74293359</v>
          </cell>
        </row>
        <row r="7918">
          <cell r="L7918" t="str">
            <v>74298027</v>
          </cell>
        </row>
        <row r="7919">
          <cell r="L7919" t="str">
            <v>74312829</v>
          </cell>
        </row>
        <row r="7920">
          <cell r="L7920" t="str">
            <v>74314976</v>
          </cell>
        </row>
        <row r="7921">
          <cell r="L7921" t="str">
            <v>74115938</v>
          </cell>
        </row>
        <row r="7922">
          <cell r="L7922" t="str">
            <v>74121009</v>
          </cell>
        </row>
        <row r="7923">
          <cell r="L7923" t="str">
            <v>74134154</v>
          </cell>
        </row>
        <row r="7924">
          <cell r="L7924" t="str">
            <v>74150631</v>
          </cell>
        </row>
        <row r="7925">
          <cell r="L7925" t="str">
            <v>74153318</v>
          </cell>
        </row>
        <row r="7926">
          <cell r="L7926" t="str">
            <v>74158687</v>
          </cell>
        </row>
        <row r="7927">
          <cell r="L7927" t="str">
            <v>74171283</v>
          </cell>
        </row>
        <row r="7928">
          <cell r="L7928" t="str">
            <v>74173348</v>
          </cell>
        </row>
        <row r="7929">
          <cell r="L7929" t="str">
            <v>74180894</v>
          </cell>
        </row>
        <row r="7930">
          <cell r="L7930" t="str">
            <v>74181432</v>
          </cell>
        </row>
        <row r="7931">
          <cell r="L7931" t="str">
            <v>74181607</v>
          </cell>
        </row>
        <row r="7932">
          <cell r="L7932" t="str">
            <v>74190848</v>
          </cell>
        </row>
        <row r="7933">
          <cell r="L7933" t="str">
            <v>74192353</v>
          </cell>
        </row>
        <row r="7934">
          <cell r="L7934" t="str">
            <v>74193140</v>
          </cell>
        </row>
        <row r="7935">
          <cell r="L7935" t="str">
            <v>74193428</v>
          </cell>
        </row>
        <row r="7936">
          <cell r="L7936" t="str">
            <v>74193802</v>
          </cell>
        </row>
        <row r="7937">
          <cell r="L7937" t="str">
            <v>74197020</v>
          </cell>
        </row>
        <row r="7938">
          <cell r="L7938" t="str">
            <v>74198342</v>
          </cell>
        </row>
        <row r="7939">
          <cell r="L7939" t="str">
            <v>74201441</v>
          </cell>
        </row>
        <row r="7940">
          <cell r="L7940" t="str">
            <v>74204719</v>
          </cell>
        </row>
        <row r="7941">
          <cell r="L7941" t="str">
            <v>74205360</v>
          </cell>
        </row>
        <row r="7942">
          <cell r="L7942" t="str">
            <v>74209821</v>
          </cell>
        </row>
        <row r="7943">
          <cell r="L7943" t="str">
            <v>74210399</v>
          </cell>
        </row>
        <row r="7944">
          <cell r="L7944" t="str">
            <v>74211328</v>
          </cell>
        </row>
        <row r="7945">
          <cell r="L7945" t="str">
            <v>74211722</v>
          </cell>
        </row>
        <row r="7946">
          <cell r="L7946" t="str">
            <v>74211860</v>
          </cell>
        </row>
        <row r="7947">
          <cell r="L7947" t="str">
            <v>74213205</v>
          </cell>
        </row>
        <row r="7948">
          <cell r="L7948" t="str">
            <v>74218895</v>
          </cell>
        </row>
        <row r="7949">
          <cell r="L7949" t="str">
            <v>74220900</v>
          </cell>
        </row>
        <row r="7950">
          <cell r="L7950" t="str">
            <v>74221213</v>
          </cell>
        </row>
        <row r="7951">
          <cell r="L7951" t="str">
            <v>74225962</v>
          </cell>
        </row>
        <row r="7952">
          <cell r="L7952" t="str">
            <v>74227427</v>
          </cell>
        </row>
        <row r="7953">
          <cell r="L7953" t="str">
            <v>74227820</v>
          </cell>
        </row>
        <row r="7954">
          <cell r="L7954" t="str">
            <v>74230304</v>
          </cell>
        </row>
        <row r="7955">
          <cell r="L7955" t="str">
            <v>74234803</v>
          </cell>
        </row>
        <row r="7956">
          <cell r="L7956" t="str">
            <v>74237464</v>
          </cell>
        </row>
        <row r="7957">
          <cell r="L7957" t="str">
            <v>74238764</v>
          </cell>
        </row>
        <row r="7958">
          <cell r="L7958" t="str">
            <v>74242021</v>
          </cell>
        </row>
        <row r="7959">
          <cell r="L7959" t="str">
            <v>74245165</v>
          </cell>
        </row>
        <row r="7960">
          <cell r="L7960" t="str">
            <v>74245642</v>
          </cell>
        </row>
        <row r="7961">
          <cell r="L7961" t="str">
            <v>74261100</v>
          </cell>
        </row>
        <row r="7962">
          <cell r="L7962" t="str">
            <v>74270164</v>
          </cell>
        </row>
        <row r="7963">
          <cell r="L7963" t="str">
            <v>74273549</v>
          </cell>
        </row>
        <row r="7964">
          <cell r="L7964" t="str">
            <v>74273551</v>
          </cell>
        </row>
        <row r="7965">
          <cell r="L7965" t="str">
            <v>74276325</v>
          </cell>
        </row>
        <row r="7966">
          <cell r="L7966" t="str">
            <v>74283819</v>
          </cell>
        </row>
        <row r="7967">
          <cell r="L7967" t="str">
            <v>74284540</v>
          </cell>
        </row>
        <row r="7968">
          <cell r="L7968" t="str">
            <v>74284701</v>
          </cell>
        </row>
        <row r="7969">
          <cell r="L7969" t="str">
            <v>74287441</v>
          </cell>
        </row>
        <row r="7970">
          <cell r="L7970" t="str">
            <v>74287529</v>
          </cell>
        </row>
        <row r="7971">
          <cell r="L7971" t="str">
            <v>74288401</v>
          </cell>
        </row>
        <row r="7972">
          <cell r="L7972" t="str">
            <v>74289084</v>
          </cell>
        </row>
        <row r="7973">
          <cell r="L7973" t="str">
            <v>74289819</v>
          </cell>
        </row>
        <row r="7974">
          <cell r="L7974" t="str">
            <v>74290339</v>
          </cell>
        </row>
        <row r="7975">
          <cell r="L7975" t="str">
            <v>74294864</v>
          </cell>
        </row>
        <row r="7976">
          <cell r="L7976" t="str">
            <v>74296920</v>
          </cell>
        </row>
        <row r="7977">
          <cell r="L7977" t="str">
            <v>74298024</v>
          </cell>
        </row>
        <row r="7978">
          <cell r="L7978" t="str">
            <v>74299747</v>
          </cell>
        </row>
        <row r="7979">
          <cell r="L7979" t="str">
            <v>74299802</v>
          </cell>
        </row>
        <row r="7980">
          <cell r="L7980" t="str">
            <v>74300369</v>
          </cell>
        </row>
        <row r="7981">
          <cell r="L7981" t="str">
            <v>74300921</v>
          </cell>
        </row>
        <row r="7982">
          <cell r="L7982" t="str">
            <v>74301571</v>
          </cell>
        </row>
        <row r="7983">
          <cell r="L7983" t="str">
            <v>74304080</v>
          </cell>
        </row>
        <row r="7984">
          <cell r="L7984" t="str">
            <v>74304519</v>
          </cell>
        </row>
        <row r="7985">
          <cell r="L7985" t="str">
            <v>74305099</v>
          </cell>
        </row>
        <row r="7986">
          <cell r="L7986" t="str">
            <v>74308781</v>
          </cell>
        </row>
        <row r="7987">
          <cell r="L7987" t="str">
            <v>74309803</v>
          </cell>
        </row>
        <row r="7988">
          <cell r="L7988" t="str">
            <v>74309826</v>
          </cell>
        </row>
        <row r="7989">
          <cell r="L7989" t="str">
            <v>74310082</v>
          </cell>
        </row>
        <row r="7990">
          <cell r="L7990" t="str">
            <v>74310362</v>
          </cell>
        </row>
        <row r="7991">
          <cell r="L7991" t="str">
            <v>74312583</v>
          </cell>
        </row>
        <row r="7992">
          <cell r="L7992" t="str">
            <v>74312928</v>
          </cell>
        </row>
        <row r="7993">
          <cell r="L7993" t="str">
            <v>74313176</v>
          </cell>
        </row>
        <row r="7994">
          <cell r="L7994" t="str">
            <v>74313328</v>
          </cell>
        </row>
        <row r="7995">
          <cell r="L7995" t="str">
            <v>74314224</v>
          </cell>
        </row>
        <row r="7996">
          <cell r="L7996" t="str">
            <v>74314304</v>
          </cell>
        </row>
        <row r="7997">
          <cell r="L7997" t="str">
            <v>74314383</v>
          </cell>
        </row>
        <row r="7998">
          <cell r="L7998" t="str">
            <v>74314640</v>
          </cell>
        </row>
        <row r="7999">
          <cell r="L7999" t="str">
            <v>74314781</v>
          </cell>
        </row>
        <row r="8000">
          <cell r="L8000" t="str">
            <v>74316525</v>
          </cell>
        </row>
        <row r="8001">
          <cell r="L8001" t="str">
            <v>74317522</v>
          </cell>
        </row>
        <row r="8002">
          <cell r="L8002" t="str">
            <v>74319924</v>
          </cell>
        </row>
        <row r="8003">
          <cell r="L8003" t="str">
            <v>74320182</v>
          </cell>
        </row>
        <row r="8004">
          <cell r="L8004" t="str">
            <v>74322043</v>
          </cell>
        </row>
        <row r="8005">
          <cell r="L8005" t="str">
            <v>74051522</v>
          </cell>
        </row>
        <row r="8006">
          <cell r="L8006" t="str">
            <v>74097613</v>
          </cell>
        </row>
        <row r="8007">
          <cell r="L8007" t="str">
            <v>74175523</v>
          </cell>
        </row>
        <row r="8008">
          <cell r="L8008" t="str">
            <v>74190795</v>
          </cell>
        </row>
        <row r="8009">
          <cell r="L8009" t="str">
            <v>74232382</v>
          </cell>
        </row>
        <row r="8010">
          <cell r="L8010" t="str">
            <v>74234679</v>
          </cell>
        </row>
        <row r="8011">
          <cell r="L8011" t="str">
            <v>74240641</v>
          </cell>
        </row>
        <row r="8012">
          <cell r="L8012" t="str">
            <v>74244441</v>
          </cell>
        </row>
        <row r="8013">
          <cell r="L8013" t="str">
            <v>74252624</v>
          </cell>
        </row>
        <row r="8014">
          <cell r="L8014" t="str">
            <v>74253760</v>
          </cell>
        </row>
        <row r="8015">
          <cell r="L8015" t="str">
            <v>74259779</v>
          </cell>
        </row>
        <row r="8016">
          <cell r="L8016" t="str">
            <v>74261242</v>
          </cell>
        </row>
        <row r="8017">
          <cell r="L8017" t="str">
            <v>74267659</v>
          </cell>
        </row>
        <row r="8018">
          <cell r="L8018" t="str">
            <v>74275047</v>
          </cell>
        </row>
        <row r="8019">
          <cell r="L8019" t="str">
            <v>74276538</v>
          </cell>
        </row>
        <row r="8020">
          <cell r="L8020" t="str">
            <v>74281045</v>
          </cell>
        </row>
        <row r="8021">
          <cell r="L8021" t="str">
            <v>74286166</v>
          </cell>
        </row>
        <row r="8022">
          <cell r="L8022" t="str">
            <v>74288479</v>
          </cell>
        </row>
        <row r="8023">
          <cell r="L8023" t="str">
            <v>74289788</v>
          </cell>
        </row>
        <row r="8024">
          <cell r="L8024" t="str">
            <v>74290988</v>
          </cell>
        </row>
        <row r="8025">
          <cell r="L8025" t="str">
            <v>74291690</v>
          </cell>
        </row>
        <row r="8026">
          <cell r="L8026" t="str">
            <v>74295560</v>
          </cell>
        </row>
        <row r="8027">
          <cell r="L8027" t="str">
            <v>74296182</v>
          </cell>
        </row>
        <row r="8028">
          <cell r="L8028" t="str">
            <v>74223299</v>
          </cell>
        </row>
        <row r="8029">
          <cell r="L8029" t="str">
            <v>74253526</v>
          </cell>
        </row>
        <row r="8030">
          <cell r="L8030" t="str">
            <v>74172989</v>
          </cell>
        </row>
        <row r="8031">
          <cell r="L8031" t="str">
            <v>74172990</v>
          </cell>
        </row>
        <row r="8032">
          <cell r="L8032" t="str">
            <v>74172694</v>
          </cell>
        </row>
        <row r="8033">
          <cell r="L8033" t="str">
            <v>74266964</v>
          </cell>
        </row>
        <row r="8034">
          <cell r="L8034" t="str">
            <v>74206185</v>
          </cell>
        </row>
        <row r="8035">
          <cell r="L8035" t="str">
            <v>74199746</v>
          </cell>
        </row>
        <row r="8036">
          <cell r="L8036" t="str">
            <v>74048590</v>
          </cell>
        </row>
        <row r="8037">
          <cell r="L8037" t="str">
            <v>74102272</v>
          </cell>
        </row>
        <row r="8038">
          <cell r="L8038" t="str">
            <v>74117734</v>
          </cell>
        </row>
        <row r="8039">
          <cell r="L8039" t="str">
            <v>74132951</v>
          </cell>
        </row>
        <row r="8040">
          <cell r="L8040" t="str">
            <v>74141169</v>
          </cell>
        </row>
        <row r="8041">
          <cell r="L8041" t="str">
            <v>74147735</v>
          </cell>
        </row>
        <row r="8042">
          <cell r="L8042" t="str">
            <v>74174712</v>
          </cell>
        </row>
        <row r="8043">
          <cell r="L8043" t="str">
            <v>74174999</v>
          </cell>
        </row>
        <row r="8044">
          <cell r="L8044" t="str">
            <v>74177933</v>
          </cell>
        </row>
        <row r="8045">
          <cell r="L8045" t="str">
            <v>74179488</v>
          </cell>
        </row>
        <row r="8046">
          <cell r="L8046" t="str">
            <v>74185422</v>
          </cell>
        </row>
        <row r="8047">
          <cell r="L8047" t="str">
            <v>74189491</v>
          </cell>
        </row>
        <row r="8048">
          <cell r="L8048" t="str">
            <v>74200323</v>
          </cell>
        </row>
        <row r="8049">
          <cell r="L8049" t="str">
            <v>74201419</v>
          </cell>
        </row>
        <row r="8050">
          <cell r="L8050" t="str">
            <v>74207240</v>
          </cell>
        </row>
        <row r="8051">
          <cell r="L8051" t="str">
            <v>74209704</v>
          </cell>
        </row>
        <row r="8052">
          <cell r="L8052" t="str">
            <v>74210019</v>
          </cell>
        </row>
        <row r="8053">
          <cell r="L8053" t="str">
            <v>74215723</v>
          </cell>
        </row>
        <row r="8054">
          <cell r="L8054" t="str">
            <v>74216479</v>
          </cell>
        </row>
        <row r="8055">
          <cell r="L8055" t="str">
            <v>74217579</v>
          </cell>
        </row>
        <row r="8056">
          <cell r="L8056" t="str">
            <v>74218363</v>
          </cell>
        </row>
        <row r="8057">
          <cell r="L8057" t="str">
            <v>74218752</v>
          </cell>
        </row>
        <row r="8058">
          <cell r="L8058" t="str">
            <v>74219219</v>
          </cell>
        </row>
        <row r="8059">
          <cell r="L8059" t="str">
            <v>74220260</v>
          </cell>
        </row>
        <row r="8060">
          <cell r="L8060" t="str">
            <v>74220800</v>
          </cell>
        </row>
        <row r="8061">
          <cell r="L8061" t="str">
            <v>74222222</v>
          </cell>
        </row>
        <row r="8062">
          <cell r="L8062" t="str">
            <v>74224619</v>
          </cell>
        </row>
        <row r="8063">
          <cell r="L8063" t="str">
            <v>74225637</v>
          </cell>
        </row>
        <row r="8064">
          <cell r="L8064" t="str">
            <v>74228220</v>
          </cell>
        </row>
        <row r="8065">
          <cell r="L8065" t="str">
            <v>74228319</v>
          </cell>
        </row>
        <row r="8066">
          <cell r="L8066" t="str">
            <v>74230647</v>
          </cell>
        </row>
        <row r="8067">
          <cell r="L8067" t="str">
            <v>74230834</v>
          </cell>
        </row>
        <row r="8068">
          <cell r="L8068" t="str">
            <v>74232080</v>
          </cell>
        </row>
        <row r="8069">
          <cell r="L8069" t="str">
            <v>74234640</v>
          </cell>
        </row>
        <row r="8070">
          <cell r="L8070" t="str">
            <v>74235228</v>
          </cell>
        </row>
        <row r="8071">
          <cell r="L8071" t="str">
            <v>74235229</v>
          </cell>
        </row>
        <row r="8072">
          <cell r="L8072" t="str">
            <v>74237447</v>
          </cell>
        </row>
        <row r="8073">
          <cell r="L8073" t="str">
            <v>74237459</v>
          </cell>
        </row>
        <row r="8074">
          <cell r="L8074" t="str">
            <v>74239642</v>
          </cell>
        </row>
        <row r="8075">
          <cell r="L8075" t="str">
            <v>74239645</v>
          </cell>
        </row>
        <row r="8076">
          <cell r="L8076" t="str">
            <v>74240299</v>
          </cell>
        </row>
        <row r="8077">
          <cell r="L8077" t="str">
            <v>74240764</v>
          </cell>
        </row>
        <row r="8078">
          <cell r="L8078" t="str">
            <v>74241279</v>
          </cell>
        </row>
        <row r="8079">
          <cell r="L8079" t="str">
            <v>74241975</v>
          </cell>
        </row>
        <row r="8080">
          <cell r="L8080" t="str">
            <v>74242821</v>
          </cell>
        </row>
        <row r="8081">
          <cell r="L8081" t="str">
            <v>74244275</v>
          </cell>
        </row>
        <row r="8082">
          <cell r="L8082" t="str">
            <v>74244380</v>
          </cell>
        </row>
        <row r="8083">
          <cell r="L8083" t="str">
            <v>74244759</v>
          </cell>
        </row>
        <row r="8084">
          <cell r="L8084" t="str">
            <v>74245103</v>
          </cell>
        </row>
        <row r="8085">
          <cell r="L8085" t="str">
            <v>74245202</v>
          </cell>
        </row>
        <row r="8086">
          <cell r="L8086" t="str">
            <v>74245582</v>
          </cell>
        </row>
        <row r="8087">
          <cell r="L8087" t="str">
            <v>74246569</v>
          </cell>
        </row>
        <row r="8088">
          <cell r="L8088" t="str">
            <v>74247124</v>
          </cell>
        </row>
        <row r="8089">
          <cell r="L8089" t="str">
            <v>74248018</v>
          </cell>
        </row>
        <row r="8090">
          <cell r="L8090" t="str">
            <v>74249001</v>
          </cell>
        </row>
        <row r="8091">
          <cell r="L8091" t="str">
            <v>74249840</v>
          </cell>
        </row>
        <row r="8092">
          <cell r="L8092" t="str">
            <v>74252485</v>
          </cell>
        </row>
        <row r="8093">
          <cell r="L8093" t="str">
            <v>74253221</v>
          </cell>
        </row>
        <row r="8094">
          <cell r="L8094" t="str">
            <v>74254080</v>
          </cell>
        </row>
        <row r="8095">
          <cell r="L8095" t="str">
            <v>74255444</v>
          </cell>
        </row>
        <row r="8096">
          <cell r="L8096" t="str">
            <v>74255605</v>
          </cell>
        </row>
        <row r="8097">
          <cell r="L8097" t="str">
            <v>74256460</v>
          </cell>
        </row>
        <row r="8098">
          <cell r="L8098" t="str">
            <v>74259739</v>
          </cell>
        </row>
        <row r="8099">
          <cell r="L8099" t="str">
            <v>74260959</v>
          </cell>
        </row>
        <row r="8100">
          <cell r="L8100" t="str">
            <v>74262379</v>
          </cell>
        </row>
        <row r="8101">
          <cell r="L8101" t="str">
            <v>74264021</v>
          </cell>
        </row>
        <row r="8102">
          <cell r="L8102" t="str">
            <v>74264323</v>
          </cell>
        </row>
        <row r="8103">
          <cell r="L8103" t="str">
            <v>74264339</v>
          </cell>
        </row>
        <row r="8104">
          <cell r="L8104" t="str">
            <v>74264700</v>
          </cell>
        </row>
        <row r="8105">
          <cell r="L8105" t="str">
            <v>74264701</v>
          </cell>
        </row>
        <row r="8106">
          <cell r="L8106" t="str">
            <v>74265139</v>
          </cell>
        </row>
        <row r="8107">
          <cell r="L8107" t="str">
            <v>74266483</v>
          </cell>
        </row>
        <row r="8108">
          <cell r="L8108" t="str">
            <v>74267019</v>
          </cell>
        </row>
        <row r="8109">
          <cell r="L8109" t="str">
            <v>74270260</v>
          </cell>
        </row>
        <row r="8110">
          <cell r="L8110" t="str">
            <v>74270541</v>
          </cell>
        </row>
        <row r="8111">
          <cell r="L8111" t="str">
            <v>74271859</v>
          </cell>
        </row>
        <row r="8112">
          <cell r="L8112" t="str">
            <v>74272575</v>
          </cell>
        </row>
        <row r="8113">
          <cell r="L8113" t="str">
            <v>74272576</v>
          </cell>
        </row>
        <row r="8114">
          <cell r="L8114" t="str">
            <v>74272659</v>
          </cell>
        </row>
        <row r="8115">
          <cell r="L8115" t="str">
            <v>74273379</v>
          </cell>
        </row>
        <row r="8116">
          <cell r="L8116" t="str">
            <v>74273380</v>
          </cell>
        </row>
        <row r="8117">
          <cell r="L8117" t="str">
            <v>74274186</v>
          </cell>
        </row>
        <row r="8118">
          <cell r="L8118" t="str">
            <v>74277980</v>
          </cell>
        </row>
        <row r="8119">
          <cell r="L8119" t="str">
            <v>74278448</v>
          </cell>
        </row>
        <row r="8120">
          <cell r="L8120" t="str">
            <v>74278702</v>
          </cell>
        </row>
        <row r="8121">
          <cell r="L8121" t="str">
            <v>74279520</v>
          </cell>
        </row>
        <row r="8122">
          <cell r="L8122" t="str">
            <v>74280919</v>
          </cell>
        </row>
        <row r="8123">
          <cell r="L8123" t="str">
            <v>74282459</v>
          </cell>
        </row>
        <row r="8124">
          <cell r="L8124" t="str">
            <v>74283179</v>
          </cell>
        </row>
        <row r="8125">
          <cell r="L8125" t="str">
            <v>74283206</v>
          </cell>
        </row>
        <row r="8126">
          <cell r="L8126" t="str">
            <v>74283852</v>
          </cell>
        </row>
        <row r="8127">
          <cell r="L8127" t="str">
            <v>74284100</v>
          </cell>
        </row>
        <row r="8128">
          <cell r="L8128" t="str">
            <v>74284115</v>
          </cell>
        </row>
        <row r="8129">
          <cell r="L8129" t="str">
            <v>74286339</v>
          </cell>
        </row>
        <row r="8130">
          <cell r="L8130" t="str">
            <v>74286342</v>
          </cell>
        </row>
        <row r="8131">
          <cell r="L8131" t="str">
            <v>74286880</v>
          </cell>
        </row>
        <row r="8132">
          <cell r="L8132" t="str">
            <v>74287641</v>
          </cell>
        </row>
        <row r="8133">
          <cell r="L8133" t="str">
            <v>74287994</v>
          </cell>
        </row>
        <row r="8134">
          <cell r="L8134" t="str">
            <v>74288200</v>
          </cell>
        </row>
        <row r="8135">
          <cell r="L8135" t="str">
            <v>74289285</v>
          </cell>
        </row>
        <row r="8136">
          <cell r="L8136" t="str">
            <v>74291128</v>
          </cell>
        </row>
        <row r="8137">
          <cell r="L8137" t="str">
            <v>74291643</v>
          </cell>
        </row>
        <row r="8138">
          <cell r="L8138" t="str">
            <v>74291883</v>
          </cell>
        </row>
        <row r="8139">
          <cell r="L8139" t="str">
            <v>74208240</v>
          </cell>
        </row>
        <row r="8140">
          <cell r="L8140" t="str">
            <v>74133296</v>
          </cell>
        </row>
        <row r="8141">
          <cell r="L8141" t="str">
            <v>74112830</v>
          </cell>
        </row>
        <row r="8142">
          <cell r="L8142" t="str">
            <v>74148832</v>
          </cell>
        </row>
        <row r="8143">
          <cell r="L8143" t="str">
            <v>74149776</v>
          </cell>
        </row>
        <row r="8144">
          <cell r="L8144" t="str">
            <v>74154928</v>
          </cell>
        </row>
        <row r="8145">
          <cell r="L8145" t="str">
            <v>74168128</v>
          </cell>
        </row>
        <row r="8146">
          <cell r="L8146" t="str">
            <v>74172716</v>
          </cell>
        </row>
        <row r="8147">
          <cell r="L8147" t="str">
            <v>74181550</v>
          </cell>
        </row>
        <row r="8148">
          <cell r="L8148" t="str">
            <v>74184468</v>
          </cell>
        </row>
        <row r="8149">
          <cell r="L8149" t="str">
            <v>74186773</v>
          </cell>
        </row>
        <row r="8150">
          <cell r="L8150" t="str">
            <v>74187008</v>
          </cell>
        </row>
        <row r="8151">
          <cell r="L8151" t="str">
            <v>74189124</v>
          </cell>
        </row>
        <row r="8152">
          <cell r="L8152" t="str">
            <v>74195668</v>
          </cell>
        </row>
        <row r="8153">
          <cell r="L8153" t="str">
            <v>74198902</v>
          </cell>
        </row>
        <row r="8154">
          <cell r="L8154" t="str">
            <v>74199282</v>
          </cell>
        </row>
        <row r="8155">
          <cell r="L8155" t="str">
            <v>74207248</v>
          </cell>
        </row>
        <row r="8156">
          <cell r="L8156" t="str">
            <v>74208548</v>
          </cell>
        </row>
        <row r="8157">
          <cell r="L8157" t="str">
            <v>74217140</v>
          </cell>
        </row>
        <row r="8158">
          <cell r="L8158" t="str">
            <v>74220480</v>
          </cell>
        </row>
        <row r="8159">
          <cell r="L8159" t="str">
            <v>74220803</v>
          </cell>
        </row>
        <row r="8160">
          <cell r="L8160" t="str">
            <v>74229640</v>
          </cell>
        </row>
        <row r="8161">
          <cell r="L8161" t="str">
            <v>74231027</v>
          </cell>
        </row>
        <row r="8162">
          <cell r="L8162" t="str">
            <v>74232103</v>
          </cell>
        </row>
        <row r="8163">
          <cell r="L8163" t="str">
            <v>74247919</v>
          </cell>
        </row>
        <row r="8164">
          <cell r="L8164" t="str">
            <v>74272927</v>
          </cell>
        </row>
        <row r="8165">
          <cell r="L8165" t="str">
            <v>74275719</v>
          </cell>
        </row>
        <row r="8166">
          <cell r="L8166" t="str">
            <v>74277241</v>
          </cell>
        </row>
        <row r="8167">
          <cell r="L8167" t="str">
            <v>74278040</v>
          </cell>
        </row>
        <row r="8168">
          <cell r="L8168" t="str">
            <v>74278041</v>
          </cell>
        </row>
        <row r="8169">
          <cell r="L8169" t="str">
            <v>74279219</v>
          </cell>
        </row>
        <row r="8170">
          <cell r="L8170" t="str">
            <v>74280242</v>
          </cell>
        </row>
        <row r="8171">
          <cell r="L8171" t="str">
            <v>74281842</v>
          </cell>
        </row>
        <row r="8172">
          <cell r="L8172" t="str">
            <v>74282025</v>
          </cell>
        </row>
        <row r="8173">
          <cell r="L8173" t="str">
            <v>74283379</v>
          </cell>
        </row>
        <row r="8174">
          <cell r="L8174" t="str">
            <v>74285882</v>
          </cell>
        </row>
        <row r="8175">
          <cell r="L8175" t="str">
            <v>74286559</v>
          </cell>
        </row>
        <row r="8176">
          <cell r="L8176" t="str">
            <v>74287481</v>
          </cell>
        </row>
        <row r="8177">
          <cell r="L8177" t="str">
            <v>74287660</v>
          </cell>
        </row>
        <row r="8178">
          <cell r="L8178" t="str">
            <v>74290281</v>
          </cell>
        </row>
        <row r="8179">
          <cell r="L8179" t="str">
            <v>74291900</v>
          </cell>
        </row>
        <row r="8180">
          <cell r="L8180" t="str">
            <v>74291950</v>
          </cell>
        </row>
        <row r="8181">
          <cell r="L8181" t="str">
            <v>74292126</v>
          </cell>
        </row>
        <row r="8182">
          <cell r="L8182" t="str">
            <v>74292947</v>
          </cell>
        </row>
        <row r="8183">
          <cell r="L8183" t="str">
            <v>74293070</v>
          </cell>
        </row>
        <row r="8184">
          <cell r="L8184" t="str">
            <v>74295059</v>
          </cell>
        </row>
        <row r="8185">
          <cell r="L8185" t="str">
            <v>74295549</v>
          </cell>
        </row>
        <row r="8186">
          <cell r="L8186" t="str">
            <v>74296759</v>
          </cell>
        </row>
        <row r="8187">
          <cell r="L8187" t="str">
            <v>74296842</v>
          </cell>
        </row>
        <row r="8188">
          <cell r="L8188" t="str">
            <v>74296923</v>
          </cell>
        </row>
        <row r="8189">
          <cell r="L8189" t="str">
            <v>74296940</v>
          </cell>
        </row>
        <row r="8190">
          <cell r="L8190" t="str">
            <v>74297286</v>
          </cell>
        </row>
        <row r="8191">
          <cell r="L8191" t="str">
            <v>74299139</v>
          </cell>
        </row>
        <row r="8192">
          <cell r="L8192" t="str">
            <v>74299276</v>
          </cell>
        </row>
        <row r="8193">
          <cell r="L8193" t="str">
            <v>74299556</v>
          </cell>
        </row>
        <row r="8194">
          <cell r="L8194" t="str">
            <v>74300684</v>
          </cell>
        </row>
        <row r="8195">
          <cell r="L8195" t="str">
            <v>74300719</v>
          </cell>
        </row>
        <row r="8196">
          <cell r="L8196" t="str">
            <v>74300795</v>
          </cell>
        </row>
        <row r="8197">
          <cell r="L8197" t="str">
            <v>74300940</v>
          </cell>
        </row>
        <row r="8198">
          <cell r="L8198" t="str">
            <v>74301282</v>
          </cell>
        </row>
        <row r="8199">
          <cell r="L8199" t="str">
            <v>74301805</v>
          </cell>
        </row>
        <row r="8200">
          <cell r="L8200" t="str">
            <v>74305939</v>
          </cell>
        </row>
        <row r="8201">
          <cell r="L8201" t="str">
            <v>74307287</v>
          </cell>
        </row>
        <row r="8202">
          <cell r="L8202" t="str">
            <v>74307479</v>
          </cell>
        </row>
        <row r="8203">
          <cell r="L8203" t="str">
            <v>74307803</v>
          </cell>
        </row>
        <row r="8204">
          <cell r="L8204" t="str">
            <v>74308697</v>
          </cell>
        </row>
        <row r="8205">
          <cell r="L8205" t="str">
            <v>74308762</v>
          </cell>
        </row>
        <row r="8206">
          <cell r="L8206" t="str">
            <v>74309139</v>
          </cell>
        </row>
        <row r="8207">
          <cell r="L8207" t="str">
            <v>74309663</v>
          </cell>
        </row>
        <row r="8208">
          <cell r="L8208" t="str">
            <v>74310279</v>
          </cell>
        </row>
        <row r="8209">
          <cell r="L8209" t="str">
            <v>74311044</v>
          </cell>
        </row>
        <row r="8210">
          <cell r="L8210" t="str">
            <v>74311279</v>
          </cell>
        </row>
        <row r="8211">
          <cell r="L8211" t="str">
            <v>74311280</v>
          </cell>
        </row>
        <row r="8212">
          <cell r="L8212" t="str">
            <v>74312021</v>
          </cell>
        </row>
        <row r="8213">
          <cell r="L8213" t="str">
            <v>74312199</v>
          </cell>
        </row>
        <row r="8214">
          <cell r="L8214" t="str">
            <v>74312467</v>
          </cell>
        </row>
        <row r="8215">
          <cell r="L8215" t="str">
            <v>74314959</v>
          </cell>
        </row>
        <row r="8216">
          <cell r="L8216" t="str">
            <v>74315480</v>
          </cell>
        </row>
        <row r="8217">
          <cell r="L8217" t="str">
            <v>74315983</v>
          </cell>
        </row>
        <row r="8218">
          <cell r="L8218" t="str">
            <v>74316589</v>
          </cell>
        </row>
        <row r="8219">
          <cell r="L8219" t="str">
            <v>74318863</v>
          </cell>
        </row>
        <row r="8220">
          <cell r="L8220" t="str">
            <v>74318866</v>
          </cell>
        </row>
        <row r="8221">
          <cell r="L8221" t="str">
            <v>74318979</v>
          </cell>
        </row>
        <row r="8222">
          <cell r="L8222" t="str">
            <v>74320663</v>
          </cell>
        </row>
        <row r="8223">
          <cell r="L8223" t="str">
            <v>74321420</v>
          </cell>
        </row>
        <row r="8224">
          <cell r="L8224" t="str">
            <v>74323180</v>
          </cell>
        </row>
        <row r="8225">
          <cell r="L8225" t="str">
            <v>74052686</v>
          </cell>
        </row>
        <row r="8226">
          <cell r="L8226" t="str">
            <v>74155769</v>
          </cell>
        </row>
        <row r="8227">
          <cell r="L8227" t="str">
            <v>74272828</v>
          </cell>
        </row>
        <row r="8228">
          <cell r="L8228" t="str">
            <v>74123250</v>
          </cell>
        </row>
        <row r="8229">
          <cell r="L8229" t="str">
            <v>74134315</v>
          </cell>
        </row>
        <row r="8230">
          <cell r="L8230" t="str">
            <v>74141170</v>
          </cell>
        </row>
        <row r="8231">
          <cell r="L8231" t="str">
            <v>74141851</v>
          </cell>
        </row>
        <row r="8232">
          <cell r="L8232" t="str">
            <v>74146641</v>
          </cell>
        </row>
        <row r="8233">
          <cell r="L8233" t="str">
            <v>74174116</v>
          </cell>
        </row>
        <row r="8234">
          <cell r="L8234" t="str">
            <v>74176130</v>
          </cell>
        </row>
        <row r="8235">
          <cell r="L8235" t="str">
            <v>74180308</v>
          </cell>
        </row>
        <row r="8236">
          <cell r="L8236" t="str">
            <v>74198230</v>
          </cell>
        </row>
        <row r="8237">
          <cell r="L8237" t="str">
            <v>74198639</v>
          </cell>
        </row>
        <row r="8238">
          <cell r="L8238" t="str">
            <v>74206302</v>
          </cell>
        </row>
        <row r="8239">
          <cell r="L8239" t="str">
            <v>74231901</v>
          </cell>
        </row>
        <row r="8240">
          <cell r="L8240" t="str">
            <v>74252400</v>
          </cell>
        </row>
        <row r="8241">
          <cell r="L8241" t="str">
            <v>74255185</v>
          </cell>
        </row>
        <row r="8242">
          <cell r="L8242" t="str">
            <v>74255480</v>
          </cell>
        </row>
        <row r="8243">
          <cell r="L8243" t="str">
            <v>74255659</v>
          </cell>
        </row>
        <row r="8244">
          <cell r="L8244" t="str">
            <v>74256399</v>
          </cell>
        </row>
        <row r="8245">
          <cell r="L8245" t="str">
            <v>74260639</v>
          </cell>
        </row>
        <row r="8246">
          <cell r="L8246" t="str">
            <v>74260823</v>
          </cell>
        </row>
        <row r="8247">
          <cell r="L8247" t="str">
            <v>74261640</v>
          </cell>
        </row>
        <row r="8248">
          <cell r="L8248" t="str">
            <v>74298141</v>
          </cell>
        </row>
        <row r="8249">
          <cell r="L8249" t="str">
            <v>74315422</v>
          </cell>
        </row>
        <row r="8250">
          <cell r="L8250" t="str">
            <v>74031689</v>
          </cell>
        </row>
        <row r="8251">
          <cell r="L8251" t="str">
            <v>74073131</v>
          </cell>
        </row>
        <row r="8252">
          <cell r="L8252" t="str">
            <v>74084237</v>
          </cell>
        </row>
        <row r="8253">
          <cell r="L8253" t="str">
            <v>74116891</v>
          </cell>
        </row>
        <row r="8254">
          <cell r="L8254" t="str">
            <v>74125153</v>
          </cell>
        </row>
        <row r="8255">
          <cell r="L8255" t="str">
            <v>74135237</v>
          </cell>
        </row>
        <row r="8256">
          <cell r="L8256" t="str">
            <v>74135238</v>
          </cell>
        </row>
        <row r="8257">
          <cell r="L8257" t="str">
            <v>74143728</v>
          </cell>
        </row>
        <row r="8258">
          <cell r="L8258" t="str">
            <v>74157078</v>
          </cell>
        </row>
        <row r="8259">
          <cell r="L8259" t="str">
            <v>74159171</v>
          </cell>
        </row>
        <row r="8260">
          <cell r="L8260" t="str">
            <v>74161779</v>
          </cell>
        </row>
        <row r="8261">
          <cell r="L8261" t="str">
            <v>74165002</v>
          </cell>
        </row>
        <row r="8262">
          <cell r="L8262" t="str">
            <v>74170628</v>
          </cell>
        </row>
        <row r="8263">
          <cell r="L8263" t="str">
            <v>74173954</v>
          </cell>
        </row>
        <row r="8264">
          <cell r="L8264" t="str">
            <v>74180349</v>
          </cell>
        </row>
        <row r="8265">
          <cell r="L8265" t="str">
            <v>74186261</v>
          </cell>
        </row>
        <row r="8266">
          <cell r="L8266" t="str">
            <v>74192543</v>
          </cell>
        </row>
        <row r="8267">
          <cell r="L8267" t="str">
            <v>74213464</v>
          </cell>
        </row>
        <row r="8268">
          <cell r="L8268" t="str">
            <v>74215800</v>
          </cell>
        </row>
        <row r="8269">
          <cell r="L8269" t="str">
            <v>74216040</v>
          </cell>
        </row>
        <row r="8270">
          <cell r="L8270" t="str">
            <v>74216358</v>
          </cell>
        </row>
        <row r="8271">
          <cell r="L8271" t="str">
            <v>74219508</v>
          </cell>
        </row>
        <row r="8272">
          <cell r="L8272" t="str">
            <v>74222700</v>
          </cell>
        </row>
        <row r="8273">
          <cell r="L8273" t="str">
            <v>74226048</v>
          </cell>
        </row>
        <row r="8274">
          <cell r="L8274" t="str">
            <v>74226807</v>
          </cell>
        </row>
        <row r="8275">
          <cell r="L8275" t="str">
            <v>74230729</v>
          </cell>
        </row>
        <row r="8276">
          <cell r="L8276" t="str">
            <v>74231283</v>
          </cell>
        </row>
        <row r="8277">
          <cell r="L8277" t="str">
            <v>74236129</v>
          </cell>
        </row>
        <row r="8278">
          <cell r="L8278" t="str">
            <v>74238159</v>
          </cell>
        </row>
        <row r="8279">
          <cell r="L8279" t="str">
            <v>74238639</v>
          </cell>
        </row>
        <row r="8280">
          <cell r="L8280" t="str">
            <v>74239270</v>
          </cell>
        </row>
        <row r="8281">
          <cell r="L8281" t="str">
            <v>74240162</v>
          </cell>
        </row>
        <row r="8282">
          <cell r="L8282" t="str">
            <v>74243139</v>
          </cell>
        </row>
        <row r="8283">
          <cell r="L8283" t="str">
            <v>74244278</v>
          </cell>
        </row>
        <row r="8284">
          <cell r="L8284" t="str">
            <v>74245621</v>
          </cell>
        </row>
        <row r="8285">
          <cell r="L8285" t="str">
            <v>74246160</v>
          </cell>
        </row>
        <row r="8286">
          <cell r="L8286" t="str">
            <v>74246899</v>
          </cell>
        </row>
        <row r="8287">
          <cell r="L8287" t="str">
            <v>74247360</v>
          </cell>
        </row>
        <row r="8288">
          <cell r="L8288" t="str">
            <v>74249004</v>
          </cell>
        </row>
        <row r="8289">
          <cell r="L8289" t="str">
            <v>74249578</v>
          </cell>
        </row>
        <row r="8290">
          <cell r="L8290" t="str">
            <v>74250588</v>
          </cell>
        </row>
        <row r="8291">
          <cell r="L8291" t="str">
            <v>74250952</v>
          </cell>
        </row>
        <row r="8292">
          <cell r="L8292" t="str">
            <v>74250985</v>
          </cell>
        </row>
        <row r="8293">
          <cell r="L8293" t="str">
            <v>74251497</v>
          </cell>
        </row>
        <row r="8294">
          <cell r="L8294" t="str">
            <v>74251584</v>
          </cell>
        </row>
        <row r="8295">
          <cell r="L8295" t="str">
            <v>74252363</v>
          </cell>
        </row>
        <row r="8296">
          <cell r="L8296" t="str">
            <v>74253299</v>
          </cell>
        </row>
        <row r="8297">
          <cell r="L8297" t="str">
            <v>74253921</v>
          </cell>
        </row>
        <row r="8298">
          <cell r="L8298" t="str">
            <v>74255820</v>
          </cell>
        </row>
        <row r="8299">
          <cell r="L8299" t="str">
            <v>74255944</v>
          </cell>
        </row>
        <row r="8300">
          <cell r="L8300" t="str">
            <v>74257003</v>
          </cell>
        </row>
        <row r="8301">
          <cell r="L8301" t="str">
            <v>74258459</v>
          </cell>
        </row>
        <row r="8302">
          <cell r="L8302" t="str">
            <v>74258863</v>
          </cell>
        </row>
        <row r="8303">
          <cell r="L8303" t="str">
            <v>74259060</v>
          </cell>
        </row>
        <row r="8304">
          <cell r="L8304" t="str">
            <v>74259324</v>
          </cell>
        </row>
        <row r="8305">
          <cell r="L8305" t="str">
            <v>74262899</v>
          </cell>
        </row>
        <row r="8306">
          <cell r="L8306" t="str">
            <v>74263720</v>
          </cell>
        </row>
        <row r="8307">
          <cell r="L8307" t="str">
            <v>74265887</v>
          </cell>
        </row>
        <row r="8308">
          <cell r="L8308" t="str">
            <v>74266479</v>
          </cell>
        </row>
        <row r="8309">
          <cell r="L8309" t="str">
            <v>74270822</v>
          </cell>
        </row>
        <row r="8310">
          <cell r="L8310" t="str">
            <v>74274739</v>
          </cell>
        </row>
        <row r="8311">
          <cell r="L8311" t="str">
            <v>74275501</v>
          </cell>
        </row>
        <row r="8312">
          <cell r="L8312" t="str">
            <v>74275861</v>
          </cell>
        </row>
        <row r="8313">
          <cell r="L8313" t="str">
            <v>74276562</v>
          </cell>
        </row>
        <row r="8314">
          <cell r="L8314" t="str">
            <v>74277141</v>
          </cell>
        </row>
        <row r="8315">
          <cell r="L8315" t="str">
            <v>74278179</v>
          </cell>
        </row>
        <row r="8316">
          <cell r="L8316" t="str">
            <v>74278985</v>
          </cell>
        </row>
        <row r="8317">
          <cell r="L8317" t="str">
            <v>74280942</v>
          </cell>
        </row>
        <row r="8318">
          <cell r="L8318" t="str">
            <v>74281242</v>
          </cell>
        </row>
        <row r="8319">
          <cell r="L8319" t="str">
            <v>74281901</v>
          </cell>
        </row>
        <row r="8320">
          <cell r="L8320" t="str">
            <v>74285124</v>
          </cell>
        </row>
        <row r="8321">
          <cell r="L8321" t="str">
            <v>74287559</v>
          </cell>
        </row>
        <row r="8322">
          <cell r="L8322" t="str">
            <v>74288259</v>
          </cell>
        </row>
        <row r="8323">
          <cell r="L8323" t="str">
            <v>74288296</v>
          </cell>
        </row>
        <row r="8324">
          <cell r="L8324" t="str">
            <v>74288381</v>
          </cell>
        </row>
        <row r="8325">
          <cell r="L8325" t="str">
            <v>74289281</v>
          </cell>
        </row>
        <row r="8326">
          <cell r="L8326" t="str">
            <v>74290659</v>
          </cell>
        </row>
        <row r="8327">
          <cell r="L8327" t="str">
            <v>74291379</v>
          </cell>
        </row>
        <row r="8328">
          <cell r="L8328" t="str">
            <v>74292572</v>
          </cell>
        </row>
        <row r="8329">
          <cell r="L8329" t="str">
            <v>74293562</v>
          </cell>
        </row>
        <row r="8330">
          <cell r="L8330" t="str">
            <v>74092409</v>
          </cell>
        </row>
        <row r="8331">
          <cell r="L8331" t="str">
            <v>74103507</v>
          </cell>
        </row>
        <row r="8332">
          <cell r="L8332" t="str">
            <v>74134271</v>
          </cell>
        </row>
        <row r="8333">
          <cell r="L8333" t="str">
            <v>74135120</v>
          </cell>
        </row>
        <row r="8334">
          <cell r="L8334" t="str">
            <v>74138729</v>
          </cell>
        </row>
        <row r="8335">
          <cell r="L8335" t="str">
            <v>74139114</v>
          </cell>
        </row>
        <row r="8336">
          <cell r="L8336" t="str">
            <v>74140228</v>
          </cell>
        </row>
        <row r="8337">
          <cell r="L8337" t="str">
            <v>74145952</v>
          </cell>
        </row>
        <row r="8338">
          <cell r="L8338" t="str">
            <v>74151579</v>
          </cell>
        </row>
        <row r="8339">
          <cell r="L8339" t="str">
            <v>74155532</v>
          </cell>
        </row>
        <row r="8340">
          <cell r="L8340" t="str">
            <v>74158691</v>
          </cell>
        </row>
        <row r="8341">
          <cell r="L8341" t="str">
            <v>74162154</v>
          </cell>
        </row>
        <row r="8342">
          <cell r="L8342" t="str">
            <v>74163249</v>
          </cell>
        </row>
        <row r="8343">
          <cell r="L8343" t="str">
            <v>74167448</v>
          </cell>
        </row>
        <row r="8344">
          <cell r="L8344" t="str">
            <v>74168976</v>
          </cell>
        </row>
        <row r="8345">
          <cell r="L8345" t="str">
            <v>74171868</v>
          </cell>
        </row>
        <row r="8346">
          <cell r="L8346" t="str">
            <v>74178988</v>
          </cell>
        </row>
        <row r="8347">
          <cell r="L8347" t="str">
            <v>74181288</v>
          </cell>
        </row>
        <row r="8348">
          <cell r="L8348" t="str">
            <v>74182576</v>
          </cell>
        </row>
        <row r="8349">
          <cell r="L8349" t="str">
            <v>74186550</v>
          </cell>
        </row>
        <row r="8350">
          <cell r="L8350" t="str">
            <v>74188549</v>
          </cell>
        </row>
        <row r="8351">
          <cell r="L8351" t="str">
            <v>74188909</v>
          </cell>
        </row>
        <row r="8352">
          <cell r="L8352" t="str">
            <v>74189533</v>
          </cell>
        </row>
        <row r="8353">
          <cell r="L8353" t="str">
            <v>74192834</v>
          </cell>
        </row>
        <row r="8354">
          <cell r="L8354" t="str">
            <v>74193860</v>
          </cell>
        </row>
        <row r="8355">
          <cell r="L8355" t="str">
            <v>74194158</v>
          </cell>
        </row>
        <row r="8356">
          <cell r="L8356" t="str">
            <v>74200908</v>
          </cell>
        </row>
        <row r="8357">
          <cell r="L8357" t="str">
            <v>74201648</v>
          </cell>
        </row>
        <row r="8358">
          <cell r="L8358" t="str">
            <v>74202147</v>
          </cell>
        </row>
        <row r="8359">
          <cell r="L8359" t="str">
            <v>74203541</v>
          </cell>
        </row>
        <row r="8360">
          <cell r="L8360" t="str">
            <v>74204871</v>
          </cell>
        </row>
        <row r="8361">
          <cell r="L8361" t="str">
            <v>74205203</v>
          </cell>
        </row>
        <row r="8362">
          <cell r="L8362" t="str">
            <v>74207680</v>
          </cell>
        </row>
        <row r="8363">
          <cell r="L8363" t="str">
            <v>74208454</v>
          </cell>
        </row>
        <row r="8364">
          <cell r="L8364" t="str">
            <v>74209944</v>
          </cell>
        </row>
        <row r="8365">
          <cell r="L8365" t="str">
            <v>74210898</v>
          </cell>
        </row>
        <row r="8366">
          <cell r="L8366" t="str">
            <v>74216847</v>
          </cell>
        </row>
        <row r="8367">
          <cell r="L8367" t="str">
            <v>74217259</v>
          </cell>
        </row>
        <row r="8368">
          <cell r="L8368" t="str">
            <v>74217466</v>
          </cell>
        </row>
        <row r="8369">
          <cell r="L8369" t="str">
            <v>74218619</v>
          </cell>
        </row>
        <row r="8370">
          <cell r="L8370" t="str">
            <v>74219206</v>
          </cell>
        </row>
        <row r="8371">
          <cell r="L8371" t="str">
            <v>74219806</v>
          </cell>
        </row>
        <row r="8372">
          <cell r="L8372" t="str">
            <v>74220464</v>
          </cell>
        </row>
        <row r="8373">
          <cell r="L8373" t="str">
            <v>74227283</v>
          </cell>
        </row>
        <row r="8374">
          <cell r="L8374" t="str">
            <v>74230199</v>
          </cell>
        </row>
        <row r="8375">
          <cell r="L8375" t="str">
            <v>74232379</v>
          </cell>
        </row>
        <row r="8376">
          <cell r="L8376" t="str">
            <v>74237370</v>
          </cell>
        </row>
        <row r="8377">
          <cell r="L8377" t="str">
            <v>74249039</v>
          </cell>
        </row>
        <row r="8378">
          <cell r="L8378" t="str">
            <v>74249595</v>
          </cell>
        </row>
        <row r="8379">
          <cell r="L8379" t="str">
            <v>74250984</v>
          </cell>
        </row>
        <row r="8380">
          <cell r="L8380" t="str">
            <v>74255920</v>
          </cell>
        </row>
        <row r="8381">
          <cell r="L8381" t="str">
            <v>74267204</v>
          </cell>
        </row>
        <row r="8382">
          <cell r="L8382" t="str">
            <v>74271504</v>
          </cell>
        </row>
        <row r="8383">
          <cell r="L8383" t="str">
            <v>74271979</v>
          </cell>
        </row>
        <row r="8384">
          <cell r="L8384" t="str">
            <v>74280859</v>
          </cell>
        </row>
        <row r="8385">
          <cell r="L8385" t="str">
            <v>74284620</v>
          </cell>
        </row>
        <row r="8386">
          <cell r="L8386" t="str">
            <v>74284799</v>
          </cell>
        </row>
        <row r="8387">
          <cell r="L8387" t="str">
            <v>74286588</v>
          </cell>
        </row>
        <row r="8388">
          <cell r="L8388" t="str">
            <v>74287530</v>
          </cell>
        </row>
        <row r="8389">
          <cell r="L8389" t="str">
            <v>74289839</v>
          </cell>
        </row>
        <row r="8390">
          <cell r="L8390" t="str">
            <v>74290320</v>
          </cell>
        </row>
        <row r="8391">
          <cell r="L8391" t="str">
            <v>74291589</v>
          </cell>
        </row>
        <row r="8392">
          <cell r="L8392" t="str">
            <v>74293861</v>
          </cell>
        </row>
        <row r="8393">
          <cell r="L8393" t="str">
            <v>74293881</v>
          </cell>
        </row>
        <row r="8394">
          <cell r="L8394" t="str">
            <v>74295044</v>
          </cell>
        </row>
        <row r="8395">
          <cell r="L8395" t="str">
            <v>74298621</v>
          </cell>
        </row>
        <row r="8396">
          <cell r="L8396" t="str">
            <v>74302573</v>
          </cell>
        </row>
        <row r="8397">
          <cell r="L8397" t="str">
            <v>74304884</v>
          </cell>
        </row>
        <row r="8398">
          <cell r="L8398" t="str">
            <v>74306179</v>
          </cell>
        </row>
        <row r="8399">
          <cell r="L8399" t="str">
            <v>74306575</v>
          </cell>
        </row>
        <row r="8400">
          <cell r="L8400" t="str">
            <v>74312668</v>
          </cell>
        </row>
        <row r="8401">
          <cell r="L8401" t="str">
            <v>74313399</v>
          </cell>
        </row>
        <row r="8402">
          <cell r="L8402" t="str">
            <v>74316385</v>
          </cell>
        </row>
        <row r="8403">
          <cell r="L8403" t="str">
            <v>74321408</v>
          </cell>
        </row>
        <row r="8404">
          <cell r="L8404" t="str">
            <v>74322199</v>
          </cell>
        </row>
        <row r="8405">
          <cell r="L8405" t="str">
            <v>74325439</v>
          </cell>
        </row>
        <row r="8406">
          <cell r="L8406" t="str">
            <v>74325954</v>
          </cell>
        </row>
        <row r="8407">
          <cell r="L8407" t="str">
            <v>74234260</v>
          </cell>
        </row>
        <row r="8408">
          <cell r="L8408" t="str">
            <v>74055638</v>
          </cell>
        </row>
        <row r="8409">
          <cell r="L8409" t="str">
            <v>74116722</v>
          </cell>
        </row>
        <row r="8410">
          <cell r="L8410" t="str">
            <v>74151030</v>
          </cell>
        </row>
        <row r="8411">
          <cell r="L8411" t="str">
            <v>74182400</v>
          </cell>
        </row>
        <row r="8412">
          <cell r="L8412" t="str">
            <v>74202193</v>
          </cell>
        </row>
        <row r="8413">
          <cell r="L8413" t="str">
            <v>74203984</v>
          </cell>
        </row>
        <row r="8414">
          <cell r="L8414" t="str">
            <v>74203991</v>
          </cell>
        </row>
        <row r="8415">
          <cell r="L8415" t="str">
            <v>74204091</v>
          </cell>
        </row>
        <row r="8416">
          <cell r="L8416" t="str">
            <v>74213081</v>
          </cell>
        </row>
        <row r="8417">
          <cell r="L8417" t="str">
            <v>74235821</v>
          </cell>
        </row>
        <row r="8418">
          <cell r="L8418" t="str">
            <v>74266963</v>
          </cell>
        </row>
        <row r="8419">
          <cell r="L8419" t="str">
            <v>74272319</v>
          </cell>
        </row>
        <row r="8420">
          <cell r="L8420" t="str">
            <v>74272595</v>
          </cell>
        </row>
        <row r="8421">
          <cell r="L8421" t="str">
            <v>74272741</v>
          </cell>
        </row>
        <row r="8422">
          <cell r="L8422" t="str">
            <v>74274502</v>
          </cell>
        </row>
        <row r="8423">
          <cell r="L8423" t="str">
            <v>74279479</v>
          </cell>
        </row>
        <row r="8424">
          <cell r="L8424" t="str">
            <v>74287506</v>
          </cell>
        </row>
        <row r="8425">
          <cell r="L8425" t="str">
            <v>74287856</v>
          </cell>
        </row>
        <row r="8426">
          <cell r="L8426" t="str">
            <v>74291132</v>
          </cell>
        </row>
        <row r="8427">
          <cell r="L8427" t="str">
            <v>74310779</v>
          </cell>
        </row>
        <row r="8428">
          <cell r="L8428" t="str">
            <v>74314329</v>
          </cell>
        </row>
        <row r="8429">
          <cell r="L8429" t="str">
            <v>74220473</v>
          </cell>
        </row>
        <row r="8430">
          <cell r="L8430" t="str">
            <v>74079128</v>
          </cell>
        </row>
        <row r="8431">
          <cell r="L8431" t="str">
            <v>74125123</v>
          </cell>
        </row>
        <row r="8432">
          <cell r="L8432" t="str">
            <v>74146048</v>
          </cell>
        </row>
        <row r="8433">
          <cell r="L8433" t="str">
            <v>74171331</v>
          </cell>
        </row>
        <row r="8434">
          <cell r="L8434" t="str">
            <v>74174611</v>
          </cell>
        </row>
        <row r="8435">
          <cell r="L8435" t="str">
            <v>74181032</v>
          </cell>
        </row>
        <row r="8436">
          <cell r="L8436" t="str">
            <v>74193382</v>
          </cell>
        </row>
        <row r="8437">
          <cell r="L8437" t="str">
            <v>74225443</v>
          </cell>
        </row>
        <row r="8438">
          <cell r="L8438" t="str">
            <v>74225805</v>
          </cell>
        </row>
        <row r="8439">
          <cell r="L8439" t="str">
            <v>74231028</v>
          </cell>
        </row>
        <row r="8440">
          <cell r="L8440" t="str">
            <v>74231479</v>
          </cell>
        </row>
        <row r="8441">
          <cell r="L8441" t="str">
            <v>74233261</v>
          </cell>
        </row>
        <row r="8442">
          <cell r="L8442" t="str">
            <v>74243252</v>
          </cell>
        </row>
        <row r="8443">
          <cell r="L8443" t="str">
            <v>74247161</v>
          </cell>
        </row>
        <row r="8444">
          <cell r="L8444" t="str">
            <v>74248219</v>
          </cell>
        </row>
        <row r="8445">
          <cell r="L8445" t="str">
            <v>74252021</v>
          </cell>
        </row>
        <row r="8446">
          <cell r="L8446" t="str">
            <v>74252559</v>
          </cell>
        </row>
        <row r="8447">
          <cell r="L8447" t="str">
            <v>74255581</v>
          </cell>
        </row>
        <row r="8448">
          <cell r="L8448" t="str">
            <v>74257760</v>
          </cell>
        </row>
        <row r="8449">
          <cell r="L8449" t="str">
            <v>74259323</v>
          </cell>
        </row>
        <row r="8450">
          <cell r="L8450" t="str">
            <v>74260507</v>
          </cell>
        </row>
        <row r="8451">
          <cell r="L8451" t="str">
            <v>74271799</v>
          </cell>
        </row>
        <row r="8452">
          <cell r="L8452" t="str">
            <v>74276379</v>
          </cell>
        </row>
        <row r="8453">
          <cell r="L8453" t="str">
            <v>74277740</v>
          </cell>
        </row>
        <row r="8454">
          <cell r="L8454" t="str">
            <v>74277962</v>
          </cell>
        </row>
        <row r="8455">
          <cell r="L8455" t="str">
            <v>74279399</v>
          </cell>
        </row>
        <row r="8456">
          <cell r="L8456" t="str">
            <v>74279400</v>
          </cell>
        </row>
        <row r="8457">
          <cell r="L8457" t="str">
            <v>74281164</v>
          </cell>
        </row>
        <row r="8458">
          <cell r="L8458" t="str">
            <v>74282822</v>
          </cell>
        </row>
        <row r="8459">
          <cell r="L8459" t="str">
            <v>74283767</v>
          </cell>
        </row>
        <row r="8460">
          <cell r="L8460" t="str">
            <v>74285770</v>
          </cell>
        </row>
        <row r="8461">
          <cell r="L8461" t="str">
            <v>74285774</v>
          </cell>
        </row>
        <row r="8462">
          <cell r="L8462" t="str">
            <v>74286373</v>
          </cell>
        </row>
        <row r="8463">
          <cell r="L8463" t="str">
            <v>74287585</v>
          </cell>
        </row>
        <row r="8464">
          <cell r="L8464" t="str">
            <v>74289199</v>
          </cell>
        </row>
        <row r="8465">
          <cell r="L8465" t="str">
            <v>74290270</v>
          </cell>
        </row>
        <row r="8466">
          <cell r="L8466" t="str">
            <v>74290726</v>
          </cell>
        </row>
        <row r="8467">
          <cell r="L8467" t="str">
            <v>74293075</v>
          </cell>
        </row>
        <row r="8468">
          <cell r="L8468" t="str">
            <v>74293759</v>
          </cell>
        </row>
        <row r="8469">
          <cell r="L8469" t="str">
            <v>74294980</v>
          </cell>
        </row>
        <row r="8470">
          <cell r="L8470" t="str">
            <v>74295563</v>
          </cell>
        </row>
        <row r="8471">
          <cell r="L8471" t="str">
            <v>74297250</v>
          </cell>
        </row>
        <row r="8472">
          <cell r="L8472" t="str">
            <v>74297542</v>
          </cell>
        </row>
        <row r="8473">
          <cell r="L8473" t="str">
            <v>74305580</v>
          </cell>
        </row>
        <row r="8474">
          <cell r="L8474" t="str">
            <v>74306119</v>
          </cell>
        </row>
        <row r="8475">
          <cell r="L8475" t="str">
            <v>74308405</v>
          </cell>
        </row>
        <row r="8476">
          <cell r="L8476" t="str">
            <v>74311001</v>
          </cell>
        </row>
        <row r="8477">
          <cell r="L8477" t="str">
            <v>74311002</v>
          </cell>
        </row>
        <row r="8478">
          <cell r="L8478" t="str">
            <v>74312239</v>
          </cell>
        </row>
        <row r="8479">
          <cell r="L8479" t="str">
            <v>74313700</v>
          </cell>
        </row>
        <row r="8480">
          <cell r="L8480" t="str">
            <v>74313705</v>
          </cell>
        </row>
        <row r="8481">
          <cell r="L8481" t="str">
            <v>74313707</v>
          </cell>
        </row>
        <row r="8482">
          <cell r="L8482" t="str">
            <v>74054459</v>
          </cell>
        </row>
        <row r="8483">
          <cell r="L8483" t="str">
            <v>74092255</v>
          </cell>
        </row>
        <row r="8484">
          <cell r="L8484" t="str">
            <v>74098035</v>
          </cell>
        </row>
        <row r="8485">
          <cell r="L8485" t="str">
            <v>74112769</v>
          </cell>
        </row>
        <row r="8486">
          <cell r="L8486" t="str">
            <v>74118888</v>
          </cell>
        </row>
        <row r="8487">
          <cell r="L8487" t="str">
            <v>74121399</v>
          </cell>
        </row>
        <row r="8488">
          <cell r="L8488" t="str">
            <v>74121403</v>
          </cell>
        </row>
        <row r="8489">
          <cell r="L8489" t="str">
            <v>74125370</v>
          </cell>
        </row>
        <row r="8490">
          <cell r="L8490" t="str">
            <v>74136860</v>
          </cell>
        </row>
        <row r="8491">
          <cell r="L8491" t="str">
            <v>74139314</v>
          </cell>
        </row>
        <row r="8492">
          <cell r="L8492" t="str">
            <v>74139330</v>
          </cell>
        </row>
        <row r="8493">
          <cell r="L8493" t="str">
            <v>74139447</v>
          </cell>
        </row>
        <row r="8494">
          <cell r="L8494" t="str">
            <v>74139449</v>
          </cell>
        </row>
        <row r="8495">
          <cell r="L8495" t="str">
            <v>74141349</v>
          </cell>
        </row>
        <row r="8496">
          <cell r="L8496" t="str">
            <v>74142270</v>
          </cell>
        </row>
        <row r="8497">
          <cell r="L8497" t="str">
            <v>74148129</v>
          </cell>
        </row>
        <row r="8498">
          <cell r="L8498" t="str">
            <v>74148149</v>
          </cell>
        </row>
        <row r="8499">
          <cell r="L8499" t="str">
            <v>74149366</v>
          </cell>
        </row>
        <row r="8500">
          <cell r="L8500" t="str">
            <v>74150103</v>
          </cell>
        </row>
        <row r="8501">
          <cell r="L8501" t="str">
            <v>74150104</v>
          </cell>
        </row>
        <row r="8502">
          <cell r="L8502" t="str">
            <v>74153630</v>
          </cell>
        </row>
        <row r="8503">
          <cell r="L8503" t="str">
            <v>74165332</v>
          </cell>
        </row>
        <row r="8504">
          <cell r="L8504" t="str">
            <v>74165350</v>
          </cell>
        </row>
        <row r="8505">
          <cell r="L8505" t="str">
            <v>74165369</v>
          </cell>
        </row>
        <row r="8506">
          <cell r="L8506" t="str">
            <v>74170908</v>
          </cell>
        </row>
        <row r="8507">
          <cell r="L8507" t="str">
            <v>74171035</v>
          </cell>
        </row>
        <row r="8508">
          <cell r="L8508" t="str">
            <v>74171068</v>
          </cell>
        </row>
        <row r="8509">
          <cell r="L8509" t="str">
            <v>74171090</v>
          </cell>
        </row>
        <row r="8510">
          <cell r="L8510" t="str">
            <v>74171109</v>
          </cell>
        </row>
        <row r="8511">
          <cell r="L8511" t="str">
            <v>74171428</v>
          </cell>
        </row>
        <row r="8512">
          <cell r="L8512" t="str">
            <v>74171576</v>
          </cell>
        </row>
        <row r="8513">
          <cell r="L8513" t="str">
            <v>74171577</v>
          </cell>
        </row>
        <row r="8514">
          <cell r="L8514" t="str">
            <v>74171590</v>
          </cell>
        </row>
        <row r="8515">
          <cell r="L8515" t="str">
            <v>74172755</v>
          </cell>
        </row>
        <row r="8516">
          <cell r="L8516" t="str">
            <v>74172834</v>
          </cell>
        </row>
        <row r="8517">
          <cell r="L8517" t="str">
            <v>74172848</v>
          </cell>
        </row>
        <row r="8518">
          <cell r="L8518" t="str">
            <v>74173789</v>
          </cell>
        </row>
        <row r="8519">
          <cell r="L8519" t="str">
            <v>74175448</v>
          </cell>
        </row>
        <row r="8520">
          <cell r="L8520" t="str">
            <v>74176958</v>
          </cell>
        </row>
        <row r="8521">
          <cell r="L8521" t="str">
            <v>74177029</v>
          </cell>
        </row>
        <row r="8522">
          <cell r="L8522" t="str">
            <v>74180995</v>
          </cell>
        </row>
        <row r="8523">
          <cell r="L8523" t="str">
            <v>74181031</v>
          </cell>
        </row>
        <row r="8524">
          <cell r="L8524" t="str">
            <v>74181429</v>
          </cell>
        </row>
        <row r="8525">
          <cell r="L8525" t="str">
            <v>74181430</v>
          </cell>
        </row>
        <row r="8526">
          <cell r="L8526" t="str">
            <v>74182508</v>
          </cell>
        </row>
        <row r="8527">
          <cell r="L8527" t="str">
            <v>74182509</v>
          </cell>
        </row>
        <row r="8528">
          <cell r="L8528" t="str">
            <v>74182510</v>
          </cell>
        </row>
        <row r="8529">
          <cell r="L8529" t="str">
            <v>74184897</v>
          </cell>
        </row>
        <row r="8530">
          <cell r="L8530" t="str">
            <v>74184898</v>
          </cell>
        </row>
        <row r="8531">
          <cell r="L8531" t="str">
            <v>74185406</v>
          </cell>
        </row>
        <row r="8532">
          <cell r="L8532" t="str">
            <v>74185464</v>
          </cell>
        </row>
        <row r="8533">
          <cell r="L8533" t="str">
            <v>74186913</v>
          </cell>
        </row>
        <row r="8534">
          <cell r="L8534" t="str">
            <v>74187894</v>
          </cell>
        </row>
        <row r="8535">
          <cell r="L8535" t="str">
            <v>74189631</v>
          </cell>
        </row>
        <row r="8536">
          <cell r="L8536" t="str">
            <v>74189632</v>
          </cell>
        </row>
        <row r="8537">
          <cell r="L8537" t="str">
            <v>74192469</v>
          </cell>
        </row>
        <row r="8538">
          <cell r="L8538" t="str">
            <v>74195506</v>
          </cell>
        </row>
        <row r="8539">
          <cell r="L8539" t="str">
            <v>74195508</v>
          </cell>
        </row>
        <row r="8540">
          <cell r="L8540" t="str">
            <v>74198279</v>
          </cell>
        </row>
        <row r="8541">
          <cell r="L8541" t="str">
            <v>74198319</v>
          </cell>
        </row>
        <row r="8542">
          <cell r="L8542" t="str">
            <v>74199039</v>
          </cell>
        </row>
        <row r="8543">
          <cell r="L8543" t="str">
            <v>74200169</v>
          </cell>
        </row>
        <row r="8544">
          <cell r="L8544" t="str">
            <v>74202563</v>
          </cell>
        </row>
        <row r="8545">
          <cell r="L8545" t="str">
            <v>74205681</v>
          </cell>
        </row>
        <row r="8546">
          <cell r="L8546" t="str">
            <v>74205683</v>
          </cell>
        </row>
        <row r="8547">
          <cell r="L8547" t="str">
            <v>74206222</v>
          </cell>
        </row>
        <row r="8548">
          <cell r="L8548" t="str">
            <v>74207261</v>
          </cell>
        </row>
        <row r="8549">
          <cell r="L8549" t="str">
            <v>74207262</v>
          </cell>
        </row>
        <row r="8550">
          <cell r="L8550" t="str">
            <v>74207328</v>
          </cell>
        </row>
        <row r="8551">
          <cell r="L8551" t="str">
            <v>74209118</v>
          </cell>
        </row>
        <row r="8552">
          <cell r="L8552" t="str">
            <v>74209119</v>
          </cell>
        </row>
        <row r="8553">
          <cell r="L8553" t="str">
            <v>74209679</v>
          </cell>
        </row>
        <row r="8554">
          <cell r="L8554" t="str">
            <v>74210568</v>
          </cell>
        </row>
        <row r="8555">
          <cell r="L8555" t="str">
            <v>74213420</v>
          </cell>
        </row>
        <row r="8556">
          <cell r="L8556" t="str">
            <v>74214654</v>
          </cell>
        </row>
        <row r="8557">
          <cell r="L8557" t="str">
            <v>74217161</v>
          </cell>
        </row>
        <row r="8558">
          <cell r="L8558" t="str">
            <v>74219200</v>
          </cell>
        </row>
        <row r="8559">
          <cell r="L8559" t="str">
            <v>74221681</v>
          </cell>
        </row>
        <row r="8560">
          <cell r="L8560" t="str">
            <v>74223079</v>
          </cell>
        </row>
        <row r="8561">
          <cell r="L8561" t="str">
            <v>74224004</v>
          </cell>
        </row>
        <row r="8562">
          <cell r="L8562" t="str">
            <v>74224060</v>
          </cell>
        </row>
        <row r="8563">
          <cell r="L8563" t="str">
            <v>74224066</v>
          </cell>
        </row>
        <row r="8564">
          <cell r="L8564" t="str">
            <v>74224067</v>
          </cell>
        </row>
        <row r="8565">
          <cell r="L8565" t="str">
            <v>74224840</v>
          </cell>
        </row>
        <row r="8566">
          <cell r="L8566" t="str">
            <v>74224841</v>
          </cell>
        </row>
        <row r="8567">
          <cell r="L8567" t="str">
            <v>74225660</v>
          </cell>
        </row>
        <row r="8568">
          <cell r="L8568" t="str">
            <v>74226660</v>
          </cell>
        </row>
        <row r="8569">
          <cell r="L8569" t="str">
            <v>74226722</v>
          </cell>
        </row>
        <row r="8570">
          <cell r="L8570" t="str">
            <v>74229441</v>
          </cell>
        </row>
        <row r="8571">
          <cell r="L8571" t="str">
            <v>74231561</v>
          </cell>
        </row>
        <row r="8572">
          <cell r="L8572" t="str">
            <v>74231639</v>
          </cell>
        </row>
        <row r="8573">
          <cell r="L8573" t="str">
            <v>74234161</v>
          </cell>
        </row>
        <row r="8574">
          <cell r="L8574" t="str">
            <v>74238506</v>
          </cell>
        </row>
        <row r="8575">
          <cell r="L8575" t="str">
            <v>74241040</v>
          </cell>
        </row>
        <row r="8576">
          <cell r="L8576" t="str">
            <v>74241042</v>
          </cell>
        </row>
        <row r="8577">
          <cell r="L8577" t="str">
            <v>74242259</v>
          </cell>
        </row>
        <row r="8578">
          <cell r="L8578" t="str">
            <v>74242459</v>
          </cell>
        </row>
        <row r="8579">
          <cell r="L8579" t="str">
            <v>74243199</v>
          </cell>
        </row>
        <row r="8580">
          <cell r="L8580" t="str">
            <v>74244859</v>
          </cell>
        </row>
        <row r="8581">
          <cell r="L8581" t="str">
            <v>74248223</v>
          </cell>
        </row>
        <row r="8582">
          <cell r="L8582" t="str">
            <v>74250302</v>
          </cell>
        </row>
        <row r="8583">
          <cell r="L8583" t="str">
            <v>74250303</v>
          </cell>
        </row>
        <row r="8584">
          <cell r="L8584" t="str">
            <v>74250304</v>
          </cell>
        </row>
        <row r="8585">
          <cell r="L8585" t="str">
            <v>74250305</v>
          </cell>
        </row>
        <row r="8586">
          <cell r="L8586" t="str">
            <v>74261461</v>
          </cell>
        </row>
        <row r="8587">
          <cell r="L8587" t="str">
            <v>74265179</v>
          </cell>
        </row>
        <row r="8588">
          <cell r="L8588" t="str">
            <v>74273062</v>
          </cell>
        </row>
        <row r="8589">
          <cell r="L8589" t="str">
            <v>74273968</v>
          </cell>
        </row>
        <row r="8590">
          <cell r="L8590" t="str">
            <v>74281144</v>
          </cell>
        </row>
        <row r="8591">
          <cell r="L8591" t="str">
            <v>74281159</v>
          </cell>
        </row>
        <row r="8592">
          <cell r="L8592" t="str">
            <v>74281161</v>
          </cell>
        </row>
        <row r="8593">
          <cell r="L8593" t="str">
            <v>74281162</v>
          </cell>
        </row>
        <row r="8594">
          <cell r="L8594" t="str">
            <v>74283768</v>
          </cell>
        </row>
        <row r="8595">
          <cell r="L8595" t="str">
            <v>74288899</v>
          </cell>
        </row>
        <row r="8596">
          <cell r="L8596" t="str">
            <v>74288901</v>
          </cell>
        </row>
        <row r="8597">
          <cell r="L8597" t="str">
            <v>74289095</v>
          </cell>
        </row>
        <row r="8598">
          <cell r="L8598" t="str">
            <v>74292062</v>
          </cell>
        </row>
        <row r="8599">
          <cell r="L8599" t="str">
            <v>74292071</v>
          </cell>
        </row>
        <row r="8600">
          <cell r="L8600" t="str">
            <v>74293403</v>
          </cell>
        </row>
        <row r="8601">
          <cell r="L8601" t="str">
            <v>74293760</v>
          </cell>
        </row>
        <row r="8602">
          <cell r="L8602" t="str">
            <v>74295666</v>
          </cell>
        </row>
        <row r="8603">
          <cell r="L8603" t="str">
            <v>74296819</v>
          </cell>
        </row>
        <row r="8604">
          <cell r="L8604" t="str">
            <v>74302862</v>
          </cell>
        </row>
        <row r="8605">
          <cell r="L8605" t="str">
            <v>74303119</v>
          </cell>
        </row>
        <row r="8606">
          <cell r="L8606" t="str">
            <v>74304279</v>
          </cell>
        </row>
        <row r="8607">
          <cell r="L8607" t="str">
            <v>74305384</v>
          </cell>
        </row>
        <row r="8608">
          <cell r="L8608" t="str">
            <v>74154149</v>
          </cell>
        </row>
        <row r="8609">
          <cell r="L8609" t="str">
            <v>74152568</v>
          </cell>
        </row>
        <row r="8610">
          <cell r="L8610" t="str">
            <v>74171408</v>
          </cell>
        </row>
        <row r="8611">
          <cell r="L8611" t="str">
            <v>74198908</v>
          </cell>
        </row>
        <row r="8612">
          <cell r="L8612" t="str">
            <v>74205040</v>
          </cell>
        </row>
        <row r="8613">
          <cell r="L8613" t="str">
            <v>74206403</v>
          </cell>
        </row>
        <row r="8614">
          <cell r="L8614" t="str">
            <v>74207256</v>
          </cell>
        </row>
        <row r="8615">
          <cell r="L8615" t="str">
            <v>74219181</v>
          </cell>
        </row>
        <row r="8616">
          <cell r="L8616" t="str">
            <v>74226223</v>
          </cell>
        </row>
        <row r="8617">
          <cell r="L8617" t="str">
            <v>74236260</v>
          </cell>
        </row>
        <row r="8618">
          <cell r="L8618" t="str">
            <v>74238624</v>
          </cell>
        </row>
        <row r="8619">
          <cell r="L8619" t="str">
            <v>74241062</v>
          </cell>
        </row>
        <row r="8620">
          <cell r="L8620" t="str">
            <v>74243250</v>
          </cell>
        </row>
        <row r="8621">
          <cell r="L8621" t="str">
            <v>74252019</v>
          </cell>
        </row>
        <row r="8622">
          <cell r="L8622" t="str">
            <v>74253725</v>
          </cell>
        </row>
        <row r="8623">
          <cell r="L8623" t="str">
            <v>74266501</v>
          </cell>
        </row>
        <row r="8624">
          <cell r="L8624" t="str">
            <v>74267379</v>
          </cell>
        </row>
        <row r="8625">
          <cell r="L8625" t="str">
            <v>74267380</v>
          </cell>
        </row>
        <row r="8626">
          <cell r="L8626" t="str">
            <v>74267480</v>
          </cell>
        </row>
        <row r="8627">
          <cell r="L8627" t="str">
            <v>74268220</v>
          </cell>
        </row>
        <row r="8628">
          <cell r="L8628" t="str">
            <v>74268221</v>
          </cell>
        </row>
        <row r="8629">
          <cell r="L8629" t="str">
            <v>74268222</v>
          </cell>
        </row>
        <row r="8630">
          <cell r="L8630" t="str">
            <v>74268542</v>
          </cell>
        </row>
        <row r="8631">
          <cell r="L8631" t="str">
            <v>74273059</v>
          </cell>
        </row>
        <row r="8632">
          <cell r="L8632" t="str">
            <v>74274939</v>
          </cell>
        </row>
        <row r="8633">
          <cell r="L8633" t="str">
            <v>74274940</v>
          </cell>
        </row>
        <row r="8634">
          <cell r="L8634" t="str">
            <v>74275502</v>
          </cell>
        </row>
        <row r="8635">
          <cell r="L8635" t="str">
            <v>74275519</v>
          </cell>
        </row>
        <row r="8636">
          <cell r="L8636" t="str">
            <v>74277966</v>
          </cell>
        </row>
        <row r="8637">
          <cell r="L8637" t="str">
            <v>74279885</v>
          </cell>
        </row>
        <row r="8638">
          <cell r="L8638" t="str">
            <v>74279886</v>
          </cell>
        </row>
        <row r="8639">
          <cell r="L8639" t="str">
            <v>74285326</v>
          </cell>
        </row>
        <row r="8640">
          <cell r="L8640" t="str">
            <v>74285327</v>
          </cell>
        </row>
        <row r="8641">
          <cell r="L8641" t="str">
            <v>74285328</v>
          </cell>
        </row>
        <row r="8642">
          <cell r="L8642" t="str">
            <v>74286283</v>
          </cell>
        </row>
        <row r="8643">
          <cell r="L8643" t="str">
            <v>74293761</v>
          </cell>
        </row>
        <row r="8644">
          <cell r="L8644" t="str">
            <v>74293762</v>
          </cell>
        </row>
        <row r="8645">
          <cell r="L8645" t="str">
            <v>74294142</v>
          </cell>
        </row>
        <row r="8646">
          <cell r="L8646" t="str">
            <v>74232400</v>
          </cell>
        </row>
        <row r="8647">
          <cell r="L8647" t="str">
            <v>74288203</v>
          </cell>
        </row>
        <row r="8648">
          <cell r="L8648" t="str">
            <v>74192315</v>
          </cell>
        </row>
        <row r="8649">
          <cell r="L8649" t="str">
            <v>74238280</v>
          </cell>
        </row>
        <row r="8650">
          <cell r="L8650" t="str">
            <v>74242909</v>
          </cell>
        </row>
        <row r="8651">
          <cell r="L8651" t="str">
            <v>74245943</v>
          </cell>
        </row>
        <row r="8652">
          <cell r="L8652" t="str">
            <v>74263340</v>
          </cell>
        </row>
        <row r="8653">
          <cell r="L8653" t="str">
            <v>74219699</v>
          </cell>
        </row>
        <row r="8654">
          <cell r="L8654" t="str">
            <v>74109457</v>
          </cell>
        </row>
        <row r="8655">
          <cell r="L8655" t="str">
            <v>74187816</v>
          </cell>
        </row>
        <row r="8656">
          <cell r="L8656" t="str">
            <v>74217879</v>
          </cell>
        </row>
        <row r="8657">
          <cell r="L8657" t="str">
            <v>74224583</v>
          </cell>
        </row>
        <row r="8658">
          <cell r="L8658" t="str">
            <v>74233799</v>
          </cell>
        </row>
        <row r="8659">
          <cell r="L8659" t="str">
            <v>74240781</v>
          </cell>
        </row>
        <row r="8660">
          <cell r="L8660" t="str">
            <v>74242539</v>
          </cell>
        </row>
        <row r="8661">
          <cell r="L8661" t="str">
            <v>74243179</v>
          </cell>
        </row>
        <row r="8662">
          <cell r="L8662" t="str">
            <v>74245500</v>
          </cell>
        </row>
        <row r="8663">
          <cell r="L8663" t="str">
            <v>74245739</v>
          </cell>
        </row>
        <row r="8664">
          <cell r="L8664" t="str">
            <v>74246928</v>
          </cell>
        </row>
        <row r="8665">
          <cell r="L8665" t="str">
            <v>74248483</v>
          </cell>
        </row>
        <row r="8666">
          <cell r="L8666" t="str">
            <v>74249003</v>
          </cell>
        </row>
        <row r="8667">
          <cell r="L8667" t="str">
            <v>74249281</v>
          </cell>
        </row>
        <row r="8668">
          <cell r="L8668" t="str">
            <v>74250620</v>
          </cell>
        </row>
        <row r="8669">
          <cell r="L8669" t="str">
            <v>74250660</v>
          </cell>
        </row>
        <row r="8670">
          <cell r="L8670" t="str">
            <v>74252319</v>
          </cell>
        </row>
        <row r="8671">
          <cell r="L8671" t="str">
            <v>74252760</v>
          </cell>
        </row>
        <row r="8672">
          <cell r="L8672" t="str">
            <v>74252920</v>
          </cell>
        </row>
        <row r="8673">
          <cell r="L8673" t="str">
            <v>74253659</v>
          </cell>
        </row>
        <row r="8674">
          <cell r="L8674" t="str">
            <v>74253996</v>
          </cell>
        </row>
        <row r="8675">
          <cell r="L8675" t="str">
            <v>74254739</v>
          </cell>
        </row>
        <row r="8676">
          <cell r="L8676" t="str">
            <v>74255279</v>
          </cell>
        </row>
        <row r="8677">
          <cell r="L8677" t="str">
            <v>74256993</v>
          </cell>
        </row>
        <row r="8678">
          <cell r="L8678" t="str">
            <v>74260023</v>
          </cell>
        </row>
        <row r="8679">
          <cell r="L8679" t="str">
            <v>74261039</v>
          </cell>
        </row>
        <row r="8680">
          <cell r="L8680" t="str">
            <v>74261388</v>
          </cell>
        </row>
        <row r="8681">
          <cell r="L8681" t="str">
            <v>74263419</v>
          </cell>
        </row>
        <row r="8682">
          <cell r="L8682" t="str">
            <v>74264210</v>
          </cell>
        </row>
        <row r="8683">
          <cell r="L8683" t="str">
            <v>74264799</v>
          </cell>
        </row>
        <row r="8684">
          <cell r="L8684" t="str">
            <v>74265799</v>
          </cell>
        </row>
        <row r="8685">
          <cell r="L8685" t="str">
            <v>74265920</v>
          </cell>
        </row>
        <row r="8686">
          <cell r="L8686" t="str">
            <v>74266924</v>
          </cell>
        </row>
        <row r="8687">
          <cell r="L8687" t="str">
            <v>74269286</v>
          </cell>
        </row>
        <row r="8688">
          <cell r="L8688" t="str">
            <v>74272822</v>
          </cell>
        </row>
        <row r="8689">
          <cell r="L8689" t="str">
            <v>74274192</v>
          </cell>
        </row>
        <row r="8690">
          <cell r="L8690" t="str">
            <v>74274941</v>
          </cell>
        </row>
        <row r="8691">
          <cell r="L8691" t="str">
            <v>74275181</v>
          </cell>
        </row>
        <row r="8692">
          <cell r="L8692" t="str">
            <v>74275863</v>
          </cell>
        </row>
        <row r="8693">
          <cell r="L8693" t="str">
            <v>74276187</v>
          </cell>
        </row>
        <row r="8694">
          <cell r="L8694" t="str">
            <v>74276285</v>
          </cell>
        </row>
        <row r="8695">
          <cell r="L8695" t="str">
            <v>74276546</v>
          </cell>
        </row>
        <row r="8696">
          <cell r="L8696" t="str">
            <v>74277912</v>
          </cell>
        </row>
        <row r="8697">
          <cell r="L8697" t="str">
            <v>74279020</v>
          </cell>
        </row>
        <row r="8698">
          <cell r="L8698" t="str">
            <v>74279299</v>
          </cell>
        </row>
        <row r="8699">
          <cell r="L8699" t="str">
            <v>74281464</v>
          </cell>
        </row>
        <row r="8700">
          <cell r="L8700" t="str">
            <v>74282579</v>
          </cell>
        </row>
        <row r="8701">
          <cell r="L8701" t="str">
            <v>74284501</v>
          </cell>
        </row>
        <row r="8702">
          <cell r="L8702" t="str">
            <v>74284779</v>
          </cell>
        </row>
        <row r="8703">
          <cell r="L8703" t="str">
            <v>74285620</v>
          </cell>
        </row>
        <row r="8704">
          <cell r="L8704" t="str">
            <v>74286460</v>
          </cell>
        </row>
        <row r="8705">
          <cell r="L8705" t="str">
            <v>74287470</v>
          </cell>
        </row>
        <row r="8706">
          <cell r="L8706" t="str">
            <v>74287860</v>
          </cell>
        </row>
        <row r="8707">
          <cell r="L8707" t="str">
            <v>74288680</v>
          </cell>
        </row>
        <row r="8708">
          <cell r="L8708" t="str">
            <v>74289761</v>
          </cell>
        </row>
        <row r="8709">
          <cell r="L8709" t="str">
            <v>74289984</v>
          </cell>
        </row>
        <row r="8710">
          <cell r="L8710" t="str">
            <v>74290575</v>
          </cell>
        </row>
        <row r="8711">
          <cell r="L8711" t="str">
            <v>74290643</v>
          </cell>
        </row>
        <row r="8712">
          <cell r="L8712" t="str">
            <v>74291887</v>
          </cell>
        </row>
        <row r="8713">
          <cell r="L8713" t="str">
            <v>74294166</v>
          </cell>
        </row>
        <row r="8714">
          <cell r="L8714" t="str">
            <v>74294781</v>
          </cell>
        </row>
        <row r="8715">
          <cell r="L8715" t="str">
            <v>74294782</v>
          </cell>
        </row>
        <row r="8716">
          <cell r="L8716" t="str">
            <v>74295323</v>
          </cell>
        </row>
        <row r="8717">
          <cell r="L8717" t="str">
            <v>74295383</v>
          </cell>
        </row>
        <row r="8718">
          <cell r="L8718" t="str">
            <v>74295400</v>
          </cell>
        </row>
        <row r="8719">
          <cell r="L8719" t="str">
            <v>74296647</v>
          </cell>
        </row>
        <row r="8720">
          <cell r="L8720" t="str">
            <v>74298080</v>
          </cell>
        </row>
        <row r="8721">
          <cell r="L8721" t="str">
            <v>74298101</v>
          </cell>
        </row>
        <row r="8722">
          <cell r="L8722" t="str">
            <v>74299199</v>
          </cell>
        </row>
        <row r="8723">
          <cell r="L8723" t="str">
            <v>74302622</v>
          </cell>
        </row>
        <row r="8724">
          <cell r="L8724" t="str">
            <v>74303641</v>
          </cell>
        </row>
        <row r="8725">
          <cell r="L8725" t="str">
            <v>74309402</v>
          </cell>
        </row>
        <row r="8726">
          <cell r="L8726" t="str">
            <v>74310239</v>
          </cell>
        </row>
        <row r="8727">
          <cell r="L8727" t="str">
            <v>74310383</v>
          </cell>
        </row>
        <row r="8728">
          <cell r="L8728" t="str">
            <v>74311382</v>
          </cell>
        </row>
        <row r="8729">
          <cell r="L8729" t="str">
            <v>74312656</v>
          </cell>
        </row>
        <row r="8730">
          <cell r="L8730" t="str">
            <v>74312680</v>
          </cell>
        </row>
        <row r="8731">
          <cell r="L8731" t="str">
            <v>74315102</v>
          </cell>
        </row>
        <row r="8732">
          <cell r="L8732" t="str">
            <v>74316059</v>
          </cell>
        </row>
        <row r="8733">
          <cell r="L8733" t="str">
            <v>74317614</v>
          </cell>
        </row>
        <row r="8734">
          <cell r="L8734" t="str">
            <v>74317839</v>
          </cell>
        </row>
        <row r="8735">
          <cell r="L8735" t="str">
            <v>74319484</v>
          </cell>
        </row>
        <row r="8736">
          <cell r="L8736" t="str">
            <v>74320479</v>
          </cell>
        </row>
        <row r="8737">
          <cell r="L8737" t="str">
            <v>74321399</v>
          </cell>
        </row>
        <row r="8738">
          <cell r="L8738" t="str">
            <v>74323561</v>
          </cell>
        </row>
        <row r="8739">
          <cell r="L8739" t="str">
            <v>74237579</v>
          </cell>
        </row>
        <row r="8740">
          <cell r="L8740" t="str">
            <v>74250362</v>
          </cell>
        </row>
        <row r="8741">
          <cell r="L8741" t="str">
            <v>74273300</v>
          </cell>
        </row>
        <row r="8742">
          <cell r="L8742" t="str">
            <v>74275659</v>
          </cell>
        </row>
        <row r="8743">
          <cell r="L8743" t="str">
            <v>74284661</v>
          </cell>
        </row>
        <row r="8744">
          <cell r="L8744" t="str">
            <v>74245650</v>
          </cell>
        </row>
        <row r="8745">
          <cell r="L8745" t="str">
            <v>74248821</v>
          </cell>
        </row>
        <row r="8746">
          <cell r="L8746" t="str">
            <v>74258241</v>
          </cell>
        </row>
        <row r="8747">
          <cell r="L8747" t="str">
            <v>74259130</v>
          </cell>
        </row>
        <row r="8748">
          <cell r="L8748" t="str">
            <v>74260780</v>
          </cell>
        </row>
        <row r="8749">
          <cell r="L8749" t="str">
            <v>74265044</v>
          </cell>
        </row>
        <row r="8750">
          <cell r="L8750" t="str">
            <v>74272421</v>
          </cell>
        </row>
        <row r="8751">
          <cell r="L8751" t="str">
            <v>74286479</v>
          </cell>
        </row>
        <row r="8752">
          <cell r="L8752" t="str">
            <v>74291542</v>
          </cell>
        </row>
        <row r="8753">
          <cell r="L8753" t="str">
            <v>74297493</v>
          </cell>
        </row>
        <row r="8754">
          <cell r="L8754" t="str">
            <v>74302884</v>
          </cell>
        </row>
        <row r="8755">
          <cell r="L8755" t="str">
            <v>74072370</v>
          </cell>
        </row>
        <row r="8756">
          <cell r="L8756" t="str">
            <v>74277382</v>
          </cell>
        </row>
        <row r="8757">
          <cell r="L8757" t="str">
            <v>74202900</v>
          </cell>
        </row>
        <row r="8758">
          <cell r="L8758" t="str">
            <v>74215600</v>
          </cell>
        </row>
        <row r="8759">
          <cell r="L8759" t="str">
            <v>74220881</v>
          </cell>
        </row>
        <row r="8760">
          <cell r="L8760" t="str">
            <v>74222803</v>
          </cell>
        </row>
        <row r="8761">
          <cell r="L8761" t="str">
            <v>74242222</v>
          </cell>
        </row>
        <row r="8762">
          <cell r="L8762" t="str">
            <v>74037151</v>
          </cell>
        </row>
        <row r="8763">
          <cell r="L8763" t="str">
            <v>74114176</v>
          </cell>
        </row>
        <row r="8764">
          <cell r="L8764" t="str">
            <v>74149511</v>
          </cell>
        </row>
        <row r="8765">
          <cell r="L8765" t="str">
            <v>74162569</v>
          </cell>
        </row>
        <row r="8766">
          <cell r="L8766" t="str">
            <v>74165177</v>
          </cell>
        </row>
        <row r="8767">
          <cell r="L8767" t="str">
            <v>74172758</v>
          </cell>
        </row>
        <row r="8768">
          <cell r="L8768" t="str">
            <v>74174810</v>
          </cell>
        </row>
        <row r="8769">
          <cell r="L8769" t="str">
            <v>74176890</v>
          </cell>
        </row>
        <row r="8770">
          <cell r="L8770" t="str">
            <v>74183962</v>
          </cell>
        </row>
        <row r="8771">
          <cell r="L8771" t="str">
            <v>74189190</v>
          </cell>
        </row>
        <row r="8772">
          <cell r="L8772" t="str">
            <v>74189284</v>
          </cell>
        </row>
        <row r="8773">
          <cell r="L8773" t="str">
            <v>74190088</v>
          </cell>
        </row>
        <row r="8774">
          <cell r="L8774" t="str">
            <v>74191549</v>
          </cell>
        </row>
        <row r="8775">
          <cell r="L8775" t="str">
            <v>74196980</v>
          </cell>
        </row>
        <row r="8776">
          <cell r="L8776" t="str">
            <v>74197213</v>
          </cell>
        </row>
        <row r="8777">
          <cell r="L8777" t="str">
            <v>74197493</v>
          </cell>
        </row>
        <row r="8778">
          <cell r="L8778" t="str">
            <v>74199219</v>
          </cell>
        </row>
        <row r="8779">
          <cell r="L8779" t="str">
            <v>74199221</v>
          </cell>
        </row>
        <row r="8780">
          <cell r="L8780" t="str">
            <v>74200980</v>
          </cell>
        </row>
        <row r="8781">
          <cell r="L8781" t="str">
            <v>74201647</v>
          </cell>
        </row>
        <row r="8782">
          <cell r="L8782" t="str">
            <v>74208201</v>
          </cell>
        </row>
        <row r="8783">
          <cell r="L8783" t="str">
            <v>74219959</v>
          </cell>
        </row>
        <row r="8784">
          <cell r="L8784" t="str">
            <v>74224319</v>
          </cell>
        </row>
        <row r="8785">
          <cell r="L8785" t="str">
            <v>74232520</v>
          </cell>
        </row>
        <row r="8786">
          <cell r="L8786" t="str">
            <v>74233539</v>
          </cell>
        </row>
        <row r="8787">
          <cell r="L8787" t="str">
            <v>74204839</v>
          </cell>
        </row>
        <row r="8788">
          <cell r="L8788" t="str">
            <v>74209664</v>
          </cell>
        </row>
        <row r="8789">
          <cell r="L8789" t="str">
            <v>74123287</v>
          </cell>
        </row>
        <row r="8790">
          <cell r="L8790" t="str">
            <v>74162793</v>
          </cell>
        </row>
        <row r="8791">
          <cell r="L8791" t="str">
            <v>74200669</v>
          </cell>
        </row>
        <row r="8792">
          <cell r="L8792" t="str">
            <v>74214002</v>
          </cell>
        </row>
        <row r="8793">
          <cell r="L8793" t="str">
            <v>74218477</v>
          </cell>
        </row>
        <row r="8794">
          <cell r="L8794" t="str">
            <v>74121632</v>
          </cell>
        </row>
        <row r="8795">
          <cell r="L8795" t="str">
            <v>74180074</v>
          </cell>
        </row>
        <row r="8796">
          <cell r="L8796" t="str">
            <v>74203932</v>
          </cell>
        </row>
        <row r="8797">
          <cell r="L8797" t="str">
            <v>74224779</v>
          </cell>
        </row>
        <row r="8798">
          <cell r="L8798" t="str">
            <v>74109848</v>
          </cell>
        </row>
        <row r="8799">
          <cell r="L8799" t="str">
            <v>74150119</v>
          </cell>
        </row>
        <row r="8800">
          <cell r="L8800" t="str">
            <v>74190008</v>
          </cell>
        </row>
        <row r="8801">
          <cell r="L8801" t="str">
            <v>74202123</v>
          </cell>
        </row>
        <row r="8802">
          <cell r="L8802" t="str">
            <v>74221879</v>
          </cell>
        </row>
        <row r="8803">
          <cell r="L8803" t="str">
            <v>74222120</v>
          </cell>
        </row>
        <row r="8804">
          <cell r="L8804" t="str">
            <v>74231165</v>
          </cell>
        </row>
        <row r="8805">
          <cell r="L8805" t="str">
            <v>74254101</v>
          </cell>
        </row>
        <row r="8806">
          <cell r="L8806" t="str">
            <v>74258323</v>
          </cell>
        </row>
        <row r="8807">
          <cell r="L8807" t="str">
            <v>74265863</v>
          </cell>
        </row>
        <row r="8808">
          <cell r="L8808" t="str">
            <v>74285927</v>
          </cell>
        </row>
        <row r="8809">
          <cell r="L8809" t="str">
            <v>74286280</v>
          </cell>
        </row>
        <row r="8810">
          <cell r="L8810" t="str">
            <v>74087206</v>
          </cell>
        </row>
        <row r="8811">
          <cell r="L8811" t="str">
            <v>74213140</v>
          </cell>
        </row>
        <row r="8812">
          <cell r="L8812" t="str">
            <v>74250947</v>
          </cell>
        </row>
        <row r="8813">
          <cell r="L8813" t="str">
            <v>74161783</v>
          </cell>
        </row>
        <row r="8814">
          <cell r="L8814" t="str">
            <v>74300604</v>
          </cell>
        </row>
        <row r="8815">
          <cell r="L8815" t="str">
            <v>74300605</v>
          </cell>
        </row>
        <row r="8816">
          <cell r="L8816" t="str">
            <v>74246939</v>
          </cell>
        </row>
        <row r="8817">
          <cell r="L8817" t="str">
            <v>74055186</v>
          </cell>
        </row>
        <row r="8818">
          <cell r="L8818" t="str">
            <v>74075467</v>
          </cell>
        </row>
        <row r="8819">
          <cell r="L8819" t="str">
            <v>74116496</v>
          </cell>
        </row>
        <row r="8820">
          <cell r="L8820" t="str">
            <v>74144380</v>
          </cell>
        </row>
        <row r="8821">
          <cell r="L8821" t="str">
            <v>74162788</v>
          </cell>
        </row>
        <row r="8822">
          <cell r="L8822" t="str">
            <v>74201533</v>
          </cell>
        </row>
        <row r="8823">
          <cell r="L8823" t="str">
            <v>74201589</v>
          </cell>
        </row>
        <row r="8824">
          <cell r="L8824" t="str">
            <v>74209753</v>
          </cell>
        </row>
        <row r="8825">
          <cell r="L8825" t="str">
            <v>74210999</v>
          </cell>
        </row>
        <row r="8826">
          <cell r="L8826" t="str">
            <v>74236005</v>
          </cell>
        </row>
        <row r="8827">
          <cell r="L8827" t="str">
            <v>74247660</v>
          </cell>
        </row>
        <row r="8828">
          <cell r="L8828" t="str">
            <v>74247886</v>
          </cell>
        </row>
        <row r="8829">
          <cell r="L8829" t="str">
            <v>74256883</v>
          </cell>
        </row>
        <row r="8830">
          <cell r="L8830" t="str">
            <v>74257005</v>
          </cell>
        </row>
        <row r="8831">
          <cell r="L8831" t="str">
            <v>74258047</v>
          </cell>
        </row>
        <row r="8832">
          <cell r="L8832" t="str">
            <v>74259439</v>
          </cell>
        </row>
        <row r="8833">
          <cell r="L8833" t="str">
            <v>74260480</v>
          </cell>
        </row>
        <row r="8834">
          <cell r="L8834" t="str">
            <v>74262199</v>
          </cell>
        </row>
        <row r="8835">
          <cell r="L8835" t="str">
            <v>74263560</v>
          </cell>
        </row>
        <row r="8836">
          <cell r="L8836" t="str">
            <v>74264321</v>
          </cell>
        </row>
        <row r="8837">
          <cell r="L8837" t="str">
            <v>74265640</v>
          </cell>
        </row>
        <row r="8838">
          <cell r="L8838" t="str">
            <v>74265939</v>
          </cell>
        </row>
        <row r="8839">
          <cell r="L8839" t="str">
            <v>74266486</v>
          </cell>
        </row>
        <row r="8840">
          <cell r="L8840" t="str">
            <v>74266821</v>
          </cell>
        </row>
        <row r="8841">
          <cell r="L8841" t="str">
            <v>74268281</v>
          </cell>
        </row>
        <row r="8842">
          <cell r="L8842" t="str">
            <v>74269153</v>
          </cell>
        </row>
        <row r="8843">
          <cell r="L8843" t="str">
            <v>74269981</v>
          </cell>
        </row>
        <row r="8844">
          <cell r="L8844" t="str">
            <v>74271699</v>
          </cell>
        </row>
        <row r="8845">
          <cell r="L8845" t="str">
            <v>74272004</v>
          </cell>
        </row>
        <row r="8846">
          <cell r="L8846" t="str">
            <v>74272599</v>
          </cell>
        </row>
        <row r="8847">
          <cell r="L8847" t="str">
            <v>74272708</v>
          </cell>
        </row>
        <row r="8848">
          <cell r="L8848" t="str">
            <v>74273040</v>
          </cell>
        </row>
        <row r="8849">
          <cell r="L8849" t="str">
            <v>74273694</v>
          </cell>
        </row>
        <row r="8850">
          <cell r="L8850" t="str">
            <v>74273699</v>
          </cell>
        </row>
        <row r="8851">
          <cell r="L8851" t="str">
            <v>74275464</v>
          </cell>
        </row>
        <row r="8852">
          <cell r="L8852" t="str">
            <v>74276978</v>
          </cell>
        </row>
        <row r="8853">
          <cell r="L8853" t="str">
            <v>74277549</v>
          </cell>
        </row>
        <row r="8854">
          <cell r="L8854" t="str">
            <v>74277746</v>
          </cell>
        </row>
        <row r="8855">
          <cell r="L8855" t="str">
            <v>74277780</v>
          </cell>
        </row>
        <row r="8856">
          <cell r="L8856" t="str">
            <v>74278621</v>
          </cell>
        </row>
        <row r="8857">
          <cell r="L8857" t="str">
            <v>74280341</v>
          </cell>
        </row>
        <row r="8858">
          <cell r="L8858" t="str">
            <v>74280806</v>
          </cell>
        </row>
        <row r="8859">
          <cell r="L8859" t="str">
            <v>74280926</v>
          </cell>
        </row>
        <row r="8860">
          <cell r="L8860" t="str">
            <v>74282022</v>
          </cell>
        </row>
        <row r="8861">
          <cell r="L8861" t="str">
            <v>74282030</v>
          </cell>
        </row>
        <row r="8862">
          <cell r="L8862" t="str">
            <v>74285520</v>
          </cell>
        </row>
        <row r="8863">
          <cell r="L8863" t="str">
            <v>74287633</v>
          </cell>
        </row>
        <row r="8864">
          <cell r="L8864" t="str">
            <v>74289980</v>
          </cell>
        </row>
        <row r="8865">
          <cell r="L8865" t="str">
            <v>74294474</v>
          </cell>
        </row>
        <row r="8866">
          <cell r="L8866" t="str">
            <v>74299341</v>
          </cell>
        </row>
        <row r="8867">
          <cell r="L8867" t="str">
            <v>74299700</v>
          </cell>
        </row>
        <row r="8868">
          <cell r="L8868" t="str">
            <v>74300125</v>
          </cell>
        </row>
        <row r="8869">
          <cell r="L8869" t="str">
            <v>74300277</v>
          </cell>
        </row>
        <row r="8870">
          <cell r="L8870" t="str">
            <v>74300399</v>
          </cell>
        </row>
        <row r="8871">
          <cell r="L8871" t="str">
            <v>74300400</v>
          </cell>
        </row>
        <row r="8872">
          <cell r="L8872" t="str">
            <v>74301152</v>
          </cell>
        </row>
        <row r="8873">
          <cell r="L8873" t="str">
            <v>74301481</v>
          </cell>
        </row>
        <row r="8874">
          <cell r="L8874" t="str">
            <v>74301865</v>
          </cell>
        </row>
        <row r="8875">
          <cell r="L8875" t="str">
            <v>74307399</v>
          </cell>
        </row>
        <row r="8876">
          <cell r="L8876" t="str">
            <v>74309427</v>
          </cell>
        </row>
        <row r="8877">
          <cell r="L8877" t="str">
            <v>74310271</v>
          </cell>
        </row>
        <row r="8878">
          <cell r="L8878" t="str">
            <v>74311034</v>
          </cell>
        </row>
        <row r="8879">
          <cell r="L8879" t="str">
            <v>74312890</v>
          </cell>
        </row>
        <row r="8880">
          <cell r="L8880" t="str">
            <v>74199881</v>
          </cell>
        </row>
        <row r="8881">
          <cell r="L8881" t="str">
            <v>74266399</v>
          </cell>
        </row>
        <row r="8882">
          <cell r="L8882" t="str">
            <v>74308187</v>
          </cell>
        </row>
        <row r="8883">
          <cell r="L8883" t="str">
            <v>74147072</v>
          </cell>
        </row>
        <row r="8884">
          <cell r="L8884" t="str">
            <v>74160077</v>
          </cell>
        </row>
        <row r="8885">
          <cell r="L8885" t="str">
            <v>74184901</v>
          </cell>
        </row>
        <row r="8886">
          <cell r="L8886" t="str">
            <v>74208125</v>
          </cell>
        </row>
        <row r="8887">
          <cell r="L8887" t="str">
            <v>74216722</v>
          </cell>
        </row>
        <row r="8888">
          <cell r="L8888" t="str">
            <v>74232659</v>
          </cell>
        </row>
        <row r="8889">
          <cell r="L8889" t="str">
            <v>74232920</v>
          </cell>
        </row>
        <row r="8890">
          <cell r="L8890" t="str">
            <v>74255117</v>
          </cell>
        </row>
        <row r="8891">
          <cell r="L8891" t="str">
            <v>74255400</v>
          </cell>
        </row>
        <row r="8892">
          <cell r="L8892" t="str">
            <v>74255890</v>
          </cell>
        </row>
        <row r="8893">
          <cell r="L8893" t="str">
            <v>74270083</v>
          </cell>
        </row>
        <row r="8894">
          <cell r="L8894" t="str">
            <v>74273888</v>
          </cell>
        </row>
        <row r="8895">
          <cell r="L8895" t="str">
            <v>74274480</v>
          </cell>
        </row>
        <row r="8896">
          <cell r="L8896" t="str">
            <v>74277419</v>
          </cell>
        </row>
        <row r="8897">
          <cell r="L8897" t="str">
            <v>74004625</v>
          </cell>
        </row>
        <row r="8898">
          <cell r="L8898" t="str">
            <v>74185131</v>
          </cell>
        </row>
        <row r="8899">
          <cell r="L8899" t="str">
            <v>74188094</v>
          </cell>
        </row>
        <row r="8900">
          <cell r="L8900" t="str">
            <v>74195503</v>
          </cell>
        </row>
        <row r="8901">
          <cell r="L8901" t="str">
            <v>74200846</v>
          </cell>
        </row>
        <row r="8902">
          <cell r="L8902" t="str">
            <v>74213159</v>
          </cell>
        </row>
        <row r="8903">
          <cell r="L8903" t="str">
            <v>74220680</v>
          </cell>
        </row>
        <row r="8904">
          <cell r="L8904" t="str">
            <v>74229919</v>
          </cell>
        </row>
        <row r="8905">
          <cell r="L8905" t="str">
            <v>74231646</v>
          </cell>
        </row>
        <row r="8906">
          <cell r="L8906" t="str">
            <v>74234280</v>
          </cell>
        </row>
        <row r="8907">
          <cell r="L8907" t="str">
            <v>74235479</v>
          </cell>
        </row>
        <row r="8908">
          <cell r="L8908" t="str">
            <v>74237566</v>
          </cell>
        </row>
        <row r="8909">
          <cell r="L8909" t="str">
            <v>74247741</v>
          </cell>
        </row>
        <row r="8910">
          <cell r="L8910" t="str">
            <v>74247759</v>
          </cell>
        </row>
        <row r="8911">
          <cell r="L8911" t="str">
            <v>74247762</v>
          </cell>
        </row>
        <row r="8912">
          <cell r="L8912" t="str">
            <v>74247764</v>
          </cell>
        </row>
        <row r="8913">
          <cell r="L8913" t="str">
            <v>74248060</v>
          </cell>
        </row>
        <row r="8914">
          <cell r="L8914" t="str">
            <v>74248399</v>
          </cell>
        </row>
        <row r="8915">
          <cell r="L8915" t="str">
            <v>74253121</v>
          </cell>
        </row>
        <row r="8916">
          <cell r="L8916" t="str">
            <v>74255025</v>
          </cell>
        </row>
        <row r="8917">
          <cell r="L8917" t="str">
            <v>74285945</v>
          </cell>
        </row>
        <row r="8918">
          <cell r="L8918" t="str">
            <v>74287000</v>
          </cell>
        </row>
        <row r="8919">
          <cell r="L8919" t="str">
            <v>74202908</v>
          </cell>
        </row>
        <row r="8920">
          <cell r="L8920" t="str">
            <v>74186990</v>
          </cell>
        </row>
        <row r="8921">
          <cell r="L8921" t="str">
            <v>74197919</v>
          </cell>
        </row>
        <row r="8922">
          <cell r="L8922" t="str">
            <v>74202660</v>
          </cell>
        </row>
        <row r="8923">
          <cell r="L8923" t="str">
            <v>74202899</v>
          </cell>
        </row>
        <row r="8924">
          <cell r="L8924" t="str">
            <v>74202904</v>
          </cell>
        </row>
        <row r="8925">
          <cell r="L8925" t="str">
            <v>74205623</v>
          </cell>
        </row>
        <row r="8926">
          <cell r="L8926" t="str">
            <v>74217399</v>
          </cell>
        </row>
        <row r="8927">
          <cell r="L8927" t="str">
            <v>74220923</v>
          </cell>
        </row>
        <row r="8928">
          <cell r="L8928" t="str">
            <v>74229241</v>
          </cell>
        </row>
        <row r="8929">
          <cell r="L8929" t="str">
            <v>74230821</v>
          </cell>
        </row>
        <row r="8930">
          <cell r="L8930" t="str">
            <v>74233940</v>
          </cell>
        </row>
        <row r="8931">
          <cell r="L8931" t="str">
            <v>74237563</v>
          </cell>
        </row>
        <row r="8932">
          <cell r="L8932" t="str">
            <v>74242601</v>
          </cell>
        </row>
        <row r="8933">
          <cell r="L8933" t="str">
            <v>74258446</v>
          </cell>
        </row>
        <row r="8934">
          <cell r="L8934" t="str">
            <v>74280427</v>
          </cell>
        </row>
        <row r="8935">
          <cell r="L8935" t="str">
            <v>74280459</v>
          </cell>
        </row>
        <row r="8936">
          <cell r="L8936" t="str">
            <v>74284099</v>
          </cell>
        </row>
        <row r="8937">
          <cell r="L8937" t="str">
            <v>74287460</v>
          </cell>
        </row>
        <row r="8938">
          <cell r="L8938" t="str">
            <v>74294660</v>
          </cell>
        </row>
        <row r="8939">
          <cell r="L8939" t="str">
            <v>74295900</v>
          </cell>
        </row>
        <row r="8940">
          <cell r="L8940" t="str">
            <v>74298582</v>
          </cell>
        </row>
        <row r="8941">
          <cell r="L8941" t="str">
            <v>74304563</v>
          </cell>
        </row>
        <row r="8942">
          <cell r="L8942" t="str">
            <v>74315344</v>
          </cell>
        </row>
        <row r="8943">
          <cell r="L8943" t="str">
            <v>74316205</v>
          </cell>
        </row>
        <row r="8944">
          <cell r="L8944" t="str">
            <v>74319482</v>
          </cell>
        </row>
        <row r="8945">
          <cell r="L8945" t="str">
            <v>74082175</v>
          </cell>
        </row>
        <row r="8946">
          <cell r="L8946" t="str">
            <v>74124130</v>
          </cell>
        </row>
        <row r="8947">
          <cell r="L8947" t="str">
            <v>74193979</v>
          </cell>
        </row>
        <row r="8948">
          <cell r="L8948" t="str">
            <v>74197044</v>
          </cell>
        </row>
        <row r="8949">
          <cell r="L8949" t="str">
            <v>74208164</v>
          </cell>
        </row>
        <row r="8950">
          <cell r="L8950" t="str">
            <v>74218959</v>
          </cell>
        </row>
        <row r="8951">
          <cell r="L8951" t="str">
            <v>74223461</v>
          </cell>
        </row>
        <row r="8952">
          <cell r="L8952" t="str">
            <v>74226380</v>
          </cell>
        </row>
        <row r="8953">
          <cell r="L8953" t="str">
            <v>74226842</v>
          </cell>
        </row>
        <row r="8954">
          <cell r="L8954" t="str">
            <v>74240607</v>
          </cell>
        </row>
        <row r="8955">
          <cell r="L8955" t="str">
            <v>74258960</v>
          </cell>
        </row>
        <row r="8956">
          <cell r="L8956" t="str">
            <v>74260139</v>
          </cell>
        </row>
        <row r="8957">
          <cell r="L8957" t="str">
            <v>74271361</v>
          </cell>
        </row>
        <row r="8958">
          <cell r="L8958" t="str">
            <v>74275183</v>
          </cell>
        </row>
        <row r="8959">
          <cell r="L8959" t="str">
            <v>74278299</v>
          </cell>
        </row>
        <row r="8960">
          <cell r="L8960" t="str">
            <v>74285322</v>
          </cell>
        </row>
        <row r="8961">
          <cell r="L8961" t="str">
            <v>74287459</v>
          </cell>
        </row>
        <row r="8962">
          <cell r="L8962" t="str">
            <v>74296081</v>
          </cell>
        </row>
        <row r="8963">
          <cell r="L8963" t="str">
            <v>74298222</v>
          </cell>
        </row>
        <row r="8964">
          <cell r="L8964" t="str">
            <v>74304559</v>
          </cell>
        </row>
        <row r="8965">
          <cell r="L8965" t="str">
            <v>74313219</v>
          </cell>
        </row>
        <row r="8966">
          <cell r="L8966" t="str">
            <v>74315339</v>
          </cell>
        </row>
        <row r="8967">
          <cell r="L8967" t="str">
            <v>74247100</v>
          </cell>
        </row>
        <row r="8968">
          <cell r="L8968" t="str">
            <v>74242623</v>
          </cell>
        </row>
        <row r="8969">
          <cell r="L8969" t="str">
            <v>74185328</v>
          </cell>
        </row>
        <row r="8970">
          <cell r="L8970" t="str">
            <v>74211385</v>
          </cell>
        </row>
        <row r="8971">
          <cell r="L8971" t="str">
            <v>74218720</v>
          </cell>
        </row>
        <row r="8972">
          <cell r="L8972" t="str">
            <v>74226441</v>
          </cell>
        </row>
        <row r="8973">
          <cell r="L8973" t="str">
            <v>74229000</v>
          </cell>
        </row>
        <row r="8974">
          <cell r="L8974" t="str">
            <v>74229201</v>
          </cell>
        </row>
        <row r="8975">
          <cell r="L8975" t="str">
            <v>74230921</v>
          </cell>
        </row>
        <row r="8976">
          <cell r="L8976" t="str">
            <v>74232500</v>
          </cell>
        </row>
        <row r="8977">
          <cell r="L8977" t="str">
            <v>74232839</v>
          </cell>
        </row>
        <row r="8978">
          <cell r="L8978" t="str">
            <v>74232963</v>
          </cell>
        </row>
        <row r="8979">
          <cell r="L8979" t="str">
            <v>74236341</v>
          </cell>
        </row>
        <row r="8980">
          <cell r="L8980" t="str">
            <v>74236539</v>
          </cell>
        </row>
        <row r="8981">
          <cell r="L8981" t="str">
            <v>74239276</v>
          </cell>
        </row>
        <row r="8982">
          <cell r="L8982" t="str">
            <v>74240059</v>
          </cell>
        </row>
        <row r="8983">
          <cell r="L8983" t="str">
            <v>74240093</v>
          </cell>
        </row>
        <row r="8984">
          <cell r="L8984" t="str">
            <v>74240768</v>
          </cell>
        </row>
        <row r="8985">
          <cell r="L8985" t="str">
            <v>74244681</v>
          </cell>
        </row>
        <row r="8986">
          <cell r="L8986" t="str">
            <v>74244786</v>
          </cell>
        </row>
        <row r="8987">
          <cell r="L8987" t="str">
            <v>74245640</v>
          </cell>
        </row>
        <row r="8988">
          <cell r="L8988" t="str">
            <v>74249643</v>
          </cell>
        </row>
        <row r="8989">
          <cell r="L8989" t="str">
            <v>74253119</v>
          </cell>
        </row>
        <row r="8990">
          <cell r="L8990" t="str">
            <v>74253219</v>
          </cell>
        </row>
        <row r="8991">
          <cell r="L8991" t="str">
            <v>74253323</v>
          </cell>
        </row>
        <row r="8992">
          <cell r="L8992" t="str">
            <v>74254216</v>
          </cell>
        </row>
        <row r="8993">
          <cell r="L8993" t="str">
            <v>74254280</v>
          </cell>
        </row>
        <row r="8994">
          <cell r="L8994" t="str">
            <v>74254344</v>
          </cell>
        </row>
        <row r="8995">
          <cell r="L8995" t="str">
            <v>74254722</v>
          </cell>
        </row>
        <row r="8996">
          <cell r="L8996" t="str">
            <v>74258660</v>
          </cell>
        </row>
        <row r="8997">
          <cell r="L8997" t="str">
            <v>74260049</v>
          </cell>
        </row>
        <row r="8998">
          <cell r="L8998" t="str">
            <v>74261683</v>
          </cell>
        </row>
        <row r="8999">
          <cell r="L8999" t="str">
            <v>74265045</v>
          </cell>
        </row>
        <row r="9000">
          <cell r="L9000" t="str">
            <v>74265620</v>
          </cell>
        </row>
        <row r="9001">
          <cell r="L9001" t="str">
            <v>74268179</v>
          </cell>
        </row>
        <row r="9002">
          <cell r="L9002" t="str">
            <v>74273519</v>
          </cell>
        </row>
        <row r="9003">
          <cell r="L9003" t="str">
            <v>74279180</v>
          </cell>
        </row>
        <row r="9004">
          <cell r="L9004" t="str">
            <v>74282784</v>
          </cell>
        </row>
        <row r="9005">
          <cell r="L9005" t="str">
            <v>74289797</v>
          </cell>
        </row>
        <row r="9006">
          <cell r="L9006" t="str">
            <v>74290229</v>
          </cell>
        </row>
        <row r="9007">
          <cell r="L9007" t="str">
            <v>74294479</v>
          </cell>
        </row>
        <row r="9008">
          <cell r="L9008" t="str">
            <v>74294711</v>
          </cell>
        </row>
        <row r="9009">
          <cell r="L9009" t="str">
            <v>74298401</v>
          </cell>
        </row>
        <row r="9010">
          <cell r="L9010" t="str">
            <v>74298761</v>
          </cell>
        </row>
        <row r="9011">
          <cell r="L9011" t="str">
            <v>74299323</v>
          </cell>
        </row>
        <row r="9012">
          <cell r="L9012" t="str">
            <v>74299824</v>
          </cell>
        </row>
        <row r="9013">
          <cell r="L9013" t="str">
            <v>74300261</v>
          </cell>
        </row>
        <row r="9014">
          <cell r="L9014" t="str">
            <v>74304313</v>
          </cell>
        </row>
        <row r="9015">
          <cell r="L9015" t="str">
            <v>74304821</v>
          </cell>
        </row>
        <row r="9016">
          <cell r="L9016" t="str">
            <v>74306388</v>
          </cell>
        </row>
        <row r="9017">
          <cell r="L9017" t="str">
            <v>74308207</v>
          </cell>
        </row>
        <row r="9018">
          <cell r="L9018" t="str">
            <v>74309126</v>
          </cell>
        </row>
        <row r="9019">
          <cell r="L9019" t="str">
            <v>74309399</v>
          </cell>
        </row>
        <row r="9020">
          <cell r="L9020" t="str">
            <v>74311721</v>
          </cell>
        </row>
        <row r="9021">
          <cell r="L9021" t="str">
            <v>74313548</v>
          </cell>
        </row>
        <row r="9022">
          <cell r="L9022" t="str">
            <v>74314648</v>
          </cell>
        </row>
        <row r="9023">
          <cell r="L9023" t="str">
            <v>74315112</v>
          </cell>
        </row>
        <row r="9024">
          <cell r="L9024" t="str">
            <v>74315243</v>
          </cell>
        </row>
        <row r="9025">
          <cell r="L9025" t="str">
            <v>74315481</v>
          </cell>
        </row>
        <row r="9026">
          <cell r="L9026" t="str">
            <v>74324142</v>
          </cell>
        </row>
        <row r="9027">
          <cell r="L9027" t="str">
            <v>74096727</v>
          </cell>
        </row>
        <row r="9028">
          <cell r="L9028" t="str">
            <v>74172230</v>
          </cell>
        </row>
        <row r="9029">
          <cell r="L9029" t="str">
            <v>74188651</v>
          </cell>
        </row>
        <row r="9030">
          <cell r="L9030" t="str">
            <v>74228920</v>
          </cell>
        </row>
        <row r="9031">
          <cell r="L9031" t="str">
            <v>74229823</v>
          </cell>
        </row>
        <row r="9032">
          <cell r="L9032" t="str">
            <v>74231119</v>
          </cell>
        </row>
        <row r="9033">
          <cell r="L9033" t="str">
            <v>74117757</v>
          </cell>
        </row>
        <row r="9034">
          <cell r="L9034" t="str">
            <v>74129898</v>
          </cell>
        </row>
        <row r="9035">
          <cell r="L9035" t="str">
            <v>74217975</v>
          </cell>
        </row>
        <row r="9036">
          <cell r="L9036" t="str">
            <v>74234388</v>
          </cell>
        </row>
        <row r="9037">
          <cell r="L9037" t="str">
            <v>74249082</v>
          </cell>
        </row>
        <row r="9038">
          <cell r="L9038" t="str">
            <v>74284279</v>
          </cell>
        </row>
        <row r="9039">
          <cell r="L9039" t="str">
            <v>74294501</v>
          </cell>
        </row>
        <row r="9040">
          <cell r="L9040" t="str">
            <v>74299249</v>
          </cell>
        </row>
        <row r="9041">
          <cell r="L9041" t="str">
            <v>74308380</v>
          </cell>
        </row>
        <row r="9042">
          <cell r="L9042" t="str">
            <v>74108974</v>
          </cell>
        </row>
        <row r="9043">
          <cell r="L9043" t="str">
            <v>74165034</v>
          </cell>
        </row>
        <row r="9044">
          <cell r="L9044" t="str">
            <v>74167430</v>
          </cell>
        </row>
        <row r="9045">
          <cell r="L9045" t="str">
            <v>74171432</v>
          </cell>
        </row>
        <row r="9046">
          <cell r="L9046" t="str">
            <v>74175968</v>
          </cell>
        </row>
        <row r="9047">
          <cell r="L9047" t="str">
            <v>74176789</v>
          </cell>
        </row>
        <row r="9048">
          <cell r="L9048" t="str">
            <v>74183533</v>
          </cell>
        </row>
        <row r="9049">
          <cell r="L9049" t="str">
            <v>74216562</v>
          </cell>
        </row>
        <row r="9050">
          <cell r="L9050" t="str">
            <v>74252818</v>
          </cell>
        </row>
        <row r="9051">
          <cell r="L9051" t="str">
            <v>74274561</v>
          </cell>
        </row>
        <row r="9052">
          <cell r="L9052" t="str">
            <v>74275060</v>
          </cell>
        </row>
        <row r="9053">
          <cell r="L9053" t="str">
            <v>74275639</v>
          </cell>
        </row>
        <row r="9054">
          <cell r="L9054" t="str">
            <v>74276843</v>
          </cell>
        </row>
        <row r="9055">
          <cell r="L9055" t="str">
            <v>74280099</v>
          </cell>
        </row>
        <row r="9056">
          <cell r="L9056" t="str">
            <v>74281742</v>
          </cell>
        </row>
        <row r="9057">
          <cell r="L9057" t="str">
            <v>74282240</v>
          </cell>
        </row>
        <row r="9058">
          <cell r="L9058" t="str">
            <v>74282241</v>
          </cell>
        </row>
        <row r="9059">
          <cell r="L9059" t="str">
            <v>74285781</v>
          </cell>
        </row>
        <row r="9060">
          <cell r="L9060" t="str">
            <v>74286162</v>
          </cell>
        </row>
        <row r="9061">
          <cell r="L9061" t="str">
            <v>74288939</v>
          </cell>
        </row>
        <row r="9062">
          <cell r="L9062" t="str">
            <v>74288940</v>
          </cell>
        </row>
        <row r="9063">
          <cell r="L9063" t="str">
            <v>74291420</v>
          </cell>
        </row>
        <row r="9064">
          <cell r="L9064" t="str">
            <v>74291948</v>
          </cell>
        </row>
        <row r="9065">
          <cell r="L9065" t="str">
            <v>74292182</v>
          </cell>
        </row>
        <row r="9066">
          <cell r="L9066" t="str">
            <v>74294322</v>
          </cell>
        </row>
        <row r="9067">
          <cell r="L9067" t="str">
            <v>74296641</v>
          </cell>
        </row>
        <row r="9068">
          <cell r="L9068" t="str">
            <v>74298906</v>
          </cell>
        </row>
        <row r="9069">
          <cell r="L9069" t="str">
            <v>74298939</v>
          </cell>
        </row>
        <row r="9070">
          <cell r="L9070" t="str">
            <v>74186332</v>
          </cell>
        </row>
        <row r="9071">
          <cell r="L9071" t="str">
            <v>74186334</v>
          </cell>
        </row>
        <row r="9072">
          <cell r="L9072" t="str">
            <v>74190993</v>
          </cell>
        </row>
        <row r="9073">
          <cell r="L9073" t="str">
            <v>74197448</v>
          </cell>
        </row>
        <row r="9074">
          <cell r="L9074" t="str">
            <v>74261159</v>
          </cell>
        </row>
        <row r="9075">
          <cell r="L9075" t="str">
            <v>74275642</v>
          </cell>
        </row>
        <row r="9076">
          <cell r="L9076" t="str">
            <v>74275646</v>
          </cell>
        </row>
        <row r="9077">
          <cell r="L9077" t="str">
            <v>74275647</v>
          </cell>
        </row>
        <row r="9078">
          <cell r="L9078" t="str">
            <v>74279513</v>
          </cell>
        </row>
        <row r="9079">
          <cell r="L9079" t="str">
            <v>74279519</v>
          </cell>
        </row>
        <row r="9080">
          <cell r="L9080" t="str">
            <v>74288439</v>
          </cell>
        </row>
        <row r="9081">
          <cell r="L9081" t="str">
            <v>74288459</v>
          </cell>
        </row>
        <row r="9082">
          <cell r="L9082" t="str">
            <v>74311381</v>
          </cell>
        </row>
        <row r="9083">
          <cell r="L9083" t="str">
            <v>74253220</v>
          </cell>
        </row>
        <row r="9084">
          <cell r="L9084" t="str">
            <v>74186333</v>
          </cell>
        </row>
        <row r="9085">
          <cell r="L9085" t="str">
            <v>74188979</v>
          </cell>
        </row>
        <row r="9086">
          <cell r="L9086" t="str">
            <v>74190991</v>
          </cell>
        </row>
        <row r="9087">
          <cell r="L9087" t="str">
            <v>74221743</v>
          </cell>
        </row>
        <row r="9088">
          <cell r="L9088" t="str">
            <v>74226607</v>
          </cell>
        </row>
        <row r="9089">
          <cell r="L9089" t="str">
            <v>74269239</v>
          </cell>
        </row>
        <row r="9090">
          <cell r="L9090" t="str">
            <v>74275641</v>
          </cell>
        </row>
        <row r="9091">
          <cell r="L9091" t="str">
            <v>74277429</v>
          </cell>
        </row>
        <row r="9092">
          <cell r="L9092" t="str">
            <v>74277885</v>
          </cell>
        </row>
        <row r="9093">
          <cell r="L9093" t="str">
            <v>74280728</v>
          </cell>
        </row>
        <row r="9094">
          <cell r="L9094" t="str">
            <v>74289200</v>
          </cell>
        </row>
        <row r="9095">
          <cell r="L9095" t="str">
            <v>74291422</v>
          </cell>
        </row>
        <row r="9096">
          <cell r="L9096" t="str">
            <v>74265804</v>
          </cell>
        </row>
        <row r="9097">
          <cell r="L9097" t="str">
            <v>74250600</v>
          </cell>
        </row>
        <row r="9098">
          <cell r="L9098" t="str">
            <v>74266787</v>
          </cell>
        </row>
        <row r="9099">
          <cell r="L9099" t="str">
            <v>74268000</v>
          </cell>
        </row>
        <row r="9100">
          <cell r="L9100" t="str">
            <v>74277201</v>
          </cell>
        </row>
        <row r="9101">
          <cell r="L9101" t="str">
            <v>74189209</v>
          </cell>
        </row>
        <row r="9102">
          <cell r="L9102" t="str">
            <v>74236094</v>
          </cell>
        </row>
        <row r="9103">
          <cell r="L9103" t="str">
            <v>74246580</v>
          </cell>
        </row>
        <row r="9104">
          <cell r="L9104" t="str">
            <v>74267405</v>
          </cell>
        </row>
        <row r="9105">
          <cell r="L9105" t="str">
            <v>74268461</v>
          </cell>
        </row>
        <row r="9106">
          <cell r="L9106" t="str">
            <v>74270059</v>
          </cell>
        </row>
        <row r="9107">
          <cell r="L9107" t="str">
            <v>74270680</v>
          </cell>
        </row>
        <row r="9108">
          <cell r="L9108" t="str">
            <v>74272926</v>
          </cell>
        </row>
        <row r="9109">
          <cell r="L9109" t="str">
            <v>74273223</v>
          </cell>
        </row>
        <row r="9110">
          <cell r="L9110" t="str">
            <v>74278159</v>
          </cell>
        </row>
        <row r="9111">
          <cell r="L9111" t="str">
            <v>74278446</v>
          </cell>
        </row>
        <row r="9112">
          <cell r="L9112" t="str">
            <v>74282741</v>
          </cell>
        </row>
        <row r="9113">
          <cell r="L9113" t="str">
            <v>74289801</v>
          </cell>
        </row>
        <row r="9114">
          <cell r="L9114" t="str">
            <v>74290284</v>
          </cell>
        </row>
        <row r="9115">
          <cell r="L9115" t="str">
            <v>74290403</v>
          </cell>
        </row>
        <row r="9116">
          <cell r="L9116" t="str">
            <v>74291896</v>
          </cell>
        </row>
        <row r="9117">
          <cell r="L9117" t="str">
            <v>74291897</v>
          </cell>
        </row>
        <row r="9118">
          <cell r="L9118" t="str">
            <v>74294140</v>
          </cell>
        </row>
        <row r="9119">
          <cell r="L9119" t="str">
            <v>74295532</v>
          </cell>
        </row>
        <row r="9120">
          <cell r="L9120" t="str">
            <v>74310309</v>
          </cell>
        </row>
        <row r="9121">
          <cell r="L9121" t="str">
            <v>74317939</v>
          </cell>
        </row>
        <row r="9122">
          <cell r="L9122" t="str">
            <v>74184038</v>
          </cell>
        </row>
        <row r="9123">
          <cell r="L9123" t="str">
            <v>74210762</v>
          </cell>
        </row>
        <row r="9124">
          <cell r="L9124" t="str">
            <v>74217299</v>
          </cell>
        </row>
        <row r="9125">
          <cell r="L9125" t="str">
            <v>74219463</v>
          </cell>
        </row>
        <row r="9126">
          <cell r="L9126" t="str">
            <v>74227323</v>
          </cell>
        </row>
        <row r="9127">
          <cell r="L9127" t="str">
            <v>74228102</v>
          </cell>
        </row>
        <row r="9128">
          <cell r="L9128" t="str">
            <v>74229620</v>
          </cell>
        </row>
        <row r="9129">
          <cell r="L9129" t="str">
            <v>74234481</v>
          </cell>
        </row>
        <row r="9130">
          <cell r="L9130" t="str">
            <v>74190833</v>
          </cell>
        </row>
        <row r="9131">
          <cell r="L9131" t="str">
            <v>74196061</v>
          </cell>
        </row>
        <row r="9132">
          <cell r="L9132" t="str">
            <v>74197462</v>
          </cell>
        </row>
        <row r="9133">
          <cell r="L9133" t="str">
            <v>74200911</v>
          </cell>
        </row>
        <row r="9134">
          <cell r="L9134" t="str">
            <v>74217527</v>
          </cell>
        </row>
        <row r="9135">
          <cell r="L9135" t="str">
            <v>74220763</v>
          </cell>
        </row>
        <row r="9136">
          <cell r="L9136" t="str">
            <v>74223756</v>
          </cell>
        </row>
        <row r="9137">
          <cell r="L9137" t="str">
            <v>74142708</v>
          </cell>
        </row>
        <row r="9138">
          <cell r="L9138" t="str">
            <v>74238065</v>
          </cell>
        </row>
        <row r="9139">
          <cell r="L9139" t="str">
            <v>74089616</v>
          </cell>
        </row>
        <row r="9140">
          <cell r="L9140" t="str">
            <v>74150586</v>
          </cell>
        </row>
        <row r="9141">
          <cell r="L9141" t="str">
            <v>74194506</v>
          </cell>
        </row>
        <row r="9142">
          <cell r="L9142" t="str">
            <v>74203781</v>
          </cell>
        </row>
        <row r="9143">
          <cell r="L9143" t="str">
            <v>74227297</v>
          </cell>
        </row>
        <row r="9144">
          <cell r="L9144" t="str">
            <v>74235297</v>
          </cell>
        </row>
        <row r="9145">
          <cell r="L9145" t="str">
            <v>74242780</v>
          </cell>
        </row>
        <row r="9146">
          <cell r="L9146" t="str">
            <v>74243641</v>
          </cell>
        </row>
        <row r="9147">
          <cell r="L9147" t="str">
            <v>74247960</v>
          </cell>
        </row>
        <row r="9148">
          <cell r="L9148" t="str">
            <v>74249596</v>
          </cell>
        </row>
        <row r="9149">
          <cell r="L9149" t="str">
            <v>74253184</v>
          </cell>
        </row>
        <row r="9150">
          <cell r="L9150" t="str">
            <v>74254262</v>
          </cell>
        </row>
        <row r="9151">
          <cell r="L9151" t="str">
            <v>74254439</v>
          </cell>
        </row>
        <row r="9152">
          <cell r="L9152" t="str">
            <v>74257120</v>
          </cell>
        </row>
        <row r="9153">
          <cell r="L9153" t="str">
            <v>74258907</v>
          </cell>
        </row>
        <row r="9154">
          <cell r="L9154" t="str">
            <v>74259326</v>
          </cell>
        </row>
        <row r="9155">
          <cell r="L9155" t="str">
            <v>74259979</v>
          </cell>
        </row>
        <row r="9156">
          <cell r="L9156" t="str">
            <v>74261720</v>
          </cell>
        </row>
        <row r="9157">
          <cell r="L9157" t="str">
            <v>74264202</v>
          </cell>
        </row>
        <row r="9158">
          <cell r="L9158" t="str">
            <v>74268440</v>
          </cell>
        </row>
        <row r="9159">
          <cell r="L9159" t="str">
            <v>74274680</v>
          </cell>
        </row>
        <row r="9160">
          <cell r="L9160" t="str">
            <v>74276779</v>
          </cell>
        </row>
        <row r="9161">
          <cell r="L9161" t="str">
            <v>74278445</v>
          </cell>
        </row>
        <row r="9162">
          <cell r="L9162" t="str">
            <v>74278719</v>
          </cell>
        </row>
        <row r="9163">
          <cell r="L9163" t="str">
            <v>74278941</v>
          </cell>
        </row>
        <row r="9164">
          <cell r="L9164" t="str">
            <v>74279041</v>
          </cell>
        </row>
        <row r="9165">
          <cell r="L9165" t="str">
            <v>74281466</v>
          </cell>
        </row>
        <row r="9166">
          <cell r="L9166" t="str">
            <v>74282959</v>
          </cell>
        </row>
        <row r="9167">
          <cell r="L9167" t="str">
            <v>74216547</v>
          </cell>
        </row>
        <row r="9168">
          <cell r="L9168" t="str">
            <v>74281026</v>
          </cell>
        </row>
        <row r="9169">
          <cell r="L9169" t="str">
            <v>74230733</v>
          </cell>
        </row>
        <row r="9170">
          <cell r="L9170" t="str">
            <v>74240639</v>
          </cell>
        </row>
        <row r="9171">
          <cell r="L9171" t="str">
            <v>74241621</v>
          </cell>
        </row>
        <row r="9172">
          <cell r="L9172" t="str">
            <v>74099273</v>
          </cell>
        </row>
        <row r="9173">
          <cell r="L9173" t="str">
            <v>74103059</v>
          </cell>
        </row>
        <row r="9174">
          <cell r="L9174" t="str">
            <v>74120556</v>
          </cell>
        </row>
        <row r="9175">
          <cell r="L9175" t="str">
            <v>74192826</v>
          </cell>
        </row>
        <row r="9176">
          <cell r="L9176" t="str">
            <v>74201144</v>
          </cell>
        </row>
        <row r="9177">
          <cell r="L9177" t="str">
            <v>74215664</v>
          </cell>
        </row>
        <row r="9178">
          <cell r="L9178" t="str">
            <v>74216505</v>
          </cell>
        </row>
        <row r="9179">
          <cell r="L9179" t="str">
            <v>74219467</v>
          </cell>
        </row>
        <row r="9180">
          <cell r="L9180" t="str">
            <v>74222103</v>
          </cell>
        </row>
        <row r="9181">
          <cell r="L9181" t="str">
            <v>74222705</v>
          </cell>
        </row>
        <row r="9182">
          <cell r="L9182" t="str">
            <v>74222759</v>
          </cell>
        </row>
        <row r="9183">
          <cell r="L9183" t="str">
            <v>74228752</v>
          </cell>
        </row>
        <row r="9184">
          <cell r="L9184" t="str">
            <v>74230827</v>
          </cell>
        </row>
        <row r="9185">
          <cell r="L9185" t="str">
            <v>74232000</v>
          </cell>
        </row>
        <row r="9186">
          <cell r="L9186" t="str">
            <v>74235273</v>
          </cell>
        </row>
        <row r="9187">
          <cell r="L9187" t="str">
            <v>74235280</v>
          </cell>
        </row>
        <row r="9188">
          <cell r="L9188" t="str">
            <v>74237383</v>
          </cell>
        </row>
        <row r="9189">
          <cell r="L9189" t="str">
            <v>74237460</v>
          </cell>
        </row>
        <row r="9190">
          <cell r="L9190" t="str">
            <v>74238959</v>
          </cell>
        </row>
        <row r="9191">
          <cell r="L9191" t="str">
            <v>74241125</v>
          </cell>
        </row>
        <row r="9192">
          <cell r="L9192" t="str">
            <v>74241965</v>
          </cell>
        </row>
        <row r="9193">
          <cell r="L9193" t="str">
            <v>74242100</v>
          </cell>
        </row>
        <row r="9194">
          <cell r="L9194" t="str">
            <v>74242402</v>
          </cell>
        </row>
        <row r="9195">
          <cell r="L9195" t="str">
            <v>74243429</v>
          </cell>
        </row>
        <row r="9196">
          <cell r="L9196" t="str">
            <v>74244525</v>
          </cell>
        </row>
        <row r="9197">
          <cell r="L9197" t="str">
            <v>74245641</v>
          </cell>
        </row>
        <row r="9198">
          <cell r="L9198" t="str">
            <v>74245679</v>
          </cell>
        </row>
        <row r="9199">
          <cell r="L9199" t="str">
            <v>74246859</v>
          </cell>
        </row>
        <row r="9200">
          <cell r="L9200" t="str">
            <v>74248017</v>
          </cell>
        </row>
        <row r="9201">
          <cell r="L9201" t="str">
            <v>74249203</v>
          </cell>
        </row>
        <row r="9202">
          <cell r="L9202" t="str">
            <v>74249461</v>
          </cell>
        </row>
        <row r="9203">
          <cell r="L9203" t="str">
            <v>74250624</v>
          </cell>
        </row>
        <row r="9204">
          <cell r="L9204" t="str">
            <v>74252594</v>
          </cell>
        </row>
        <row r="9205">
          <cell r="L9205" t="str">
            <v>74252622</v>
          </cell>
        </row>
        <row r="9206">
          <cell r="L9206" t="str">
            <v>74255712</v>
          </cell>
        </row>
        <row r="9207">
          <cell r="L9207" t="str">
            <v>74256161</v>
          </cell>
        </row>
        <row r="9208">
          <cell r="L9208" t="str">
            <v>74256199</v>
          </cell>
        </row>
        <row r="9209">
          <cell r="L9209" t="str">
            <v>74256501</v>
          </cell>
        </row>
        <row r="9210">
          <cell r="L9210" t="str">
            <v>74259161</v>
          </cell>
        </row>
        <row r="9211">
          <cell r="L9211" t="str">
            <v>74259385</v>
          </cell>
        </row>
        <row r="9212">
          <cell r="L9212" t="str">
            <v>74259522</v>
          </cell>
        </row>
        <row r="9213">
          <cell r="L9213" t="str">
            <v>74260999</v>
          </cell>
        </row>
        <row r="9214">
          <cell r="L9214" t="str">
            <v>74262300</v>
          </cell>
        </row>
        <row r="9215">
          <cell r="L9215" t="str">
            <v>74262780</v>
          </cell>
        </row>
        <row r="9216">
          <cell r="L9216" t="str">
            <v>74267082</v>
          </cell>
        </row>
        <row r="9217">
          <cell r="L9217" t="str">
            <v>74267100</v>
          </cell>
        </row>
        <row r="9218">
          <cell r="L9218" t="str">
            <v>74268621</v>
          </cell>
        </row>
        <row r="9219">
          <cell r="L9219" t="str">
            <v>74269080</v>
          </cell>
        </row>
        <row r="9220">
          <cell r="L9220" t="str">
            <v>74271380</v>
          </cell>
        </row>
        <row r="9221">
          <cell r="L9221" t="str">
            <v>74272842</v>
          </cell>
        </row>
        <row r="9222">
          <cell r="L9222" t="str">
            <v>74274022</v>
          </cell>
        </row>
        <row r="9223">
          <cell r="L9223" t="str">
            <v>74274997</v>
          </cell>
        </row>
        <row r="9224">
          <cell r="L9224" t="str">
            <v>74276679</v>
          </cell>
        </row>
        <row r="9225">
          <cell r="L9225" t="str">
            <v>74277340</v>
          </cell>
        </row>
        <row r="9226">
          <cell r="L9226" t="str">
            <v>74278559</v>
          </cell>
        </row>
        <row r="9227">
          <cell r="L9227" t="str">
            <v>74279645</v>
          </cell>
        </row>
        <row r="9228">
          <cell r="L9228" t="str">
            <v>74279939</v>
          </cell>
        </row>
        <row r="9229">
          <cell r="L9229" t="str">
            <v>74280149</v>
          </cell>
        </row>
        <row r="9230">
          <cell r="L9230" t="str">
            <v>74282542</v>
          </cell>
        </row>
        <row r="9231">
          <cell r="L9231" t="str">
            <v>74283070</v>
          </cell>
        </row>
        <row r="9232">
          <cell r="L9232" t="str">
            <v>74285883</v>
          </cell>
        </row>
        <row r="9233">
          <cell r="L9233" t="str">
            <v>74287857</v>
          </cell>
        </row>
        <row r="9234">
          <cell r="L9234" t="str">
            <v>74290447</v>
          </cell>
        </row>
        <row r="9235">
          <cell r="L9235" t="str">
            <v>74291120</v>
          </cell>
        </row>
        <row r="9236">
          <cell r="L9236" t="str">
            <v>74291963</v>
          </cell>
        </row>
        <row r="9237">
          <cell r="L9237" t="str">
            <v>74299921</v>
          </cell>
        </row>
        <row r="9238">
          <cell r="L9238" t="str">
            <v>74301888</v>
          </cell>
        </row>
        <row r="9239">
          <cell r="L9239" t="str">
            <v>74299552</v>
          </cell>
        </row>
        <row r="9240">
          <cell r="L9240" t="str">
            <v>74169218</v>
          </cell>
        </row>
        <row r="9241">
          <cell r="L9241" t="str">
            <v>74035523</v>
          </cell>
        </row>
        <row r="9242">
          <cell r="L9242" t="str">
            <v>74074555</v>
          </cell>
        </row>
        <row r="9243">
          <cell r="L9243" t="str">
            <v>74103131</v>
          </cell>
        </row>
        <row r="9244">
          <cell r="L9244" t="str">
            <v>74154179</v>
          </cell>
        </row>
        <row r="9245">
          <cell r="L9245" t="str">
            <v>74156051</v>
          </cell>
        </row>
        <row r="9246">
          <cell r="L9246" t="str">
            <v>74163492</v>
          </cell>
        </row>
        <row r="9247">
          <cell r="L9247" t="str">
            <v>74164349</v>
          </cell>
        </row>
        <row r="9248">
          <cell r="L9248" t="str">
            <v>74185402</v>
          </cell>
        </row>
        <row r="9249">
          <cell r="L9249" t="str">
            <v>74195669</v>
          </cell>
        </row>
        <row r="9250">
          <cell r="L9250" t="str">
            <v>74197181</v>
          </cell>
        </row>
        <row r="9251">
          <cell r="L9251" t="str">
            <v>74197820</v>
          </cell>
        </row>
        <row r="9252">
          <cell r="L9252" t="str">
            <v>74199127</v>
          </cell>
        </row>
        <row r="9253">
          <cell r="L9253" t="str">
            <v>74199886</v>
          </cell>
        </row>
        <row r="9254">
          <cell r="L9254" t="str">
            <v>74203982</v>
          </cell>
        </row>
        <row r="9255">
          <cell r="L9255" t="str">
            <v>74205285</v>
          </cell>
        </row>
        <row r="9256">
          <cell r="L9256" t="str">
            <v>74206460</v>
          </cell>
        </row>
        <row r="9257">
          <cell r="L9257" t="str">
            <v>74215361</v>
          </cell>
        </row>
        <row r="9258">
          <cell r="L9258" t="str">
            <v>74219999</v>
          </cell>
        </row>
        <row r="9259">
          <cell r="L9259" t="str">
            <v>74222142</v>
          </cell>
        </row>
        <row r="9260">
          <cell r="L9260" t="str">
            <v>74224138</v>
          </cell>
        </row>
        <row r="9261">
          <cell r="L9261" t="str">
            <v>74225465</v>
          </cell>
        </row>
        <row r="9262">
          <cell r="L9262" t="str">
            <v>74227989</v>
          </cell>
        </row>
        <row r="9263">
          <cell r="L9263" t="str">
            <v>74236717</v>
          </cell>
        </row>
        <row r="9264">
          <cell r="L9264" t="str">
            <v>74237471</v>
          </cell>
        </row>
        <row r="9265">
          <cell r="L9265" t="str">
            <v>74237561</v>
          </cell>
        </row>
        <row r="9266">
          <cell r="L9266" t="str">
            <v>74267400</v>
          </cell>
        </row>
        <row r="9267">
          <cell r="L9267" t="str">
            <v>74270442</v>
          </cell>
        </row>
        <row r="9268">
          <cell r="L9268" t="str">
            <v>74281459</v>
          </cell>
        </row>
        <row r="9269">
          <cell r="L9269" t="str">
            <v>74290881</v>
          </cell>
        </row>
        <row r="9270">
          <cell r="L9270" t="str">
            <v>74291823</v>
          </cell>
        </row>
        <row r="9271">
          <cell r="L9271" t="str">
            <v>74292339</v>
          </cell>
        </row>
        <row r="9272">
          <cell r="L9272" t="str">
            <v>74292540</v>
          </cell>
        </row>
        <row r="9273">
          <cell r="L9273" t="str">
            <v>74293021</v>
          </cell>
        </row>
        <row r="9274">
          <cell r="L9274" t="str">
            <v>74293447</v>
          </cell>
        </row>
        <row r="9275">
          <cell r="L9275" t="str">
            <v>74293879</v>
          </cell>
        </row>
        <row r="9276">
          <cell r="L9276" t="str">
            <v>74294346</v>
          </cell>
        </row>
        <row r="9277">
          <cell r="L9277" t="str">
            <v>74294468</v>
          </cell>
        </row>
        <row r="9278">
          <cell r="L9278" t="str">
            <v>74295122</v>
          </cell>
        </row>
        <row r="9279">
          <cell r="L9279" t="str">
            <v>74295941</v>
          </cell>
        </row>
        <row r="9280">
          <cell r="L9280" t="str">
            <v>74296222</v>
          </cell>
        </row>
        <row r="9281">
          <cell r="L9281" t="str">
            <v>74299239</v>
          </cell>
        </row>
        <row r="9282">
          <cell r="L9282" t="str">
            <v>74299881</v>
          </cell>
        </row>
        <row r="9283">
          <cell r="L9283" t="str">
            <v>74299980</v>
          </cell>
        </row>
        <row r="9284">
          <cell r="L9284" t="str">
            <v>74302688</v>
          </cell>
        </row>
        <row r="9285">
          <cell r="L9285" t="str">
            <v>74303079</v>
          </cell>
        </row>
        <row r="9286">
          <cell r="L9286" t="str">
            <v>74303080</v>
          </cell>
        </row>
        <row r="9287">
          <cell r="L9287" t="str">
            <v>74303260</v>
          </cell>
        </row>
        <row r="9288">
          <cell r="L9288" t="str">
            <v>74303384</v>
          </cell>
        </row>
        <row r="9289">
          <cell r="L9289" t="str">
            <v>74304140</v>
          </cell>
        </row>
        <row r="9290">
          <cell r="L9290" t="str">
            <v>74306220</v>
          </cell>
        </row>
        <row r="9291">
          <cell r="L9291" t="str">
            <v>74306332</v>
          </cell>
        </row>
        <row r="9292">
          <cell r="L9292" t="str">
            <v>74307666</v>
          </cell>
        </row>
        <row r="9293">
          <cell r="L9293" t="str">
            <v>74309401</v>
          </cell>
        </row>
        <row r="9294">
          <cell r="L9294" t="str">
            <v>74309487</v>
          </cell>
        </row>
        <row r="9295">
          <cell r="L9295" t="str">
            <v>74309586</v>
          </cell>
        </row>
        <row r="9296">
          <cell r="L9296" t="str">
            <v>74309646</v>
          </cell>
        </row>
        <row r="9297">
          <cell r="L9297" t="str">
            <v>74314081</v>
          </cell>
        </row>
        <row r="9298">
          <cell r="L9298" t="str">
            <v>74316945</v>
          </cell>
        </row>
        <row r="9299">
          <cell r="L9299" t="str">
            <v>74324419</v>
          </cell>
        </row>
        <row r="9300">
          <cell r="L9300" t="str">
            <v>74325048</v>
          </cell>
        </row>
        <row r="9301">
          <cell r="L9301" t="str">
            <v>74133955</v>
          </cell>
        </row>
        <row r="9302">
          <cell r="L9302" t="str">
            <v>74227291</v>
          </cell>
        </row>
        <row r="9303">
          <cell r="L9303" t="str">
            <v>74234502</v>
          </cell>
        </row>
        <row r="9304">
          <cell r="L9304" t="str">
            <v>74235880</v>
          </cell>
        </row>
        <row r="9305">
          <cell r="L9305" t="str">
            <v>74250902</v>
          </cell>
        </row>
        <row r="9306">
          <cell r="L9306" t="str">
            <v>74254922</v>
          </cell>
        </row>
        <row r="9307">
          <cell r="L9307" t="str">
            <v>74276403</v>
          </cell>
        </row>
        <row r="9308">
          <cell r="L9308" t="str">
            <v>74282020</v>
          </cell>
        </row>
        <row r="9309">
          <cell r="L9309" t="str">
            <v>74310981</v>
          </cell>
        </row>
        <row r="9310">
          <cell r="L9310" t="str">
            <v>74130982</v>
          </cell>
        </row>
        <row r="9311">
          <cell r="L9311" t="str">
            <v>74226029</v>
          </cell>
        </row>
        <row r="9312">
          <cell r="L9312" t="str">
            <v>74230660</v>
          </cell>
        </row>
        <row r="9313">
          <cell r="L9313" t="str">
            <v>74198900</v>
          </cell>
        </row>
        <row r="9314">
          <cell r="L9314" t="str">
            <v>74194020</v>
          </cell>
        </row>
        <row r="9315">
          <cell r="L9315" t="str">
            <v>74225221</v>
          </cell>
        </row>
        <row r="9316">
          <cell r="L9316" t="str">
            <v>74218308</v>
          </cell>
        </row>
        <row r="9317">
          <cell r="L9317" t="str">
            <v>74234359</v>
          </cell>
        </row>
        <row r="9318">
          <cell r="L9318" t="str">
            <v>74200801</v>
          </cell>
        </row>
        <row r="9319">
          <cell r="L9319" t="str">
            <v>74204067</v>
          </cell>
        </row>
        <row r="9320">
          <cell r="L9320" t="str">
            <v>74280901</v>
          </cell>
        </row>
        <row r="9321">
          <cell r="L9321" t="str">
            <v>74163749</v>
          </cell>
        </row>
        <row r="9322">
          <cell r="L9322" t="str">
            <v>74303982</v>
          </cell>
        </row>
        <row r="9323">
          <cell r="L9323" t="str">
            <v>74305372</v>
          </cell>
        </row>
        <row r="9324">
          <cell r="L9324" t="str">
            <v>74308085</v>
          </cell>
        </row>
        <row r="9325">
          <cell r="L9325" t="str">
            <v>74246400</v>
          </cell>
        </row>
        <row r="9326">
          <cell r="L9326" t="str">
            <v>00MARS</v>
          </cell>
        </row>
        <row r="9327">
          <cell r="L9327" t="str">
            <v>74141068</v>
          </cell>
        </row>
        <row r="9328">
          <cell r="L9328" t="str">
            <v>74151366</v>
          </cell>
        </row>
        <row r="9329">
          <cell r="L9329" t="str">
            <v>74212786</v>
          </cell>
        </row>
        <row r="9330">
          <cell r="L9330" t="str">
            <v>74276844</v>
          </cell>
        </row>
        <row r="9331">
          <cell r="L9331" t="str">
            <v>74283259</v>
          </cell>
        </row>
        <row r="9332">
          <cell r="L9332" t="str">
            <v>74290340</v>
          </cell>
        </row>
        <row r="9333">
          <cell r="L9333" t="str">
            <v>74317529</v>
          </cell>
        </row>
        <row r="9334">
          <cell r="L9334" t="str">
            <v>74045445</v>
          </cell>
        </row>
        <row r="9335">
          <cell r="L9335" t="str">
            <v>74276599</v>
          </cell>
        </row>
        <row r="9336">
          <cell r="L9336" t="str">
            <v>74288241</v>
          </cell>
        </row>
        <row r="9337">
          <cell r="L9337" t="str">
            <v>74293527</v>
          </cell>
        </row>
        <row r="9338">
          <cell r="L9338" t="str">
            <v>74299681</v>
          </cell>
        </row>
        <row r="9339">
          <cell r="L9339" t="str">
            <v>74300883</v>
          </cell>
        </row>
        <row r="9340">
          <cell r="L9340" t="str">
            <v>74302243</v>
          </cell>
        </row>
        <row r="9341">
          <cell r="L9341" t="str">
            <v>74305980</v>
          </cell>
        </row>
        <row r="9342">
          <cell r="L9342" t="str">
            <v>74314040</v>
          </cell>
        </row>
        <row r="9343">
          <cell r="L9343" t="str">
            <v>74297661</v>
          </cell>
        </row>
        <row r="9344">
          <cell r="L9344" t="str">
            <v>74306647</v>
          </cell>
        </row>
        <row r="9345">
          <cell r="L9345" t="str">
            <v>74090521</v>
          </cell>
        </row>
        <row r="9346">
          <cell r="L9346" t="str">
            <v>74243377</v>
          </cell>
        </row>
        <row r="9347">
          <cell r="L9347" t="str">
            <v>74257885</v>
          </cell>
        </row>
        <row r="9348">
          <cell r="L9348" t="str">
            <v>74267401</v>
          </cell>
        </row>
        <row r="9349">
          <cell r="L9349" t="str">
            <v>74276520</v>
          </cell>
        </row>
        <row r="9350">
          <cell r="L9350" t="str">
            <v>74276848</v>
          </cell>
        </row>
        <row r="9351">
          <cell r="L9351" t="str">
            <v>74277882</v>
          </cell>
        </row>
        <row r="9352">
          <cell r="L9352" t="str">
            <v>74280804</v>
          </cell>
        </row>
        <row r="9353">
          <cell r="L9353" t="str">
            <v>74281799</v>
          </cell>
        </row>
        <row r="9354">
          <cell r="L9354" t="str">
            <v>74294800</v>
          </cell>
        </row>
        <row r="9355">
          <cell r="L9355" t="str">
            <v>74294801</v>
          </cell>
        </row>
        <row r="9356">
          <cell r="L9356" t="str">
            <v>74294802</v>
          </cell>
        </row>
        <row r="9357">
          <cell r="L9357" t="str">
            <v>74294805</v>
          </cell>
        </row>
        <row r="9358">
          <cell r="L9358" t="str">
            <v>74303122</v>
          </cell>
        </row>
        <row r="9359">
          <cell r="L9359" t="str">
            <v>74303123</v>
          </cell>
        </row>
        <row r="9360">
          <cell r="L9360" t="str">
            <v>74303124</v>
          </cell>
        </row>
        <row r="9361">
          <cell r="L9361" t="str">
            <v>74303126</v>
          </cell>
        </row>
        <row r="9362">
          <cell r="L9362" t="str">
            <v>74241000</v>
          </cell>
        </row>
        <row r="9363">
          <cell r="L9363" t="str">
            <v>74279404</v>
          </cell>
        </row>
        <row r="9364">
          <cell r="L9364" t="str">
            <v>74282021</v>
          </cell>
        </row>
        <row r="9365">
          <cell r="L9365" t="str">
            <v>74301361</v>
          </cell>
        </row>
        <row r="9366">
          <cell r="L9366" t="str">
            <v>74309199</v>
          </cell>
        </row>
        <row r="9367">
          <cell r="L9367" t="str">
            <v>74280805</v>
          </cell>
        </row>
        <row r="9368">
          <cell r="L9368" t="str">
            <v>74230060</v>
          </cell>
        </row>
        <row r="9369">
          <cell r="L9369" t="str">
            <v>74238247</v>
          </cell>
        </row>
        <row r="9370">
          <cell r="L9370" t="str">
            <v>74245181</v>
          </cell>
        </row>
        <row r="9371">
          <cell r="L9371" t="str">
            <v>74248103</v>
          </cell>
        </row>
        <row r="9372">
          <cell r="L9372" t="str">
            <v>74251340</v>
          </cell>
        </row>
        <row r="9373">
          <cell r="L9373" t="str">
            <v>74258441</v>
          </cell>
        </row>
        <row r="9374">
          <cell r="L9374" t="str">
            <v>74259462</v>
          </cell>
        </row>
        <row r="9375">
          <cell r="L9375" t="str">
            <v>74267402</v>
          </cell>
        </row>
        <row r="9376">
          <cell r="L9376" t="str">
            <v>74267781</v>
          </cell>
        </row>
        <row r="9377">
          <cell r="L9377" t="str">
            <v>74268241</v>
          </cell>
        </row>
        <row r="9378">
          <cell r="L9378" t="str">
            <v>74268581</v>
          </cell>
        </row>
        <row r="9379">
          <cell r="L9379" t="str">
            <v>74273066</v>
          </cell>
        </row>
        <row r="9380">
          <cell r="L9380" t="str">
            <v>74273079</v>
          </cell>
        </row>
        <row r="9381">
          <cell r="L9381" t="str">
            <v>74273081</v>
          </cell>
        </row>
        <row r="9382">
          <cell r="L9382" t="str">
            <v>74273555</v>
          </cell>
        </row>
        <row r="9383">
          <cell r="L9383" t="str">
            <v>74273579</v>
          </cell>
        </row>
        <row r="9384">
          <cell r="L9384" t="str">
            <v>74280803</v>
          </cell>
        </row>
        <row r="9385">
          <cell r="L9385" t="str">
            <v>74280807</v>
          </cell>
        </row>
        <row r="9386">
          <cell r="L9386" t="str">
            <v>74295101</v>
          </cell>
        </row>
        <row r="9387">
          <cell r="L9387" t="str">
            <v>74295484</v>
          </cell>
        </row>
        <row r="9388">
          <cell r="L9388" t="str">
            <v>74299160</v>
          </cell>
        </row>
        <row r="9389">
          <cell r="L9389" t="str">
            <v>74116044</v>
          </cell>
        </row>
        <row r="9390">
          <cell r="L9390" t="str">
            <v>74176851</v>
          </cell>
        </row>
        <row r="9391">
          <cell r="L9391" t="str">
            <v>74184499</v>
          </cell>
        </row>
        <row r="9392">
          <cell r="L9392" t="str">
            <v>74184608</v>
          </cell>
        </row>
        <row r="9393">
          <cell r="L9393" t="str">
            <v>74186209</v>
          </cell>
        </row>
        <row r="9394">
          <cell r="L9394" t="str">
            <v>74187235</v>
          </cell>
        </row>
        <row r="9395">
          <cell r="L9395" t="str">
            <v>74259884</v>
          </cell>
        </row>
        <row r="9396">
          <cell r="L9396" t="str">
            <v>74293439</v>
          </cell>
        </row>
        <row r="9397">
          <cell r="L9397" t="str">
            <v>74164909</v>
          </cell>
        </row>
        <row r="9398">
          <cell r="L9398" t="str">
            <v>74172383</v>
          </cell>
        </row>
        <row r="9399">
          <cell r="L9399" t="str">
            <v>74179388</v>
          </cell>
        </row>
        <row r="9400">
          <cell r="L9400" t="str">
            <v>74148808</v>
          </cell>
        </row>
        <row r="9401">
          <cell r="L9401" t="str">
            <v>74158708</v>
          </cell>
        </row>
        <row r="9402">
          <cell r="L9402" t="str">
            <v>74164848</v>
          </cell>
        </row>
        <row r="9403">
          <cell r="L9403" t="str">
            <v>74040296</v>
          </cell>
        </row>
        <row r="9404">
          <cell r="L9404" t="str">
            <v>74149170</v>
          </cell>
        </row>
        <row r="9405">
          <cell r="L9405" t="str">
            <v>74149191</v>
          </cell>
        </row>
        <row r="9406">
          <cell r="L9406" t="str">
            <v>74196259</v>
          </cell>
        </row>
        <row r="9407">
          <cell r="L9407" t="str">
            <v>74202841</v>
          </cell>
        </row>
        <row r="9408">
          <cell r="L9408" t="str">
            <v>74219639</v>
          </cell>
        </row>
        <row r="9409">
          <cell r="L9409" t="str">
            <v>74234540</v>
          </cell>
        </row>
        <row r="9410">
          <cell r="L9410" t="str">
            <v>74234641</v>
          </cell>
        </row>
        <row r="9411">
          <cell r="L9411" t="str">
            <v>74265048</v>
          </cell>
        </row>
        <row r="9412">
          <cell r="L9412" t="str">
            <v>74265103</v>
          </cell>
        </row>
        <row r="9413">
          <cell r="L9413" t="str">
            <v>74274400</v>
          </cell>
        </row>
        <row r="9414">
          <cell r="L9414" t="str">
            <v>74281088</v>
          </cell>
        </row>
        <row r="9415">
          <cell r="L9415" t="str">
            <v>74066139</v>
          </cell>
        </row>
        <row r="9416">
          <cell r="L9416" t="str">
            <v>74133244</v>
          </cell>
        </row>
        <row r="9417">
          <cell r="L9417" t="str">
            <v>74160168</v>
          </cell>
        </row>
        <row r="9418">
          <cell r="L9418" t="str">
            <v>74162748</v>
          </cell>
        </row>
        <row r="9419">
          <cell r="L9419" t="str">
            <v>74165470</v>
          </cell>
        </row>
        <row r="9420">
          <cell r="L9420" t="str">
            <v>74166529</v>
          </cell>
        </row>
        <row r="9421">
          <cell r="L9421" t="str">
            <v>74176150</v>
          </cell>
        </row>
        <row r="9422">
          <cell r="L9422" t="str">
            <v>74183226</v>
          </cell>
        </row>
        <row r="9423">
          <cell r="L9423" t="str">
            <v>74188573</v>
          </cell>
        </row>
        <row r="9424">
          <cell r="L9424" t="str">
            <v>74197022</v>
          </cell>
        </row>
        <row r="9425">
          <cell r="L9425" t="str">
            <v>74198121</v>
          </cell>
        </row>
        <row r="9426">
          <cell r="L9426" t="str">
            <v>74198700</v>
          </cell>
        </row>
        <row r="9427">
          <cell r="L9427" t="str">
            <v>74200591</v>
          </cell>
        </row>
        <row r="9428">
          <cell r="L9428" t="str">
            <v>74200594</v>
          </cell>
        </row>
        <row r="9429">
          <cell r="L9429" t="str">
            <v>74200599</v>
          </cell>
        </row>
        <row r="9430">
          <cell r="L9430" t="str">
            <v>74200982</v>
          </cell>
        </row>
        <row r="9431">
          <cell r="L9431" t="str">
            <v>74201264</v>
          </cell>
        </row>
        <row r="9432">
          <cell r="L9432" t="str">
            <v>74204919</v>
          </cell>
        </row>
        <row r="9433">
          <cell r="L9433" t="str">
            <v>74207329</v>
          </cell>
        </row>
        <row r="9434">
          <cell r="L9434" t="str">
            <v>74208523</v>
          </cell>
        </row>
        <row r="9435">
          <cell r="L9435" t="str">
            <v>74213431</v>
          </cell>
        </row>
        <row r="9436">
          <cell r="L9436" t="str">
            <v>74215532</v>
          </cell>
        </row>
        <row r="9437">
          <cell r="L9437" t="str">
            <v>74216302</v>
          </cell>
        </row>
        <row r="9438">
          <cell r="L9438" t="str">
            <v>74222480</v>
          </cell>
        </row>
        <row r="9439">
          <cell r="L9439" t="str">
            <v>74223559</v>
          </cell>
        </row>
        <row r="9440">
          <cell r="L9440" t="str">
            <v>74224221</v>
          </cell>
        </row>
        <row r="9441">
          <cell r="L9441" t="str">
            <v>74227187</v>
          </cell>
        </row>
        <row r="9442">
          <cell r="L9442" t="str">
            <v>74228519</v>
          </cell>
        </row>
        <row r="9443">
          <cell r="L9443" t="str">
            <v>74230224</v>
          </cell>
        </row>
        <row r="9444">
          <cell r="L9444" t="str">
            <v>74251900</v>
          </cell>
        </row>
        <row r="9445">
          <cell r="L9445" t="str">
            <v>74193567</v>
          </cell>
        </row>
        <row r="9446">
          <cell r="L9446" t="str">
            <v>74198119</v>
          </cell>
        </row>
        <row r="9447">
          <cell r="L9447" t="str">
            <v>74214340</v>
          </cell>
        </row>
        <row r="9448">
          <cell r="L9448" t="str">
            <v>74225959</v>
          </cell>
        </row>
        <row r="9449">
          <cell r="L9449" t="str">
            <v>74230946</v>
          </cell>
        </row>
        <row r="9450">
          <cell r="L9450" t="str">
            <v>74247082</v>
          </cell>
        </row>
        <row r="9451">
          <cell r="L9451" t="str">
            <v>74251901</v>
          </cell>
        </row>
        <row r="9452">
          <cell r="L9452" t="str">
            <v>74264279</v>
          </cell>
        </row>
        <row r="9453">
          <cell r="L9453" t="str">
            <v>74265079</v>
          </cell>
        </row>
        <row r="9454">
          <cell r="L9454" t="str">
            <v>74107426</v>
          </cell>
        </row>
        <row r="9455">
          <cell r="L9455" t="str">
            <v>74162050</v>
          </cell>
        </row>
        <row r="9456">
          <cell r="L9456" t="str">
            <v>74157273</v>
          </cell>
        </row>
        <row r="9457">
          <cell r="L9457" t="str">
            <v>74274822</v>
          </cell>
        </row>
        <row r="9458">
          <cell r="L9458" t="str">
            <v>74171448</v>
          </cell>
        </row>
        <row r="9459">
          <cell r="L9459" t="str">
            <v>74053986</v>
          </cell>
        </row>
        <row r="9460">
          <cell r="L9460" t="str">
            <v>74064980</v>
          </cell>
        </row>
        <row r="9461">
          <cell r="L9461" t="str">
            <v>74264200</v>
          </cell>
        </row>
        <row r="9462">
          <cell r="L9462" t="str">
            <v>74264201</v>
          </cell>
        </row>
        <row r="9463">
          <cell r="L9463" t="str">
            <v>74238161</v>
          </cell>
        </row>
        <row r="9464">
          <cell r="L9464" t="str">
            <v>74108406</v>
          </cell>
        </row>
        <row r="9465">
          <cell r="L9465" t="str">
            <v>74241896</v>
          </cell>
        </row>
        <row r="9466">
          <cell r="L9466" t="str">
            <v>74180390</v>
          </cell>
        </row>
        <row r="9467">
          <cell r="L9467" t="str">
            <v>74130173</v>
          </cell>
        </row>
        <row r="9468">
          <cell r="L9468" t="str">
            <v>74133701</v>
          </cell>
        </row>
        <row r="9469">
          <cell r="L9469" t="str">
            <v>74141150</v>
          </cell>
        </row>
        <row r="9470">
          <cell r="L9470" t="str">
            <v>74146108</v>
          </cell>
        </row>
        <row r="9471">
          <cell r="L9471" t="str">
            <v>74149492</v>
          </cell>
        </row>
        <row r="9472">
          <cell r="L9472" t="str">
            <v>74150182</v>
          </cell>
        </row>
        <row r="9473">
          <cell r="L9473" t="str">
            <v>74152331</v>
          </cell>
        </row>
        <row r="9474">
          <cell r="L9474" t="str">
            <v>74152889</v>
          </cell>
        </row>
        <row r="9475">
          <cell r="L9475" t="str">
            <v>74154193</v>
          </cell>
        </row>
        <row r="9476">
          <cell r="L9476" t="str">
            <v>74154815</v>
          </cell>
        </row>
        <row r="9477">
          <cell r="L9477" t="str">
            <v>74158370</v>
          </cell>
        </row>
        <row r="9478">
          <cell r="L9478" t="str">
            <v>74159911</v>
          </cell>
        </row>
        <row r="9479">
          <cell r="L9479" t="str">
            <v>74177213</v>
          </cell>
        </row>
        <row r="9480">
          <cell r="L9480" t="str">
            <v>74187588</v>
          </cell>
        </row>
        <row r="9481">
          <cell r="L9481" t="str">
            <v>74193052</v>
          </cell>
        </row>
        <row r="9482">
          <cell r="L9482" t="str">
            <v>74201242</v>
          </cell>
        </row>
        <row r="9483">
          <cell r="L9483" t="str">
            <v>74203041</v>
          </cell>
        </row>
        <row r="9484">
          <cell r="L9484" t="str">
            <v>74204486</v>
          </cell>
        </row>
        <row r="9485">
          <cell r="L9485" t="str">
            <v>74145190</v>
          </cell>
        </row>
        <row r="9486">
          <cell r="L9486" t="str">
            <v>74158449</v>
          </cell>
        </row>
        <row r="9487">
          <cell r="L9487" t="str">
            <v>74070200</v>
          </cell>
        </row>
        <row r="9488">
          <cell r="L9488" t="str">
            <v>74135371</v>
          </cell>
        </row>
        <row r="9489">
          <cell r="L9489" t="str">
            <v>74155351</v>
          </cell>
        </row>
        <row r="9490">
          <cell r="L9490" t="str">
            <v>74171830</v>
          </cell>
        </row>
        <row r="9491">
          <cell r="L9491" t="str">
            <v>74297539</v>
          </cell>
        </row>
        <row r="9492">
          <cell r="L9492" t="str">
            <v>74202451</v>
          </cell>
        </row>
        <row r="9493">
          <cell r="L9493" t="str">
            <v>74212688</v>
          </cell>
        </row>
        <row r="9494">
          <cell r="L9494" t="str">
            <v>74108990</v>
          </cell>
        </row>
        <row r="9495">
          <cell r="L9495" t="str">
            <v>74166583</v>
          </cell>
        </row>
        <row r="9496">
          <cell r="L9496" t="str">
            <v>74128409</v>
          </cell>
        </row>
        <row r="9497">
          <cell r="L9497" t="str">
            <v>74137895</v>
          </cell>
        </row>
        <row r="9498">
          <cell r="L9498" t="str">
            <v>74149335</v>
          </cell>
        </row>
        <row r="9499">
          <cell r="L9499" t="str">
            <v>74154701</v>
          </cell>
        </row>
        <row r="9500">
          <cell r="L9500" t="str">
            <v>74160236</v>
          </cell>
        </row>
        <row r="9501">
          <cell r="L9501" t="str">
            <v>74200467</v>
          </cell>
        </row>
        <row r="9502">
          <cell r="L9502" t="str">
            <v>74200881</v>
          </cell>
        </row>
        <row r="9503">
          <cell r="L9503" t="str">
            <v>74211605</v>
          </cell>
        </row>
        <row r="9504">
          <cell r="L9504" t="str">
            <v>74218900</v>
          </cell>
        </row>
        <row r="9505">
          <cell r="L9505" t="str">
            <v>74225843</v>
          </cell>
        </row>
        <row r="9506">
          <cell r="L9506" t="str">
            <v>74238339</v>
          </cell>
        </row>
        <row r="9507">
          <cell r="L9507" t="str">
            <v>74241966</v>
          </cell>
        </row>
        <row r="9508">
          <cell r="L9508" t="str">
            <v>74255639</v>
          </cell>
        </row>
        <row r="9509">
          <cell r="L9509" t="str">
            <v>74258665</v>
          </cell>
        </row>
        <row r="9510">
          <cell r="L9510" t="str">
            <v>74280483</v>
          </cell>
        </row>
        <row r="9511">
          <cell r="L9511" t="str">
            <v>74282687</v>
          </cell>
        </row>
        <row r="9512">
          <cell r="L9512" t="str">
            <v>74108726</v>
          </cell>
        </row>
        <row r="9513">
          <cell r="L9513" t="str">
            <v>74124252</v>
          </cell>
        </row>
        <row r="9514">
          <cell r="L9514" t="str">
            <v>74128773</v>
          </cell>
        </row>
        <row r="9515">
          <cell r="L9515" t="str">
            <v>74137710</v>
          </cell>
        </row>
        <row r="9516">
          <cell r="L9516" t="str">
            <v>74141808</v>
          </cell>
        </row>
        <row r="9517">
          <cell r="L9517" t="str">
            <v>74149831</v>
          </cell>
        </row>
        <row r="9518">
          <cell r="L9518" t="str">
            <v>74153209</v>
          </cell>
        </row>
        <row r="9519">
          <cell r="L9519" t="str">
            <v>74155672</v>
          </cell>
        </row>
        <row r="9520">
          <cell r="L9520" t="str">
            <v>74156630</v>
          </cell>
        </row>
        <row r="9521">
          <cell r="L9521" t="str">
            <v>74161531</v>
          </cell>
        </row>
        <row r="9522">
          <cell r="L9522" t="str">
            <v>74163148</v>
          </cell>
        </row>
        <row r="9523">
          <cell r="L9523" t="str">
            <v>74163170</v>
          </cell>
        </row>
        <row r="9524">
          <cell r="L9524" t="str">
            <v>74163359</v>
          </cell>
        </row>
        <row r="9525">
          <cell r="L9525" t="str">
            <v>74173691</v>
          </cell>
        </row>
        <row r="9526">
          <cell r="L9526" t="str">
            <v>74174998</v>
          </cell>
        </row>
        <row r="9527">
          <cell r="L9527" t="str">
            <v>74175000</v>
          </cell>
        </row>
        <row r="9528">
          <cell r="L9528" t="str">
            <v>74178748</v>
          </cell>
        </row>
        <row r="9529">
          <cell r="L9529" t="str">
            <v>74193244</v>
          </cell>
        </row>
        <row r="9530">
          <cell r="L9530" t="str">
            <v>74196244</v>
          </cell>
        </row>
        <row r="9531">
          <cell r="L9531" t="str">
            <v>74197420</v>
          </cell>
        </row>
        <row r="9532">
          <cell r="L9532" t="str">
            <v>74204860</v>
          </cell>
        </row>
        <row r="9533">
          <cell r="L9533" t="str">
            <v>74205085</v>
          </cell>
        </row>
        <row r="9534">
          <cell r="L9534" t="str">
            <v>74211604</v>
          </cell>
        </row>
        <row r="9535">
          <cell r="L9535" t="str">
            <v>74217883</v>
          </cell>
        </row>
        <row r="9536">
          <cell r="L9536" t="str">
            <v>74225065</v>
          </cell>
        </row>
        <row r="9537">
          <cell r="L9537" t="str">
            <v>74251585</v>
          </cell>
        </row>
        <row r="9538">
          <cell r="L9538" t="str">
            <v>74254921</v>
          </cell>
        </row>
        <row r="9539">
          <cell r="L9539" t="str">
            <v>74285525</v>
          </cell>
        </row>
        <row r="9540">
          <cell r="L9540" t="str">
            <v>74297519</v>
          </cell>
        </row>
        <row r="9541">
          <cell r="L9541" t="str">
            <v>74297623</v>
          </cell>
        </row>
        <row r="9542">
          <cell r="L9542" t="str">
            <v>74310199</v>
          </cell>
        </row>
        <row r="9543">
          <cell r="L9543" t="str">
            <v>74009585</v>
          </cell>
        </row>
        <row r="9544">
          <cell r="L9544" t="str">
            <v>74099239</v>
          </cell>
        </row>
        <row r="9545">
          <cell r="L9545" t="str">
            <v>74120549</v>
          </cell>
        </row>
        <row r="9546">
          <cell r="L9546" t="str">
            <v>74160968</v>
          </cell>
        </row>
        <row r="9547">
          <cell r="L9547" t="str">
            <v>74165537</v>
          </cell>
        </row>
        <row r="9548">
          <cell r="L9548" t="str">
            <v>74173380</v>
          </cell>
        </row>
        <row r="9549">
          <cell r="L9549" t="str">
            <v>74178228</v>
          </cell>
        </row>
        <row r="9550">
          <cell r="L9550" t="str">
            <v>74189994</v>
          </cell>
        </row>
        <row r="9551">
          <cell r="L9551" t="str">
            <v>74202446</v>
          </cell>
        </row>
        <row r="9552">
          <cell r="L9552" t="str">
            <v>74208426</v>
          </cell>
        </row>
        <row r="9553">
          <cell r="L9553" t="str">
            <v>74209109</v>
          </cell>
        </row>
        <row r="9554">
          <cell r="L9554" t="str">
            <v>74219099</v>
          </cell>
        </row>
        <row r="9555">
          <cell r="L9555" t="str">
            <v>74221039</v>
          </cell>
        </row>
        <row r="9556">
          <cell r="L9556" t="str">
            <v>74223501</v>
          </cell>
        </row>
        <row r="9557">
          <cell r="L9557" t="str">
            <v>74223600</v>
          </cell>
        </row>
        <row r="9558">
          <cell r="L9558" t="str">
            <v>74250559</v>
          </cell>
        </row>
        <row r="9559">
          <cell r="L9559" t="str">
            <v>74261499</v>
          </cell>
        </row>
        <row r="9560">
          <cell r="L9560" t="str">
            <v>74266983</v>
          </cell>
        </row>
        <row r="9561">
          <cell r="L9561" t="str">
            <v>74273002</v>
          </cell>
        </row>
        <row r="9562">
          <cell r="L9562" t="str">
            <v>74276920</v>
          </cell>
        </row>
        <row r="9563">
          <cell r="L9563" t="str">
            <v>74285702</v>
          </cell>
        </row>
        <row r="9564">
          <cell r="L9564" t="str">
            <v>74286025</v>
          </cell>
        </row>
        <row r="9565">
          <cell r="L9565" t="str">
            <v>74291539</v>
          </cell>
        </row>
        <row r="9566">
          <cell r="L9566" t="str">
            <v>74298102</v>
          </cell>
        </row>
        <row r="9567">
          <cell r="L9567" t="str">
            <v>74079172</v>
          </cell>
        </row>
        <row r="9568">
          <cell r="L9568" t="str">
            <v>74084932</v>
          </cell>
        </row>
        <row r="9569">
          <cell r="L9569" t="str">
            <v>74162349</v>
          </cell>
        </row>
        <row r="9570">
          <cell r="L9570" t="str">
            <v>74213861</v>
          </cell>
        </row>
        <row r="9571">
          <cell r="L9571" t="str">
            <v>74219645</v>
          </cell>
        </row>
        <row r="9572">
          <cell r="L9572" t="str">
            <v>74228281</v>
          </cell>
        </row>
        <row r="9573">
          <cell r="L9573" t="str">
            <v>74228801</v>
          </cell>
        </row>
        <row r="9574">
          <cell r="L9574" t="str">
            <v>74232364</v>
          </cell>
        </row>
        <row r="9575">
          <cell r="L9575" t="str">
            <v>74235264</v>
          </cell>
        </row>
        <row r="9576">
          <cell r="L9576" t="str">
            <v>74235293</v>
          </cell>
        </row>
        <row r="9577">
          <cell r="L9577" t="str">
            <v>74238845</v>
          </cell>
        </row>
        <row r="9578">
          <cell r="L9578" t="str">
            <v>74240239</v>
          </cell>
        </row>
        <row r="9579">
          <cell r="L9579" t="str">
            <v>74240763</v>
          </cell>
        </row>
        <row r="9580">
          <cell r="L9580" t="str">
            <v>74243300</v>
          </cell>
        </row>
        <row r="9581">
          <cell r="L9581" t="str">
            <v>74246568</v>
          </cell>
        </row>
        <row r="9582">
          <cell r="L9582" t="str">
            <v>74249580</v>
          </cell>
        </row>
        <row r="9583">
          <cell r="L9583" t="str">
            <v>74258908</v>
          </cell>
        </row>
        <row r="9584">
          <cell r="L9584" t="str">
            <v>74268600</v>
          </cell>
        </row>
        <row r="9585">
          <cell r="L9585" t="str">
            <v>74273009</v>
          </cell>
        </row>
        <row r="9586">
          <cell r="L9586" t="str">
            <v>74273011</v>
          </cell>
        </row>
        <row r="9587">
          <cell r="L9587" t="str">
            <v>74273419</v>
          </cell>
        </row>
        <row r="9588">
          <cell r="L9588" t="str">
            <v>74306101</v>
          </cell>
        </row>
        <row r="9589">
          <cell r="L9589" t="str">
            <v>74176568</v>
          </cell>
        </row>
        <row r="9590">
          <cell r="L9590" t="str">
            <v>74295266</v>
          </cell>
        </row>
        <row r="9591">
          <cell r="L9591" t="str">
            <v>74220779</v>
          </cell>
        </row>
        <row r="9592">
          <cell r="L9592" t="str">
            <v>74233702</v>
          </cell>
        </row>
        <row r="9593">
          <cell r="L9593" t="str">
            <v>74239300</v>
          </cell>
        </row>
        <row r="9594">
          <cell r="L9594" t="str">
            <v>74247722</v>
          </cell>
        </row>
        <row r="9595">
          <cell r="L9595" t="str">
            <v>74262021</v>
          </cell>
        </row>
        <row r="9596">
          <cell r="L9596" t="str">
            <v>74263319</v>
          </cell>
        </row>
        <row r="9597">
          <cell r="L9597" t="str">
            <v>74263321</v>
          </cell>
        </row>
        <row r="9598">
          <cell r="L9598" t="str">
            <v>74278620</v>
          </cell>
        </row>
        <row r="9599">
          <cell r="L9599" t="str">
            <v>74280320</v>
          </cell>
        </row>
        <row r="9600">
          <cell r="L9600" t="str">
            <v>74299803</v>
          </cell>
        </row>
        <row r="9601">
          <cell r="L9601" t="str">
            <v>74302699</v>
          </cell>
        </row>
        <row r="9602">
          <cell r="L9602" t="str">
            <v>74302701</v>
          </cell>
        </row>
        <row r="9603">
          <cell r="L9603" t="str">
            <v>74308166</v>
          </cell>
        </row>
        <row r="9604">
          <cell r="L9604" t="str">
            <v>74310580</v>
          </cell>
        </row>
        <row r="9605">
          <cell r="L9605" t="str">
            <v>74191153</v>
          </cell>
        </row>
        <row r="9606">
          <cell r="L9606" t="str">
            <v>74231369</v>
          </cell>
        </row>
        <row r="9607">
          <cell r="L9607" t="str">
            <v>74233703</v>
          </cell>
        </row>
        <row r="9608">
          <cell r="L9608" t="str">
            <v>74267381</v>
          </cell>
        </row>
        <row r="9609">
          <cell r="L9609" t="str">
            <v>74273019</v>
          </cell>
        </row>
        <row r="9610">
          <cell r="L9610" t="str">
            <v>74274667</v>
          </cell>
        </row>
        <row r="9611">
          <cell r="L9611" t="str">
            <v>74274985</v>
          </cell>
        </row>
        <row r="9612">
          <cell r="L9612" t="str">
            <v>74277665</v>
          </cell>
        </row>
        <row r="9613">
          <cell r="L9613" t="str">
            <v>74292543</v>
          </cell>
        </row>
        <row r="9614">
          <cell r="L9614" t="str">
            <v>74154888</v>
          </cell>
        </row>
        <row r="9615">
          <cell r="L9615" t="str">
            <v>74176389</v>
          </cell>
        </row>
        <row r="9616">
          <cell r="L9616" t="str">
            <v>74176768</v>
          </cell>
        </row>
        <row r="9617">
          <cell r="L9617" t="str">
            <v>74187889</v>
          </cell>
        </row>
        <row r="9618">
          <cell r="L9618" t="str">
            <v>74191309</v>
          </cell>
        </row>
        <row r="9619">
          <cell r="L9619" t="str">
            <v>74194241</v>
          </cell>
        </row>
        <row r="9620">
          <cell r="L9620" t="str">
            <v>74194960</v>
          </cell>
        </row>
        <row r="9621">
          <cell r="L9621" t="str">
            <v>74203046</v>
          </cell>
        </row>
        <row r="9622">
          <cell r="L9622" t="str">
            <v>74203361</v>
          </cell>
        </row>
        <row r="9623">
          <cell r="L9623" t="str">
            <v>74209521</v>
          </cell>
        </row>
        <row r="9624">
          <cell r="L9624" t="str">
            <v>74210011</v>
          </cell>
        </row>
        <row r="9625">
          <cell r="L9625" t="str">
            <v>74210013</v>
          </cell>
        </row>
        <row r="9626">
          <cell r="L9626" t="str">
            <v>74214541</v>
          </cell>
        </row>
        <row r="9627">
          <cell r="L9627" t="str">
            <v>74224680</v>
          </cell>
        </row>
        <row r="9628">
          <cell r="L9628" t="str">
            <v>74225062</v>
          </cell>
        </row>
        <row r="9629">
          <cell r="L9629" t="str">
            <v>74228859</v>
          </cell>
        </row>
        <row r="9630">
          <cell r="L9630" t="str">
            <v>74234660</v>
          </cell>
        </row>
        <row r="9631">
          <cell r="L9631" t="str">
            <v>74236294</v>
          </cell>
        </row>
        <row r="9632">
          <cell r="L9632" t="str">
            <v>74238359</v>
          </cell>
        </row>
        <row r="9633">
          <cell r="L9633" t="str">
            <v>74238361</v>
          </cell>
        </row>
        <row r="9634">
          <cell r="L9634" t="str">
            <v>74238548</v>
          </cell>
        </row>
        <row r="9635">
          <cell r="L9635" t="str">
            <v>74243395</v>
          </cell>
        </row>
        <row r="9636">
          <cell r="L9636" t="str">
            <v>74247388</v>
          </cell>
        </row>
        <row r="9637">
          <cell r="L9637" t="str">
            <v>74252022</v>
          </cell>
        </row>
        <row r="9638">
          <cell r="L9638" t="str">
            <v>74253481</v>
          </cell>
        </row>
        <row r="9639">
          <cell r="L9639" t="str">
            <v>74253646</v>
          </cell>
        </row>
        <row r="9640">
          <cell r="L9640" t="str">
            <v>74253819</v>
          </cell>
        </row>
        <row r="9641">
          <cell r="L9641" t="str">
            <v>74253887</v>
          </cell>
        </row>
        <row r="9642">
          <cell r="L9642" t="str">
            <v>74254641</v>
          </cell>
        </row>
        <row r="9643">
          <cell r="L9643" t="str">
            <v>74255459</v>
          </cell>
        </row>
        <row r="9644">
          <cell r="L9644" t="str">
            <v>74255621</v>
          </cell>
        </row>
        <row r="9645">
          <cell r="L9645" t="str">
            <v>74256263</v>
          </cell>
        </row>
        <row r="9646">
          <cell r="L9646" t="str">
            <v>74256619</v>
          </cell>
        </row>
        <row r="9647">
          <cell r="L9647" t="str">
            <v>74264027</v>
          </cell>
        </row>
        <row r="9648">
          <cell r="L9648" t="str">
            <v>74264221</v>
          </cell>
        </row>
        <row r="9649">
          <cell r="L9649" t="str">
            <v>74264559</v>
          </cell>
        </row>
        <row r="9650">
          <cell r="L9650" t="str">
            <v>74265925</v>
          </cell>
        </row>
        <row r="9651">
          <cell r="L9651" t="str">
            <v>74266484</v>
          </cell>
        </row>
        <row r="9652">
          <cell r="L9652" t="str">
            <v>74268922</v>
          </cell>
        </row>
        <row r="9653">
          <cell r="L9653" t="str">
            <v>74269959</v>
          </cell>
        </row>
        <row r="9654">
          <cell r="L9654" t="str">
            <v>74271140</v>
          </cell>
        </row>
        <row r="9655">
          <cell r="L9655" t="str">
            <v>74272589</v>
          </cell>
        </row>
        <row r="9656">
          <cell r="L9656" t="str">
            <v>74272939</v>
          </cell>
        </row>
        <row r="9657">
          <cell r="L9657" t="str">
            <v>74274267</v>
          </cell>
        </row>
        <row r="9658">
          <cell r="L9658" t="str">
            <v>74275481</v>
          </cell>
        </row>
        <row r="9659">
          <cell r="L9659" t="str">
            <v>74275523</v>
          </cell>
        </row>
        <row r="9660">
          <cell r="L9660" t="str">
            <v>74275959</v>
          </cell>
        </row>
        <row r="9661">
          <cell r="L9661" t="str">
            <v>74276244</v>
          </cell>
        </row>
        <row r="9662">
          <cell r="L9662" t="str">
            <v>74278119</v>
          </cell>
        </row>
        <row r="9663">
          <cell r="L9663" t="str">
            <v>74281284</v>
          </cell>
        </row>
        <row r="9664">
          <cell r="L9664" t="str">
            <v>74281461</v>
          </cell>
        </row>
        <row r="9665">
          <cell r="L9665" t="str">
            <v>74281766</v>
          </cell>
        </row>
        <row r="9666">
          <cell r="L9666" t="str">
            <v>74282283</v>
          </cell>
        </row>
        <row r="9667">
          <cell r="L9667" t="str">
            <v>74288539</v>
          </cell>
        </row>
        <row r="9668">
          <cell r="L9668" t="str">
            <v>74291028</v>
          </cell>
        </row>
        <row r="9669">
          <cell r="L9669" t="str">
            <v>74291031</v>
          </cell>
        </row>
        <row r="9670">
          <cell r="L9670" t="str">
            <v>74291039</v>
          </cell>
        </row>
        <row r="9671">
          <cell r="L9671" t="str">
            <v>74292099</v>
          </cell>
        </row>
        <row r="9672">
          <cell r="L9672" t="str">
            <v>74293059</v>
          </cell>
        </row>
        <row r="9673">
          <cell r="L9673" t="str">
            <v>74295909</v>
          </cell>
        </row>
        <row r="9674">
          <cell r="L9674" t="str">
            <v>74299560</v>
          </cell>
        </row>
        <row r="9675">
          <cell r="L9675" t="str">
            <v>74299827</v>
          </cell>
        </row>
        <row r="9676">
          <cell r="L9676" t="str">
            <v>74301800</v>
          </cell>
        </row>
        <row r="9677">
          <cell r="L9677" t="str">
            <v>74302566</v>
          </cell>
        </row>
        <row r="9678">
          <cell r="L9678" t="str">
            <v>74309802</v>
          </cell>
        </row>
        <row r="9679">
          <cell r="L9679" t="str">
            <v>74311139</v>
          </cell>
        </row>
        <row r="9680">
          <cell r="L9680" t="str">
            <v>74311604</v>
          </cell>
        </row>
        <row r="9681">
          <cell r="L9681" t="str">
            <v>74311759</v>
          </cell>
        </row>
        <row r="9682">
          <cell r="L9682" t="str">
            <v>74317940</v>
          </cell>
        </row>
        <row r="9683">
          <cell r="L9683" t="str">
            <v>74318123</v>
          </cell>
        </row>
        <row r="9684">
          <cell r="L9684" t="str">
            <v>74318385</v>
          </cell>
        </row>
        <row r="9685">
          <cell r="L9685" t="str">
            <v>74318921</v>
          </cell>
        </row>
        <row r="9686">
          <cell r="L9686" t="str">
            <v>74322401</v>
          </cell>
        </row>
        <row r="9687">
          <cell r="L9687" t="str">
            <v>74041712</v>
          </cell>
        </row>
        <row r="9688">
          <cell r="L9688" t="str">
            <v>74066964</v>
          </cell>
        </row>
        <row r="9689">
          <cell r="L9689" t="str">
            <v>74068273</v>
          </cell>
        </row>
        <row r="9690">
          <cell r="L9690" t="str">
            <v>74073683</v>
          </cell>
        </row>
        <row r="9691">
          <cell r="L9691" t="str">
            <v>74074846</v>
          </cell>
        </row>
        <row r="9692">
          <cell r="L9692" t="str">
            <v>74085023</v>
          </cell>
        </row>
        <row r="9693">
          <cell r="L9693" t="str">
            <v>74106568</v>
          </cell>
        </row>
        <row r="9694">
          <cell r="L9694" t="str">
            <v>74115650</v>
          </cell>
        </row>
        <row r="9695">
          <cell r="L9695" t="str">
            <v>74116415</v>
          </cell>
        </row>
        <row r="9696">
          <cell r="L9696" t="str">
            <v>74120513</v>
          </cell>
        </row>
        <row r="9697">
          <cell r="L9697" t="str">
            <v>74134490</v>
          </cell>
        </row>
        <row r="9698">
          <cell r="L9698" t="str">
            <v>74136552</v>
          </cell>
        </row>
        <row r="9699">
          <cell r="L9699" t="str">
            <v>74137393</v>
          </cell>
        </row>
        <row r="9700">
          <cell r="L9700" t="str">
            <v>74137716</v>
          </cell>
        </row>
        <row r="9701">
          <cell r="L9701" t="str">
            <v>74142908</v>
          </cell>
        </row>
        <row r="9702">
          <cell r="L9702" t="str">
            <v>74146209</v>
          </cell>
        </row>
        <row r="9703">
          <cell r="L9703" t="str">
            <v>74146309</v>
          </cell>
        </row>
        <row r="9704">
          <cell r="L9704" t="str">
            <v>74148451</v>
          </cell>
        </row>
        <row r="9705">
          <cell r="L9705" t="str">
            <v>74151829</v>
          </cell>
        </row>
        <row r="9706">
          <cell r="L9706" t="str">
            <v>74154180</v>
          </cell>
        </row>
        <row r="9707">
          <cell r="L9707" t="str">
            <v>74157108</v>
          </cell>
        </row>
        <row r="9708">
          <cell r="L9708" t="str">
            <v>74162464</v>
          </cell>
        </row>
        <row r="9709">
          <cell r="L9709" t="str">
            <v>74166030</v>
          </cell>
        </row>
        <row r="9710">
          <cell r="L9710" t="str">
            <v>74168933</v>
          </cell>
        </row>
        <row r="9711">
          <cell r="L9711" t="str">
            <v>74172251</v>
          </cell>
        </row>
        <row r="9712">
          <cell r="L9712" t="str">
            <v>74177748</v>
          </cell>
        </row>
        <row r="9713">
          <cell r="L9713" t="str">
            <v>74179390</v>
          </cell>
        </row>
        <row r="9714">
          <cell r="L9714" t="str">
            <v>74181008</v>
          </cell>
        </row>
        <row r="9715">
          <cell r="L9715" t="str">
            <v>74181448</v>
          </cell>
        </row>
        <row r="9716">
          <cell r="L9716" t="str">
            <v>74181888</v>
          </cell>
        </row>
        <row r="9717">
          <cell r="L9717" t="str">
            <v>74184070</v>
          </cell>
        </row>
        <row r="9718">
          <cell r="L9718" t="str">
            <v>74184275</v>
          </cell>
        </row>
        <row r="9719">
          <cell r="L9719" t="str">
            <v>74186731</v>
          </cell>
        </row>
        <row r="9720">
          <cell r="L9720" t="str">
            <v>74187881</v>
          </cell>
        </row>
        <row r="9721">
          <cell r="L9721" t="str">
            <v>74188971</v>
          </cell>
        </row>
        <row r="9722">
          <cell r="L9722" t="str">
            <v>74191012</v>
          </cell>
        </row>
        <row r="9723">
          <cell r="L9723" t="str">
            <v>74191791</v>
          </cell>
        </row>
        <row r="9724">
          <cell r="L9724" t="str">
            <v>74197402</v>
          </cell>
        </row>
        <row r="9725">
          <cell r="L9725" t="str">
            <v>74199422</v>
          </cell>
        </row>
        <row r="9726">
          <cell r="L9726" t="str">
            <v>74199755</v>
          </cell>
        </row>
        <row r="9727">
          <cell r="L9727" t="str">
            <v>74200320</v>
          </cell>
        </row>
        <row r="9728">
          <cell r="L9728" t="str">
            <v>74201219</v>
          </cell>
        </row>
        <row r="9729">
          <cell r="L9729" t="str">
            <v>74202643</v>
          </cell>
        </row>
        <row r="9730">
          <cell r="L9730" t="str">
            <v>74204237</v>
          </cell>
        </row>
        <row r="9731">
          <cell r="L9731" t="str">
            <v>74212520</v>
          </cell>
        </row>
        <row r="9732">
          <cell r="L9732" t="str">
            <v>74212545</v>
          </cell>
        </row>
        <row r="9733">
          <cell r="L9733" t="str">
            <v>74213589</v>
          </cell>
        </row>
        <row r="9734">
          <cell r="L9734" t="str">
            <v>74213692</v>
          </cell>
        </row>
        <row r="9735">
          <cell r="L9735" t="str">
            <v>74213763</v>
          </cell>
        </row>
        <row r="9736">
          <cell r="L9736" t="str">
            <v>74215319</v>
          </cell>
        </row>
        <row r="9737">
          <cell r="L9737" t="str">
            <v>74216300</v>
          </cell>
        </row>
        <row r="9738">
          <cell r="L9738" t="str">
            <v>74216301</v>
          </cell>
        </row>
        <row r="9739">
          <cell r="L9739" t="str">
            <v>74218384</v>
          </cell>
        </row>
        <row r="9740">
          <cell r="L9740" t="str">
            <v>74221059</v>
          </cell>
        </row>
        <row r="9741">
          <cell r="L9741" t="str">
            <v>74224005</v>
          </cell>
        </row>
        <row r="9742">
          <cell r="L9742" t="str">
            <v>74227702</v>
          </cell>
        </row>
        <row r="9743">
          <cell r="L9743" t="str">
            <v>74227881</v>
          </cell>
        </row>
        <row r="9744">
          <cell r="L9744" t="str">
            <v>74227981</v>
          </cell>
        </row>
        <row r="9745">
          <cell r="L9745" t="str">
            <v>74231680</v>
          </cell>
        </row>
        <row r="9746">
          <cell r="L9746" t="str">
            <v>74243181</v>
          </cell>
        </row>
        <row r="9747">
          <cell r="L9747" t="str">
            <v>74245404</v>
          </cell>
        </row>
        <row r="9748">
          <cell r="L9748" t="str">
            <v>74290663</v>
          </cell>
        </row>
        <row r="9749">
          <cell r="L9749" t="str">
            <v>74291033</v>
          </cell>
        </row>
        <row r="9750">
          <cell r="L9750" t="str">
            <v>74158529</v>
          </cell>
        </row>
        <row r="9751">
          <cell r="L9751" t="str">
            <v>74170739</v>
          </cell>
        </row>
        <row r="9752">
          <cell r="L9752" t="str">
            <v>74180811</v>
          </cell>
        </row>
        <row r="9753">
          <cell r="L9753" t="str">
            <v>74093226</v>
          </cell>
        </row>
        <row r="9754">
          <cell r="L9754" t="str">
            <v>74116135</v>
          </cell>
        </row>
        <row r="9755">
          <cell r="L9755" t="str">
            <v>74137289</v>
          </cell>
        </row>
        <row r="9756">
          <cell r="L9756" t="str">
            <v>74146398</v>
          </cell>
        </row>
        <row r="9757">
          <cell r="L9757" t="str">
            <v>74147870</v>
          </cell>
        </row>
        <row r="9758">
          <cell r="L9758" t="str">
            <v>74147930</v>
          </cell>
        </row>
        <row r="9759">
          <cell r="L9759" t="str">
            <v>74180389</v>
          </cell>
        </row>
        <row r="9760">
          <cell r="L9760" t="str">
            <v>74182875</v>
          </cell>
        </row>
        <row r="9761">
          <cell r="L9761" t="str">
            <v>74183108</v>
          </cell>
        </row>
        <row r="9762">
          <cell r="L9762" t="str">
            <v>74183608</v>
          </cell>
        </row>
        <row r="9763">
          <cell r="L9763" t="str">
            <v>74193251</v>
          </cell>
        </row>
        <row r="9764">
          <cell r="L9764" t="str">
            <v>74196099</v>
          </cell>
        </row>
        <row r="9765">
          <cell r="L9765" t="str">
            <v>74197285</v>
          </cell>
        </row>
        <row r="9766">
          <cell r="L9766" t="str">
            <v>74200461</v>
          </cell>
        </row>
        <row r="9767">
          <cell r="L9767" t="str">
            <v>74210014</v>
          </cell>
        </row>
        <row r="9768">
          <cell r="L9768" t="str">
            <v>74212122</v>
          </cell>
        </row>
        <row r="9769">
          <cell r="L9769" t="str">
            <v>74213599</v>
          </cell>
        </row>
        <row r="9770">
          <cell r="L9770" t="str">
            <v>74226482</v>
          </cell>
        </row>
        <row r="9771">
          <cell r="L9771" t="str">
            <v>74227519</v>
          </cell>
        </row>
        <row r="9772">
          <cell r="L9772" t="str">
            <v>74228561</v>
          </cell>
        </row>
        <row r="9773">
          <cell r="L9773" t="str">
            <v>74228999</v>
          </cell>
        </row>
        <row r="9774">
          <cell r="L9774" t="str">
            <v>74236879</v>
          </cell>
        </row>
        <row r="9775">
          <cell r="L9775" t="str">
            <v>74256259</v>
          </cell>
        </row>
        <row r="9776">
          <cell r="L9776" t="str">
            <v>74256700</v>
          </cell>
        </row>
        <row r="9777">
          <cell r="L9777" t="str">
            <v>74259219</v>
          </cell>
        </row>
        <row r="9778">
          <cell r="L9778" t="str">
            <v>74260119</v>
          </cell>
        </row>
        <row r="9779">
          <cell r="L9779" t="str">
            <v>74260640</v>
          </cell>
        </row>
        <row r="9780">
          <cell r="L9780" t="str">
            <v>74264119</v>
          </cell>
        </row>
        <row r="9781">
          <cell r="L9781" t="str">
            <v>74271639</v>
          </cell>
        </row>
        <row r="9782">
          <cell r="L9782" t="str">
            <v>74272600</v>
          </cell>
        </row>
        <row r="9783">
          <cell r="L9783" t="str">
            <v>74276917</v>
          </cell>
        </row>
        <row r="9784">
          <cell r="L9784" t="str">
            <v>74276965</v>
          </cell>
        </row>
        <row r="9785">
          <cell r="L9785" t="str">
            <v>74278664</v>
          </cell>
        </row>
        <row r="9786">
          <cell r="L9786" t="str">
            <v>74278759</v>
          </cell>
        </row>
        <row r="9787">
          <cell r="L9787" t="str">
            <v>74279580</v>
          </cell>
        </row>
        <row r="9788">
          <cell r="L9788" t="str">
            <v>74281923</v>
          </cell>
        </row>
        <row r="9789">
          <cell r="L9789" t="str">
            <v>74283622</v>
          </cell>
        </row>
        <row r="9790">
          <cell r="L9790" t="str">
            <v>74284942</v>
          </cell>
        </row>
        <row r="9791">
          <cell r="L9791" t="str">
            <v>74286344</v>
          </cell>
        </row>
        <row r="9792">
          <cell r="L9792" t="str">
            <v>74288360</v>
          </cell>
        </row>
        <row r="9793">
          <cell r="L9793" t="str">
            <v>74288583</v>
          </cell>
        </row>
        <row r="9794">
          <cell r="L9794" t="str">
            <v>74291027</v>
          </cell>
        </row>
        <row r="9795">
          <cell r="L9795" t="str">
            <v>74292479</v>
          </cell>
        </row>
        <row r="9796">
          <cell r="L9796" t="str">
            <v>74296102</v>
          </cell>
        </row>
        <row r="9797">
          <cell r="L9797" t="str">
            <v>74296581</v>
          </cell>
        </row>
        <row r="9798">
          <cell r="L9798" t="str">
            <v>74296643</v>
          </cell>
        </row>
        <row r="9799">
          <cell r="L9799" t="str">
            <v>74298025</v>
          </cell>
        </row>
        <row r="9800">
          <cell r="L9800" t="str">
            <v>74298421</v>
          </cell>
        </row>
        <row r="9801">
          <cell r="L9801" t="str">
            <v>74301821</v>
          </cell>
        </row>
        <row r="9802">
          <cell r="L9802" t="str">
            <v>74304063</v>
          </cell>
        </row>
        <row r="9803">
          <cell r="L9803" t="str">
            <v>74307079</v>
          </cell>
        </row>
        <row r="9804">
          <cell r="L9804" t="str">
            <v>74186169</v>
          </cell>
        </row>
        <row r="9805">
          <cell r="L9805" t="str">
            <v>74153849</v>
          </cell>
        </row>
        <row r="9806">
          <cell r="L9806" t="str">
            <v>74228362</v>
          </cell>
        </row>
        <row r="9807">
          <cell r="L9807" t="str">
            <v>74314800</v>
          </cell>
        </row>
        <row r="9808">
          <cell r="L9808" t="str">
            <v>74228322</v>
          </cell>
        </row>
        <row r="9809">
          <cell r="L9809" t="str">
            <v>74274294</v>
          </cell>
        </row>
        <row r="9810">
          <cell r="L9810" t="str">
            <v>74073565</v>
          </cell>
        </row>
        <row r="9811">
          <cell r="L9811" t="str">
            <v>74134342</v>
          </cell>
        </row>
        <row r="9812">
          <cell r="L9812" t="str">
            <v>74150378</v>
          </cell>
        </row>
        <row r="9813">
          <cell r="L9813" t="str">
            <v>74085206</v>
          </cell>
        </row>
        <row r="9814">
          <cell r="L9814" t="str">
            <v>74147414</v>
          </cell>
        </row>
        <row r="9815">
          <cell r="L9815" t="str">
            <v>74177032</v>
          </cell>
        </row>
        <row r="9816">
          <cell r="L9816" t="str">
            <v>74220922</v>
          </cell>
        </row>
        <row r="9817">
          <cell r="L9817" t="str">
            <v>74232268</v>
          </cell>
        </row>
        <row r="9818">
          <cell r="L9818" t="str">
            <v>74101308</v>
          </cell>
        </row>
        <row r="9819">
          <cell r="L9819" t="str">
            <v>74158768</v>
          </cell>
        </row>
        <row r="9820">
          <cell r="L9820" t="str">
            <v>74160129</v>
          </cell>
        </row>
        <row r="9821">
          <cell r="L9821" t="str">
            <v>74123295</v>
          </cell>
        </row>
        <row r="9822">
          <cell r="L9822" t="str">
            <v>74071626</v>
          </cell>
        </row>
        <row r="9823">
          <cell r="L9823" t="str">
            <v>74147520</v>
          </cell>
        </row>
        <row r="9824">
          <cell r="L9824" t="str">
            <v>74202159</v>
          </cell>
        </row>
        <row r="9825">
          <cell r="L9825" t="str">
            <v>74204046</v>
          </cell>
        </row>
        <row r="9826">
          <cell r="L9826" t="str">
            <v>74204057</v>
          </cell>
        </row>
        <row r="9827">
          <cell r="L9827" t="str">
            <v>74206021</v>
          </cell>
        </row>
        <row r="9828">
          <cell r="L9828" t="str">
            <v>74207403</v>
          </cell>
        </row>
        <row r="9829">
          <cell r="L9829" t="str">
            <v>74214134</v>
          </cell>
        </row>
        <row r="9830">
          <cell r="L9830" t="str">
            <v>74218842</v>
          </cell>
        </row>
        <row r="9831">
          <cell r="L9831" t="str">
            <v>74220402</v>
          </cell>
        </row>
        <row r="9832">
          <cell r="L9832" t="str">
            <v>74232519</v>
          </cell>
        </row>
        <row r="9833">
          <cell r="L9833" t="str">
            <v>74236939</v>
          </cell>
        </row>
        <row r="9834">
          <cell r="L9834" t="str">
            <v>74238325</v>
          </cell>
        </row>
        <row r="9835">
          <cell r="L9835" t="str">
            <v>74238979</v>
          </cell>
        </row>
        <row r="9836">
          <cell r="L9836" t="str">
            <v>74241562</v>
          </cell>
        </row>
        <row r="9837">
          <cell r="L9837" t="str">
            <v>74244219</v>
          </cell>
        </row>
        <row r="9838">
          <cell r="L9838" t="str">
            <v>74244701</v>
          </cell>
        </row>
        <row r="9839">
          <cell r="L9839" t="str">
            <v>74247975</v>
          </cell>
        </row>
        <row r="9840">
          <cell r="L9840" t="str">
            <v>74249199</v>
          </cell>
        </row>
        <row r="9841">
          <cell r="L9841" t="str">
            <v>74251307</v>
          </cell>
        </row>
        <row r="9842">
          <cell r="L9842" t="str">
            <v>74253672</v>
          </cell>
        </row>
        <row r="9843">
          <cell r="L9843" t="str">
            <v>74253805</v>
          </cell>
        </row>
        <row r="9844">
          <cell r="L9844" t="str">
            <v>74255128</v>
          </cell>
        </row>
        <row r="9845">
          <cell r="L9845" t="str">
            <v>74256202</v>
          </cell>
        </row>
        <row r="9846">
          <cell r="L9846" t="str">
            <v>74261419</v>
          </cell>
        </row>
        <row r="9847">
          <cell r="L9847" t="str">
            <v>74270641</v>
          </cell>
        </row>
        <row r="9848">
          <cell r="L9848" t="str">
            <v>74273041</v>
          </cell>
        </row>
        <row r="9849">
          <cell r="L9849" t="str">
            <v>74273201</v>
          </cell>
        </row>
        <row r="9850">
          <cell r="L9850" t="str">
            <v>74273229</v>
          </cell>
        </row>
        <row r="9851">
          <cell r="L9851" t="str">
            <v>74274266</v>
          </cell>
        </row>
        <row r="9852">
          <cell r="L9852" t="str">
            <v>74275200</v>
          </cell>
        </row>
        <row r="9853">
          <cell r="L9853" t="str">
            <v>74279401</v>
          </cell>
        </row>
        <row r="9854">
          <cell r="L9854" t="str">
            <v>74282547</v>
          </cell>
        </row>
        <row r="9855">
          <cell r="L9855" t="str">
            <v>74290446</v>
          </cell>
        </row>
        <row r="9856">
          <cell r="L9856" t="str">
            <v>74291399</v>
          </cell>
        </row>
        <row r="9857">
          <cell r="L9857" t="str">
            <v>74297204</v>
          </cell>
        </row>
        <row r="9858">
          <cell r="L9858" t="str">
            <v>74298378</v>
          </cell>
        </row>
        <row r="9859">
          <cell r="L9859" t="str">
            <v>74300490</v>
          </cell>
        </row>
        <row r="9860">
          <cell r="L9860" t="str">
            <v>74291666</v>
          </cell>
        </row>
        <row r="9861">
          <cell r="L9861" t="str">
            <v>74297290</v>
          </cell>
        </row>
        <row r="9862">
          <cell r="L9862" t="str">
            <v>74297566</v>
          </cell>
        </row>
        <row r="9863">
          <cell r="L9863" t="str">
            <v>74300489</v>
          </cell>
        </row>
        <row r="9864">
          <cell r="L9864" t="str">
            <v>74302080</v>
          </cell>
        </row>
        <row r="9865">
          <cell r="L9865" t="str">
            <v>74304322</v>
          </cell>
        </row>
        <row r="9866">
          <cell r="L9866" t="str">
            <v>74305259</v>
          </cell>
        </row>
        <row r="9867">
          <cell r="L9867" t="str">
            <v>74299899</v>
          </cell>
        </row>
        <row r="9868">
          <cell r="L9868" t="str">
            <v>74115738</v>
          </cell>
        </row>
        <row r="9869">
          <cell r="L9869" t="str">
            <v>74149973</v>
          </cell>
        </row>
        <row r="9870">
          <cell r="L9870" t="str">
            <v>74157549</v>
          </cell>
        </row>
        <row r="9871">
          <cell r="L9871" t="str">
            <v>74195940</v>
          </cell>
        </row>
        <row r="9872">
          <cell r="L9872" t="str">
            <v>74200404</v>
          </cell>
        </row>
        <row r="9873">
          <cell r="L9873" t="str">
            <v>74202189</v>
          </cell>
        </row>
        <row r="9874">
          <cell r="L9874" t="str">
            <v>74202582</v>
          </cell>
        </row>
        <row r="9875">
          <cell r="L9875" t="str">
            <v>74214259</v>
          </cell>
        </row>
        <row r="9876">
          <cell r="L9876" t="str">
            <v>74225761</v>
          </cell>
        </row>
        <row r="9877">
          <cell r="L9877" t="str">
            <v>74234283</v>
          </cell>
        </row>
        <row r="9878">
          <cell r="L9878" t="str">
            <v>74290448</v>
          </cell>
        </row>
        <row r="9879">
          <cell r="L9879" t="str">
            <v>74293430</v>
          </cell>
        </row>
        <row r="9880">
          <cell r="L9880" t="str">
            <v>74306479</v>
          </cell>
        </row>
        <row r="9881">
          <cell r="L9881" t="str">
            <v>74314220</v>
          </cell>
        </row>
        <row r="9882">
          <cell r="L9882" t="str">
            <v>74064443</v>
          </cell>
        </row>
        <row r="9883">
          <cell r="L9883" t="str">
            <v>74135482</v>
          </cell>
        </row>
        <row r="9884">
          <cell r="L9884" t="str">
            <v>74173949</v>
          </cell>
        </row>
        <row r="9885">
          <cell r="L9885" t="str">
            <v>74193226</v>
          </cell>
        </row>
        <row r="9886">
          <cell r="L9886" t="str">
            <v>74200943</v>
          </cell>
        </row>
        <row r="9887">
          <cell r="L9887" t="str">
            <v>74207661</v>
          </cell>
        </row>
        <row r="9888">
          <cell r="L9888" t="str">
            <v>74211841</v>
          </cell>
        </row>
        <row r="9889">
          <cell r="L9889" t="str">
            <v>74225940</v>
          </cell>
        </row>
        <row r="9890">
          <cell r="L9890" t="str">
            <v>74227659</v>
          </cell>
        </row>
        <row r="9891">
          <cell r="L9891" t="str">
            <v>74239759</v>
          </cell>
        </row>
        <row r="9892">
          <cell r="L9892" t="str">
            <v>74253540</v>
          </cell>
        </row>
        <row r="9893">
          <cell r="L9893" t="str">
            <v>74267259</v>
          </cell>
        </row>
        <row r="9894">
          <cell r="L9894" t="str">
            <v>74273899</v>
          </cell>
        </row>
        <row r="9895">
          <cell r="L9895" t="str">
            <v>74294599</v>
          </cell>
        </row>
        <row r="9896">
          <cell r="L9896" t="str">
            <v>74043564</v>
          </cell>
        </row>
        <row r="9897">
          <cell r="L9897" t="str">
            <v>74106228</v>
          </cell>
        </row>
        <row r="9898">
          <cell r="L9898" t="str">
            <v>74201715</v>
          </cell>
        </row>
        <row r="9899">
          <cell r="L9899" t="str">
            <v>74210894</v>
          </cell>
        </row>
        <row r="9900">
          <cell r="L9900" t="str">
            <v>74213385</v>
          </cell>
        </row>
        <row r="9901">
          <cell r="L9901" t="str">
            <v>74215442</v>
          </cell>
        </row>
        <row r="9902">
          <cell r="L9902" t="str">
            <v>74235081</v>
          </cell>
        </row>
        <row r="9903">
          <cell r="L9903" t="str">
            <v>74237559</v>
          </cell>
        </row>
        <row r="9904">
          <cell r="L9904" t="str">
            <v>74242801</v>
          </cell>
        </row>
        <row r="9905">
          <cell r="L9905" t="str">
            <v>74245719</v>
          </cell>
        </row>
        <row r="9906">
          <cell r="L9906" t="str">
            <v>74253122</v>
          </cell>
        </row>
        <row r="9907">
          <cell r="L9907" t="str">
            <v>74255129</v>
          </cell>
        </row>
        <row r="9908">
          <cell r="L9908" t="str">
            <v>74257159</v>
          </cell>
        </row>
        <row r="9909">
          <cell r="L9909" t="str">
            <v>74259447</v>
          </cell>
        </row>
        <row r="9910">
          <cell r="L9910" t="str">
            <v>74260025</v>
          </cell>
        </row>
        <row r="9911">
          <cell r="L9911" t="str">
            <v>74263859</v>
          </cell>
        </row>
        <row r="9912">
          <cell r="L9912" t="str">
            <v>74271401</v>
          </cell>
        </row>
        <row r="9913">
          <cell r="L9913" t="str">
            <v>74271842</v>
          </cell>
        </row>
        <row r="9914">
          <cell r="L9914" t="str">
            <v>74278912</v>
          </cell>
        </row>
        <row r="9915">
          <cell r="L9915" t="str">
            <v>74279560</v>
          </cell>
        </row>
        <row r="9916">
          <cell r="L9916" t="str">
            <v>74280808</v>
          </cell>
        </row>
        <row r="9917">
          <cell r="L9917" t="str">
            <v>74284116</v>
          </cell>
        </row>
        <row r="9918">
          <cell r="L9918" t="str">
            <v>74284118</v>
          </cell>
        </row>
        <row r="9919">
          <cell r="L9919" t="str">
            <v>74284519</v>
          </cell>
        </row>
        <row r="9920">
          <cell r="L9920" t="str">
            <v>74284862</v>
          </cell>
        </row>
        <row r="9921">
          <cell r="L9921" t="str">
            <v>74286321</v>
          </cell>
        </row>
        <row r="9922">
          <cell r="L9922" t="str">
            <v>74288601</v>
          </cell>
        </row>
        <row r="9923">
          <cell r="L9923" t="str">
            <v>74289243</v>
          </cell>
        </row>
        <row r="9924">
          <cell r="L9924" t="str">
            <v>74295542</v>
          </cell>
        </row>
        <row r="9925">
          <cell r="L9925" t="str">
            <v>74306573</v>
          </cell>
        </row>
        <row r="9926">
          <cell r="L9926" t="str">
            <v>74307260</v>
          </cell>
        </row>
        <row r="9927">
          <cell r="L9927" t="str">
            <v>74311700</v>
          </cell>
        </row>
        <row r="9928">
          <cell r="L9928" t="str">
            <v>74311710</v>
          </cell>
        </row>
        <row r="9929">
          <cell r="L9929" t="str">
            <v>74313164</v>
          </cell>
        </row>
        <row r="9930">
          <cell r="L9930" t="str">
            <v>74315086</v>
          </cell>
        </row>
        <row r="9931">
          <cell r="L9931" t="str">
            <v>74316210</v>
          </cell>
        </row>
        <row r="9932">
          <cell r="L9932" t="str">
            <v>74320023</v>
          </cell>
        </row>
        <row r="9933">
          <cell r="L9933" t="str">
            <v>74045705</v>
          </cell>
        </row>
        <row r="9934">
          <cell r="L9934" t="str">
            <v>74138112</v>
          </cell>
        </row>
        <row r="9935">
          <cell r="L9935" t="str">
            <v>74173388</v>
          </cell>
        </row>
        <row r="9936">
          <cell r="L9936" t="str">
            <v>74179219</v>
          </cell>
        </row>
        <row r="9937">
          <cell r="L9937" t="str">
            <v>74189288</v>
          </cell>
        </row>
        <row r="9938">
          <cell r="L9938" t="str">
            <v>74194320</v>
          </cell>
        </row>
        <row r="9939">
          <cell r="L9939" t="str">
            <v>74197284</v>
          </cell>
        </row>
        <row r="9940">
          <cell r="L9940" t="str">
            <v>74198360</v>
          </cell>
        </row>
        <row r="9941">
          <cell r="L9941" t="str">
            <v>74219300</v>
          </cell>
        </row>
        <row r="9942">
          <cell r="L9942" t="str">
            <v>74222364</v>
          </cell>
        </row>
        <row r="9943">
          <cell r="L9943" t="str">
            <v>74225400</v>
          </cell>
        </row>
        <row r="9944">
          <cell r="L9944" t="str">
            <v>74225585</v>
          </cell>
        </row>
        <row r="9945">
          <cell r="L9945" t="str">
            <v>74226362</v>
          </cell>
        </row>
        <row r="9946">
          <cell r="L9946" t="str">
            <v>74243106</v>
          </cell>
        </row>
        <row r="9947">
          <cell r="L9947" t="str">
            <v>74244699</v>
          </cell>
        </row>
        <row r="9948">
          <cell r="L9948" t="str">
            <v>74253890</v>
          </cell>
        </row>
        <row r="9949">
          <cell r="L9949" t="str">
            <v>74270728</v>
          </cell>
        </row>
        <row r="9950">
          <cell r="L9950" t="str">
            <v>74273169</v>
          </cell>
        </row>
        <row r="9951">
          <cell r="L9951" t="str">
            <v>74282100</v>
          </cell>
        </row>
        <row r="9952">
          <cell r="L9952" t="str">
            <v>74284623</v>
          </cell>
        </row>
        <row r="9953">
          <cell r="L9953" t="str">
            <v>74290402</v>
          </cell>
        </row>
        <row r="9954">
          <cell r="L9954" t="str">
            <v>74296646</v>
          </cell>
        </row>
        <row r="9955">
          <cell r="L9955" t="str">
            <v>74299847</v>
          </cell>
        </row>
        <row r="9956">
          <cell r="L9956" t="str">
            <v>74305140</v>
          </cell>
        </row>
        <row r="9957">
          <cell r="L9957" t="str">
            <v>74311179</v>
          </cell>
        </row>
        <row r="9958">
          <cell r="L9958" t="str">
            <v>74315264</v>
          </cell>
        </row>
        <row r="9959">
          <cell r="L9959" t="str">
            <v>74066058</v>
          </cell>
        </row>
        <row r="9960">
          <cell r="L9960" t="str">
            <v>74190198</v>
          </cell>
        </row>
        <row r="9961">
          <cell r="L9961" t="str">
            <v>74279652</v>
          </cell>
        </row>
        <row r="9962">
          <cell r="L9962" t="str">
            <v>74298003</v>
          </cell>
        </row>
        <row r="9963">
          <cell r="L9963" t="str">
            <v>74302964</v>
          </cell>
        </row>
        <row r="9964">
          <cell r="L9964" t="str">
            <v>74120089</v>
          </cell>
        </row>
        <row r="9965">
          <cell r="L9965" t="str">
            <v>74157188</v>
          </cell>
        </row>
        <row r="9966">
          <cell r="L9966" t="str">
            <v>74169269</v>
          </cell>
        </row>
        <row r="9967">
          <cell r="L9967" t="str">
            <v>74182109</v>
          </cell>
        </row>
        <row r="9968">
          <cell r="L9968" t="str">
            <v>74184349</v>
          </cell>
        </row>
        <row r="9969">
          <cell r="L9969" t="str">
            <v>74189888</v>
          </cell>
        </row>
        <row r="9970">
          <cell r="L9970" t="str">
            <v>74190912</v>
          </cell>
        </row>
        <row r="9971">
          <cell r="L9971" t="str">
            <v>74219844</v>
          </cell>
        </row>
        <row r="9972">
          <cell r="L9972" t="str">
            <v>74221779</v>
          </cell>
        </row>
        <row r="9973">
          <cell r="L9973" t="str">
            <v>74222373</v>
          </cell>
        </row>
        <row r="9974">
          <cell r="L9974" t="str">
            <v>74222408</v>
          </cell>
        </row>
        <row r="9975">
          <cell r="L9975" t="str">
            <v>74230662</v>
          </cell>
        </row>
        <row r="9976">
          <cell r="L9976" t="str">
            <v>74233139</v>
          </cell>
        </row>
        <row r="9977">
          <cell r="L9977" t="str">
            <v>74233924</v>
          </cell>
        </row>
        <row r="9978">
          <cell r="L9978" t="str">
            <v>74234919</v>
          </cell>
        </row>
        <row r="9979">
          <cell r="L9979" t="str">
            <v>74235278</v>
          </cell>
        </row>
        <row r="9980">
          <cell r="L9980" t="str">
            <v>74240043</v>
          </cell>
        </row>
        <row r="9981">
          <cell r="L9981" t="str">
            <v>74241099</v>
          </cell>
        </row>
        <row r="9982">
          <cell r="L9982" t="str">
            <v>74244643</v>
          </cell>
        </row>
        <row r="9983">
          <cell r="L9983" t="str">
            <v>74245213</v>
          </cell>
        </row>
        <row r="9984">
          <cell r="L9984" t="str">
            <v>74246650</v>
          </cell>
        </row>
        <row r="9985">
          <cell r="L9985" t="str">
            <v>74247392</v>
          </cell>
        </row>
        <row r="9986">
          <cell r="L9986" t="str">
            <v>74247521</v>
          </cell>
        </row>
        <row r="9987">
          <cell r="L9987" t="str">
            <v>74248579</v>
          </cell>
        </row>
        <row r="9988">
          <cell r="L9988" t="str">
            <v>74250082</v>
          </cell>
        </row>
        <row r="9989">
          <cell r="L9989" t="str">
            <v>74250621</v>
          </cell>
        </row>
        <row r="9990">
          <cell r="L9990" t="str">
            <v>74255708</v>
          </cell>
        </row>
        <row r="9991">
          <cell r="L9991" t="str">
            <v>74258201</v>
          </cell>
        </row>
        <row r="9992">
          <cell r="L9992" t="str">
            <v>74260032</v>
          </cell>
        </row>
        <row r="9993">
          <cell r="L9993" t="str">
            <v>74262459</v>
          </cell>
        </row>
        <row r="9994">
          <cell r="L9994" t="str">
            <v>74268480</v>
          </cell>
        </row>
        <row r="9995">
          <cell r="L9995" t="str">
            <v>74270199</v>
          </cell>
        </row>
        <row r="9996">
          <cell r="L9996" t="str">
            <v>74270621</v>
          </cell>
        </row>
        <row r="9997">
          <cell r="L9997" t="str">
            <v>74272759</v>
          </cell>
        </row>
        <row r="9998">
          <cell r="L9998" t="str">
            <v>74274820</v>
          </cell>
        </row>
        <row r="9999">
          <cell r="L9999" t="str">
            <v>74275301</v>
          </cell>
        </row>
        <row r="10000">
          <cell r="L10000" t="str">
            <v>74275901</v>
          </cell>
        </row>
        <row r="10001">
          <cell r="L10001" t="str">
            <v>74276376</v>
          </cell>
        </row>
        <row r="10002">
          <cell r="L10002" t="str">
            <v>74278060</v>
          </cell>
        </row>
        <row r="10003">
          <cell r="L10003" t="str">
            <v>74278905</v>
          </cell>
        </row>
        <row r="10004">
          <cell r="L10004" t="str">
            <v>74280708</v>
          </cell>
        </row>
        <row r="10005">
          <cell r="L10005" t="str">
            <v>74281244</v>
          </cell>
        </row>
        <row r="10006">
          <cell r="L10006" t="str">
            <v>74282005</v>
          </cell>
        </row>
        <row r="10007">
          <cell r="L10007" t="str">
            <v>74284479</v>
          </cell>
        </row>
        <row r="10008">
          <cell r="L10008" t="str">
            <v>74287680</v>
          </cell>
        </row>
        <row r="10009">
          <cell r="L10009" t="str">
            <v>74287887</v>
          </cell>
        </row>
        <row r="10010">
          <cell r="L10010" t="str">
            <v>74288759</v>
          </cell>
        </row>
        <row r="10011">
          <cell r="L10011" t="str">
            <v>74289060</v>
          </cell>
        </row>
        <row r="10012">
          <cell r="L10012" t="str">
            <v>74293039</v>
          </cell>
        </row>
        <row r="10013">
          <cell r="L10013" t="str">
            <v>74293820</v>
          </cell>
        </row>
        <row r="10014">
          <cell r="L10014" t="str">
            <v>74294461</v>
          </cell>
        </row>
        <row r="10015">
          <cell r="L10015" t="str">
            <v>74295099</v>
          </cell>
        </row>
        <row r="10016">
          <cell r="L10016" t="str">
            <v>74298731</v>
          </cell>
        </row>
        <row r="10017">
          <cell r="L10017" t="str">
            <v>74298732</v>
          </cell>
        </row>
        <row r="10018">
          <cell r="L10018" t="str">
            <v>74298879</v>
          </cell>
        </row>
        <row r="10019">
          <cell r="L10019" t="str">
            <v>74300364</v>
          </cell>
        </row>
        <row r="10020">
          <cell r="L10020" t="str">
            <v>74305204</v>
          </cell>
        </row>
        <row r="10021">
          <cell r="L10021" t="str">
            <v>74305242</v>
          </cell>
        </row>
        <row r="10022">
          <cell r="L10022" t="str">
            <v>74306579</v>
          </cell>
        </row>
        <row r="10023">
          <cell r="L10023" t="str">
            <v>74307240</v>
          </cell>
        </row>
        <row r="10024">
          <cell r="L10024" t="str">
            <v>74308840</v>
          </cell>
        </row>
        <row r="10025">
          <cell r="L10025" t="str">
            <v>74310666</v>
          </cell>
        </row>
        <row r="10026">
          <cell r="L10026" t="str">
            <v>74311402</v>
          </cell>
        </row>
        <row r="10027">
          <cell r="L10027" t="str">
            <v>74313566</v>
          </cell>
        </row>
        <row r="10028">
          <cell r="L10028" t="str">
            <v>74314326</v>
          </cell>
        </row>
        <row r="10029">
          <cell r="L10029" t="str">
            <v>74324660</v>
          </cell>
        </row>
        <row r="10030">
          <cell r="L10030" t="str">
            <v>74324804</v>
          </cell>
        </row>
        <row r="10031">
          <cell r="L10031" t="str">
            <v>74064665</v>
          </cell>
        </row>
        <row r="10032">
          <cell r="L10032" t="str">
            <v>74138741</v>
          </cell>
        </row>
        <row r="10033">
          <cell r="L10033" t="str">
            <v>74153309</v>
          </cell>
        </row>
        <row r="10034">
          <cell r="L10034" t="str">
            <v>74161919</v>
          </cell>
        </row>
        <row r="10035">
          <cell r="L10035" t="str">
            <v>74162709</v>
          </cell>
        </row>
        <row r="10036">
          <cell r="L10036" t="str">
            <v>74170808</v>
          </cell>
        </row>
        <row r="10037">
          <cell r="L10037" t="str">
            <v>74192770</v>
          </cell>
        </row>
        <row r="10038">
          <cell r="L10038" t="str">
            <v>74195481</v>
          </cell>
        </row>
        <row r="10039">
          <cell r="L10039" t="str">
            <v>74203798</v>
          </cell>
        </row>
        <row r="10040">
          <cell r="L10040" t="str">
            <v>74204421</v>
          </cell>
        </row>
        <row r="10041">
          <cell r="L10041" t="str">
            <v>74209500</v>
          </cell>
        </row>
        <row r="10042">
          <cell r="L10042" t="str">
            <v>74209823</v>
          </cell>
        </row>
        <row r="10043">
          <cell r="L10043" t="str">
            <v>74213639</v>
          </cell>
        </row>
        <row r="10044">
          <cell r="L10044" t="str">
            <v>74216939</v>
          </cell>
        </row>
        <row r="10045">
          <cell r="L10045" t="str">
            <v>74222419</v>
          </cell>
        </row>
        <row r="10046">
          <cell r="L10046" t="str">
            <v>74223765</v>
          </cell>
        </row>
        <row r="10047">
          <cell r="L10047" t="str">
            <v>74230839</v>
          </cell>
        </row>
        <row r="10048">
          <cell r="L10048" t="str">
            <v>74232362</v>
          </cell>
        </row>
        <row r="10049">
          <cell r="L10049" t="str">
            <v>74241400</v>
          </cell>
        </row>
        <row r="10050">
          <cell r="L10050" t="str">
            <v>74287634</v>
          </cell>
        </row>
        <row r="10051">
          <cell r="L10051" t="str">
            <v>74298377</v>
          </cell>
        </row>
        <row r="10052">
          <cell r="L10052" t="str">
            <v>74288959</v>
          </cell>
        </row>
        <row r="10053">
          <cell r="L10053" t="str">
            <v>74247321</v>
          </cell>
        </row>
        <row r="10054">
          <cell r="L10054" t="str">
            <v>74116512</v>
          </cell>
        </row>
        <row r="10055">
          <cell r="L10055" t="str">
            <v>74162288</v>
          </cell>
        </row>
        <row r="10056">
          <cell r="L10056" t="str">
            <v>74188513</v>
          </cell>
        </row>
        <row r="10057">
          <cell r="L10057" t="str">
            <v>74241422</v>
          </cell>
        </row>
        <row r="10058">
          <cell r="L10058" t="str">
            <v>74245379</v>
          </cell>
        </row>
        <row r="10059">
          <cell r="L10059" t="str">
            <v>74272710</v>
          </cell>
        </row>
        <row r="10060">
          <cell r="L10060" t="str">
            <v>74273939</v>
          </cell>
        </row>
        <row r="10061">
          <cell r="L10061" t="str">
            <v>74278400</v>
          </cell>
        </row>
        <row r="10062">
          <cell r="L10062" t="str">
            <v>74311620</v>
          </cell>
        </row>
        <row r="10063">
          <cell r="L10063" t="str">
            <v>74232363</v>
          </cell>
        </row>
        <row r="10064">
          <cell r="L10064" t="str">
            <v>74130127</v>
          </cell>
        </row>
        <row r="10065">
          <cell r="L10065" t="str">
            <v>74185424</v>
          </cell>
        </row>
        <row r="10066">
          <cell r="L10066" t="str">
            <v>74185610</v>
          </cell>
        </row>
        <row r="10067">
          <cell r="L10067" t="str">
            <v>74194940</v>
          </cell>
        </row>
        <row r="10068">
          <cell r="L10068" t="str">
            <v>74196170</v>
          </cell>
        </row>
        <row r="10069">
          <cell r="L10069" t="str">
            <v>74203127</v>
          </cell>
        </row>
        <row r="10070">
          <cell r="L10070" t="str">
            <v>74209920</v>
          </cell>
        </row>
        <row r="10071">
          <cell r="L10071" t="str">
            <v>74213142</v>
          </cell>
        </row>
        <row r="10072">
          <cell r="L10072" t="str">
            <v>74216524</v>
          </cell>
        </row>
        <row r="10073">
          <cell r="L10073" t="str">
            <v>74218747</v>
          </cell>
        </row>
        <row r="10074">
          <cell r="L10074" t="str">
            <v>74222112</v>
          </cell>
        </row>
        <row r="10075">
          <cell r="L10075" t="str">
            <v>74223262</v>
          </cell>
        </row>
        <row r="10076">
          <cell r="L10076" t="str">
            <v>74224424</v>
          </cell>
        </row>
        <row r="10077">
          <cell r="L10077" t="str">
            <v>74225254</v>
          </cell>
        </row>
        <row r="10078">
          <cell r="L10078" t="str">
            <v>74225255</v>
          </cell>
        </row>
        <row r="10079">
          <cell r="L10079" t="str">
            <v>74225727</v>
          </cell>
        </row>
        <row r="10080">
          <cell r="L10080" t="str">
            <v>74233045</v>
          </cell>
        </row>
        <row r="10081">
          <cell r="L10081" t="str">
            <v>74235502</v>
          </cell>
        </row>
        <row r="10082">
          <cell r="L10082" t="str">
            <v>74235979</v>
          </cell>
        </row>
        <row r="10083">
          <cell r="L10083" t="str">
            <v>74240453</v>
          </cell>
        </row>
        <row r="10084">
          <cell r="L10084" t="str">
            <v>74240609</v>
          </cell>
        </row>
        <row r="10085">
          <cell r="L10085" t="str">
            <v>74243860</v>
          </cell>
        </row>
        <row r="10086">
          <cell r="L10086" t="str">
            <v>74245623</v>
          </cell>
        </row>
        <row r="10087">
          <cell r="L10087" t="str">
            <v>74248220</v>
          </cell>
        </row>
        <row r="10088">
          <cell r="L10088" t="str">
            <v>74249029</v>
          </cell>
        </row>
        <row r="10089">
          <cell r="L10089" t="str">
            <v>74249490</v>
          </cell>
        </row>
        <row r="10090">
          <cell r="L10090" t="str">
            <v>74251814</v>
          </cell>
        </row>
        <row r="10091">
          <cell r="L10091" t="str">
            <v>74252679</v>
          </cell>
        </row>
        <row r="10092">
          <cell r="L10092" t="str">
            <v>74252785</v>
          </cell>
        </row>
        <row r="10093">
          <cell r="L10093" t="str">
            <v>74253161</v>
          </cell>
        </row>
        <row r="10094">
          <cell r="L10094" t="str">
            <v>74253669</v>
          </cell>
        </row>
        <row r="10095">
          <cell r="L10095" t="str">
            <v>74255201</v>
          </cell>
        </row>
        <row r="10096">
          <cell r="L10096" t="str">
            <v>74255320</v>
          </cell>
        </row>
        <row r="10097">
          <cell r="L10097" t="str">
            <v>74257043</v>
          </cell>
        </row>
        <row r="10098">
          <cell r="L10098" t="str">
            <v>74258319</v>
          </cell>
        </row>
        <row r="10099">
          <cell r="L10099" t="str">
            <v>74259107</v>
          </cell>
        </row>
        <row r="10100">
          <cell r="L10100" t="str">
            <v>74259222</v>
          </cell>
        </row>
        <row r="10101">
          <cell r="L10101" t="str">
            <v>74259719</v>
          </cell>
        </row>
        <row r="10102">
          <cell r="L10102" t="str">
            <v>74259825</v>
          </cell>
        </row>
        <row r="10103">
          <cell r="L10103" t="str">
            <v>74262566</v>
          </cell>
        </row>
        <row r="10104">
          <cell r="L10104" t="str">
            <v>74262960</v>
          </cell>
        </row>
        <row r="10105">
          <cell r="L10105" t="str">
            <v>74263443</v>
          </cell>
        </row>
        <row r="10106">
          <cell r="L10106" t="str">
            <v>74266075</v>
          </cell>
        </row>
        <row r="10107">
          <cell r="L10107" t="str">
            <v>74267964</v>
          </cell>
        </row>
        <row r="10108">
          <cell r="L10108" t="str">
            <v>74268042</v>
          </cell>
        </row>
        <row r="10109">
          <cell r="L10109" t="str">
            <v>74268279</v>
          </cell>
        </row>
        <row r="10110">
          <cell r="L10110" t="str">
            <v>74272501</v>
          </cell>
        </row>
        <row r="10111">
          <cell r="L10111" t="str">
            <v>74272568</v>
          </cell>
        </row>
        <row r="10112">
          <cell r="L10112" t="str">
            <v>74273616</v>
          </cell>
        </row>
        <row r="10113">
          <cell r="L10113" t="str">
            <v>74273999</v>
          </cell>
        </row>
        <row r="10114">
          <cell r="L10114" t="str">
            <v>74274295</v>
          </cell>
        </row>
        <row r="10115">
          <cell r="L10115" t="str">
            <v>74277499</v>
          </cell>
        </row>
        <row r="10116">
          <cell r="L10116" t="str">
            <v>74278742</v>
          </cell>
        </row>
        <row r="10117">
          <cell r="L10117" t="str">
            <v>74279799</v>
          </cell>
        </row>
        <row r="10118">
          <cell r="L10118" t="str">
            <v>74281220</v>
          </cell>
        </row>
        <row r="10119">
          <cell r="L10119" t="str">
            <v>74282546</v>
          </cell>
        </row>
        <row r="10120">
          <cell r="L10120" t="str">
            <v>74283901</v>
          </cell>
        </row>
        <row r="10121">
          <cell r="L10121" t="str">
            <v>74283909</v>
          </cell>
        </row>
        <row r="10122">
          <cell r="L10122" t="str">
            <v>74285323</v>
          </cell>
        </row>
        <row r="10123">
          <cell r="L10123" t="str">
            <v>74285579</v>
          </cell>
        </row>
        <row r="10124">
          <cell r="L10124" t="str">
            <v>74290969</v>
          </cell>
        </row>
        <row r="10125">
          <cell r="L10125" t="str">
            <v>74291440</v>
          </cell>
        </row>
        <row r="10126">
          <cell r="L10126" t="str">
            <v>74291947</v>
          </cell>
        </row>
        <row r="10127">
          <cell r="L10127" t="str">
            <v>74295439</v>
          </cell>
        </row>
        <row r="10128">
          <cell r="L10128" t="str">
            <v>74112831</v>
          </cell>
        </row>
        <row r="10129">
          <cell r="L10129" t="str">
            <v>74161269</v>
          </cell>
        </row>
        <row r="10130">
          <cell r="L10130" t="str">
            <v>74183710</v>
          </cell>
        </row>
        <row r="10131">
          <cell r="L10131" t="str">
            <v>74190528</v>
          </cell>
        </row>
        <row r="10132">
          <cell r="L10132" t="str">
            <v>74193051</v>
          </cell>
        </row>
        <row r="10133">
          <cell r="L10133" t="str">
            <v>74197019</v>
          </cell>
        </row>
        <row r="10134">
          <cell r="L10134" t="str">
            <v>74200929</v>
          </cell>
        </row>
        <row r="10135">
          <cell r="L10135" t="str">
            <v>74204009</v>
          </cell>
        </row>
        <row r="10136">
          <cell r="L10136" t="str">
            <v>74207520</v>
          </cell>
        </row>
        <row r="10137">
          <cell r="L10137" t="str">
            <v>74207945</v>
          </cell>
        </row>
        <row r="10138">
          <cell r="L10138" t="str">
            <v>74211320</v>
          </cell>
        </row>
        <row r="10139">
          <cell r="L10139" t="str">
            <v>74211961</v>
          </cell>
        </row>
        <row r="10140">
          <cell r="L10140" t="str">
            <v>74214001</v>
          </cell>
        </row>
        <row r="10141">
          <cell r="L10141" t="str">
            <v>74216351</v>
          </cell>
        </row>
        <row r="10142">
          <cell r="L10142" t="str">
            <v>74220239</v>
          </cell>
        </row>
        <row r="10143">
          <cell r="L10143" t="str">
            <v>74224322</v>
          </cell>
        </row>
        <row r="10144">
          <cell r="L10144" t="str">
            <v>74226864</v>
          </cell>
        </row>
        <row r="10145">
          <cell r="L10145" t="str">
            <v>74227185</v>
          </cell>
        </row>
        <row r="10146">
          <cell r="L10146" t="str">
            <v>74227191</v>
          </cell>
        </row>
        <row r="10147">
          <cell r="L10147" t="str">
            <v>74227960</v>
          </cell>
        </row>
        <row r="10148">
          <cell r="L10148" t="str">
            <v>74229841</v>
          </cell>
        </row>
        <row r="10149">
          <cell r="L10149" t="str">
            <v>74231703</v>
          </cell>
        </row>
        <row r="10150">
          <cell r="L10150" t="str">
            <v>74235804</v>
          </cell>
        </row>
        <row r="10151">
          <cell r="L10151" t="str">
            <v>74239022</v>
          </cell>
        </row>
        <row r="10152">
          <cell r="L10152" t="str">
            <v>74240611</v>
          </cell>
        </row>
        <row r="10153">
          <cell r="L10153" t="str">
            <v>74243128</v>
          </cell>
        </row>
        <row r="10154">
          <cell r="L10154" t="str">
            <v>74264420</v>
          </cell>
        </row>
        <row r="10155">
          <cell r="L10155" t="str">
            <v>74277302</v>
          </cell>
        </row>
        <row r="10156">
          <cell r="L10156" t="str">
            <v>74280761</v>
          </cell>
        </row>
        <row r="10157">
          <cell r="L10157" t="str">
            <v>74283563</v>
          </cell>
        </row>
        <row r="10158">
          <cell r="L10158" t="str">
            <v>74286340</v>
          </cell>
        </row>
        <row r="10159">
          <cell r="L10159" t="str">
            <v>74287563</v>
          </cell>
        </row>
        <row r="10160">
          <cell r="L10160" t="str">
            <v>74290885</v>
          </cell>
        </row>
        <row r="10161">
          <cell r="L10161" t="str">
            <v>74291159</v>
          </cell>
        </row>
        <row r="10162">
          <cell r="L10162" t="str">
            <v>74292526</v>
          </cell>
        </row>
        <row r="10163">
          <cell r="L10163" t="str">
            <v>74294061</v>
          </cell>
        </row>
        <row r="10164">
          <cell r="L10164" t="str">
            <v>74294685</v>
          </cell>
        </row>
        <row r="10165">
          <cell r="L10165" t="str">
            <v>74297819</v>
          </cell>
        </row>
        <row r="10166">
          <cell r="L10166" t="str">
            <v>74299444</v>
          </cell>
        </row>
        <row r="10167">
          <cell r="L10167" t="str">
            <v>74299844</v>
          </cell>
        </row>
        <row r="10168">
          <cell r="L10168" t="str">
            <v>74303980</v>
          </cell>
        </row>
        <row r="10169">
          <cell r="L10169" t="str">
            <v>74304919</v>
          </cell>
        </row>
        <row r="10170">
          <cell r="L10170" t="str">
            <v>74305006</v>
          </cell>
        </row>
        <row r="10171">
          <cell r="L10171" t="str">
            <v>74305900</v>
          </cell>
        </row>
        <row r="10172">
          <cell r="L10172" t="str">
            <v>74306103</v>
          </cell>
        </row>
        <row r="10173">
          <cell r="L10173" t="str">
            <v>74308094</v>
          </cell>
        </row>
        <row r="10174">
          <cell r="L10174" t="str">
            <v>74308382</v>
          </cell>
        </row>
        <row r="10175">
          <cell r="L10175" t="str">
            <v>74311780</v>
          </cell>
        </row>
        <row r="10176">
          <cell r="L10176" t="str">
            <v>74315825</v>
          </cell>
        </row>
        <row r="10177">
          <cell r="L10177" t="str">
            <v>74316339</v>
          </cell>
        </row>
        <row r="10178">
          <cell r="L10178" t="str">
            <v>74243126</v>
          </cell>
        </row>
        <row r="10179">
          <cell r="L10179" t="str">
            <v>74093574</v>
          </cell>
        </row>
        <row r="10180">
          <cell r="L10180" t="str">
            <v>74102176</v>
          </cell>
        </row>
        <row r="10181">
          <cell r="L10181" t="str">
            <v>74121430</v>
          </cell>
        </row>
        <row r="10182">
          <cell r="L10182" t="str">
            <v>74151983</v>
          </cell>
        </row>
        <row r="10183">
          <cell r="L10183" t="str">
            <v>74170236</v>
          </cell>
        </row>
        <row r="10184">
          <cell r="L10184" t="str">
            <v>74173008</v>
          </cell>
        </row>
        <row r="10185">
          <cell r="L10185" t="str">
            <v>74199882</v>
          </cell>
        </row>
        <row r="10186">
          <cell r="L10186" t="str">
            <v>74202444</v>
          </cell>
        </row>
        <row r="10187">
          <cell r="L10187" t="str">
            <v>74208219</v>
          </cell>
        </row>
        <row r="10188">
          <cell r="L10188" t="str">
            <v>74212782</v>
          </cell>
        </row>
        <row r="10189">
          <cell r="L10189" t="str">
            <v>74227884</v>
          </cell>
        </row>
        <row r="10190">
          <cell r="L10190" t="str">
            <v>74231389</v>
          </cell>
        </row>
        <row r="10191">
          <cell r="L10191" t="str">
            <v>74263481</v>
          </cell>
        </row>
        <row r="10192">
          <cell r="L10192" t="str">
            <v>74270041</v>
          </cell>
        </row>
        <row r="10193">
          <cell r="L10193" t="str">
            <v>74273692</v>
          </cell>
        </row>
        <row r="10194">
          <cell r="L10194" t="str">
            <v>74294380</v>
          </cell>
        </row>
        <row r="10195">
          <cell r="L10195" t="str">
            <v>74304260</v>
          </cell>
        </row>
        <row r="10196">
          <cell r="L10196" t="str">
            <v>74228500</v>
          </cell>
        </row>
        <row r="10197">
          <cell r="L10197" t="str">
            <v>74230696</v>
          </cell>
        </row>
        <row r="10198">
          <cell r="L10198" t="str">
            <v>74231040</v>
          </cell>
        </row>
        <row r="10199">
          <cell r="L10199" t="str">
            <v>74246265</v>
          </cell>
        </row>
        <row r="10200">
          <cell r="L10200" t="str">
            <v>74248159</v>
          </cell>
        </row>
        <row r="10201">
          <cell r="L10201" t="str">
            <v>74249801</v>
          </cell>
        </row>
        <row r="10202">
          <cell r="L10202" t="str">
            <v>74252741</v>
          </cell>
        </row>
        <row r="10203">
          <cell r="L10203" t="str">
            <v>74253712</v>
          </cell>
        </row>
        <row r="10204">
          <cell r="L10204" t="str">
            <v>74277503</v>
          </cell>
        </row>
        <row r="10205">
          <cell r="L10205" t="str">
            <v>74282859</v>
          </cell>
        </row>
        <row r="10206">
          <cell r="L10206" t="str">
            <v>74289269</v>
          </cell>
        </row>
        <row r="10207">
          <cell r="L10207" t="str">
            <v>74298279</v>
          </cell>
        </row>
        <row r="10208">
          <cell r="L10208" t="str">
            <v>74318181</v>
          </cell>
        </row>
        <row r="10209">
          <cell r="L10209" t="str">
            <v>74171278</v>
          </cell>
        </row>
        <row r="10210">
          <cell r="L10210" t="str">
            <v>74214137</v>
          </cell>
        </row>
        <row r="10211">
          <cell r="L10211" t="str">
            <v>74273721</v>
          </cell>
        </row>
        <row r="10212">
          <cell r="L10212" t="str">
            <v>74299763</v>
          </cell>
        </row>
        <row r="10213">
          <cell r="L10213" t="str">
            <v>74055322</v>
          </cell>
        </row>
        <row r="10214">
          <cell r="L10214" t="str">
            <v>74076560</v>
          </cell>
        </row>
        <row r="10215">
          <cell r="L10215" t="str">
            <v>74087547</v>
          </cell>
        </row>
        <row r="10216">
          <cell r="L10216" t="str">
            <v>74105666</v>
          </cell>
        </row>
        <row r="10217">
          <cell r="L10217" t="str">
            <v>74117799</v>
          </cell>
        </row>
        <row r="10218">
          <cell r="L10218" t="str">
            <v>74140776</v>
          </cell>
        </row>
        <row r="10219">
          <cell r="L10219" t="str">
            <v>74221819</v>
          </cell>
        </row>
        <row r="10220">
          <cell r="L10220" t="str">
            <v>74224379</v>
          </cell>
        </row>
        <row r="10221">
          <cell r="L10221" t="str">
            <v>74229143</v>
          </cell>
        </row>
        <row r="10222">
          <cell r="L10222" t="str">
            <v>74235768</v>
          </cell>
        </row>
        <row r="10223">
          <cell r="L10223" t="str">
            <v>74238484</v>
          </cell>
        </row>
        <row r="10224">
          <cell r="L10224" t="str">
            <v>74242342</v>
          </cell>
        </row>
        <row r="10225">
          <cell r="L10225" t="str">
            <v>74243999</v>
          </cell>
        </row>
        <row r="10226">
          <cell r="L10226" t="str">
            <v>74246712</v>
          </cell>
        </row>
        <row r="10227">
          <cell r="L10227" t="str">
            <v>74247719</v>
          </cell>
        </row>
        <row r="10228">
          <cell r="L10228" t="str">
            <v>74247721</v>
          </cell>
        </row>
        <row r="10229">
          <cell r="L10229" t="str">
            <v>74248499</v>
          </cell>
        </row>
        <row r="10230">
          <cell r="L10230" t="str">
            <v>74262919</v>
          </cell>
        </row>
        <row r="10231">
          <cell r="L10231" t="str">
            <v>74271503</v>
          </cell>
        </row>
        <row r="10232">
          <cell r="L10232" t="str">
            <v>74272119</v>
          </cell>
        </row>
        <row r="10233">
          <cell r="L10233" t="str">
            <v>74274914</v>
          </cell>
        </row>
        <row r="10234">
          <cell r="L10234" t="str">
            <v>74276033</v>
          </cell>
        </row>
        <row r="10235">
          <cell r="L10235" t="str">
            <v>74281264</v>
          </cell>
        </row>
        <row r="10236">
          <cell r="L10236" t="str">
            <v>74289224</v>
          </cell>
        </row>
        <row r="10237">
          <cell r="L10237" t="str">
            <v>74290201</v>
          </cell>
        </row>
        <row r="10238">
          <cell r="L10238" t="str">
            <v>74290802</v>
          </cell>
        </row>
        <row r="10239">
          <cell r="L10239" t="str">
            <v>74296303</v>
          </cell>
        </row>
        <row r="10240">
          <cell r="L10240" t="str">
            <v>74056072</v>
          </cell>
        </row>
        <row r="10241">
          <cell r="L10241" t="str">
            <v>74079087</v>
          </cell>
        </row>
        <row r="10242">
          <cell r="L10242" t="str">
            <v>74082769</v>
          </cell>
        </row>
        <row r="10243">
          <cell r="L10243" t="str">
            <v>74085867</v>
          </cell>
        </row>
        <row r="10244">
          <cell r="L10244" t="str">
            <v>74095958</v>
          </cell>
        </row>
        <row r="10245">
          <cell r="L10245" t="str">
            <v>74124088</v>
          </cell>
        </row>
        <row r="10246">
          <cell r="L10246" t="str">
            <v>74132965</v>
          </cell>
        </row>
        <row r="10247">
          <cell r="L10247" t="str">
            <v>74149330</v>
          </cell>
        </row>
        <row r="10248">
          <cell r="L10248" t="str">
            <v>74155733</v>
          </cell>
        </row>
        <row r="10249">
          <cell r="L10249" t="str">
            <v>74157328</v>
          </cell>
        </row>
        <row r="10250">
          <cell r="L10250" t="str">
            <v>74161623</v>
          </cell>
        </row>
        <row r="10251">
          <cell r="L10251" t="str">
            <v>74166446</v>
          </cell>
        </row>
        <row r="10252">
          <cell r="L10252" t="str">
            <v>74175414</v>
          </cell>
        </row>
        <row r="10253">
          <cell r="L10253" t="str">
            <v>74181235</v>
          </cell>
        </row>
        <row r="10254">
          <cell r="L10254" t="str">
            <v>74181732</v>
          </cell>
        </row>
        <row r="10255">
          <cell r="L10255" t="str">
            <v>74181868</v>
          </cell>
        </row>
        <row r="10256">
          <cell r="L10256" t="str">
            <v>74182102</v>
          </cell>
        </row>
        <row r="10257">
          <cell r="L10257" t="str">
            <v>74183114</v>
          </cell>
        </row>
        <row r="10258">
          <cell r="L10258" t="str">
            <v>74183174</v>
          </cell>
        </row>
        <row r="10259">
          <cell r="L10259" t="str">
            <v>74184799</v>
          </cell>
        </row>
        <row r="10260">
          <cell r="L10260" t="str">
            <v>74186730</v>
          </cell>
        </row>
        <row r="10261">
          <cell r="L10261" t="str">
            <v>74187893</v>
          </cell>
        </row>
        <row r="10262">
          <cell r="L10262" t="str">
            <v>74188371</v>
          </cell>
        </row>
        <row r="10263">
          <cell r="L10263" t="str">
            <v>74190068</v>
          </cell>
        </row>
        <row r="10264">
          <cell r="L10264" t="str">
            <v>74192452</v>
          </cell>
        </row>
        <row r="10265">
          <cell r="L10265" t="str">
            <v>74192589</v>
          </cell>
        </row>
        <row r="10266">
          <cell r="L10266" t="str">
            <v>74193281</v>
          </cell>
        </row>
        <row r="10267">
          <cell r="L10267" t="str">
            <v>74194108</v>
          </cell>
        </row>
        <row r="10268">
          <cell r="L10268" t="str">
            <v>74194862</v>
          </cell>
        </row>
        <row r="10269">
          <cell r="L10269" t="str">
            <v>74200603</v>
          </cell>
        </row>
        <row r="10270">
          <cell r="L10270" t="str">
            <v>74206160</v>
          </cell>
        </row>
        <row r="10271">
          <cell r="L10271" t="str">
            <v>74206279</v>
          </cell>
        </row>
        <row r="10272">
          <cell r="L10272" t="str">
            <v>74208328</v>
          </cell>
        </row>
        <row r="10273">
          <cell r="L10273" t="str">
            <v>74216579</v>
          </cell>
        </row>
        <row r="10274">
          <cell r="L10274" t="str">
            <v>74221084</v>
          </cell>
        </row>
        <row r="10275">
          <cell r="L10275" t="str">
            <v>74225039</v>
          </cell>
        </row>
        <row r="10276">
          <cell r="L10276" t="str">
            <v>74225340</v>
          </cell>
        </row>
        <row r="10277">
          <cell r="L10277" t="str">
            <v>74226139</v>
          </cell>
        </row>
        <row r="10278">
          <cell r="L10278" t="str">
            <v>74226182</v>
          </cell>
        </row>
        <row r="10279">
          <cell r="L10279" t="str">
            <v>74231377</v>
          </cell>
        </row>
        <row r="10280">
          <cell r="L10280" t="str">
            <v>74231720</v>
          </cell>
        </row>
        <row r="10281">
          <cell r="L10281" t="str">
            <v>74236954</v>
          </cell>
        </row>
        <row r="10282">
          <cell r="L10282" t="str">
            <v>74238380</v>
          </cell>
        </row>
        <row r="10283">
          <cell r="L10283" t="str">
            <v>74238487</v>
          </cell>
        </row>
        <row r="10284">
          <cell r="L10284" t="str">
            <v>74297123</v>
          </cell>
        </row>
        <row r="10285">
          <cell r="L10285" t="str">
            <v>74079754</v>
          </cell>
        </row>
        <row r="10286">
          <cell r="L10286" t="str">
            <v>74099088</v>
          </cell>
        </row>
        <row r="10287">
          <cell r="L10287" t="str">
            <v>74102510</v>
          </cell>
        </row>
        <row r="10288">
          <cell r="L10288" t="str">
            <v>74140774</v>
          </cell>
        </row>
        <row r="10289">
          <cell r="L10289" t="str">
            <v>74144431</v>
          </cell>
        </row>
        <row r="10290">
          <cell r="L10290" t="str">
            <v>74152841</v>
          </cell>
        </row>
        <row r="10291">
          <cell r="L10291" t="str">
            <v>74158889</v>
          </cell>
        </row>
        <row r="10292">
          <cell r="L10292" t="str">
            <v>74174112</v>
          </cell>
        </row>
        <row r="10293">
          <cell r="L10293" t="str">
            <v>74182104</v>
          </cell>
        </row>
        <row r="10294">
          <cell r="L10294" t="str">
            <v>74183711</v>
          </cell>
        </row>
        <row r="10295">
          <cell r="L10295" t="str">
            <v>74190468</v>
          </cell>
        </row>
        <row r="10296">
          <cell r="L10296" t="str">
            <v>74197425</v>
          </cell>
        </row>
        <row r="10297">
          <cell r="L10297" t="str">
            <v>74197622</v>
          </cell>
        </row>
        <row r="10298">
          <cell r="L10298" t="str">
            <v>74206161</v>
          </cell>
        </row>
        <row r="10299">
          <cell r="L10299" t="str">
            <v>74218560</v>
          </cell>
        </row>
        <row r="10300">
          <cell r="L10300" t="str">
            <v>74219480</v>
          </cell>
        </row>
        <row r="10301">
          <cell r="L10301" t="str">
            <v>74226659</v>
          </cell>
        </row>
        <row r="10302">
          <cell r="L10302" t="str">
            <v>74236943</v>
          </cell>
        </row>
        <row r="10303">
          <cell r="L10303" t="str">
            <v>74244865</v>
          </cell>
        </row>
        <row r="10304">
          <cell r="L10304" t="str">
            <v>74247723</v>
          </cell>
        </row>
        <row r="10305">
          <cell r="L10305" t="str">
            <v>74250360</v>
          </cell>
        </row>
        <row r="10306">
          <cell r="L10306" t="str">
            <v>74258700</v>
          </cell>
        </row>
        <row r="10307">
          <cell r="L10307" t="str">
            <v>74260232</v>
          </cell>
        </row>
        <row r="10308">
          <cell r="L10308" t="str">
            <v>74270360</v>
          </cell>
        </row>
        <row r="10309">
          <cell r="L10309" t="str">
            <v>74270361</v>
          </cell>
        </row>
        <row r="10310">
          <cell r="L10310" t="str">
            <v>74272719</v>
          </cell>
        </row>
        <row r="10311">
          <cell r="L10311" t="str">
            <v>74273557</v>
          </cell>
        </row>
        <row r="10312">
          <cell r="L10312" t="str">
            <v>74275912</v>
          </cell>
        </row>
        <row r="10313">
          <cell r="L10313" t="str">
            <v>74282139</v>
          </cell>
        </row>
        <row r="10314">
          <cell r="L10314" t="str">
            <v>74282686</v>
          </cell>
        </row>
        <row r="10315">
          <cell r="L10315" t="str">
            <v>74285400</v>
          </cell>
        </row>
        <row r="10316">
          <cell r="L10316" t="str">
            <v>74287399</v>
          </cell>
        </row>
        <row r="10317">
          <cell r="L10317" t="str">
            <v>74293800</v>
          </cell>
        </row>
        <row r="10318">
          <cell r="L10318" t="str">
            <v>74301199</v>
          </cell>
        </row>
        <row r="10319">
          <cell r="L10319" t="str">
            <v>74301615</v>
          </cell>
        </row>
        <row r="10320">
          <cell r="L10320" t="str">
            <v>74309540</v>
          </cell>
        </row>
        <row r="10321">
          <cell r="L10321" t="str">
            <v>74310260</v>
          </cell>
        </row>
        <row r="10322">
          <cell r="L10322" t="str">
            <v>74321224</v>
          </cell>
        </row>
        <row r="10323">
          <cell r="L10323" t="str">
            <v>74071641</v>
          </cell>
        </row>
        <row r="10324">
          <cell r="L10324" t="str">
            <v>74154961</v>
          </cell>
        </row>
        <row r="10325">
          <cell r="L10325" t="str">
            <v>74157430</v>
          </cell>
        </row>
        <row r="10326">
          <cell r="L10326" t="str">
            <v>74158690</v>
          </cell>
        </row>
        <row r="10327">
          <cell r="L10327" t="str">
            <v>74171789</v>
          </cell>
        </row>
        <row r="10328">
          <cell r="L10328" t="str">
            <v>74180211</v>
          </cell>
        </row>
        <row r="10329">
          <cell r="L10329" t="str">
            <v>74180728</v>
          </cell>
        </row>
        <row r="10330">
          <cell r="L10330" t="str">
            <v>74183332</v>
          </cell>
        </row>
        <row r="10331">
          <cell r="L10331" t="str">
            <v>74191455</v>
          </cell>
        </row>
        <row r="10332">
          <cell r="L10332" t="str">
            <v>74192817</v>
          </cell>
        </row>
        <row r="10333">
          <cell r="L10333" t="str">
            <v>74194969</v>
          </cell>
        </row>
        <row r="10334">
          <cell r="L10334" t="str">
            <v>74196819</v>
          </cell>
        </row>
        <row r="10335">
          <cell r="L10335" t="str">
            <v>74202701</v>
          </cell>
        </row>
        <row r="10336">
          <cell r="L10336" t="str">
            <v>74207264</v>
          </cell>
        </row>
        <row r="10337">
          <cell r="L10337" t="str">
            <v>74211504</v>
          </cell>
        </row>
        <row r="10338">
          <cell r="L10338" t="str">
            <v>74222414</v>
          </cell>
        </row>
        <row r="10339">
          <cell r="L10339" t="str">
            <v>74229442</v>
          </cell>
        </row>
        <row r="10340">
          <cell r="L10340" t="str">
            <v>74209891</v>
          </cell>
        </row>
        <row r="10341">
          <cell r="L10341" t="str">
            <v>74216021</v>
          </cell>
        </row>
        <row r="10342">
          <cell r="L10342" t="str">
            <v>74223749</v>
          </cell>
        </row>
        <row r="10343">
          <cell r="L10343" t="str">
            <v>74226047</v>
          </cell>
        </row>
        <row r="10344">
          <cell r="L10344" t="str">
            <v>74231999</v>
          </cell>
        </row>
        <row r="10345">
          <cell r="L10345" t="str">
            <v>74235984</v>
          </cell>
        </row>
        <row r="10346">
          <cell r="L10346" t="str">
            <v>74106651</v>
          </cell>
        </row>
        <row r="10347">
          <cell r="L10347" t="str">
            <v>74136928</v>
          </cell>
        </row>
        <row r="10348">
          <cell r="L10348" t="str">
            <v>74152388</v>
          </cell>
        </row>
        <row r="10349">
          <cell r="L10349" t="str">
            <v>74156648</v>
          </cell>
        </row>
        <row r="10350">
          <cell r="L10350" t="str">
            <v>74163289</v>
          </cell>
        </row>
        <row r="10351">
          <cell r="L10351" t="str">
            <v>74164228</v>
          </cell>
        </row>
        <row r="10352">
          <cell r="L10352" t="str">
            <v>74175610</v>
          </cell>
        </row>
        <row r="10353">
          <cell r="L10353" t="str">
            <v>74176110</v>
          </cell>
        </row>
        <row r="10354">
          <cell r="L10354" t="str">
            <v>74180468</v>
          </cell>
        </row>
        <row r="10355">
          <cell r="L10355" t="str">
            <v>74181648</v>
          </cell>
        </row>
        <row r="10356">
          <cell r="L10356" t="str">
            <v>74190508</v>
          </cell>
        </row>
        <row r="10357">
          <cell r="L10357" t="str">
            <v>74192935</v>
          </cell>
        </row>
        <row r="10358">
          <cell r="L10358" t="str">
            <v>74193099</v>
          </cell>
        </row>
        <row r="10359">
          <cell r="L10359" t="str">
            <v>74219919</v>
          </cell>
        </row>
        <row r="10360">
          <cell r="L10360" t="str">
            <v>74223662</v>
          </cell>
        </row>
        <row r="10361">
          <cell r="L10361" t="str">
            <v>74244480</v>
          </cell>
        </row>
        <row r="10362">
          <cell r="L10362" t="str">
            <v>74251467</v>
          </cell>
        </row>
        <row r="10363">
          <cell r="L10363" t="str">
            <v>74251475</v>
          </cell>
        </row>
        <row r="10364">
          <cell r="L10364" t="str">
            <v>74257261</v>
          </cell>
        </row>
        <row r="10365">
          <cell r="L10365" t="str">
            <v>74272563</v>
          </cell>
        </row>
        <row r="10366">
          <cell r="L10366" t="str">
            <v>74290467</v>
          </cell>
        </row>
        <row r="10367">
          <cell r="L10367" t="str">
            <v>74059112</v>
          </cell>
        </row>
        <row r="10368">
          <cell r="L10368" t="str">
            <v>74067376</v>
          </cell>
        </row>
        <row r="10369">
          <cell r="L10369" t="str">
            <v>74072371</v>
          </cell>
        </row>
        <row r="10370">
          <cell r="L10370" t="str">
            <v>74090076</v>
          </cell>
        </row>
        <row r="10371">
          <cell r="L10371" t="str">
            <v>74091231</v>
          </cell>
        </row>
        <row r="10372">
          <cell r="L10372" t="str">
            <v>74103927</v>
          </cell>
        </row>
        <row r="10373">
          <cell r="L10373" t="str">
            <v>74106329</v>
          </cell>
        </row>
        <row r="10374">
          <cell r="L10374" t="str">
            <v>74106688</v>
          </cell>
        </row>
        <row r="10375">
          <cell r="L10375" t="str">
            <v>74106969</v>
          </cell>
        </row>
        <row r="10376">
          <cell r="L10376" t="str">
            <v>74116757</v>
          </cell>
        </row>
        <row r="10377">
          <cell r="L10377" t="str">
            <v>74119091</v>
          </cell>
        </row>
        <row r="10378">
          <cell r="L10378" t="str">
            <v>74119865</v>
          </cell>
        </row>
        <row r="10379">
          <cell r="L10379" t="str">
            <v>74122614</v>
          </cell>
        </row>
        <row r="10380">
          <cell r="L10380" t="str">
            <v>74128689</v>
          </cell>
        </row>
        <row r="10381">
          <cell r="L10381" t="str">
            <v>74130370</v>
          </cell>
        </row>
        <row r="10382">
          <cell r="L10382" t="str">
            <v>74133350</v>
          </cell>
        </row>
        <row r="10383">
          <cell r="L10383" t="str">
            <v>74135638</v>
          </cell>
        </row>
        <row r="10384">
          <cell r="L10384" t="str">
            <v>74136972</v>
          </cell>
        </row>
        <row r="10385">
          <cell r="L10385" t="str">
            <v>74140989</v>
          </cell>
        </row>
        <row r="10386">
          <cell r="L10386" t="str">
            <v>74142434</v>
          </cell>
        </row>
        <row r="10387">
          <cell r="L10387" t="str">
            <v>74146270</v>
          </cell>
        </row>
        <row r="10388">
          <cell r="L10388" t="str">
            <v>74146296</v>
          </cell>
        </row>
        <row r="10389">
          <cell r="L10389" t="str">
            <v>74149382</v>
          </cell>
        </row>
        <row r="10390">
          <cell r="L10390" t="str">
            <v>74149392</v>
          </cell>
        </row>
        <row r="10391">
          <cell r="L10391" t="str">
            <v>74149857</v>
          </cell>
        </row>
        <row r="10392">
          <cell r="L10392" t="str">
            <v>74152749</v>
          </cell>
        </row>
        <row r="10393">
          <cell r="L10393" t="str">
            <v>74156735</v>
          </cell>
        </row>
        <row r="10394">
          <cell r="L10394" t="str">
            <v>74158410</v>
          </cell>
        </row>
        <row r="10395">
          <cell r="L10395" t="str">
            <v>74158530</v>
          </cell>
        </row>
        <row r="10396">
          <cell r="L10396" t="str">
            <v>74159269</v>
          </cell>
        </row>
        <row r="10397">
          <cell r="L10397" t="str">
            <v>74159589</v>
          </cell>
        </row>
        <row r="10398">
          <cell r="L10398" t="str">
            <v>74159609</v>
          </cell>
        </row>
        <row r="10399">
          <cell r="L10399" t="str">
            <v>74159985</v>
          </cell>
        </row>
        <row r="10400">
          <cell r="L10400" t="str">
            <v>74160868</v>
          </cell>
        </row>
        <row r="10401">
          <cell r="L10401" t="str">
            <v>74162115</v>
          </cell>
        </row>
        <row r="10402">
          <cell r="L10402" t="str">
            <v>74162274</v>
          </cell>
        </row>
        <row r="10403">
          <cell r="L10403" t="str">
            <v>74164690</v>
          </cell>
        </row>
        <row r="10404">
          <cell r="L10404" t="str">
            <v>74165613</v>
          </cell>
        </row>
        <row r="10405">
          <cell r="L10405" t="str">
            <v>74171088</v>
          </cell>
        </row>
        <row r="10406">
          <cell r="L10406" t="str">
            <v>74171628</v>
          </cell>
        </row>
        <row r="10407">
          <cell r="L10407" t="str">
            <v>74172197</v>
          </cell>
        </row>
        <row r="10408">
          <cell r="L10408" t="str">
            <v>74174228</v>
          </cell>
        </row>
        <row r="10409">
          <cell r="L10409" t="str">
            <v>74175769</v>
          </cell>
        </row>
        <row r="10410">
          <cell r="L10410" t="str">
            <v>74177749</v>
          </cell>
        </row>
        <row r="10411">
          <cell r="L10411" t="str">
            <v>74179333</v>
          </cell>
        </row>
        <row r="10412">
          <cell r="L10412" t="str">
            <v>74180869</v>
          </cell>
        </row>
        <row r="10413">
          <cell r="L10413" t="str">
            <v>74182877</v>
          </cell>
        </row>
        <row r="10414">
          <cell r="L10414" t="str">
            <v>74183316</v>
          </cell>
        </row>
        <row r="10415">
          <cell r="L10415" t="str">
            <v>74189489</v>
          </cell>
        </row>
        <row r="10416">
          <cell r="L10416" t="str">
            <v>74189949</v>
          </cell>
        </row>
        <row r="10417">
          <cell r="L10417" t="str">
            <v>74190011</v>
          </cell>
        </row>
        <row r="10418">
          <cell r="L10418" t="str">
            <v>74190332</v>
          </cell>
        </row>
        <row r="10419">
          <cell r="L10419" t="str">
            <v>74193123</v>
          </cell>
        </row>
        <row r="10420">
          <cell r="L10420" t="str">
            <v>74193742</v>
          </cell>
        </row>
        <row r="10421">
          <cell r="L10421" t="str">
            <v>74193862</v>
          </cell>
        </row>
        <row r="10422">
          <cell r="L10422" t="str">
            <v>74195539</v>
          </cell>
        </row>
        <row r="10423">
          <cell r="L10423" t="str">
            <v>74196063</v>
          </cell>
        </row>
        <row r="10424">
          <cell r="L10424" t="str">
            <v>74200360</v>
          </cell>
        </row>
        <row r="10425">
          <cell r="L10425" t="str">
            <v>74201561</v>
          </cell>
        </row>
        <row r="10426">
          <cell r="L10426" t="str">
            <v>74204274</v>
          </cell>
        </row>
        <row r="10427">
          <cell r="L10427" t="str">
            <v>74206739</v>
          </cell>
        </row>
        <row r="10428">
          <cell r="L10428" t="str">
            <v>74209840</v>
          </cell>
        </row>
        <row r="10429">
          <cell r="L10429" t="str">
            <v>74220767</v>
          </cell>
        </row>
        <row r="10430">
          <cell r="L10430" t="str">
            <v>74223020</v>
          </cell>
        </row>
        <row r="10431">
          <cell r="L10431" t="str">
            <v>74223341</v>
          </cell>
        </row>
        <row r="10432">
          <cell r="L10432" t="str">
            <v>74270720</v>
          </cell>
        </row>
        <row r="10433">
          <cell r="L10433" t="str">
            <v>74271540</v>
          </cell>
        </row>
        <row r="10434">
          <cell r="L10434" t="str">
            <v>74282104</v>
          </cell>
        </row>
        <row r="10435">
          <cell r="L10435" t="str">
            <v>74293649</v>
          </cell>
        </row>
        <row r="10436">
          <cell r="L10436" t="str">
            <v>74295779</v>
          </cell>
        </row>
        <row r="10437">
          <cell r="L10437" t="str">
            <v>74297246</v>
          </cell>
        </row>
        <row r="10438">
          <cell r="L10438" t="str">
            <v>74299102</v>
          </cell>
        </row>
        <row r="10439">
          <cell r="L10439" t="str">
            <v>74206479</v>
          </cell>
        </row>
        <row r="10440">
          <cell r="L10440" t="str">
            <v>74078073</v>
          </cell>
        </row>
        <row r="10441">
          <cell r="L10441" t="str">
            <v>74113108</v>
          </cell>
        </row>
        <row r="10442">
          <cell r="L10442" t="str">
            <v>74161848</v>
          </cell>
        </row>
        <row r="10443">
          <cell r="L10443" t="str">
            <v>74177551</v>
          </cell>
        </row>
        <row r="10444">
          <cell r="L10444" t="str">
            <v>74187730</v>
          </cell>
        </row>
        <row r="10445">
          <cell r="L10445" t="str">
            <v>74192568</v>
          </cell>
        </row>
        <row r="10446">
          <cell r="L10446" t="str">
            <v>74208357</v>
          </cell>
        </row>
        <row r="10447">
          <cell r="L10447" t="str">
            <v>74226522</v>
          </cell>
        </row>
        <row r="10448">
          <cell r="L10448" t="str">
            <v>74238541</v>
          </cell>
        </row>
        <row r="10449">
          <cell r="L10449" t="str">
            <v>74251459</v>
          </cell>
        </row>
        <row r="10450">
          <cell r="L10450" t="str">
            <v>74251605</v>
          </cell>
        </row>
        <row r="10451">
          <cell r="L10451" t="str">
            <v>74251639</v>
          </cell>
        </row>
        <row r="10452">
          <cell r="L10452" t="str">
            <v>74258762</v>
          </cell>
        </row>
        <row r="10453">
          <cell r="L10453" t="str">
            <v>74260123</v>
          </cell>
        </row>
        <row r="10454">
          <cell r="L10454" t="str">
            <v>74270739</v>
          </cell>
        </row>
        <row r="10455">
          <cell r="L10455" t="str">
            <v>74272002</v>
          </cell>
        </row>
        <row r="10456">
          <cell r="L10456" t="str">
            <v>74275184</v>
          </cell>
        </row>
        <row r="10457">
          <cell r="L10457" t="str">
            <v>74277719</v>
          </cell>
        </row>
        <row r="10458">
          <cell r="L10458" t="str">
            <v>74277721</v>
          </cell>
        </row>
        <row r="10459">
          <cell r="L10459" t="str">
            <v>74280145</v>
          </cell>
        </row>
        <row r="10460">
          <cell r="L10460" t="str">
            <v>74283326</v>
          </cell>
        </row>
        <row r="10461">
          <cell r="L10461" t="str">
            <v>74288399</v>
          </cell>
        </row>
        <row r="10462">
          <cell r="L10462" t="str">
            <v>74305186</v>
          </cell>
        </row>
        <row r="10463">
          <cell r="L10463" t="str">
            <v>74305187</v>
          </cell>
        </row>
        <row r="10464">
          <cell r="L10464" t="str">
            <v>74305188</v>
          </cell>
        </row>
        <row r="10465">
          <cell r="L10465" t="str">
            <v>74185395</v>
          </cell>
        </row>
        <row r="10466">
          <cell r="L10466" t="str">
            <v>74044638</v>
          </cell>
        </row>
        <row r="10467">
          <cell r="L10467" t="str">
            <v>74123286</v>
          </cell>
        </row>
        <row r="10468">
          <cell r="L10468" t="str">
            <v>74168397</v>
          </cell>
        </row>
        <row r="10469">
          <cell r="L10469" t="str">
            <v>74200626</v>
          </cell>
        </row>
        <row r="10470">
          <cell r="L10470" t="str">
            <v>74214546</v>
          </cell>
        </row>
        <row r="10471">
          <cell r="L10471" t="str">
            <v>74229147</v>
          </cell>
        </row>
        <row r="10472">
          <cell r="L10472" t="str">
            <v>74232394</v>
          </cell>
        </row>
        <row r="10473">
          <cell r="L10473" t="str">
            <v>74237475</v>
          </cell>
        </row>
        <row r="10474">
          <cell r="L10474" t="str">
            <v>74237722</v>
          </cell>
        </row>
        <row r="10475">
          <cell r="L10475" t="str">
            <v>74239659</v>
          </cell>
        </row>
        <row r="10476">
          <cell r="L10476" t="str">
            <v>74240760</v>
          </cell>
        </row>
        <row r="10477">
          <cell r="L10477" t="str">
            <v>74243820</v>
          </cell>
        </row>
        <row r="10478">
          <cell r="L10478" t="str">
            <v>74244345</v>
          </cell>
        </row>
        <row r="10479">
          <cell r="L10479" t="str">
            <v>74252878</v>
          </cell>
        </row>
        <row r="10480">
          <cell r="L10480" t="str">
            <v>74253060</v>
          </cell>
        </row>
        <row r="10481">
          <cell r="L10481" t="str">
            <v>74254480</v>
          </cell>
        </row>
        <row r="10482">
          <cell r="L10482" t="str">
            <v>74255441</v>
          </cell>
        </row>
        <row r="10483">
          <cell r="L10483" t="str">
            <v>74261397</v>
          </cell>
        </row>
        <row r="10484">
          <cell r="L10484" t="str">
            <v>74263402</v>
          </cell>
        </row>
        <row r="10485">
          <cell r="L10485" t="str">
            <v>74266984</v>
          </cell>
        </row>
        <row r="10486">
          <cell r="L10486" t="str">
            <v>74271839</v>
          </cell>
        </row>
        <row r="10487">
          <cell r="L10487" t="str">
            <v>74272584</v>
          </cell>
        </row>
        <row r="10488">
          <cell r="L10488" t="str">
            <v>74280367</v>
          </cell>
        </row>
        <row r="10489">
          <cell r="L10489" t="str">
            <v>74288683</v>
          </cell>
        </row>
        <row r="10490">
          <cell r="L10490" t="str">
            <v>74289425</v>
          </cell>
        </row>
        <row r="10491">
          <cell r="L10491" t="str">
            <v>74290859</v>
          </cell>
        </row>
        <row r="10492">
          <cell r="L10492" t="str">
            <v>74296527</v>
          </cell>
        </row>
        <row r="10493">
          <cell r="L10493" t="str">
            <v>74125692</v>
          </cell>
        </row>
        <row r="10494">
          <cell r="L10494" t="str">
            <v>74125897</v>
          </cell>
        </row>
        <row r="10495">
          <cell r="L10495" t="str">
            <v>74144363</v>
          </cell>
        </row>
        <row r="10496">
          <cell r="L10496" t="str">
            <v>74147819</v>
          </cell>
        </row>
        <row r="10497">
          <cell r="L10497" t="str">
            <v>74156816</v>
          </cell>
        </row>
        <row r="10498">
          <cell r="L10498" t="str">
            <v>74158103</v>
          </cell>
        </row>
        <row r="10499">
          <cell r="L10499" t="str">
            <v>74160238</v>
          </cell>
        </row>
        <row r="10500">
          <cell r="L10500" t="str">
            <v>74180009</v>
          </cell>
        </row>
        <row r="10501">
          <cell r="L10501" t="str">
            <v>74190512</v>
          </cell>
        </row>
        <row r="10502">
          <cell r="L10502" t="str">
            <v>74195665</v>
          </cell>
        </row>
        <row r="10503">
          <cell r="L10503" t="str">
            <v>74195745</v>
          </cell>
        </row>
        <row r="10504">
          <cell r="L10504" t="str">
            <v>74207542</v>
          </cell>
        </row>
        <row r="10505">
          <cell r="L10505" t="str">
            <v>74210062</v>
          </cell>
        </row>
        <row r="10506">
          <cell r="L10506" t="str">
            <v>74210064</v>
          </cell>
        </row>
        <row r="10507">
          <cell r="L10507" t="str">
            <v>74210941</v>
          </cell>
        </row>
        <row r="10508">
          <cell r="L10508" t="str">
            <v>74216559</v>
          </cell>
        </row>
        <row r="10509">
          <cell r="L10509" t="str">
            <v>74220939</v>
          </cell>
        </row>
        <row r="10510">
          <cell r="L10510" t="str">
            <v>74230919</v>
          </cell>
        </row>
        <row r="10511">
          <cell r="L10511" t="str">
            <v>74236681</v>
          </cell>
        </row>
        <row r="10512">
          <cell r="L10512" t="str">
            <v>74239699</v>
          </cell>
        </row>
        <row r="10513">
          <cell r="L10513" t="str">
            <v>74086429</v>
          </cell>
        </row>
        <row r="10514">
          <cell r="L10514" t="str">
            <v>74062195</v>
          </cell>
        </row>
        <row r="10515">
          <cell r="L10515" t="str">
            <v>74171653</v>
          </cell>
        </row>
        <row r="10516">
          <cell r="L10516" t="str">
            <v>74242840</v>
          </cell>
        </row>
        <row r="10517">
          <cell r="L10517" t="str">
            <v>74261394</v>
          </cell>
        </row>
        <row r="10518">
          <cell r="L10518" t="str">
            <v>74276968</v>
          </cell>
        </row>
        <row r="10519">
          <cell r="L10519" t="str">
            <v>74216148</v>
          </cell>
        </row>
        <row r="10520">
          <cell r="L10520" t="str">
            <v>74157630</v>
          </cell>
        </row>
        <row r="10521">
          <cell r="L10521" t="str">
            <v>74255021</v>
          </cell>
        </row>
        <row r="10522">
          <cell r="L10522" t="str">
            <v>74261964</v>
          </cell>
        </row>
        <row r="10523">
          <cell r="L10523" t="str">
            <v>74285285</v>
          </cell>
        </row>
        <row r="10524">
          <cell r="L10524" t="str">
            <v>74260822</v>
          </cell>
        </row>
        <row r="10525">
          <cell r="L10525" t="str">
            <v>74262180</v>
          </cell>
        </row>
        <row r="10526">
          <cell r="L10526" t="str">
            <v>74262200</v>
          </cell>
        </row>
        <row r="10527">
          <cell r="L10527" t="str">
            <v>74262203</v>
          </cell>
        </row>
        <row r="10528">
          <cell r="L10528" t="str">
            <v>74262219</v>
          </cell>
        </row>
        <row r="10529">
          <cell r="L10529" t="str">
            <v>74262240</v>
          </cell>
        </row>
        <row r="10530">
          <cell r="L10530" t="str">
            <v>74262242</v>
          </cell>
        </row>
        <row r="10531">
          <cell r="L10531" t="str">
            <v>74265999</v>
          </cell>
        </row>
        <row r="10532">
          <cell r="L10532" t="str">
            <v>74302420</v>
          </cell>
        </row>
        <row r="10533">
          <cell r="L10533" t="str">
            <v>74049028</v>
          </cell>
        </row>
        <row r="10534">
          <cell r="L10534" t="str">
            <v>74129769</v>
          </cell>
        </row>
        <row r="10535">
          <cell r="L10535" t="str">
            <v>74217962</v>
          </cell>
        </row>
        <row r="10536">
          <cell r="L10536" t="str">
            <v>74218763</v>
          </cell>
        </row>
        <row r="10537">
          <cell r="L10537" t="str">
            <v>74228119</v>
          </cell>
        </row>
        <row r="10538">
          <cell r="L10538" t="str">
            <v>74240085</v>
          </cell>
        </row>
        <row r="10539">
          <cell r="L10539" t="str">
            <v>74241976</v>
          </cell>
        </row>
        <row r="10540">
          <cell r="L10540" t="str">
            <v>74262359</v>
          </cell>
        </row>
        <row r="10541">
          <cell r="L10541" t="str">
            <v>74266986</v>
          </cell>
        </row>
        <row r="10542">
          <cell r="L10542" t="str">
            <v>74267139</v>
          </cell>
        </row>
        <row r="10543">
          <cell r="L10543" t="str">
            <v>74268059</v>
          </cell>
        </row>
        <row r="10544">
          <cell r="L10544" t="str">
            <v>74272479</v>
          </cell>
        </row>
        <row r="10545">
          <cell r="L10545" t="str">
            <v>74276014</v>
          </cell>
        </row>
        <row r="10546">
          <cell r="L10546" t="str">
            <v>74276294</v>
          </cell>
        </row>
        <row r="10547">
          <cell r="L10547" t="str">
            <v>74276549</v>
          </cell>
        </row>
        <row r="10548">
          <cell r="L10548" t="str">
            <v>74276940</v>
          </cell>
        </row>
        <row r="10549">
          <cell r="L10549" t="str">
            <v>74280709</v>
          </cell>
        </row>
        <row r="10550">
          <cell r="L10550" t="str">
            <v>74282033</v>
          </cell>
        </row>
        <row r="10551">
          <cell r="L10551" t="str">
            <v>74282402</v>
          </cell>
        </row>
        <row r="10552">
          <cell r="L10552" t="str">
            <v>74283880</v>
          </cell>
        </row>
        <row r="10553">
          <cell r="L10553" t="str">
            <v>74284319</v>
          </cell>
        </row>
        <row r="10554">
          <cell r="L10554" t="str">
            <v>74284749</v>
          </cell>
        </row>
        <row r="10555">
          <cell r="L10555" t="str">
            <v>74285944</v>
          </cell>
        </row>
        <row r="10556">
          <cell r="L10556" t="str">
            <v>74286347</v>
          </cell>
        </row>
        <row r="10557">
          <cell r="L10557" t="str">
            <v>74288521</v>
          </cell>
        </row>
        <row r="10558">
          <cell r="L10558" t="str">
            <v>74288523</v>
          </cell>
        </row>
        <row r="10559">
          <cell r="L10559" t="str">
            <v>74288647</v>
          </cell>
        </row>
        <row r="10560">
          <cell r="L10560" t="str">
            <v>74297576</v>
          </cell>
        </row>
        <row r="10561">
          <cell r="L10561" t="str">
            <v>74297860</v>
          </cell>
        </row>
        <row r="10562">
          <cell r="L10562" t="str">
            <v>74159408</v>
          </cell>
        </row>
        <row r="10563">
          <cell r="L10563" t="str">
            <v>74221919</v>
          </cell>
        </row>
        <row r="10564">
          <cell r="L10564" t="str">
            <v>74273920</v>
          </cell>
        </row>
        <row r="10565">
          <cell r="L10565" t="str">
            <v>74291380</v>
          </cell>
        </row>
        <row r="10566">
          <cell r="L10566" t="str">
            <v>74296319</v>
          </cell>
        </row>
        <row r="10567">
          <cell r="L10567" t="str">
            <v>74304840</v>
          </cell>
        </row>
        <row r="10568">
          <cell r="L10568" t="str">
            <v>74305160</v>
          </cell>
        </row>
        <row r="10569">
          <cell r="L10569" t="str">
            <v>74310791</v>
          </cell>
        </row>
        <row r="10570">
          <cell r="L10570" t="str">
            <v>74072943</v>
          </cell>
        </row>
        <row r="10571">
          <cell r="L10571" t="str">
            <v>74118917</v>
          </cell>
        </row>
        <row r="10572">
          <cell r="L10572" t="str">
            <v>74185858</v>
          </cell>
        </row>
        <row r="10573">
          <cell r="L10573" t="str">
            <v>74223761</v>
          </cell>
        </row>
        <row r="10574">
          <cell r="L10574" t="str">
            <v>74231023</v>
          </cell>
        </row>
        <row r="10575">
          <cell r="L10575" t="str">
            <v>74273216</v>
          </cell>
        </row>
        <row r="10576">
          <cell r="L10576" t="str">
            <v>74273720</v>
          </cell>
        </row>
        <row r="10577">
          <cell r="L10577" t="str">
            <v>74277185</v>
          </cell>
        </row>
        <row r="10578">
          <cell r="L10578" t="str">
            <v>74280319</v>
          </cell>
        </row>
        <row r="10579">
          <cell r="L10579" t="str">
            <v>74293526</v>
          </cell>
        </row>
        <row r="10580">
          <cell r="L10580" t="str">
            <v>74294108</v>
          </cell>
        </row>
        <row r="10581">
          <cell r="L10581" t="str">
            <v>74306102</v>
          </cell>
        </row>
        <row r="10582">
          <cell r="L10582" t="str">
            <v>74217362</v>
          </cell>
        </row>
        <row r="10583">
          <cell r="L10583" t="str">
            <v>74205640</v>
          </cell>
        </row>
        <row r="10584">
          <cell r="L10584" t="str">
            <v>74198101</v>
          </cell>
        </row>
        <row r="10585">
          <cell r="L10585" t="str">
            <v>74203519</v>
          </cell>
        </row>
        <row r="10586">
          <cell r="L10586" t="str">
            <v>74226725</v>
          </cell>
        </row>
        <row r="10587">
          <cell r="L10587" t="str">
            <v>74251424</v>
          </cell>
        </row>
        <row r="10588">
          <cell r="L10588" t="str">
            <v>74268160</v>
          </cell>
        </row>
        <row r="10589">
          <cell r="L10589" t="str">
            <v>74224220</v>
          </cell>
        </row>
        <row r="10590">
          <cell r="L10590" t="str">
            <v>74225919</v>
          </cell>
        </row>
        <row r="10591">
          <cell r="L10591" t="str">
            <v>74208138</v>
          </cell>
        </row>
        <row r="10592">
          <cell r="L10592" t="str">
            <v>74153608</v>
          </cell>
        </row>
        <row r="10593">
          <cell r="L10593" t="str">
            <v>74145654</v>
          </cell>
        </row>
        <row r="10594">
          <cell r="L10594" t="str">
            <v>74153308</v>
          </cell>
        </row>
        <row r="10595">
          <cell r="L10595" t="str">
            <v>74165183</v>
          </cell>
        </row>
        <row r="10596">
          <cell r="L10596" t="str">
            <v>74171749</v>
          </cell>
        </row>
        <row r="10597">
          <cell r="L10597" t="str">
            <v>74195440</v>
          </cell>
        </row>
        <row r="10598">
          <cell r="L10598" t="str">
            <v>74197430</v>
          </cell>
        </row>
        <row r="10599">
          <cell r="L10599" t="str">
            <v>74200842</v>
          </cell>
        </row>
        <row r="10600">
          <cell r="L10600" t="str">
            <v>74204439</v>
          </cell>
        </row>
        <row r="10601">
          <cell r="L10601" t="str">
            <v>74214742</v>
          </cell>
        </row>
        <row r="10602">
          <cell r="L10602" t="str">
            <v>74219022</v>
          </cell>
        </row>
        <row r="10603">
          <cell r="L10603" t="str">
            <v>74219961</v>
          </cell>
        </row>
        <row r="10604">
          <cell r="L10604" t="str">
            <v>74224001</v>
          </cell>
        </row>
        <row r="10605">
          <cell r="L10605" t="str">
            <v>74234140</v>
          </cell>
        </row>
        <row r="10606">
          <cell r="L10606" t="str">
            <v>74234584</v>
          </cell>
        </row>
        <row r="10607">
          <cell r="L10607" t="str">
            <v>74238304</v>
          </cell>
        </row>
        <row r="10608">
          <cell r="L10608" t="str">
            <v>74240360</v>
          </cell>
        </row>
        <row r="10609">
          <cell r="L10609" t="str">
            <v>74240363</v>
          </cell>
        </row>
        <row r="10610">
          <cell r="L10610" t="str">
            <v>74240680</v>
          </cell>
        </row>
        <row r="10611">
          <cell r="L10611" t="str">
            <v>74241419</v>
          </cell>
        </row>
        <row r="10612">
          <cell r="L10612" t="str">
            <v>74245403</v>
          </cell>
        </row>
        <row r="10613">
          <cell r="L10613" t="str">
            <v>74248560</v>
          </cell>
        </row>
        <row r="10614">
          <cell r="L10614" t="str">
            <v>74258040</v>
          </cell>
        </row>
        <row r="10615">
          <cell r="L10615" t="str">
            <v>74260660</v>
          </cell>
        </row>
        <row r="10616">
          <cell r="L10616" t="str">
            <v>74262280</v>
          </cell>
        </row>
        <row r="10617">
          <cell r="L10617" t="str">
            <v>74262624</v>
          </cell>
        </row>
        <row r="10618">
          <cell r="L10618" t="str">
            <v>74263460</v>
          </cell>
        </row>
        <row r="10619">
          <cell r="L10619" t="str">
            <v>74266021</v>
          </cell>
        </row>
        <row r="10620">
          <cell r="L10620" t="str">
            <v>74267799</v>
          </cell>
        </row>
        <row r="10621">
          <cell r="L10621" t="str">
            <v>74268540</v>
          </cell>
        </row>
        <row r="10622">
          <cell r="L10622" t="str">
            <v>74273200</v>
          </cell>
        </row>
        <row r="10623">
          <cell r="L10623" t="str">
            <v>74273202</v>
          </cell>
        </row>
        <row r="10624">
          <cell r="L10624" t="str">
            <v>74275120</v>
          </cell>
        </row>
        <row r="10625">
          <cell r="L10625" t="str">
            <v>74275399</v>
          </cell>
        </row>
        <row r="10626">
          <cell r="L10626" t="str">
            <v>74275484</v>
          </cell>
        </row>
        <row r="10627">
          <cell r="L10627" t="str">
            <v>74275485</v>
          </cell>
        </row>
        <row r="10628">
          <cell r="L10628" t="str">
            <v>74275980</v>
          </cell>
        </row>
        <row r="10629">
          <cell r="L10629" t="str">
            <v>74276524</v>
          </cell>
        </row>
        <row r="10630">
          <cell r="L10630" t="str">
            <v>74283912</v>
          </cell>
        </row>
        <row r="10631">
          <cell r="L10631" t="str">
            <v>74285381</v>
          </cell>
        </row>
        <row r="10632">
          <cell r="L10632" t="str">
            <v>74290106</v>
          </cell>
        </row>
        <row r="10633">
          <cell r="L10633" t="str">
            <v>74290283</v>
          </cell>
        </row>
        <row r="10634">
          <cell r="L10634" t="str">
            <v>74290839</v>
          </cell>
        </row>
        <row r="10635">
          <cell r="L10635" t="str">
            <v>74292521</v>
          </cell>
        </row>
        <row r="10636">
          <cell r="L10636" t="str">
            <v>74294323</v>
          </cell>
        </row>
        <row r="10637">
          <cell r="L10637" t="str">
            <v>74301841</v>
          </cell>
        </row>
        <row r="10638">
          <cell r="L10638" t="str">
            <v>74308092</v>
          </cell>
        </row>
        <row r="10639">
          <cell r="L10639" t="str">
            <v>74312625</v>
          </cell>
        </row>
        <row r="10640">
          <cell r="L10640" t="str">
            <v>74312626</v>
          </cell>
        </row>
        <row r="10641">
          <cell r="L10641" t="str">
            <v>74315106</v>
          </cell>
        </row>
        <row r="10642">
          <cell r="L10642" t="str">
            <v>74322966</v>
          </cell>
        </row>
        <row r="10643">
          <cell r="L10643" t="str">
            <v>74194523</v>
          </cell>
        </row>
        <row r="10644">
          <cell r="L10644" t="str">
            <v>74229819</v>
          </cell>
        </row>
        <row r="10645">
          <cell r="L10645" t="str">
            <v>74104567</v>
          </cell>
        </row>
        <row r="10646">
          <cell r="L10646" t="str">
            <v>74107634</v>
          </cell>
        </row>
        <row r="10647">
          <cell r="L10647" t="str">
            <v>74130733</v>
          </cell>
        </row>
        <row r="10648">
          <cell r="L10648" t="str">
            <v>74138737</v>
          </cell>
        </row>
        <row r="10649">
          <cell r="L10649" t="str">
            <v>74139269</v>
          </cell>
        </row>
        <row r="10650">
          <cell r="L10650" t="str">
            <v>74145448</v>
          </cell>
        </row>
        <row r="10651">
          <cell r="L10651" t="str">
            <v>74145629</v>
          </cell>
        </row>
        <row r="10652">
          <cell r="L10652" t="str">
            <v>74149214</v>
          </cell>
        </row>
        <row r="10653">
          <cell r="L10653" t="str">
            <v>74151729</v>
          </cell>
        </row>
        <row r="10654">
          <cell r="L10654" t="str">
            <v>74155719</v>
          </cell>
        </row>
        <row r="10655">
          <cell r="L10655" t="str">
            <v>74155768</v>
          </cell>
        </row>
        <row r="10656">
          <cell r="L10656" t="str">
            <v>74156654</v>
          </cell>
        </row>
        <row r="10657">
          <cell r="L10657" t="str">
            <v>74162250</v>
          </cell>
        </row>
        <row r="10658">
          <cell r="L10658" t="str">
            <v>74164008</v>
          </cell>
        </row>
        <row r="10659">
          <cell r="L10659" t="str">
            <v>74171038</v>
          </cell>
        </row>
        <row r="10660">
          <cell r="L10660" t="str">
            <v>74171174</v>
          </cell>
        </row>
        <row r="10661">
          <cell r="L10661" t="str">
            <v>74171228</v>
          </cell>
        </row>
        <row r="10662">
          <cell r="L10662" t="str">
            <v>74171322</v>
          </cell>
        </row>
        <row r="10663">
          <cell r="L10663" t="str">
            <v>74171530</v>
          </cell>
        </row>
        <row r="10664">
          <cell r="L10664" t="str">
            <v>74171888</v>
          </cell>
        </row>
        <row r="10665">
          <cell r="L10665" t="str">
            <v>74177248</v>
          </cell>
        </row>
        <row r="10666">
          <cell r="L10666" t="str">
            <v>74177249</v>
          </cell>
        </row>
        <row r="10667">
          <cell r="L10667" t="str">
            <v>74182415</v>
          </cell>
        </row>
        <row r="10668">
          <cell r="L10668" t="str">
            <v>74182584</v>
          </cell>
        </row>
        <row r="10669">
          <cell r="L10669" t="str">
            <v>74184737</v>
          </cell>
        </row>
        <row r="10670">
          <cell r="L10670" t="str">
            <v>74188831</v>
          </cell>
        </row>
        <row r="10671">
          <cell r="L10671" t="str">
            <v>74189132</v>
          </cell>
        </row>
        <row r="10672">
          <cell r="L10672" t="str">
            <v>74190268</v>
          </cell>
        </row>
        <row r="10673">
          <cell r="L10673" t="str">
            <v>74191190</v>
          </cell>
        </row>
        <row r="10674">
          <cell r="L10674" t="str">
            <v>74192668</v>
          </cell>
        </row>
        <row r="10675">
          <cell r="L10675" t="str">
            <v>74193649</v>
          </cell>
        </row>
        <row r="10676">
          <cell r="L10676" t="str">
            <v>74195103</v>
          </cell>
        </row>
        <row r="10677">
          <cell r="L10677" t="str">
            <v>74196441</v>
          </cell>
        </row>
        <row r="10678">
          <cell r="L10678" t="str">
            <v>74199048</v>
          </cell>
        </row>
        <row r="10679">
          <cell r="L10679" t="str">
            <v>74199278</v>
          </cell>
        </row>
        <row r="10680">
          <cell r="L10680" t="str">
            <v>74199419</v>
          </cell>
        </row>
        <row r="10681">
          <cell r="L10681" t="str">
            <v>74200909</v>
          </cell>
        </row>
        <row r="10682">
          <cell r="L10682" t="str">
            <v>74201399</v>
          </cell>
        </row>
        <row r="10683">
          <cell r="L10683" t="str">
            <v>74202812</v>
          </cell>
        </row>
        <row r="10684">
          <cell r="L10684" t="str">
            <v>74204059</v>
          </cell>
        </row>
        <row r="10685">
          <cell r="L10685" t="str">
            <v>74204545</v>
          </cell>
        </row>
        <row r="10686">
          <cell r="L10686" t="str">
            <v>74205241</v>
          </cell>
        </row>
        <row r="10687">
          <cell r="L10687" t="str">
            <v>74206085</v>
          </cell>
        </row>
        <row r="10688">
          <cell r="L10688" t="str">
            <v>74206440</v>
          </cell>
        </row>
        <row r="10689">
          <cell r="L10689" t="str">
            <v>74207245</v>
          </cell>
        </row>
        <row r="10690">
          <cell r="L10690" t="str">
            <v>74208479</v>
          </cell>
        </row>
        <row r="10691">
          <cell r="L10691" t="str">
            <v>74209522</v>
          </cell>
        </row>
        <row r="10692">
          <cell r="L10692" t="str">
            <v>74209565</v>
          </cell>
        </row>
        <row r="10693">
          <cell r="L10693" t="str">
            <v>74213260</v>
          </cell>
        </row>
        <row r="10694">
          <cell r="L10694" t="str">
            <v>74214379</v>
          </cell>
        </row>
        <row r="10695">
          <cell r="L10695" t="str">
            <v>74215301</v>
          </cell>
        </row>
        <row r="10696">
          <cell r="L10696" t="str">
            <v>74218860</v>
          </cell>
        </row>
        <row r="10697">
          <cell r="L10697" t="str">
            <v>74220262</v>
          </cell>
        </row>
        <row r="10698">
          <cell r="L10698" t="str">
            <v>74224171</v>
          </cell>
        </row>
        <row r="10699">
          <cell r="L10699" t="str">
            <v>74224341</v>
          </cell>
        </row>
        <row r="10700">
          <cell r="L10700" t="str">
            <v>74225680</v>
          </cell>
        </row>
        <row r="10701">
          <cell r="L10701" t="str">
            <v>74232440</v>
          </cell>
        </row>
        <row r="10702">
          <cell r="L10702" t="str">
            <v>74233119</v>
          </cell>
        </row>
        <row r="10703">
          <cell r="L10703" t="str">
            <v>74233120</v>
          </cell>
        </row>
        <row r="10704">
          <cell r="L10704" t="str">
            <v>74233143</v>
          </cell>
        </row>
        <row r="10705">
          <cell r="L10705" t="str">
            <v>74233146</v>
          </cell>
        </row>
        <row r="10706">
          <cell r="L10706" t="str">
            <v>74233179</v>
          </cell>
        </row>
        <row r="10707">
          <cell r="L10707" t="str">
            <v>74233181</v>
          </cell>
        </row>
        <row r="10708">
          <cell r="L10708" t="str">
            <v>74233589</v>
          </cell>
        </row>
        <row r="10709">
          <cell r="L10709" t="str">
            <v>74240362</v>
          </cell>
        </row>
        <row r="10710">
          <cell r="L10710" t="str">
            <v>74245652</v>
          </cell>
        </row>
        <row r="10711">
          <cell r="L10711" t="str">
            <v>74250141</v>
          </cell>
        </row>
        <row r="10712">
          <cell r="L10712" t="str">
            <v>74253923</v>
          </cell>
        </row>
        <row r="10713">
          <cell r="L10713" t="str">
            <v>74255888</v>
          </cell>
        </row>
        <row r="10714">
          <cell r="L10714" t="str">
            <v>74280563</v>
          </cell>
        </row>
        <row r="10715">
          <cell r="L10715" t="str">
            <v>74280564</v>
          </cell>
        </row>
        <row r="10716">
          <cell r="L10716" t="str">
            <v>74304250</v>
          </cell>
        </row>
        <row r="10717">
          <cell r="L10717" t="str">
            <v>74310539</v>
          </cell>
        </row>
        <row r="10718">
          <cell r="L10718" t="str">
            <v>74281560</v>
          </cell>
        </row>
        <row r="10719">
          <cell r="L10719" t="str">
            <v>74069842</v>
          </cell>
        </row>
        <row r="10720">
          <cell r="L10720" t="str">
            <v>74098261</v>
          </cell>
        </row>
        <row r="10721">
          <cell r="L10721" t="str">
            <v>74119920</v>
          </cell>
        </row>
        <row r="10722">
          <cell r="L10722" t="str">
            <v>74147268</v>
          </cell>
        </row>
        <row r="10723">
          <cell r="L10723" t="str">
            <v>74149378</v>
          </cell>
        </row>
        <row r="10724">
          <cell r="L10724" t="str">
            <v>74171489</v>
          </cell>
        </row>
        <row r="10725">
          <cell r="L10725" t="str">
            <v>74171710</v>
          </cell>
        </row>
        <row r="10726">
          <cell r="L10726" t="str">
            <v>74184238</v>
          </cell>
        </row>
        <row r="10727">
          <cell r="L10727" t="str">
            <v>74195441</v>
          </cell>
        </row>
        <row r="10728">
          <cell r="L10728" t="str">
            <v>74195760</v>
          </cell>
        </row>
        <row r="10729">
          <cell r="L10729" t="str">
            <v>74208640</v>
          </cell>
        </row>
        <row r="10730">
          <cell r="L10730" t="str">
            <v>74211241</v>
          </cell>
        </row>
        <row r="10731">
          <cell r="L10731" t="str">
            <v>74215383</v>
          </cell>
        </row>
        <row r="10732">
          <cell r="L10732" t="str">
            <v>74216502</v>
          </cell>
        </row>
        <row r="10733">
          <cell r="L10733" t="str">
            <v>74220119</v>
          </cell>
        </row>
        <row r="10734">
          <cell r="L10734" t="str">
            <v>74238240</v>
          </cell>
        </row>
        <row r="10735">
          <cell r="L10735" t="str">
            <v>74241739</v>
          </cell>
        </row>
        <row r="10736">
          <cell r="L10736" t="str">
            <v>74245659</v>
          </cell>
        </row>
        <row r="10737">
          <cell r="L10737" t="str">
            <v>74245661</v>
          </cell>
        </row>
        <row r="10738">
          <cell r="L10738" t="str">
            <v>74251283</v>
          </cell>
        </row>
        <row r="10739">
          <cell r="L10739" t="str">
            <v>74252580</v>
          </cell>
        </row>
        <row r="10740">
          <cell r="L10740" t="str">
            <v>74259160</v>
          </cell>
        </row>
        <row r="10741">
          <cell r="L10741" t="str">
            <v>74265507</v>
          </cell>
        </row>
        <row r="10742">
          <cell r="L10742" t="str">
            <v>74266500</v>
          </cell>
        </row>
        <row r="10743">
          <cell r="L10743" t="str">
            <v>74266882</v>
          </cell>
        </row>
        <row r="10744">
          <cell r="L10744" t="str">
            <v>74268519</v>
          </cell>
        </row>
        <row r="10745">
          <cell r="L10745" t="str">
            <v>74271663</v>
          </cell>
        </row>
        <row r="10746">
          <cell r="L10746" t="str">
            <v>74273565</v>
          </cell>
        </row>
        <row r="10747">
          <cell r="L10747" t="str">
            <v>74276979</v>
          </cell>
        </row>
        <row r="10748">
          <cell r="L10748" t="str">
            <v>74277900</v>
          </cell>
        </row>
        <row r="10749">
          <cell r="L10749" t="str">
            <v>74280840</v>
          </cell>
        </row>
        <row r="10750">
          <cell r="L10750" t="str">
            <v>74282749</v>
          </cell>
        </row>
        <row r="10751">
          <cell r="L10751" t="str">
            <v>74283935</v>
          </cell>
        </row>
        <row r="10752">
          <cell r="L10752" t="str">
            <v>74286140</v>
          </cell>
        </row>
        <row r="10753">
          <cell r="L10753" t="str">
            <v>74286351</v>
          </cell>
        </row>
        <row r="10754">
          <cell r="L10754" t="str">
            <v>74129906</v>
          </cell>
        </row>
        <row r="10755">
          <cell r="L10755" t="str">
            <v>74158912</v>
          </cell>
        </row>
        <row r="10756">
          <cell r="L10756" t="str">
            <v>74159371</v>
          </cell>
        </row>
        <row r="10757">
          <cell r="L10757" t="str">
            <v>74159508</v>
          </cell>
        </row>
        <row r="10758">
          <cell r="L10758" t="str">
            <v>74160741</v>
          </cell>
        </row>
        <row r="10759">
          <cell r="L10759" t="str">
            <v>74171369</v>
          </cell>
        </row>
        <row r="10760">
          <cell r="L10760" t="str">
            <v>74179532</v>
          </cell>
        </row>
        <row r="10761">
          <cell r="L10761" t="str">
            <v>74179533</v>
          </cell>
        </row>
        <row r="10762">
          <cell r="L10762" t="str">
            <v>74181739</v>
          </cell>
        </row>
        <row r="10763">
          <cell r="L10763" t="str">
            <v>74199829</v>
          </cell>
        </row>
        <row r="10764">
          <cell r="L10764" t="str">
            <v>74200781</v>
          </cell>
        </row>
        <row r="10765">
          <cell r="L10765" t="str">
            <v>74208423</v>
          </cell>
        </row>
        <row r="10766">
          <cell r="L10766" t="str">
            <v>74213785</v>
          </cell>
        </row>
        <row r="10767">
          <cell r="L10767" t="str">
            <v>74224481</v>
          </cell>
        </row>
        <row r="10768">
          <cell r="L10768" t="str">
            <v>74232600</v>
          </cell>
        </row>
        <row r="10769">
          <cell r="L10769" t="str">
            <v>74236134</v>
          </cell>
        </row>
        <row r="10770">
          <cell r="L10770" t="str">
            <v>74239026</v>
          </cell>
        </row>
        <row r="10771">
          <cell r="L10771" t="str">
            <v>74242283</v>
          </cell>
        </row>
        <row r="10772">
          <cell r="L10772" t="str">
            <v>74242800</v>
          </cell>
        </row>
        <row r="10773">
          <cell r="L10773" t="str">
            <v>74246362</v>
          </cell>
        </row>
        <row r="10774">
          <cell r="L10774" t="str">
            <v>74246760</v>
          </cell>
        </row>
        <row r="10775">
          <cell r="L10775" t="str">
            <v>74250043</v>
          </cell>
        </row>
        <row r="10776">
          <cell r="L10776" t="str">
            <v>74252228</v>
          </cell>
        </row>
        <row r="10777">
          <cell r="L10777" t="str">
            <v>74252445</v>
          </cell>
        </row>
        <row r="10778">
          <cell r="L10778" t="str">
            <v>74252447</v>
          </cell>
        </row>
        <row r="10779">
          <cell r="L10779" t="str">
            <v>74252460</v>
          </cell>
        </row>
        <row r="10780">
          <cell r="L10780" t="str">
            <v>74253080</v>
          </cell>
        </row>
        <row r="10781">
          <cell r="L10781" t="str">
            <v>74253100</v>
          </cell>
        </row>
        <row r="10782">
          <cell r="L10782" t="str">
            <v>74254882</v>
          </cell>
        </row>
        <row r="10783">
          <cell r="L10783" t="str">
            <v>74255342</v>
          </cell>
        </row>
        <row r="10784">
          <cell r="L10784" t="str">
            <v>74258899</v>
          </cell>
        </row>
        <row r="10785">
          <cell r="L10785" t="str">
            <v>74260424</v>
          </cell>
        </row>
        <row r="10786">
          <cell r="L10786" t="str">
            <v>74264260</v>
          </cell>
        </row>
        <row r="10787">
          <cell r="L10787" t="str">
            <v>74264421</v>
          </cell>
        </row>
        <row r="10788">
          <cell r="L10788" t="str">
            <v>74265559</v>
          </cell>
        </row>
        <row r="10789">
          <cell r="L10789" t="str">
            <v>74265862</v>
          </cell>
        </row>
        <row r="10790">
          <cell r="L10790" t="str">
            <v>74266499</v>
          </cell>
        </row>
        <row r="10791">
          <cell r="L10791" t="str">
            <v>74266784</v>
          </cell>
        </row>
        <row r="10792">
          <cell r="L10792" t="str">
            <v>74267359</v>
          </cell>
        </row>
        <row r="10793">
          <cell r="L10793" t="str">
            <v>74271279</v>
          </cell>
        </row>
        <row r="10794">
          <cell r="L10794" t="str">
            <v>74272059</v>
          </cell>
        </row>
        <row r="10795">
          <cell r="L10795" t="str">
            <v>74273682</v>
          </cell>
        </row>
        <row r="10796">
          <cell r="L10796" t="str">
            <v>74274607</v>
          </cell>
        </row>
        <row r="10797">
          <cell r="L10797" t="str">
            <v>74275465</v>
          </cell>
        </row>
        <row r="10798">
          <cell r="L10798" t="str">
            <v>74280726</v>
          </cell>
        </row>
        <row r="10799">
          <cell r="L10799" t="str">
            <v>74280744</v>
          </cell>
        </row>
        <row r="10800">
          <cell r="L10800" t="str">
            <v>74282599</v>
          </cell>
        </row>
        <row r="10801">
          <cell r="L10801" t="str">
            <v>74285704</v>
          </cell>
        </row>
        <row r="10802">
          <cell r="L10802" t="str">
            <v>74285710</v>
          </cell>
        </row>
        <row r="10803">
          <cell r="L10803" t="str">
            <v>74286407</v>
          </cell>
        </row>
        <row r="10804">
          <cell r="L10804" t="str">
            <v>74286542</v>
          </cell>
        </row>
        <row r="10805">
          <cell r="L10805" t="str">
            <v>74286959</v>
          </cell>
        </row>
        <row r="10806">
          <cell r="L10806" t="str">
            <v>74289465</v>
          </cell>
        </row>
        <row r="10807">
          <cell r="L10807" t="str">
            <v>74291903</v>
          </cell>
        </row>
        <row r="10808">
          <cell r="L10808" t="str">
            <v>74291983</v>
          </cell>
        </row>
        <row r="10809">
          <cell r="L10809" t="str">
            <v>74292181</v>
          </cell>
        </row>
        <row r="10810">
          <cell r="L10810" t="str">
            <v>74293420</v>
          </cell>
        </row>
        <row r="10811">
          <cell r="L10811" t="str">
            <v>74293981</v>
          </cell>
        </row>
        <row r="10812">
          <cell r="L10812" t="str">
            <v>74294959</v>
          </cell>
        </row>
        <row r="10813">
          <cell r="L10813" t="str">
            <v>74295321</v>
          </cell>
        </row>
        <row r="10814">
          <cell r="L10814" t="str">
            <v>74295645</v>
          </cell>
        </row>
        <row r="10815">
          <cell r="L10815" t="str">
            <v>74295652</v>
          </cell>
        </row>
        <row r="10816">
          <cell r="L10816" t="str">
            <v>74298020</v>
          </cell>
        </row>
        <row r="10817">
          <cell r="L10817" t="str">
            <v>74300488</v>
          </cell>
        </row>
        <row r="10818">
          <cell r="L10818" t="str">
            <v>74300600</v>
          </cell>
        </row>
        <row r="10819">
          <cell r="L10819" t="str">
            <v>74300618</v>
          </cell>
        </row>
        <row r="10820">
          <cell r="L10820" t="str">
            <v>74301689</v>
          </cell>
        </row>
        <row r="10821">
          <cell r="L10821" t="str">
            <v>74305602</v>
          </cell>
        </row>
        <row r="10822">
          <cell r="L10822" t="str">
            <v>74307263</v>
          </cell>
        </row>
        <row r="10823">
          <cell r="L10823" t="str">
            <v>74308940</v>
          </cell>
        </row>
        <row r="10824">
          <cell r="L10824" t="str">
            <v>74310219</v>
          </cell>
        </row>
        <row r="10825">
          <cell r="L10825" t="str">
            <v>74310323</v>
          </cell>
        </row>
        <row r="10826">
          <cell r="L10826" t="str">
            <v>74310919</v>
          </cell>
        </row>
        <row r="10827">
          <cell r="L10827" t="str">
            <v>74311572</v>
          </cell>
        </row>
        <row r="10828">
          <cell r="L10828" t="str">
            <v>74313622</v>
          </cell>
        </row>
        <row r="10829">
          <cell r="L10829" t="str">
            <v>74314829</v>
          </cell>
        </row>
        <row r="10830">
          <cell r="L10830" t="str">
            <v>74315346</v>
          </cell>
        </row>
        <row r="10831">
          <cell r="L10831" t="str">
            <v>74321920</v>
          </cell>
        </row>
        <row r="10832">
          <cell r="L10832" t="str">
            <v>74323381</v>
          </cell>
        </row>
        <row r="10833">
          <cell r="L10833" t="str">
            <v>74323382</v>
          </cell>
        </row>
        <row r="10834">
          <cell r="L10834" t="str">
            <v>74059319</v>
          </cell>
        </row>
        <row r="10835">
          <cell r="L10835" t="str">
            <v>74117299</v>
          </cell>
        </row>
        <row r="10836">
          <cell r="L10836" t="str">
            <v>74119508</v>
          </cell>
        </row>
        <row r="10837">
          <cell r="L10837" t="str">
            <v>74119528</v>
          </cell>
        </row>
        <row r="10838">
          <cell r="L10838" t="str">
            <v>74124388</v>
          </cell>
        </row>
        <row r="10839">
          <cell r="L10839" t="str">
            <v>74125691</v>
          </cell>
        </row>
        <row r="10840">
          <cell r="L10840" t="str">
            <v>74126095</v>
          </cell>
        </row>
        <row r="10841">
          <cell r="L10841" t="str">
            <v>74145032</v>
          </cell>
        </row>
        <row r="10842">
          <cell r="L10842" t="str">
            <v>74150714</v>
          </cell>
        </row>
        <row r="10843">
          <cell r="L10843" t="str">
            <v>74152845</v>
          </cell>
        </row>
        <row r="10844">
          <cell r="L10844" t="str">
            <v>74153275</v>
          </cell>
        </row>
        <row r="10845">
          <cell r="L10845" t="str">
            <v>74156633</v>
          </cell>
        </row>
        <row r="10846">
          <cell r="L10846" t="str">
            <v>74156649</v>
          </cell>
        </row>
        <row r="10847">
          <cell r="L10847" t="str">
            <v>74159830</v>
          </cell>
        </row>
        <row r="10848">
          <cell r="L10848" t="str">
            <v>74160957</v>
          </cell>
        </row>
        <row r="10849">
          <cell r="L10849" t="str">
            <v>74160962</v>
          </cell>
        </row>
        <row r="10850">
          <cell r="L10850" t="str">
            <v>74162509</v>
          </cell>
        </row>
        <row r="10851">
          <cell r="L10851" t="str">
            <v>74164892</v>
          </cell>
        </row>
        <row r="10852">
          <cell r="L10852" t="str">
            <v>74167433</v>
          </cell>
        </row>
        <row r="10853">
          <cell r="L10853" t="str">
            <v>74169352</v>
          </cell>
        </row>
        <row r="10854">
          <cell r="L10854" t="str">
            <v>74171689</v>
          </cell>
        </row>
        <row r="10855">
          <cell r="L10855" t="str">
            <v>74172328</v>
          </cell>
        </row>
        <row r="10856">
          <cell r="L10856" t="str">
            <v>74173043</v>
          </cell>
        </row>
        <row r="10857">
          <cell r="L10857" t="str">
            <v>74176761</v>
          </cell>
        </row>
        <row r="10858">
          <cell r="L10858" t="str">
            <v>74179228</v>
          </cell>
        </row>
        <row r="10859">
          <cell r="L10859" t="str">
            <v>74179530</v>
          </cell>
        </row>
        <row r="10860">
          <cell r="L10860" t="str">
            <v>74181728</v>
          </cell>
        </row>
        <row r="10861">
          <cell r="L10861" t="str">
            <v>74181738</v>
          </cell>
        </row>
        <row r="10862">
          <cell r="L10862" t="str">
            <v>74182253</v>
          </cell>
        </row>
        <row r="10863">
          <cell r="L10863" t="str">
            <v>74183678</v>
          </cell>
        </row>
        <row r="10864">
          <cell r="L10864" t="str">
            <v>74184770</v>
          </cell>
        </row>
        <row r="10865">
          <cell r="L10865" t="str">
            <v>74184780</v>
          </cell>
        </row>
        <row r="10866">
          <cell r="L10866" t="str">
            <v>74185158</v>
          </cell>
        </row>
        <row r="10867">
          <cell r="L10867" t="str">
            <v>74185649</v>
          </cell>
        </row>
        <row r="10868">
          <cell r="L10868" t="str">
            <v>74185970</v>
          </cell>
        </row>
        <row r="10869">
          <cell r="L10869" t="str">
            <v>74186492</v>
          </cell>
        </row>
        <row r="10870">
          <cell r="L10870" t="str">
            <v>74188850</v>
          </cell>
        </row>
        <row r="10871">
          <cell r="L10871" t="str">
            <v>74189889</v>
          </cell>
        </row>
        <row r="10872">
          <cell r="L10872" t="str">
            <v>74189988</v>
          </cell>
        </row>
        <row r="10873">
          <cell r="L10873" t="str">
            <v>74190989</v>
          </cell>
        </row>
        <row r="10874">
          <cell r="L10874" t="str">
            <v>74190990</v>
          </cell>
        </row>
        <row r="10875">
          <cell r="L10875" t="str">
            <v>74192258</v>
          </cell>
        </row>
        <row r="10876">
          <cell r="L10876" t="str">
            <v>74193304</v>
          </cell>
        </row>
        <row r="10877">
          <cell r="L10877" t="str">
            <v>74193805</v>
          </cell>
        </row>
        <row r="10878">
          <cell r="L10878" t="str">
            <v>74194341</v>
          </cell>
        </row>
        <row r="10879">
          <cell r="L10879" t="str">
            <v>74195240</v>
          </cell>
        </row>
        <row r="10880">
          <cell r="L10880" t="str">
            <v>74195308</v>
          </cell>
        </row>
        <row r="10881">
          <cell r="L10881" t="str">
            <v>74195561</v>
          </cell>
        </row>
        <row r="10882">
          <cell r="L10882" t="str">
            <v>74196503</v>
          </cell>
        </row>
        <row r="10883">
          <cell r="L10883" t="str">
            <v>74199201</v>
          </cell>
        </row>
        <row r="10884">
          <cell r="L10884" t="str">
            <v>74201043</v>
          </cell>
        </row>
        <row r="10885">
          <cell r="L10885" t="str">
            <v>74201575</v>
          </cell>
        </row>
        <row r="10886">
          <cell r="L10886" t="str">
            <v>74201576</v>
          </cell>
        </row>
        <row r="10887">
          <cell r="L10887" t="str">
            <v>74202326</v>
          </cell>
        </row>
        <row r="10888">
          <cell r="L10888" t="str">
            <v>74202519</v>
          </cell>
        </row>
        <row r="10889">
          <cell r="L10889" t="str">
            <v>74203262</v>
          </cell>
        </row>
        <row r="10890">
          <cell r="L10890" t="str">
            <v>74203842</v>
          </cell>
        </row>
        <row r="10891">
          <cell r="L10891" t="str">
            <v>74205060</v>
          </cell>
        </row>
        <row r="10892">
          <cell r="L10892" t="str">
            <v>74205061</v>
          </cell>
        </row>
        <row r="10893">
          <cell r="L10893" t="str">
            <v>74205401</v>
          </cell>
        </row>
        <row r="10894">
          <cell r="L10894" t="str">
            <v>74205404</v>
          </cell>
        </row>
        <row r="10895">
          <cell r="L10895" t="str">
            <v>74205405</v>
          </cell>
        </row>
        <row r="10896">
          <cell r="L10896" t="str">
            <v>74206839</v>
          </cell>
        </row>
        <row r="10897">
          <cell r="L10897" t="str">
            <v>74206988</v>
          </cell>
        </row>
        <row r="10898">
          <cell r="L10898" t="str">
            <v>74208448</v>
          </cell>
        </row>
        <row r="10899">
          <cell r="L10899" t="str">
            <v>74210066</v>
          </cell>
        </row>
        <row r="10900">
          <cell r="L10900" t="str">
            <v>74210540</v>
          </cell>
        </row>
        <row r="10901">
          <cell r="L10901" t="str">
            <v>74214097</v>
          </cell>
        </row>
        <row r="10902">
          <cell r="L10902" t="str">
            <v>74214424</v>
          </cell>
        </row>
        <row r="10903">
          <cell r="L10903" t="str">
            <v>74214462</v>
          </cell>
        </row>
        <row r="10904">
          <cell r="L10904" t="str">
            <v>74214800</v>
          </cell>
        </row>
        <row r="10905">
          <cell r="L10905" t="str">
            <v>74215839</v>
          </cell>
        </row>
        <row r="10906">
          <cell r="L10906" t="str">
            <v>74216199</v>
          </cell>
        </row>
        <row r="10907">
          <cell r="L10907" t="str">
            <v>74221041</v>
          </cell>
        </row>
        <row r="10908">
          <cell r="L10908" t="str">
            <v>74224339</v>
          </cell>
        </row>
        <row r="10909">
          <cell r="L10909" t="str">
            <v>74225079</v>
          </cell>
        </row>
        <row r="10910">
          <cell r="L10910" t="str">
            <v>74229122</v>
          </cell>
        </row>
        <row r="10911">
          <cell r="L10911" t="str">
            <v>74232603</v>
          </cell>
        </row>
        <row r="10912">
          <cell r="L10912" t="str">
            <v>74235199</v>
          </cell>
        </row>
        <row r="10913">
          <cell r="L10913" t="str">
            <v>74237902</v>
          </cell>
        </row>
        <row r="10914">
          <cell r="L10914" t="str">
            <v>74238403</v>
          </cell>
        </row>
        <row r="10915">
          <cell r="L10915" t="str">
            <v>74238404</v>
          </cell>
        </row>
        <row r="10916">
          <cell r="L10916" t="str">
            <v>74243182</v>
          </cell>
        </row>
        <row r="10917">
          <cell r="L10917" t="str">
            <v>74244939</v>
          </cell>
        </row>
        <row r="10918">
          <cell r="L10918" t="str">
            <v>74244940</v>
          </cell>
        </row>
        <row r="10919">
          <cell r="L10919" t="str">
            <v>74247642</v>
          </cell>
        </row>
        <row r="10920">
          <cell r="L10920" t="str">
            <v>74254321</v>
          </cell>
        </row>
        <row r="10921">
          <cell r="L10921" t="str">
            <v>74256140</v>
          </cell>
        </row>
        <row r="10922">
          <cell r="L10922" t="str">
            <v>74258362</v>
          </cell>
        </row>
        <row r="10923">
          <cell r="L10923" t="str">
            <v>74264902</v>
          </cell>
        </row>
        <row r="10924">
          <cell r="L10924" t="str">
            <v>74268060</v>
          </cell>
        </row>
        <row r="10925">
          <cell r="L10925" t="str">
            <v>74286319</v>
          </cell>
        </row>
        <row r="10926">
          <cell r="L10926" t="str">
            <v>74311561</v>
          </cell>
        </row>
        <row r="10927">
          <cell r="L10927" t="str">
            <v>74315999</v>
          </cell>
        </row>
        <row r="10928">
          <cell r="L10928" t="str">
            <v>74152930</v>
          </cell>
        </row>
        <row r="10929">
          <cell r="L10929" t="str">
            <v>74133425</v>
          </cell>
        </row>
        <row r="10930">
          <cell r="L10930" t="str">
            <v>74082232</v>
          </cell>
        </row>
        <row r="10931">
          <cell r="L10931" t="str">
            <v>74126712</v>
          </cell>
        </row>
        <row r="10932">
          <cell r="L10932" t="str">
            <v>74137608</v>
          </cell>
        </row>
        <row r="10933">
          <cell r="L10933" t="str">
            <v>74148191</v>
          </cell>
        </row>
        <row r="10934">
          <cell r="L10934" t="str">
            <v>74158450</v>
          </cell>
        </row>
        <row r="10935">
          <cell r="L10935" t="str">
            <v>74163310</v>
          </cell>
        </row>
        <row r="10936">
          <cell r="L10936" t="str">
            <v>74182374</v>
          </cell>
        </row>
        <row r="10937">
          <cell r="L10937" t="str">
            <v>74188963</v>
          </cell>
        </row>
        <row r="10938">
          <cell r="L10938" t="str">
            <v>74195339</v>
          </cell>
        </row>
        <row r="10939">
          <cell r="L10939" t="str">
            <v>74205260</v>
          </cell>
        </row>
        <row r="10940">
          <cell r="L10940" t="str">
            <v>74206989</v>
          </cell>
        </row>
        <row r="10941">
          <cell r="L10941" t="str">
            <v>74207799</v>
          </cell>
        </row>
        <row r="10942">
          <cell r="L10942" t="str">
            <v>74207800</v>
          </cell>
        </row>
        <row r="10943">
          <cell r="L10943" t="str">
            <v>74212642</v>
          </cell>
        </row>
        <row r="10944">
          <cell r="L10944" t="str">
            <v>74214802</v>
          </cell>
        </row>
        <row r="10945">
          <cell r="L10945" t="str">
            <v>74221622</v>
          </cell>
        </row>
        <row r="10946">
          <cell r="L10946" t="str">
            <v>74224340</v>
          </cell>
        </row>
        <row r="10947">
          <cell r="L10947" t="str">
            <v>74225301</v>
          </cell>
        </row>
        <row r="10948">
          <cell r="L10948" t="str">
            <v>74244583</v>
          </cell>
        </row>
        <row r="10949">
          <cell r="L10949" t="str">
            <v>74248902</v>
          </cell>
        </row>
        <row r="10950">
          <cell r="L10950" t="str">
            <v>74249739</v>
          </cell>
        </row>
        <row r="10951">
          <cell r="L10951" t="str">
            <v>74251299</v>
          </cell>
        </row>
        <row r="10952">
          <cell r="L10952" t="str">
            <v>74251301</v>
          </cell>
        </row>
        <row r="10953">
          <cell r="L10953" t="str">
            <v>74252630</v>
          </cell>
        </row>
        <row r="10954">
          <cell r="L10954" t="str">
            <v>74252631</v>
          </cell>
        </row>
        <row r="10955">
          <cell r="L10955" t="str">
            <v>74252839</v>
          </cell>
        </row>
        <row r="10956">
          <cell r="L10956" t="str">
            <v>74253382</v>
          </cell>
        </row>
        <row r="10957">
          <cell r="L10957" t="str">
            <v>74253604</v>
          </cell>
        </row>
        <row r="10958">
          <cell r="L10958" t="str">
            <v>74253605</v>
          </cell>
        </row>
        <row r="10959">
          <cell r="L10959" t="str">
            <v>74254763</v>
          </cell>
        </row>
        <row r="10960">
          <cell r="L10960" t="str">
            <v>74255889</v>
          </cell>
        </row>
        <row r="10961">
          <cell r="L10961" t="str">
            <v>74258659</v>
          </cell>
        </row>
        <row r="10962">
          <cell r="L10962" t="str">
            <v>74259279</v>
          </cell>
        </row>
        <row r="10963">
          <cell r="L10963" t="str">
            <v>74261919</v>
          </cell>
        </row>
        <row r="10964">
          <cell r="L10964" t="str">
            <v>74264301</v>
          </cell>
        </row>
        <row r="10965">
          <cell r="L10965" t="str">
            <v>74264303</v>
          </cell>
        </row>
        <row r="10966">
          <cell r="L10966" t="str">
            <v>74265340</v>
          </cell>
        </row>
        <row r="10967">
          <cell r="L10967" t="str">
            <v>74265545</v>
          </cell>
        </row>
        <row r="10968">
          <cell r="L10968" t="str">
            <v>74265926</v>
          </cell>
        </row>
        <row r="10969">
          <cell r="L10969" t="str">
            <v>74266740</v>
          </cell>
        </row>
        <row r="10970">
          <cell r="L10970" t="str">
            <v>74266746</v>
          </cell>
        </row>
        <row r="10971">
          <cell r="L10971" t="str">
            <v>74270082</v>
          </cell>
        </row>
        <row r="10972">
          <cell r="L10972" t="str">
            <v>74272499</v>
          </cell>
        </row>
        <row r="10973">
          <cell r="L10973" t="str">
            <v>74273919</v>
          </cell>
        </row>
        <row r="10974">
          <cell r="L10974" t="str">
            <v>74275004</v>
          </cell>
        </row>
        <row r="10975">
          <cell r="L10975" t="str">
            <v>74275479</v>
          </cell>
        </row>
        <row r="10976">
          <cell r="L10976" t="str">
            <v>74276296</v>
          </cell>
        </row>
        <row r="10977">
          <cell r="L10977" t="str">
            <v>74276845</v>
          </cell>
        </row>
        <row r="10978">
          <cell r="L10978" t="str">
            <v>74276849</v>
          </cell>
        </row>
        <row r="10979">
          <cell r="L10979" t="str">
            <v>74277883</v>
          </cell>
        </row>
        <row r="10980">
          <cell r="L10980" t="str">
            <v>74277901</v>
          </cell>
        </row>
        <row r="10981">
          <cell r="L10981" t="str">
            <v>74280150</v>
          </cell>
        </row>
        <row r="10982">
          <cell r="L10982" t="str">
            <v>74280382</v>
          </cell>
        </row>
        <row r="10983">
          <cell r="L10983" t="str">
            <v>74280565</v>
          </cell>
        </row>
        <row r="10984">
          <cell r="L10984" t="str">
            <v>74281044</v>
          </cell>
        </row>
        <row r="10985">
          <cell r="L10985" t="str">
            <v>74281739</v>
          </cell>
        </row>
        <row r="10986">
          <cell r="L10986" t="str">
            <v>74282600</v>
          </cell>
        </row>
        <row r="10987">
          <cell r="L10987" t="str">
            <v>74286879</v>
          </cell>
        </row>
        <row r="10988">
          <cell r="L10988" t="str">
            <v>74290060</v>
          </cell>
        </row>
        <row r="10989">
          <cell r="L10989" t="str">
            <v>74293900</v>
          </cell>
        </row>
        <row r="10990">
          <cell r="L10990" t="str">
            <v>74294060</v>
          </cell>
        </row>
        <row r="10991">
          <cell r="L10991" t="str">
            <v>74294220</v>
          </cell>
        </row>
        <row r="10992">
          <cell r="L10992" t="str">
            <v>74295649</v>
          </cell>
        </row>
        <row r="10993">
          <cell r="L10993" t="str">
            <v>74296162</v>
          </cell>
        </row>
        <row r="10994">
          <cell r="L10994" t="str">
            <v>74296600</v>
          </cell>
        </row>
        <row r="10995">
          <cell r="L10995" t="str">
            <v>74297323</v>
          </cell>
        </row>
        <row r="10996">
          <cell r="L10996" t="str">
            <v>74298061</v>
          </cell>
        </row>
        <row r="10997">
          <cell r="L10997" t="str">
            <v>74299639</v>
          </cell>
        </row>
        <row r="10998">
          <cell r="L10998" t="str">
            <v>74300493</v>
          </cell>
        </row>
        <row r="10999">
          <cell r="L10999" t="str">
            <v>74304683</v>
          </cell>
        </row>
        <row r="11000">
          <cell r="L11000" t="str">
            <v>74310185</v>
          </cell>
        </row>
        <row r="11001">
          <cell r="L11001" t="str">
            <v>74147500</v>
          </cell>
        </row>
        <row r="11002">
          <cell r="L11002" t="str">
            <v>74151349</v>
          </cell>
        </row>
        <row r="11003">
          <cell r="L11003" t="str">
            <v>74193010</v>
          </cell>
        </row>
        <row r="11004">
          <cell r="L11004" t="str">
            <v>74205147</v>
          </cell>
        </row>
        <row r="11005">
          <cell r="L11005" t="str">
            <v>74208602</v>
          </cell>
        </row>
        <row r="11006">
          <cell r="L11006" t="str">
            <v>74217530</v>
          </cell>
        </row>
        <row r="11007">
          <cell r="L11007" t="str">
            <v>74222405</v>
          </cell>
        </row>
        <row r="11008">
          <cell r="L11008" t="str">
            <v>74226370</v>
          </cell>
        </row>
        <row r="11009">
          <cell r="L11009" t="str">
            <v>74227697</v>
          </cell>
        </row>
        <row r="11010">
          <cell r="L11010" t="str">
            <v>74229679</v>
          </cell>
        </row>
        <row r="11011">
          <cell r="L11011" t="str">
            <v>74232378</v>
          </cell>
        </row>
        <row r="11012">
          <cell r="L11012" t="str">
            <v>74233780</v>
          </cell>
        </row>
        <row r="11013">
          <cell r="L11013" t="str">
            <v>74234369</v>
          </cell>
        </row>
        <row r="11014">
          <cell r="L11014" t="str">
            <v>74235212</v>
          </cell>
        </row>
        <row r="11015">
          <cell r="L11015" t="str">
            <v>74235643</v>
          </cell>
        </row>
        <row r="11016">
          <cell r="L11016" t="str">
            <v>74236219</v>
          </cell>
        </row>
        <row r="11017">
          <cell r="L11017" t="str">
            <v>74236725</v>
          </cell>
        </row>
        <row r="11018">
          <cell r="L11018" t="str">
            <v>74236730</v>
          </cell>
        </row>
        <row r="11019">
          <cell r="L11019" t="str">
            <v>74236734</v>
          </cell>
        </row>
        <row r="11020">
          <cell r="L11020" t="str">
            <v>74236737</v>
          </cell>
        </row>
        <row r="11021">
          <cell r="L11021" t="str">
            <v>74236740</v>
          </cell>
        </row>
        <row r="11022">
          <cell r="L11022" t="str">
            <v>74236759</v>
          </cell>
        </row>
        <row r="11023">
          <cell r="L11023" t="str">
            <v>74236764</v>
          </cell>
        </row>
        <row r="11024">
          <cell r="L11024" t="str">
            <v>74237489</v>
          </cell>
        </row>
        <row r="11025">
          <cell r="L11025" t="str">
            <v>74238564</v>
          </cell>
        </row>
        <row r="11026">
          <cell r="L11026" t="str">
            <v>74239226</v>
          </cell>
        </row>
        <row r="11027">
          <cell r="L11027" t="str">
            <v>74239540</v>
          </cell>
        </row>
        <row r="11028">
          <cell r="L11028" t="str">
            <v>74240205</v>
          </cell>
        </row>
        <row r="11029">
          <cell r="L11029" t="str">
            <v>74240207</v>
          </cell>
        </row>
        <row r="11030">
          <cell r="L11030" t="str">
            <v>74241854</v>
          </cell>
        </row>
        <row r="11031">
          <cell r="L11031" t="str">
            <v>74241868</v>
          </cell>
        </row>
        <row r="11032">
          <cell r="L11032" t="str">
            <v>74243305</v>
          </cell>
        </row>
        <row r="11033">
          <cell r="L11033" t="str">
            <v>74243307</v>
          </cell>
        </row>
        <row r="11034">
          <cell r="L11034" t="str">
            <v>74243366</v>
          </cell>
        </row>
        <row r="11035">
          <cell r="L11035" t="str">
            <v>74244520</v>
          </cell>
        </row>
        <row r="11036">
          <cell r="L11036" t="str">
            <v>74245440</v>
          </cell>
        </row>
        <row r="11037">
          <cell r="L11037" t="str">
            <v>74245461</v>
          </cell>
        </row>
        <row r="11038">
          <cell r="L11038" t="str">
            <v>74245620</v>
          </cell>
        </row>
        <row r="11039">
          <cell r="L11039" t="str">
            <v>74246359</v>
          </cell>
        </row>
        <row r="11040">
          <cell r="L11040" t="str">
            <v>74246425</v>
          </cell>
        </row>
        <row r="11041">
          <cell r="L11041" t="str">
            <v>74246505</v>
          </cell>
        </row>
        <row r="11042">
          <cell r="L11042" t="str">
            <v>74247940</v>
          </cell>
        </row>
        <row r="11043">
          <cell r="L11043" t="str">
            <v>74248460</v>
          </cell>
        </row>
        <row r="11044">
          <cell r="L11044" t="str">
            <v>74249221</v>
          </cell>
        </row>
        <row r="11045">
          <cell r="L11045" t="str">
            <v>74249570</v>
          </cell>
        </row>
        <row r="11046">
          <cell r="L11046" t="str">
            <v>74249579</v>
          </cell>
        </row>
        <row r="11047">
          <cell r="L11047" t="str">
            <v>74249968</v>
          </cell>
        </row>
        <row r="11048">
          <cell r="L11048" t="str">
            <v>74249977</v>
          </cell>
        </row>
        <row r="11049">
          <cell r="L11049" t="str">
            <v>74251488</v>
          </cell>
        </row>
        <row r="11050">
          <cell r="L11050" t="str">
            <v>74252801</v>
          </cell>
        </row>
        <row r="11051">
          <cell r="L11051" t="str">
            <v>74253927</v>
          </cell>
        </row>
        <row r="11052">
          <cell r="L11052" t="str">
            <v>74254203</v>
          </cell>
        </row>
        <row r="11053">
          <cell r="L11053" t="str">
            <v>74254206</v>
          </cell>
        </row>
        <row r="11054">
          <cell r="L11054" t="str">
            <v>74254209</v>
          </cell>
        </row>
        <row r="11055">
          <cell r="L11055" t="str">
            <v>74254211</v>
          </cell>
        </row>
        <row r="11056">
          <cell r="L11056" t="str">
            <v>74254360</v>
          </cell>
        </row>
        <row r="11057">
          <cell r="L11057" t="str">
            <v>74256163</v>
          </cell>
        </row>
        <row r="11058">
          <cell r="L11058" t="str">
            <v>74257881</v>
          </cell>
        </row>
        <row r="11059">
          <cell r="L11059" t="str">
            <v>74258200</v>
          </cell>
        </row>
        <row r="11060">
          <cell r="L11060" t="str">
            <v>74259379</v>
          </cell>
        </row>
        <row r="11061">
          <cell r="L11061" t="str">
            <v>74260043</v>
          </cell>
        </row>
        <row r="11062">
          <cell r="L11062" t="str">
            <v>74260120</v>
          </cell>
        </row>
        <row r="11063">
          <cell r="L11063" t="str">
            <v>74260380</v>
          </cell>
        </row>
        <row r="11064">
          <cell r="L11064" t="str">
            <v>74261721</v>
          </cell>
        </row>
        <row r="11065">
          <cell r="L11065" t="str">
            <v>74263246</v>
          </cell>
        </row>
        <row r="11066">
          <cell r="L11066" t="str">
            <v>74266917</v>
          </cell>
        </row>
        <row r="11067">
          <cell r="L11067" t="str">
            <v>74271440</v>
          </cell>
        </row>
        <row r="11068">
          <cell r="L11068" t="str">
            <v>74272784</v>
          </cell>
        </row>
        <row r="11069">
          <cell r="L11069" t="str">
            <v>74272785</v>
          </cell>
        </row>
        <row r="11070">
          <cell r="L11070" t="str">
            <v>74281243</v>
          </cell>
        </row>
        <row r="11071">
          <cell r="L11071" t="str">
            <v>74281245</v>
          </cell>
        </row>
        <row r="11072">
          <cell r="L11072" t="str">
            <v>74283299</v>
          </cell>
        </row>
        <row r="11073">
          <cell r="L11073" t="str">
            <v>74285162</v>
          </cell>
        </row>
        <row r="11074">
          <cell r="L11074" t="str">
            <v>74286505</v>
          </cell>
        </row>
        <row r="11075">
          <cell r="L11075" t="str">
            <v>74298164</v>
          </cell>
        </row>
        <row r="11076">
          <cell r="L11076" t="str">
            <v>74299369</v>
          </cell>
        </row>
        <row r="11077">
          <cell r="L11077" t="str">
            <v>74299370</v>
          </cell>
        </row>
        <row r="11078">
          <cell r="L11078" t="str">
            <v>74299524</v>
          </cell>
        </row>
        <row r="11079">
          <cell r="L11079" t="str">
            <v>74300762</v>
          </cell>
        </row>
        <row r="11080">
          <cell r="L11080" t="str">
            <v>74305497</v>
          </cell>
        </row>
        <row r="11081">
          <cell r="L11081" t="str">
            <v>74305766</v>
          </cell>
        </row>
        <row r="11082">
          <cell r="L11082" t="str">
            <v>74306638</v>
          </cell>
        </row>
        <row r="11083">
          <cell r="L11083" t="str">
            <v>74308044</v>
          </cell>
        </row>
        <row r="11084">
          <cell r="L11084" t="str">
            <v>74309261</v>
          </cell>
        </row>
        <row r="11085">
          <cell r="L11085" t="str">
            <v>74309411</v>
          </cell>
        </row>
        <row r="11086">
          <cell r="L11086" t="str">
            <v>74311030</v>
          </cell>
        </row>
        <row r="11087">
          <cell r="L11087" t="str">
            <v>74315516</v>
          </cell>
        </row>
        <row r="11088">
          <cell r="L11088" t="str">
            <v>74232179</v>
          </cell>
        </row>
        <row r="11089">
          <cell r="L11089" t="str">
            <v>74259325</v>
          </cell>
        </row>
        <row r="11090">
          <cell r="L11090" t="str">
            <v>74251800</v>
          </cell>
        </row>
        <row r="11091">
          <cell r="L11091" t="str">
            <v>74283804</v>
          </cell>
        </row>
        <row r="11092">
          <cell r="L11092" t="str">
            <v>74249492</v>
          </cell>
        </row>
        <row r="11093">
          <cell r="L11093" t="str">
            <v>74219462</v>
          </cell>
        </row>
        <row r="11094">
          <cell r="L11094" t="str">
            <v>74060578</v>
          </cell>
        </row>
        <row r="11095">
          <cell r="L11095" t="str">
            <v>74081810</v>
          </cell>
        </row>
        <row r="11096">
          <cell r="L11096" t="str">
            <v>74169917</v>
          </cell>
        </row>
        <row r="11097">
          <cell r="L11097" t="str">
            <v>74171168</v>
          </cell>
        </row>
        <row r="11098">
          <cell r="L11098" t="str">
            <v>74177214</v>
          </cell>
        </row>
        <row r="11099">
          <cell r="L11099" t="str">
            <v>74185628</v>
          </cell>
        </row>
        <row r="11100">
          <cell r="L11100" t="str">
            <v>74310020</v>
          </cell>
        </row>
        <row r="11101">
          <cell r="L11101" t="str">
            <v>74190062</v>
          </cell>
        </row>
        <row r="11102">
          <cell r="L11102" t="str">
            <v>74253426</v>
          </cell>
        </row>
        <row r="11103">
          <cell r="L11103" t="str">
            <v>74136838</v>
          </cell>
        </row>
        <row r="11104">
          <cell r="L11104" t="str">
            <v>74208780</v>
          </cell>
        </row>
        <row r="11105">
          <cell r="L11105" t="str">
            <v>74226612</v>
          </cell>
        </row>
        <row r="11106">
          <cell r="L11106" t="str">
            <v>74227663</v>
          </cell>
        </row>
        <row r="11107">
          <cell r="L11107" t="str">
            <v>74232682</v>
          </cell>
        </row>
        <row r="11108">
          <cell r="L11108" t="str">
            <v>74247243</v>
          </cell>
        </row>
        <row r="11109">
          <cell r="L11109" t="str">
            <v>74251222</v>
          </cell>
        </row>
        <row r="11110">
          <cell r="L11110" t="str">
            <v>74255020</v>
          </cell>
        </row>
        <row r="11111">
          <cell r="L11111" t="str">
            <v>74261321</v>
          </cell>
        </row>
        <row r="11112">
          <cell r="L11112" t="str">
            <v>74263379</v>
          </cell>
        </row>
        <row r="11113">
          <cell r="L11113" t="str">
            <v>74285131</v>
          </cell>
        </row>
        <row r="11114">
          <cell r="L11114" t="str">
            <v>74288302</v>
          </cell>
        </row>
        <row r="11115">
          <cell r="L11115" t="str">
            <v>74288962</v>
          </cell>
        </row>
        <row r="11116">
          <cell r="L11116" t="str">
            <v>74290529</v>
          </cell>
        </row>
        <row r="11117">
          <cell r="L11117" t="str">
            <v>74290899</v>
          </cell>
        </row>
        <row r="11118">
          <cell r="L11118" t="str">
            <v>74298642</v>
          </cell>
        </row>
        <row r="11119">
          <cell r="L11119" t="str">
            <v>74303500</v>
          </cell>
        </row>
        <row r="11120">
          <cell r="L11120" t="str">
            <v>74308719</v>
          </cell>
        </row>
        <row r="11121">
          <cell r="L11121" t="str">
            <v>74043563</v>
          </cell>
        </row>
        <row r="11122">
          <cell r="L11122" t="str">
            <v>74219505</v>
          </cell>
        </row>
        <row r="11123">
          <cell r="L11123" t="str">
            <v>74222082</v>
          </cell>
        </row>
        <row r="11124">
          <cell r="L11124" t="str">
            <v>74225383</v>
          </cell>
        </row>
        <row r="11125">
          <cell r="L11125" t="str">
            <v>74242880</v>
          </cell>
        </row>
        <row r="11126">
          <cell r="L11126" t="str">
            <v>74250643</v>
          </cell>
        </row>
        <row r="11127">
          <cell r="L11127" t="str">
            <v>74265126</v>
          </cell>
        </row>
        <row r="11128">
          <cell r="L11128" t="str">
            <v>74265382</v>
          </cell>
        </row>
        <row r="11129">
          <cell r="L11129" t="str">
            <v>74069357</v>
          </cell>
        </row>
        <row r="11130">
          <cell r="L11130" t="str">
            <v>74238222</v>
          </cell>
        </row>
        <row r="11131">
          <cell r="L11131" t="str">
            <v>74255019</v>
          </cell>
        </row>
        <row r="11132">
          <cell r="L11132" t="str">
            <v>74285259</v>
          </cell>
        </row>
        <row r="11133">
          <cell r="L11133" t="str">
            <v>74287753</v>
          </cell>
        </row>
        <row r="11134">
          <cell r="L11134" t="str">
            <v>74304699</v>
          </cell>
        </row>
        <row r="11135">
          <cell r="L11135" t="str">
            <v>74304980</v>
          </cell>
        </row>
        <row r="11136">
          <cell r="L11136" t="str">
            <v>74249563</v>
          </cell>
        </row>
        <row r="11137">
          <cell r="L11137" t="str">
            <v>74233759</v>
          </cell>
        </row>
        <row r="11138">
          <cell r="L11138" t="str">
            <v>74234524</v>
          </cell>
        </row>
        <row r="11139">
          <cell r="L11139" t="str">
            <v>74259262</v>
          </cell>
        </row>
        <row r="11140">
          <cell r="L11140" t="str">
            <v>74301719</v>
          </cell>
        </row>
        <row r="11141">
          <cell r="L11141" t="str">
            <v>74288649</v>
          </cell>
        </row>
        <row r="11142">
          <cell r="L11142" t="str">
            <v>74298104</v>
          </cell>
        </row>
        <row r="11143">
          <cell r="L11143" t="str">
            <v>74300860</v>
          </cell>
        </row>
        <row r="11144">
          <cell r="L11144" t="str">
            <v>74300861</v>
          </cell>
        </row>
        <row r="11145">
          <cell r="L11145" t="str">
            <v>74314140</v>
          </cell>
        </row>
        <row r="11146">
          <cell r="L11146" t="str">
            <v>74314483</v>
          </cell>
        </row>
        <row r="11147">
          <cell r="L11147" t="str">
            <v>74316860</v>
          </cell>
        </row>
        <row r="11148">
          <cell r="L11148" t="str">
            <v>74314863</v>
          </cell>
        </row>
        <row r="11149">
          <cell r="L11149" t="str">
            <v>74293404</v>
          </cell>
        </row>
        <row r="11150">
          <cell r="L11150" t="str">
            <v>74128759</v>
          </cell>
        </row>
        <row r="11151">
          <cell r="L11151" t="str">
            <v>74224225</v>
          </cell>
        </row>
        <row r="11152">
          <cell r="L11152" t="str">
            <v>74228020</v>
          </cell>
        </row>
        <row r="11153">
          <cell r="L11153" t="str">
            <v>74231166</v>
          </cell>
        </row>
        <row r="11154">
          <cell r="L11154" t="str">
            <v>74231645</v>
          </cell>
        </row>
        <row r="11155">
          <cell r="L11155" t="str">
            <v>74240321</v>
          </cell>
        </row>
        <row r="11156">
          <cell r="L11156" t="str">
            <v>74240861</v>
          </cell>
        </row>
        <row r="11157">
          <cell r="L11157" t="str">
            <v>74245901</v>
          </cell>
        </row>
        <row r="11158">
          <cell r="L11158" t="str">
            <v>74247081</v>
          </cell>
        </row>
        <row r="11159">
          <cell r="L11159" t="str">
            <v>74252639</v>
          </cell>
        </row>
        <row r="11160">
          <cell r="L11160" t="str">
            <v>74254259</v>
          </cell>
        </row>
        <row r="11161">
          <cell r="L11161" t="str">
            <v>74228743</v>
          </cell>
        </row>
        <row r="11162">
          <cell r="L11162" t="str">
            <v>74119529</v>
          </cell>
        </row>
        <row r="11163">
          <cell r="L11163" t="str">
            <v>74145161</v>
          </cell>
        </row>
        <row r="11164">
          <cell r="L11164" t="str">
            <v>74154232</v>
          </cell>
        </row>
        <row r="11165">
          <cell r="L11165" t="str">
            <v>74158893</v>
          </cell>
        </row>
        <row r="11166">
          <cell r="L11166" t="str">
            <v>74179397</v>
          </cell>
        </row>
        <row r="11167">
          <cell r="L11167" t="str">
            <v>74181230</v>
          </cell>
        </row>
        <row r="11168">
          <cell r="L11168" t="str">
            <v>74187268</v>
          </cell>
        </row>
        <row r="11169">
          <cell r="L11169" t="str">
            <v>74188069</v>
          </cell>
        </row>
        <row r="11170">
          <cell r="L11170" t="str">
            <v>74190331</v>
          </cell>
        </row>
        <row r="11171">
          <cell r="L11171" t="str">
            <v>74192493</v>
          </cell>
        </row>
        <row r="11172">
          <cell r="L11172" t="str">
            <v>74193538</v>
          </cell>
        </row>
        <row r="11173">
          <cell r="L11173" t="str">
            <v>74197211</v>
          </cell>
        </row>
        <row r="11174">
          <cell r="L11174" t="str">
            <v>74197981</v>
          </cell>
        </row>
        <row r="11175">
          <cell r="L11175" t="str">
            <v>74200623</v>
          </cell>
        </row>
        <row r="11176">
          <cell r="L11176" t="str">
            <v>74201287</v>
          </cell>
        </row>
        <row r="11177">
          <cell r="L11177" t="str">
            <v>74209139</v>
          </cell>
        </row>
        <row r="11178">
          <cell r="L11178" t="str">
            <v>74211082</v>
          </cell>
        </row>
        <row r="11179">
          <cell r="L11179" t="str">
            <v>74213079</v>
          </cell>
        </row>
        <row r="11180">
          <cell r="L11180" t="str">
            <v>74216561</v>
          </cell>
        </row>
        <row r="11181">
          <cell r="L11181" t="str">
            <v>74216602</v>
          </cell>
        </row>
        <row r="11182">
          <cell r="L11182" t="str">
            <v>74219652</v>
          </cell>
        </row>
        <row r="11183">
          <cell r="L11183" t="str">
            <v>74226608</v>
          </cell>
        </row>
        <row r="11184">
          <cell r="L11184" t="str">
            <v>74226609</v>
          </cell>
        </row>
        <row r="11185">
          <cell r="L11185" t="str">
            <v>74226610</v>
          </cell>
        </row>
        <row r="11186">
          <cell r="L11186" t="str">
            <v>74231376</v>
          </cell>
        </row>
        <row r="11187">
          <cell r="L11187" t="str">
            <v>74231642</v>
          </cell>
        </row>
        <row r="11188">
          <cell r="L11188" t="str">
            <v>74231643</v>
          </cell>
        </row>
        <row r="11189">
          <cell r="L11189" t="str">
            <v>74235642</v>
          </cell>
        </row>
        <row r="11190">
          <cell r="L11190" t="str">
            <v>74243000</v>
          </cell>
        </row>
        <row r="11191">
          <cell r="L11191" t="str">
            <v>74248120</v>
          </cell>
        </row>
        <row r="11192">
          <cell r="L11192" t="str">
            <v>74248599</v>
          </cell>
        </row>
        <row r="11193">
          <cell r="L11193" t="str">
            <v>74251860</v>
          </cell>
        </row>
        <row r="11194">
          <cell r="L11194" t="str">
            <v>74252640</v>
          </cell>
        </row>
        <row r="11195">
          <cell r="L11195" t="str">
            <v>74252762</v>
          </cell>
        </row>
        <row r="11196">
          <cell r="L11196" t="str">
            <v>74254819</v>
          </cell>
        </row>
        <row r="11197">
          <cell r="L11197" t="str">
            <v>74254820</v>
          </cell>
        </row>
        <row r="11198">
          <cell r="L11198" t="str">
            <v>74257346</v>
          </cell>
        </row>
        <row r="11199">
          <cell r="L11199" t="str">
            <v>74265160</v>
          </cell>
        </row>
        <row r="11200">
          <cell r="L11200" t="str">
            <v>74265162</v>
          </cell>
        </row>
        <row r="11201">
          <cell r="L11201" t="str">
            <v>74273261</v>
          </cell>
        </row>
        <row r="11202">
          <cell r="L11202" t="str">
            <v>74206960</v>
          </cell>
        </row>
        <row r="11203">
          <cell r="L11203" t="str">
            <v>74209422</v>
          </cell>
        </row>
        <row r="11204">
          <cell r="L11204" t="str">
            <v>74211083</v>
          </cell>
        </row>
        <row r="11205">
          <cell r="L11205" t="str">
            <v>74214261</v>
          </cell>
        </row>
        <row r="11206">
          <cell r="L11206" t="str">
            <v>74225061</v>
          </cell>
        </row>
        <row r="11207">
          <cell r="L11207" t="str">
            <v>74097171</v>
          </cell>
        </row>
        <row r="11208">
          <cell r="L11208" t="str">
            <v>74113374</v>
          </cell>
        </row>
        <row r="11209">
          <cell r="L11209" t="str">
            <v>74132009</v>
          </cell>
        </row>
        <row r="11210">
          <cell r="L11210" t="str">
            <v>74194830</v>
          </cell>
        </row>
        <row r="11211">
          <cell r="L11211" t="str">
            <v>74199019</v>
          </cell>
        </row>
        <row r="11212">
          <cell r="L11212" t="str">
            <v>74199269</v>
          </cell>
        </row>
        <row r="11213">
          <cell r="L11213" t="str">
            <v>74205125</v>
          </cell>
        </row>
        <row r="11214">
          <cell r="L11214" t="str">
            <v>74209190</v>
          </cell>
        </row>
        <row r="11215">
          <cell r="L11215" t="str">
            <v>74232140</v>
          </cell>
        </row>
        <row r="11216">
          <cell r="L11216" t="str">
            <v>74234441</v>
          </cell>
        </row>
        <row r="11217">
          <cell r="L11217" t="str">
            <v>74241119</v>
          </cell>
        </row>
        <row r="11218">
          <cell r="L11218" t="str">
            <v>74242540</v>
          </cell>
        </row>
        <row r="11219">
          <cell r="L11219" t="str">
            <v>74242783</v>
          </cell>
        </row>
        <row r="11220">
          <cell r="L11220" t="str">
            <v>74243881</v>
          </cell>
        </row>
        <row r="11221">
          <cell r="L11221" t="str">
            <v>74251445</v>
          </cell>
        </row>
        <row r="11222">
          <cell r="L11222" t="str">
            <v>74251700</v>
          </cell>
        </row>
        <row r="11223">
          <cell r="L11223" t="str">
            <v>74252005</v>
          </cell>
        </row>
        <row r="11224">
          <cell r="L11224" t="str">
            <v>74253752</v>
          </cell>
        </row>
        <row r="11225">
          <cell r="L11225" t="str">
            <v>74255181</v>
          </cell>
        </row>
        <row r="11226">
          <cell r="L11226" t="str">
            <v>74255706</v>
          </cell>
        </row>
        <row r="11227">
          <cell r="L11227" t="str">
            <v>74257886</v>
          </cell>
        </row>
        <row r="11228">
          <cell r="L11228" t="str">
            <v>74259239</v>
          </cell>
        </row>
        <row r="11229">
          <cell r="L11229" t="str">
            <v>74259780</v>
          </cell>
        </row>
        <row r="11230">
          <cell r="L11230" t="str">
            <v>74262623</v>
          </cell>
        </row>
        <row r="11231">
          <cell r="L11231" t="str">
            <v>74266582</v>
          </cell>
        </row>
        <row r="11232">
          <cell r="L11232" t="str">
            <v>74266600</v>
          </cell>
        </row>
        <row r="11233">
          <cell r="L11233" t="str">
            <v>74266918</v>
          </cell>
        </row>
        <row r="11234">
          <cell r="L11234" t="str">
            <v>74267679</v>
          </cell>
        </row>
        <row r="11235">
          <cell r="L11235" t="str">
            <v>74272839</v>
          </cell>
        </row>
        <row r="11236">
          <cell r="L11236" t="str">
            <v>74273204</v>
          </cell>
        </row>
        <row r="11237">
          <cell r="L11237" t="str">
            <v>74273546</v>
          </cell>
        </row>
        <row r="11238">
          <cell r="L11238" t="str">
            <v>74275259</v>
          </cell>
        </row>
        <row r="11239">
          <cell r="L11239" t="str">
            <v>74275921</v>
          </cell>
        </row>
        <row r="11240">
          <cell r="L11240" t="str">
            <v>74277242</v>
          </cell>
        </row>
        <row r="11241">
          <cell r="L11241" t="str">
            <v>74278662</v>
          </cell>
        </row>
        <row r="11242">
          <cell r="L11242" t="str">
            <v>74279240</v>
          </cell>
        </row>
        <row r="11243">
          <cell r="L11243" t="str">
            <v>74279991</v>
          </cell>
        </row>
        <row r="11244">
          <cell r="L11244" t="str">
            <v>74281940</v>
          </cell>
        </row>
        <row r="11245">
          <cell r="L11245" t="str">
            <v>74283363</v>
          </cell>
        </row>
        <row r="11246">
          <cell r="L11246" t="str">
            <v>74283381</v>
          </cell>
        </row>
        <row r="11247">
          <cell r="L11247" t="str">
            <v>74283562</v>
          </cell>
        </row>
        <row r="11248">
          <cell r="L11248" t="str">
            <v>74283639</v>
          </cell>
        </row>
        <row r="11249">
          <cell r="L11249" t="str">
            <v>74284083</v>
          </cell>
        </row>
        <row r="11250">
          <cell r="L11250" t="str">
            <v>74284119</v>
          </cell>
        </row>
        <row r="11251">
          <cell r="L11251" t="str">
            <v>74285154</v>
          </cell>
        </row>
        <row r="11252">
          <cell r="L11252" t="str">
            <v>74286160</v>
          </cell>
        </row>
        <row r="11253">
          <cell r="L11253" t="str">
            <v>74288603</v>
          </cell>
        </row>
        <row r="11254">
          <cell r="L11254" t="str">
            <v>74289480</v>
          </cell>
        </row>
        <row r="11255">
          <cell r="L11255" t="str">
            <v>74292280</v>
          </cell>
        </row>
        <row r="11256">
          <cell r="L11256" t="str">
            <v>74292364</v>
          </cell>
        </row>
        <row r="11257">
          <cell r="L11257" t="str">
            <v>74293040</v>
          </cell>
        </row>
        <row r="11258">
          <cell r="L11258" t="str">
            <v>74294080</v>
          </cell>
        </row>
        <row r="11259">
          <cell r="L11259" t="str">
            <v>74295559</v>
          </cell>
        </row>
        <row r="11260">
          <cell r="L11260" t="str">
            <v>74296104</v>
          </cell>
        </row>
        <row r="11261">
          <cell r="L11261" t="str">
            <v>74310267</v>
          </cell>
        </row>
        <row r="11262">
          <cell r="L11262" t="str">
            <v>74313241</v>
          </cell>
        </row>
        <row r="11263">
          <cell r="L11263" t="str">
            <v>74313421</v>
          </cell>
        </row>
        <row r="11264">
          <cell r="L11264" t="str">
            <v>74179856</v>
          </cell>
        </row>
        <row r="11265">
          <cell r="L11265" t="str">
            <v>74203599</v>
          </cell>
        </row>
        <row r="11266">
          <cell r="L11266" t="str">
            <v>74208546</v>
          </cell>
        </row>
        <row r="11267">
          <cell r="L11267" t="str">
            <v>74218433</v>
          </cell>
        </row>
        <row r="11268">
          <cell r="L11268" t="str">
            <v>74246179</v>
          </cell>
        </row>
        <row r="11269">
          <cell r="L11269" t="str">
            <v>74250904</v>
          </cell>
        </row>
        <row r="11270">
          <cell r="L11270" t="str">
            <v>74251471</v>
          </cell>
        </row>
        <row r="11271">
          <cell r="L11271" t="str">
            <v>74252782</v>
          </cell>
        </row>
        <row r="11272">
          <cell r="L11272" t="str">
            <v>74258283</v>
          </cell>
        </row>
        <row r="11273">
          <cell r="L11273" t="str">
            <v>74263245</v>
          </cell>
        </row>
        <row r="11274">
          <cell r="L11274" t="str">
            <v>74276060</v>
          </cell>
        </row>
        <row r="11275">
          <cell r="L11275" t="str">
            <v>74277425</v>
          </cell>
        </row>
        <row r="11276">
          <cell r="L11276" t="str">
            <v>74285330</v>
          </cell>
        </row>
        <row r="11277">
          <cell r="L11277" t="str">
            <v>74287471</v>
          </cell>
        </row>
        <row r="11278">
          <cell r="L11278" t="str">
            <v>74289799</v>
          </cell>
        </row>
        <row r="11279">
          <cell r="L11279" t="str">
            <v>74290864</v>
          </cell>
        </row>
        <row r="11280">
          <cell r="L11280" t="str">
            <v>74297210</v>
          </cell>
        </row>
        <row r="11281">
          <cell r="L11281" t="str">
            <v>74298147</v>
          </cell>
        </row>
        <row r="11282">
          <cell r="L11282" t="str">
            <v>74299275</v>
          </cell>
        </row>
        <row r="11283">
          <cell r="L11283" t="str">
            <v>74299709</v>
          </cell>
        </row>
        <row r="11284">
          <cell r="L11284" t="str">
            <v>74300123</v>
          </cell>
        </row>
        <row r="11285">
          <cell r="L11285" t="str">
            <v>74303580</v>
          </cell>
        </row>
        <row r="11286">
          <cell r="L11286" t="str">
            <v>74304831</v>
          </cell>
        </row>
        <row r="11287">
          <cell r="L11287" t="str">
            <v>74305954</v>
          </cell>
        </row>
        <row r="11288">
          <cell r="L11288" t="str">
            <v>74307394</v>
          </cell>
        </row>
        <row r="11289">
          <cell r="L11289" t="str">
            <v>74309264</v>
          </cell>
        </row>
        <row r="11290">
          <cell r="L11290" t="str">
            <v>74309705</v>
          </cell>
        </row>
        <row r="11291">
          <cell r="L11291" t="str">
            <v>74312019</v>
          </cell>
        </row>
        <row r="11292">
          <cell r="L11292" t="str">
            <v>74313567</v>
          </cell>
        </row>
        <row r="11293">
          <cell r="L11293" t="str">
            <v>74313840</v>
          </cell>
        </row>
        <row r="11294">
          <cell r="L11294" t="str">
            <v>74316641</v>
          </cell>
        </row>
        <row r="11295">
          <cell r="L11295" t="str">
            <v>74038125</v>
          </cell>
        </row>
        <row r="11296">
          <cell r="L11296" t="str">
            <v>74089378</v>
          </cell>
        </row>
        <row r="11297">
          <cell r="L11297" t="str">
            <v>74170591</v>
          </cell>
        </row>
        <row r="11298">
          <cell r="L11298" t="str">
            <v>74189570</v>
          </cell>
        </row>
        <row r="11299">
          <cell r="L11299" t="str">
            <v>74193427</v>
          </cell>
        </row>
        <row r="11300">
          <cell r="L11300" t="str">
            <v>74193741</v>
          </cell>
        </row>
        <row r="11301">
          <cell r="L11301" t="str">
            <v>74194844</v>
          </cell>
        </row>
        <row r="11302">
          <cell r="L11302" t="str">
            <v>74202905</v>
          </cell>
        </row>
        <row r="11303">
          <cell r="L11303" t="str">
            <v>74209413</v>
          </cell>
        </row>
        <row r="11304">
          <cell r="L11304" t="str">
            <v>74236090</v>
          </cell>
        </row>
        <row r="11305">
          <cell r="L11305" t="str">
            <v>74273568</v>
          </cell>
        </row>
        <row r="11306">
          <cell r="L11306" t="str">
            <v>74274164</v>
          </cell>
        </row>
        <row r="11307">
          <cell r="L11307" t="str">
            <v>74276201</v>
          </cell>
        </row>
        <row r="11308">
          <cell r="L11308" t="str">
            <v>74283799</v>
          </cell>
        </row>
        <row r="11309">
          <cell r="L11309" t="str">
            <v>74295919</v>
          </cell>
        </row>
        <row r="11310">
          <cell r="L11310" t="str">
            <v>74301280</v>
          </cell>
        </row>
        <row r="11311">
          <cell r="L11311" t="str">
            <v>74314500</v>
          </cell>
        </row>
        <row r="11312">
          <cell r="L11312" t="str">
            <v>74316202</v>
          </cell>
        </row>
        <row r="11313">
          <cell r="L11313" t="str">
            <v>74318902</v>
          </cell>
        </row>
        <row r="11314">
          <cell r="L11314" t="str">
            <v>74320640</v>
          </cell>
        </row>
        <row r="11315">
          <cell r="L11315" t="str">
            <v>74252121</v>
          </cell>
        </row>
        <row r="11316">
          <cell r="L11316" t="str">
            <v>74241920</v>
          </cell>
        </row>
        <row r="11317">
          <cell r="L11317" t="str">
            <v>74254381</v>
          </cell>
        </row>
        <row r="11318">
          <cell r="L11318" t="str">
            <v>025B2183</v>
          </cell>
        </row>
        <row r="11319">
          <cell r="L11319" t="str">
            <v>025B2295</v>
          </cell>
        </row>
        <row r="11320">
          <cell r="L11320" t="str">
            <v>032B2295</v>
          </cell>
        </row>
        <row r="11321">
          <cell r="L11321" t="str">
            <v>034B2295</v>
          </cell>
        </row>
        <row r="11322">
          <cell r="L11322" t="str">
            <v>038B2183</v>
          </cell>
        </row>
        <row r="11323">
          <cell r="L11323" t="str">
            <v>038B2295</v>
          </cell>
        </row>
        <row r="11324">
          <cell r="L11324" t="str">
            <v>74086070</v>
          </cell>
        </row>
        <row r="11325">
          <cell r="L11325" t="str">
            <v>74086079</v>
          </cell>
        </row>
        <row r="11326">
          <cell r="L11326" t="str">
            <v>74086084</v>
          </cell>
        </row>
        <row r="11327">
          <cell r="L11327" t="str">
            <v>74086648</v>
          </cell>
        </row>
        <row r="11328">
          <cell r="L11328" t="str">
            <v>74087254</v>
          </cell>
        </row>
        <row r="11329">
          <cell r="L11329" t="str">
            <v>74102389</v>
          </cell>
        </row>
        <row r="11330">
          <cell r="L11330" t="str">
            <v>74185830</v>
          </cell>
        </row>
        <row r="11331">
          <cell r="L11331" t="str">
            <v>74200166</v>
          </cell>
        </row>
        <row r="11332">
          <cell r="L11332" t="str">
            <v>74205819</v>
          </cell>
        </row>
        <row r="11333">
          <cell r="L11333" t="str">
            <v>74284382</v>
          </cell>
        </row>
        <row r="11334">
          <cell r="L11334" t="str">
            <v>74309899</v>
          </cell>
        </row>
        <row r="11335">
          <cell r="L11335" t="str">
            <v>74321960</v>
          </cell>
        </row>
        <row r="11336">
          <cell r="L11336" t="str">
            <v>74323339</v>
          </cell>
        </row>
        <row r="11337">
          <cell r="L11337" t="str">
            <v>GS034AROH12</v>
          </cell>
        </row>
        <row r="11338">
          <cell r="L11338" t="str">
            <v>032TIME</v>
          </cell>
        </row>
        <row r="11339">
          <cell r="L11339" t="str">
            <v>034TIME</v>
          </cell>
        </row>
        <row r="11340">
          <cell r="L11340" t="str">
            <v>ITECHSPIG</v>
          </cell>
        </row>
        <row r="11341">
          <cell r="L11341" t="str">
            <v>80000254</v>
          </cell>
        </row>
        <row r="11342">
          <cell r="L11342" t="str">
            <v>74172653</v>
          </cell>
        </row>
        <row r="11343">
          <cell r="L11343" t="str">
            <v>G166-3534MISCMAINSRENWL</v>
          </cell>
        </row>
        <row r="11344">
          <cell r="L11344" t="str">
            <v>74172655</v>
          </cell>
        </row>
        <row r="11345">
          <cell r="L11345" t="str">
            <v>74172654</v>
          </cell>
        </row>
        <row r="11346">
          <cell r="L11346" t="str">
            <v>MISCAUGWINTERTESTING07</v>
          </cell>
        </row>
        <row r="11347">
          <cell r="L11347" t="str">
            <v>74156875</v>
          </cell>
        </row>
        <row r="11348">
          <cell r="L11348" t="str">
            <v>74184412</v>
          </cell>
        </row>
        <row r="11349">
          <cell r="L11349" t="str">
            <v>74157148</v>
          </cell>
        </row>
        <row r="11350">
          <cell r="L11350" t="str">
            <v>74169669</v>
          </cell>
        </row>
        <row r="11351">
          <cell r="L11351" t="str">
            <v>74175235</v>
          </cell>
        </row>
        <row r="11352">
          <cell r="L11352" t="str">
            <v>MiscellOilTraps089</v>
          </cell>
        </row>
        <row r="11353">
          <cell r="L11353" t="str">
            <v>80001001</v>
          </cell>
        </row>
        <row r="11354">
          <cell r="L11354" t="str">
            <v>74205820</v>
          </cell>
        </row>
        <row r="11355">
          <cell r="L11355" t="str">
            <v>74205815</v>
          </cell>
        </row>
        <row r="11356">
          <cell r="L11356" t="str">
            <v>74204864</v>
          </cell>
        </row>
        <row r="11357">
          <cell r="L11357" t="str">
            <v>MiscAssetRep0910</v>
          </cell>
        </row>
        <row r="11358">
          <cell r="L11358" t="str">
            <v>010B1331</v>
          </cell>
        </row>
        <row r="11359">
          <cell r="L11359" t="str">
            <v>74123083</v>
          </cell>
        </row>
        <row r="11360">
          <cell r="L11360" t="str">
            <v>74196763</v>
          </cell>
        </row>
        <row r="11361">
          <cell r="L11361" t="str">
            <v>74196764</v>
          </cell>
        </row>
        <row r="11362">
          <cell r="L11362" t="str">
            <v>74276559</v>
          </cell>
        </row>
        <row r="11363">
          <cell r="L11363" t="str">
            <v>74276560</v>
          </cell>
        </row>
        <row r="11364">
          <cell r="L11364" t="str">
            <v>74276561</v>
          </cell>
        </row>
        <row r="11365">
          <cell r="L11365" t="str">
            <v>74289821</v>
          </cell>
        </row>
        <row r="11366">
          <cell r="L11366" t="str">
            <v>74297182</v>
          </cell>
        </row>
        <row r="11367">
          <cell r="L11367" t="str">
            <v>74297183</v>
          </cell>
        </row>
        <row r="11368">
          <cell r="L11368" t="str">
            <v>74300365</v>
          </cell>
        </row>
        <row r="11369">
          <cell r="L11369" t="str">
            <v>74300367</v>
          </cell>
        </row>
        <row r="11370">
          <cell r="L11370" t="str">
            <v>74302219</v>
          </cell>
        </row>
        <row r="11371">
          <cell r="L11371" t="str">
            <v>74302220</v>
          </cell>
        </row>
        <row r="11372">
          <cell r="L11372" t="str">
            <v>74302221</v>
          </cell>
        </row>
        <row r="11373">
          <cell r="L11373" t="str">
            <v>74305367</v>
          </cell>
        </row>
        <row r="11374">
          <cell r="L11374" t="str">
            <v>74305368</v>
          </cell>
        </row>
        <row r="11375">
          <cell r="L11375" t="str">
            <v>74305369</v>
          </cell>
        </row>
        <row r="11376">
          <cell r="L11376" t="str">
            <v>74308045</v>
          </cell>
        </row>
        <row r="11377">
          <cell r="L11377" t="str">
            <v>74308046</v>
          </cell>
        </row>
        <row r="11378">
          <cell r="L11378" t="str">
            <v>74308047</v>
          </cell>
        </row>
        <row r="11379">
          <cell r="L11379" t="str">
            <v>74310622</v>
          </cell>
        </row>
        <row r="11380">
          <cell r="L11380" t="str">
            <v>74311661</v>
          </cell>
        </row>
        <row r="11381">
          <cell r="L11381" t="str">
            <v>74314342</v>
          </cell>
        </row>
        <row r="11382">
          <cell r="L11382" t="str">
            <v>74314343</v>
          </cell>
        </row>
        <row r="11383">
          <cell r="L11383" t="str">
            <v>80004003</v>
          </cell>
        </row>
        <row r="11384">
          <cell r="L11384" t="str">
            <v>GS010AROH12</v>
          </cell>
        </row>
        <row r="11385">
          <cell r="L11385" t="str">
            <v>ITECHARG</v>
          </cell>
        </row>
        <row r="11386">
          <cell r="L11386" t="str">
            <v>RUR020M</v>
          </cell>
        </row>
        <row r="11387">
          <cell r="L11387" t="str">
            <v>SARCODING020</v>
          </cell>
        </row>
        <row r="11388">
          <cell r="L11388" t="str">
            <v>TR010001</v>
          </cell>
        </row>
        <row r="11389">
          <cell r="L11389" t="str">
            <v>TR010005</v>
          </cell>
        </row>
        <row r="11390">
          <cell r="L11390" t="str">
            <v>TR010007</v>
          </cell>
        </row>
        <row r="11391">
          <cell r="L11391" t="str">
            <v>TR010009</v>
          </cell>
        </row>
        <row r="11392">
          <cell r="L11392" t="str">
            <v>TR010041</v>
          </cell>
        </row>
        <row r="11393">
          <cell r="L11393" t="str">
            <v>TR010042</v>
          </cell>
        </row>
        <row r="11394">
          <cell r="L11394" t="str">
            <v>TR010056</v>
          </cell>
        </row>
        <row r="11395">
          <cell r="L11395" t="str">
            <v>TR010057</v>
          </cell>
        </row>
        <row r="11396">
          <cell r="L11396" t="str">
            <v>TR010069</v>
          </cell>
        </row>
        <row r="11397">
          <cell r="L11397" t="str">
            <v>TR010084</v>
          </cell>
        </row>
        <row r="11398">
          <cell r="L11398" t="str">
            <v>TR010090</v>
          </cell>
        </row>
        <row r="11399">
          <cell r="L11399" t="str">
            <v>TR020901</v>
          </cell>
        </row>
        <row r="11400">
          <cell r="L11400" t="str">
            <v>TU010001</v>
          </cell>
        </row>
        <row r="11401">
          <cell r="L11401" t="str">
            <v>TU010005</v>
          </cell>
        </row>
        <row r="11402">
          <cell r="L11402" t="str">
            <v>TU010007</v>
          </cell>
        </row>
        <row r="11403">
          <cell r="L11403" t="str">
            <v>TU010009</v>
          </cell>
        </row>
        <row r="11404">
          <cell r="L11404" t="str">
            <v>TU010041</v>
          </cell>
        </row>
        <row r="11405">
          <cell r="L11405" t="str">
            <v>TU010042</v>
          </cell>
        </row>
        <row r="11406">
          <cell r="L11406" t="str">
            <v>TU010056</v>
          </cell>
        </row>
        <row r="11407">
          <cell r="L11407" t="str">
            <v>TU010057</v>
          </cell>
        </row>
        <row r="11408">
          <cell r="L11408" t="str">
            <v>TU010084</v>
          </cell>
        </row>
        <row r="11409">
          <cell r="L11409" t="str">
            <v>TU010090</v>
          </cell>
        </row>
        <row r="11410">
          <cell r="L11410" t="str">
            <v>TU020901</v>
          </cell>
        </row>
        <row r="11411">
          <cell r="L11411" t="str">
            <v>UPLOAD20</v>
          </cell>
        </row>
        <row r="11412">
          <cell r="L11412" t="str">
            <v>URB020M</v>
          </cell>
        </row>
        <row r="11413">
          <cell r="L11413" t="str">
            <v>74208535</v>
          </cell>
        </row>
        <row r="11414">
          <cell r="L11414" t="str">
            <v>74208534</v>
          </cell>
        </row>
        <row r="11415">
          <cell r="L11415" t="str">
            <v>MiscAugment1011</v>
          </cell>
        </row>
        <row r="11416">
          <cell r="L11416" t="str">
            <v>74271780</v>
          </cell>
        </row>
        <row r="11417">
          <cell r="L11417" t="str">
            <v>74273547</v>
          </cell>
        </row>
        <row r="11418">
          <cell r="L11418" t="str">
            <v>74238230</v>
          </cell>
        </row>
        <row r="11419">
          <cell r="L11419" t="str">
            <v>74253340</v>
          </cell>
        </row>
        <row r="11420">
          <cell r="L11420" t="str">
            <v>74260481</v>
          </cell>
        </row>
        <row r="11421">
          <cell r="L11421" t="str">
            <v>DistReplacement 1011</v>
          </cell>
        </row>
        <row r="11422">
          <cell r="L11422" t="str">
            <v>74205812</v>
          </cell>
        </row>
        <row r="11423">
          <cell r="L11423" t="str">
            <v>74249279</v>
          </cell>
        </row>
        <row r="11424">
          <cell r="L11424" t="str">
            <v>74250299</v>
          </cell>
        </row>
        <row r="11425">
          <cell r="L11425" t="str">
            <v>74251883</v>
          </cell>
        </row>
        <row r="11426">
          <cell r="L11426" t="str">
            <v>74252699</v>
          </cell>
        </row>
        <row r="11427">
          <cell r="L11427" t="str">
            <v>74212647</v>
          </cell>
        </row>
        <row r="11428">
          <cell r="L11428" t="str">
            <v>MiscMainRenew1011</v>
          </cell>
        </row>
        <row r="11429">
          <cell r="L11429" t="str">
            <v>74280946</v>
          </cell>
        </row>
        <row r="11430">
          <cell r="L11430" t="str">
            <v>74274439</v>
          </cell>
        </row>
        <row r="11431">
          <cell r="L11431" t="str">
            <v>74275820</v>
          </cell>
        </row>
        <row r="11432">
          <cell r="L11432" t="str">
            <v>74276259</v>
          </cell>
        </row>
        <row r="11433">
          <cell r="L11433" t="str">
            <v>74265240</v>
          </cell>
        </row>
        <row r="11434">
          <cell r="L11434" t="str">
            <v>74268979</v>
          </cell>
        </row>
        <row r="11435">
          <cell r="L11435" t="str">
            <v>74268980</v>
          </cell>
        </row>
        <row r="11436">
          <cell r="L11436" t="str">
            <v>74280780</v>
          </cell>
        </row>
        <row r="11437">
          <cell r="L11437" t="str">
            <v>74280947</v>
          </cell>
        </row>
        <row r="11438">
          <cell r="L11438" t="str">
            <v>74284183</v>
          </cell>
        </row>
        <row r="11439">
          <cell r="L11439" t="str">
            <v>MiscCityGateWork1011</v>
          </cell>
        </row>
        <row r="11440">
          <cell r="L11440" t="str">
            <v>74307125</v>
          </cell>
        </row>
        <row r="11441">
          <cell r="L11441" t="str">
            <v>74295545</v>
          </cell>
        </row>
        <row r="11442">
          <cell r="L11442" t="str">
            <v>74280140</v>
          </cell>
        </row>
        <row r="11443">
          <cell r="L11443" t="str">
            <v>74273226</v>
          </cell>
        </row>
        <row r="11444">
          <cell r="L11444" t="str">
            <v>74273400</v>
          </cell>
        </row>
        <row r="11445">
          <cell r="L11445" t="str">
            <v>74207258</v>
          </cell>
        </row>
        <row r="11446">
          <cell r="L11446" t="str">
            <v>74172730</v>
          </cell>
        </row>
        <row r="11447">
          <cell r="L11447" t="str">
            <v>74302244</v>
          </cell>
        </row>
        <row r="11448">
          <cell r="L11448" t="str">
            <v>74244582</v>
          </cell>
        </row>
        <row r="11449">
          <cell r="L11449" t="str">
            <v>MiscAssetRep1011</v>
          </cell>
        </row>
        <row r="11450">
          <cell r="L11450" t="str">
            <v>BD1331010</v>
          </cell>
        </row>
        <row r="11451">
          <cell r="L11451" t="str">
            <v>BD1331020</v>
          </cell>
        </row>
        <row r="11452">
          <cell r="L11452" t="str">
            <v>74260787</v>
          </cell>
        </row>
        <row r="11453">
          <cell r="L11453" t="str">
            <v>74271299</v>
          </cell>
        </row>
        <row r="11454">
          <cell r="L11454" t="str">
            <v>74273339</v>
          </cell>
        </row>
        <row r="11455">
          <cell r="L11455" t="str">
            <v>74255348</v>
          </cell>
        </row>
        <row r="11456">
          <cell r="L11456" t="str">
            <v>MiscAssetRep1112</v>
          </cell>
        </row>
        <row r="11457">
          <cell r="L11457" t="str">
            <v>74322565</v>
          </cell>
        </row>
        <row r="11458">
          <cell r="L11458" t="str">
            <v>74318404</v>
          </cell>
        </row>
        <row r="11459">
          <cell r="L11459" t="str">
            <v>MiscExPipeRew1011</v>
          </cell>
        </row>
        <row r="11460">
          <cell r="L11460" t="str">
            <v>74278543</v>
          </cell>
        </row>
        <row r="11461">
          <cell r="L11461" t="str">
            <v>74278919</v>
          </cell>
        </row>
        <row r="11462">
          <cell r="L11462" t="str">
            <v>74282019</v>
          </cell>
        </row>
        <row r="11463">
          <cell r="L11463" t="str">
            <v>74254502</v>
          </cell>
        </row>
        <row r="11464">
          <cell r="L11464" t="str">
            <v>74278319</v>
          </cell>
        </row>
        <row r="11465">
          <cell r="L11465" t="str">
            <v>74275223</v>
          </cell>
        </row>
        <row r="11466">
          <cell r="L11466" t="str">
            <v>74274910</v>
          </cell>
        </row>
        <row r="11467">
          <cell r="L11467" t="str">
            <v>74262461</v>
          </cell>
        </row>
        <row r="11468">
          <cell r="L11468" t="str">
            <v>74282199</v>
          </cell>
        </row>
        <row r="11469">
          <cell r="L11469" t="str">
            <v>74284503</v>
          </cell>
        </row>
        <row r="11470">
          <cell r="L11470" t="str">
            <v>74275222</v>
          </cell>
        </row>
        <row r="11471">
          <cell r="L11471" t="str">
            <v>74287987</v>
          </cell>
        </row>
        <row r="11472">
          <cell r="L11472" t="str">
            <v>74322566</v>
          </cell>
        </row>
        <row r="11473">
          <cell r="L11473" t="str">
            <v>74304380</v>
          </cell>
        </row>
        <row r="11474">
          <cell r="L11474" t="str">
            <v>74296140</v>
          </cell>
        </row>
        <row r="11475">
          <cell r="L11475" t="str">
            <v>74284361</v>
          </cell>
        </row>
        <row r="11476">
          <cell r="L11476" t="str">
            <v>74286360</v>
          </cell>
        </row>
        <row r="11477">
          <cell r="L11477" t="str">
            <v>74288440</v>
          </cell>
        </row>
        <row r="11478">
          <cell r="L11478" t="str">
            <v>74291240</v>
          </cell>
        </row>
        <row r="11479">
          <cell r="L11479" t="str">
            <v>74286462</v>
          </cell>
        </row>
        <row r="11480">
          <cell r="L11480" t="str">
            <v>74289041</v>
          </cell>
        </row>
        <row r="11481">
          <cell r="L11481" t="str">
            <v>74285640</v>
          </cell>
        </row>
        <row r="11482">
          <cell r="L11482" t="str">
            <v>74289181</v>
          </cell>
        </row>
        <row r="11483">
          <cell r="L11483" t="str">
            <v>74286461</v>
          </cell>
        </row>
        <row r="11484">
          <cell r="L11484" t="str">
            <v>74283144</v>
          </cell>
        </row>
        <row r="11485">
          <cell r="L11485" t="str">
            <v>74286991</v>
          </cell>
        </row>
        <row r="11486">
          <cell r="L11486" t="str">
            <v>74291592</v>
          </cell>
        </row>
        <row r="11487">
          <cell r="L11487" t="str">
            <v>74283139</v>
          </cell>
        </row>
        <row r="11488">
          <cell r="L11488" t="str">
            <v>74291620</v>
          </cell>
        </row>
        <row r="11489">
          <cell r="L11489" t="str">
            <v>74294059</v>
          </cell>
        </row>
        <row r="11490">
          <cell r="L11490" t="str">
            <v>74293980</v>
          </cell>
        </row>
        <row r="11491">
          <cell r="L11491" t="str">
            <v>74294022</v>
          </cell>
        </row>
        <row r="11492">
          <cell r="L11492" t="str">
            <v>74292123</v>
          </cell>
        </row>
        <row r="11493">
          <cell r="L11493" t="str">
            <v>74293960</v>
          </cell>
        </row>
        <row r="11494">
          <cell r="L11494" t="str">
            <v>74292066</v>
          </cell>
        </row>
        <row r="11495">
          <cell r="L11495" t="str">
            <v>74292566</v>
          </cell>
        </row>
        <row r="11496">
          <cell r="L11496" t="str">
            <v>74292462</v>
          </cell>
        </row>
        <row r="11497">
          <cell r="L11497" t="str">
            <v>74294147</v>
          </cell>
        </row>
        <row r="11498">
          <cell r="L11498" t="str">
            <v>74294219</v>
          </cell>
        </row>
        <row r="11499">
          <cell r="L11499" t="str">
            <v>74295185</v>
          </cell>
        </row>
        <row r="11500">
          <cell r="L11500" t="str">
            <v>74295182</v>
          </cell>
        </row>
        <row r="11501">
          <cell r="L11501" t="str">
            <v>74295181</v>
          </cell>
        </row>
        <row r="11502">
          <cell r="L11502" t="str">
            <v>74295183</v>
          </cell>
        </row>
        <row r="11503">
          <cell r="L11503" t="str">
            <v>74295184</v>
          </cell>
        </row>
        <row r="11504">
          <cell r="L11504" t="str">
            <v>74295340</v>
          </cell>
        </row>
        <row r="11505">
          <cell r="L11505" t="str">
            <v>74295187</v>
          </cell>
        </row>
        <row r="11506">
          <cell r="L11506" t="str">
            <v>74322567</v>
          </cell>
        </row>
        <row r="11507">
          <cell r="L11507" t="str">
            <v>74317780</v>
          </cell>
        </row>
        <row r="11508">
          <cell r="L11508" t="str">
            <v>74322568</v>
          </cell>
        </row>
        <row r="11509">
          <cell r="L11509" t="str">
            <v>74295339</v>
          </cell>
        </row>
        <row r="11510">
          <cell r="L11510" t="str">
            <v>74295186</v>
          </cell>
        </row>
        <row r="11511">
          <cell r="L11511" t="str">
            <v>74295667</v>
          </cell>
        </row>
        <row r="11512">
          <cell r="L11512" t="str">
            <v>74303820</v>
          </cell>
        </row>
        <row r="11513">
          <cell r="L11513" t="str">
            <v>74307819</v>
          </cell>
        </row>
        <row r="11514">
          <cell r="L11514" t="str">
            <v>74306065</v>
          </cell>
        </row>
        <row r="11515">
          <cell r="L11515" t="str">
            <v>74309939</v>
          </cell>
        </row>
        <row r="11516">
          <cell r="L11516" t="str">
            <v>74309940</v>
          </cell>
        </row>
        <row r="11517">
          <cell r="L11517" t="str">
            <v>74318065</v>
          </cell>
        </row>
        <row r="11518">
          <cell r="L11518" t="str">
            <v>74318062</v>
          </cell>
        </row>
        <row r="11519">
          <cell r="L11519" t="str">
            <v>74318063</v>
          </cell>
        </row>
        <row r="11520">
          <cell r="L11520" t="str">
            <v>74317987</v>
          </cell>
        </row>
        <row r="11521">
          <cell r="L11521" t="str">
            <v>74318064</v>
          </cell>
        </row>
        <row r="11522">
          <cell r="L11522" t="str">
            <v>74318099</v>
          </cell>
        </row>
        <row r="11523">
          <cell r="L11523" t="str">
            <v>74318100</v>
          </cell>
        </row>
        <row r="11524">
          <cell r="L11524" t="str">
            <v>74318119</v>
          </cell>
        </row>
        <row r="11525">
          <cell r="L11525" t="str">
            <v>MiscAssetRep1213</v>
          </cell>
        </row>
        <row r="11526">
          <cell r="L11526" t="str">
            <v>74318122</v>
          </cell>
        </row>
        <row r="11527">
          <cell r="L11527" t="str">
            <v>74322559</v>
          </cell>
        </row>
        <row r="11528">
          <cell r="L11528" t="str">
            <v>74322561</v>
          </cell>
        </row>
        <row r="11529">
          <cell r="L11529" t="str">
            <v>74322562</v>
          </cell>
        </row>
        <row r="11530">
          <cell r="L11530" t="str">
            <v>74322563</v>
          </cell>
        </row>
        <row r="11531">
          <cell r="L11531" t="str">
            <v>74318121</v>
          </cell>
        </row>
        <row r="11532">
          <cell r="L11532" t="str">
            <v>74318279</v>
          </cell>
        </row>
        <row r="11533">
          <cell r="L11533" t="str">
            <v>74318281</v>
          </cell>
        </row>
        <row r="11534">
          <cell r="L11534" t="str">
            <v>74318283</v>
          </cell>
        </row>
        <row r="11535">
          <cell r="L11535" t="str">
            <v>74318284</v>
          </cell>
        </row>
        <row r="11536">
          <cell r="L11536" t="str">
            <v>74318285</v>
          </cell>
        </row>
        <row r="11537">
          <cell r="L11537" t="str">
            <v>74318280</v>
          </cell>
        </row>
        <row r="11538">
          <cell r="L11538" t="str">
            <v>74318282</v>
          </cell>
        </row>
        <row r="11539">
          <cell r="L11539" t="str">
            <v>74318286</v>
          </cell>
        </row>
        <row r="11540">
          <cell r="L11540" t="str">
            <v>74318287</v>
          </cell>
        </row>
        <row r="11541">
          <cell r="L11541" t="str">
            <v>74318409</v>
          </cell>
        </row>
        <row r="11542">
          <cell r="L11542" t="str">
            <v>74318413</v>
          </cell>
        </row>
        <row r="11543">
          <cell r="L11543" t="str">
            <v>74318059</v>
          </cell>
        </row>
        <row r="11544">
          <cell r="L11544" t="str">
            <v>74318406</v>
          </cell>
        </row>
        <row r="11545">
          <cell r="L11545" t="str">
            <v>74318401</v>
          </cell>
        </row>
        <row r="11546">
          <cell r="L11546" t="str">
            <v>74318041</v>
          </cell>
        </row>
        <row r="11547">
          <cell r="L11547" t="str">
            <v>74318408</v>
          </cell>
        </row>
        <row r="11548">
          <cell r="L11548" t="str">
            <v>74326463</v>
          </cell>
        </row>
        <row r="11549">
          <cell r="L11549" t="str">
            <v>GCUST0809</v>
          </cell>
        </row>
        <row r="11550">
          <cell r="L11550" t="str">
            <v>74281380</v>
          </cell>
        </row>
        <row r="11551">
          <cell r="L11551" t="str">
            <v>040B9635</v>
          </cell>
        </row>
        <row r="11552">
          <cell r="L11552" t="str">
            <v>040TIME</v>
          </cell>
        </row>
        <row r="11553">
          <cell r="L11553" t="str">
            <v>055B9635</v>
          </cell>
        </row>
        <row r="11554">
          <cell r="L11554" t="str">
            <v>055TIME</v>
          </cell>
        </row>
        <row r="11555">
          <cell r="L11555" t="str">
            <v>060B2183</v>
          </cell>
        </row>
        <row r="11556">
          <cell r="L11556" t="str">
            <v>060B9635</v>
          </cell>
        </row>
        <row r="11557">
          <cell r="L11557" t="str">
            <v>060TIME</v>
          </cell>
        </row>
        <row r="11558">
          <cell r="L11558" t="str">
            <v>065B2183</v>
          </cell>
        </row>
        <row r="11559">
          <cell r="L11559" t="str">
            <v>065TIME</v>
          </cell>
        </row>
        <row r="11560">
          <cell r="L11560" t="str">
            <v>070TIME</v>
          </cell>
        </row>
        <row r="11561">
          <cell r="L11561" t="str">
            <v>74070179</v>
          </cell>
        </row>
        <row r="11562">
          <cell r="L11562" t="str">
            <v>74110228</v>
          </cell>
        </row>
        <row r="11563">
          <cell r="L11563" t="str">
            <v>74112037</v>
          </cell>
        </row>
        <row r="11564">
          <cell r="L11564" t="str">
            <v>74120273</v>
          </cell>
        </row>
        <row r="11565">
          <cell r="L11565" t="str">
            <v>74129235</v>
          </cell>
        </row>
        <row r="11566">
          <cell r="L11566" t="str">
            <v>74135113</v>
          </cell>
        </row>
        <row r="11567">
          <cell r="L11567" t="str">
            <v>74141259</v>
          </cell>
        </row>
        <row r="11568">
          <cell r="L11568" t="str">
            <v>74142214</v>
          </cell>
        </row>
        <row r="11569">
          <cell r="L11569" t="str">
            <v>74147659</v>
          </cell>
        </row>
        <row r="11570">
          <cell r="L11570" t="str">
            <v>74149694</v>
          </cell>
        </row>
        <row r="11571">
          <cell r="L11571" t="str">
            <v>74154071</v>
          </cell>
        </row>
        <row r="11572">
          <cell r="L11572" t="str">
            <v>74156912</v>
          </cell>
        </row>
        <row r="11573">
          <cell r="L11573" t="str">
            <v>74157127</v>
          </cell>
        </row>
        <row r="11574">
          <cell r="L11574" t="str">
            <v>74157692</v>
          </cell>
        </row>
        <row r="11575">
          <cell r="L11575" t="str">
            <v>74159251</v>
          </cell>
        </row>
        <row r="11576">
          <cell r="L11576" t="str">
            <v>74163881</v>
          </cell>
        </row>
        <row r="11577">
          <cell r="L11577" t="str">
            <v>74166048</v>
          </cell>
        </row>
        <row r="11578">
          <cell r="L11578" t="str">
            <v>74171750</v>
          </cell>
        </row>
        <row r="11579">
          <cell r="L11579" t="str">
            <v>74173898</v>
          </cell>
        </row>
        <row r="11580">
          <cell r="L11580" t="str">
            <v>74174049</v>
          </cell>
        </row>
        <row r="11581">
          <cell r="L11581" t="str">
            <v>74177934</v>
          </cell>
        </row>
        <row r="11582">
          <cell r="L11582" t="str">
            <v>74182671</v>
          </cell>
        </row>
        <row r="11583">
          <cell r="L11583" t="str">
            <v>74184649</v>
          </cell>
        </row>
        <row r="11584">
          <cell r="L11584" t="str">
            <v>74185396</v>
          </cell>
        </row>
        <row r="11585">
          <cell r="L11585" t="str">
            <v>74186528</v>
          </cell>
        </row>
        <row r="11586">
          <cell r="L11586" t="str">
            <v>74187616</v>
          </cell>
        </row>
        <row r="11587">
          <cell r="L11587" t="str">
            <v>74188449</v>
          </cell>
        </row>
        <row r="11588">
          <cell r="L11588" t="str">
            <v>74189510</v>
          </cell>
        </row>
        <row r="11589">
          <cell r="L11589" t="str">
            <v>74189630</v>
          </cell>
        </row>
        <row r="11590">
          <cell r="L11590" t="str">
            <v>74189833</v>
          </cell>
        </row>
        <row r="11591">
          <cell r="L11591" t="str">
            <v>74190531</v>
          </cell>
        </row>
        <row r="11592">
          <cell r="L11592" t="str">
            <v>74190532</v>
          </cell>
        </row>
        <row r="11593">
          <cell r="L11593" t="str">
            <v>74190689</v>
          </cell>
        </row>
        <row r="11594">
          <cell r="L11594" t="str">
            <v>74192128</v>
          </cell>
        </row>
        <row r="11595">
          <cell r="L11595" t="str">
            <v>74193527</v>
          </cell>
        </row>
        <row r="11596">
          <cell r="L11596" t="str">
            <v>74194151</v>
          </cell>
        </row>
        <row r="11597">
          <cell r="L11597" t="str">
            <v>74194179</v>
          </cell>
        </row>
        <row r="11598">
          <cell r="L11598" t="str">
            <v>74195198</v>
          </cell>
        </row>
        <row r="11599">
          <cell r="L11599" t="str">
            <v>74195927</v>
          </cell>
        </row>
        <row r="11600">
          <cell r="L11600" t="str">
            <v>74196285</v>
          </cell>
        </row>
        <row r="11601">
          <cell r="L11601" t="str">
            <v>74196504</v>
          </cell>
        </row>
        <row r="11602">
          <cell r="L11602" t="str">
            <v>74196518</v>
          </cell>
        </row>
        <row r="11603">
          <cell r="L11603" t="str">
            <v>74197579</v>
          </cell>
        </row>
        <row r="11604">
          <cell r="L11604" t="str">
            <v>74199842</v>
          </cell>
        </row>
        <row r="11605">
          <cell r="L11605" t="str">
            <v>74205859</v>
          </cell>
        </row>
        <row r="11606">
          <cell r="L11606" t="str">
            <v>74208246</v>
          </cell>
        </row>
        <row r="11607">
          <cell r="L11607" t="str">
            <v>74211061</v>
          </cell>
        </row>
        <row r="11608">
          <cell r="L11608" t="str">
            <v>74218302</v>
          </cell>
        </row>
        <row r="11609">
          <cell r="L11609" t="str">
            <v>74219001</v>
          </cell>
        </row>
        <row r="11610">
          <cell r="L11610" t="str">
            <v>74219723</v>
          </cell>
        </row>
        <row r="11611">
          <cell r="L11611" t="str">
            <v>74222839</v>
          </cell>
        </row>
        <row r="11612">
          <cell r="L11612" t="str">
            <v>74223043</v>
          </cell>
        </row>
        <row r="11613">
          <cell r="L11613" t="str">
            <v>74223480</v>
          </cell>
        </row>
        <row r="11614">
          <cell r="L11614" t="str">
            <v>74226903</v>
          </cell>
        </row>
        <row r="11615">
          <cell r="L11615" t="str">
            <v>74228461</v>
          </cell>
        </row>
        <row r="11616">
          <cell r="L11616" t="str">
            <v>74229799</v>
          </cell>
        </row>
        <row r="11617">
          <cell r="L11617" t="str">
            <v>74231142</v>
          </cell>
        </row>
        <row r="11618">
          <cell r="L11618" t="str">
            <v>74231143</v>
          </cell>
        </row>
        <row r="11619">
          <cell r="L11619" t="str">
            <v>74232664</v>
          </cell>
        </row>
        <row r="11620">
          <cell r="L11620" t="str">
            <v>74233582</v>
          </cell>
        </row>
        <row r="11621">
          <cell r="L11621" t="str">
            <v>74235022</v>
          </cell>
        </row>
        <row r="11622">
          <cell r="L11622" t="str">
            <v>74235023</v>
          </cell>
        </row>
        <row r="11623">
          <cell r="L11623" t="str">
            <v>74235235</v>
          </cell>
        </row>
        <row r="11624">
          <cell r="L11624" t="str">
            <v>74235708</v>
          </cell>
        </row>
        <row r="11625">
          <cell r="L11625" t="str">
            <v>74236286</v>
          </cell>
        </row>
        <row r="11626">
          <cell r="L11626" t="str">
            <v>74236289</v>
          </cell>
        </row>
        <row r="11627">
          <cell r="L11627" t="str">
            <v>74236290</v>
          </cell>
        </row>
        <row r="11628">
          <cell r="L11628" t="str">
            <v>74236379</v>
          </cell>
        </row>
        <row r="11629">
          <cell r="L11629" t="str">
            <v>74236461</v>
          </cell>
        </row>
        <row r="11630">
          <cell r="L11630" t="str">
            <v>74236774</v>
          </cell>
        </row>
        <row r="11631">
          <cell r="L11631" t="str">
            <v>74238077</v>
          </cell>
        </row>
        <row r="11632">
          <cell r="L11632" t="str">
            <v>74242626</v>
          </cell>
        </row>
        <row r="11633">
          <cell r="L11633" t="str">
            <v>74243801</v>
          </cell>
        </row>
        <row r="11634">
          <cell r="L11634" t="str">
            <v>74244602</v>
          </cell>
        </row>
        <row r="11635">
          <cell r="L11635" t="str">
            <v>74244821</v>
          </cell>
        </row>
        <row r="11636">
          <cell r="L11636" t="str">
            <v>74247327</v>
          </cell>
        </row>
        <row r="11637">
          <cell r="L11637" t="str">
            <v>74247427</v>
          </cell>
        </row>
        <row r="11638">
          <cell r="L11638" t="str">
            <v>74247628</v>
          </cell>
        </row>
        <row r="11639">
          <cell r="L11639" t="str">
            <v>74248542</v>
          </cell>
        </row>
        <row r="11640">
          <cell r="L11640" t="str">
            <v>74252423</v>
          </cell>
        </row>
        <row r="11641">
          <cell r="L11641" t="str">
            <v>74252424</v>
          </cell>
        </row>
        <row r="11642">
          <cell r="L11642" t="str">
            <v>74253326</v>
          </cell>
        </row>
        <row r="11643">
          <cell r="L11643" t="str">
            <v>74254826</v>
          </cell>
        </row>
        <row r="11644">
          <cell r="L11644" t="str">
            <v>74255059</v>
          </cell>
        </row>
        <row r="11645">
          <cell r="L11645" t="str">
            <v>74257121</v>
          </cell>
        </row>
        <row r="11646">
          <cell r="L11646" t="str">
            <v>74258263</v>
          </cell>
        </row>
        <row r="11647">
          <cell r="L11647" t="str">
            <v>74264742</v>
          </cell>
        </row>
        <row r="11648">
          <cell r="L11648" t="str">
            <v>74268065</v>
          </cell>
        </row>
        <row r="11649">
          <cell r="L11649" t="str">
            <v>74268759</v>
          </cell>
        </row>
        <row r="11650">
          <cell r="L11650" t="str">
            <v>74268760</v>
          </cell>
        </row>
        <row r="11651">
          <cell r="L11651" t="str">
            <v>74269923</v>
          </cell>
        </row>
        <row r="11652">
          <cell r="L11652" t="str">
            <v>74269925</v>
          </cell>
        </row>
        <row r="11653">
          <cell r="L11653" t="str">
            <v>74270381</v>
          </cell>
        </row>
        <row r="11654">
          <cell r="L11654" t="str">
            <v>74270963</v>
          </cell>
        </row>
        <row r="11655">
          <cell r="L11655" t="str">
            <v>74271523</v>
          </cell>
        </row>
        <row r="11656">
          <cell r="L11656" t="str">
            <v>74272561</v>
          </cell>
        </row>
        <row r="11657">
          <cell r="L11657" t="str">
            <v>74272661</v>
          </cell>
        </row>
        <row r="11658">
          <cell r="L11658" t="str">
            <v>74272662</v>
          </cell>
        </row>
        <row r="11659">
          <cell r="L11659" t="str">
            <v>74273084</v>
          </cell>
        </row>
        <row r="11660">
          <cell r="L11660" t="str">
            <v>74273166</v>
          </cell>
        </row>
        <row r="11661">
          <cell r="L11661" t="str">
            <v>74273167</v>
          </cell>
        </row>
        <row r="11662">
          <cell r="L11662" t="str">
            <v>74273215</v>
          </cell>
        </row>
        <row r="11663">
          <cell r="L11663" t="str">
            <v>74273222</v>
          </cell>
        </row>
        <row r="11664">
          <cell r="L11664" t="str">
            <v>74273734</v>
          </cell>
        </row>
        <row r="11665">
          <cell r="L11665" t="str">
            <v>74274178</v>
          </cell>
        </row>
        <row r="11666">
          <cell r="L11666" t="str">
            <v>74274309</v>
          </cell>
        </row>
        <row r="11667">
          <cell r="L11667" t="str">
            <v>74275476</v>
          </cell>
        </row>
        <row r="11668">
          <cell r="L11668" t="str">
            <v>74275883</v>
          </cell>
        </row>
        <row r="11669">
          <cell r="L11669" t="str">
            <v>74275886</v>
          </cell>
        </row>
        <row r="11670">
          <cell r="L11670" t="str">
            <v>74276902</v>
          </cell>
        </row>
        <row r="11671">
          <cell r="L11671" t="str">
            <v>74276908</v>
          </cell>
        </row>
        <row r="11672">
          <cell r="L11672" t="str">
            <v>74276912</v>
          </cell>
        </row>
        <row r="11673">
          <cell r="L11673" t="str">
            <v>74277521</v>
          </cell>
        </row>
        <row r="11674">
          <cell r="L11674" t="str">
            <v>74277539</v>
          </cell>
        </row>
        <row r="11675">
          <cell r="L11675" t="str">
            <v>74277544</v>
          </cell>
        </row>
        <row r="11676">
          <cell r="L11676" t="str">
            <v>74278579</v>
          </cell>
        </row>
        <row r="11677">
          <cell r="L11677" t="str">
            <v>74280581</v>
          </cell>
        </row>
        <row r="11678">
          <cell r="L11678" t="str">
            <v>74285889</v>
          </cell>
        </row>
        <row r="11679">
          <cell r="L11679" t="str">
            <v>74296779</v>
          </cell>
        </row>
        <row r="11680">
          <cell r="L11680" t="str">
            <v>74296785</v>
          </cell>
        </row>
        <row r="11681">
          <cell r="L11681" t="str">
            <v>74298287</v>
          </cell>
        </row>
        <row r="11682">
          <cell r="L11682" t="str">
            <v>74298288</v>
          </cell>
        </row>
        <row r="11683">
          <cell r="L11683" t="str">
            <v>74298295</v>
          </cell>
        </row>
        <row r="11684">
          <cell r="L11684" t="str">
            <v>74298623</v>
          </cell>
        </row>
        <row r="11685">
          <cell r="L11685" t="str">
            <v>74298630</v>
          </cell>
        </row>
        <row r="11686">
          <cell r="L11686" t="str">
            <v>74300243</v>
          </cell>
        </row>
        <row r="11687">
          <cell r="L11687" t="str">
            <v>74300380</v>
          </cell>
        </row>
        <row r="11688">
          <cell r="L11688" t="str">
            <v>74300502</v>
          </cell>
        </row>
        <row r="11689">
          <cell r="L11689" t="str">
            <v>74302623</v>
          </cell>
        </row>
        <row r="11690">
          <cell r="L11690" t="str">
            <v>74302831</v>
          </cell>
        </row>
        <row r="11691">
          <cell r="L11691" t="str">
            <v>74303383</v>
          </cell>
        </row>
        <row r="11692">
          <cell r="L11692" t="str">
            <v>74304180</v>
          </cell>
        </row>
        <row r="11693">
          <cell r="L11693" t="str">
            <v>74304747</v>
          </cell>
        </row>
        <row r="11694">
          <cell r="L11694" t="str">
            <v>74304899</v>
          </cell>
        </row>
        <row r="11695">
          <cell r="L11695" t="str">
            <v>74305628</v>
          </cell>
        </row>
        <row r="11696">
          <cell r="L11696" t="str">
            <v>74306743</v>
          </cell>
        </row>
        <row r="11697">
          <cell r="L11697" t="str">
            <v>74307727</v>
          </cell>
        </row>
        <row r="11698">
          <cell r="L11698" t="str">
            <v>74307919</v>
          </cell>
        </row>
        <row r="11699">
          <cell r="L11699" t="str">
            <v>74308100</v>
          </cell>
        </row>
        <row r="11700">
          <cell r="L11700" t="str">
            <v>74308419</v>
          </cell>
        </row>
        <row r="11701">
          <cell r="L11701" t="str">
            <v>74308588</v>
          </cell>
        </row>
        <row r="11702">
          <cell r="L11702" t="str">
            <v>74308589</v>
          </cell>
        </row>
        <row r="11703">
          <cell r="L11703" t="str">
            <v>74308603</v>
          </cell>
        </row>
        <row r="11704">
          <cell r="L11704" t="str">
            <v>74308745</v>
          </cell>
        </row>
        <row r="11705">
          <cell r="L11705" t="str">
            <v>74308981</v>
          </cell>
        </row>
        <row r="11706">
          <cell r="L11706" t="str">
            <v>74309159</v>
          </cell>
        </row>
        <row r="11707">
          <cell r="L11707" t="str">
            <v>74309160</v>
          </cell>
        </row>
        <row r="11708">
          <cell r="L11708" t="str">
            <v>74309161</v>
          </cell>
        </row>
        <row r="11709">
          <cell r="L11709" t="str">
            <v>74309162</v>
          </cell>
        </row>
        <row r="11710">
          <cell r="L11710" t="str">
            <v>74309366</v>
          </cell>
        </row>
        <row r="11711">
          <cell r="L11711" t="str">
            <v>74309584</v>
          </cell>
        </row>
        <row r="11712">
          <cell r="L11712" t="str">
            <v>74309721</v>
          </cell>
        </row>
        <row r="11713">
          <cell r="L11713" t="str">
            <v>74309861</v>
          </cell>
        </row>
        <row r="11714">
          <cell r="L11714" t="str">
            <v>74309919</v>
          </cell>
        </row>
        <row r="11715">
          <cell r="L11715" t="str">
            <v>74309927</v>
          </cell>
        </row>
        <row r="11716">
          <cell r="L11716" t="str">
            <v>74310626</v>
          </cell>
        </row>
        <row r="11717">
          <cell r="L11717" t="str">
            <v>74310902</v>
          </cell>
        </row>
        <row r="11718">
          <cell r="L11718" t="str">
            <v>74311479</v>
          </cell>
        </row>
        <row r="11719">
          <cell r="L11719" t="str">
            <v>74311848</v>
          </cell>
        </row>
        <row r="11720">
          <cell r="L11720" t="str">
            <v>74311850</v>
          </cell>
        </row>
        <row r="11721">
          <cell r="L11721" t="str">
            <v>74311853</v>
          </cell>
        </row>
        <row r="11722">
          <cell r="L11722" t="str">
            <v>74311854</v>
          </cell>
        </row>
        <row r="11723">
          <cell r="L11723" t="str">
            <v>74311859</v>
          </cell>
        </row>
        <row r="11724">
          <cell r="L11724" t="str">
            <v>74311860</v>
          </cell>
        </row>
        <row r="11725">
          <cell r="L11725" t="str">
            <v>74312045</v>
          </cell>
        </row>
        <row r="11726">
          <cell r="L11726" t="str">
            <v>74312066</v>
          </cell>
        </row>
        <row r="11727">
          <cell r="L11727" t="str">
            <v>74312068</v>
          </cell>
        </row>
        <row r="11728">
          <cell r="L11728" t="str">
            <v>74312070</v>
          </cell>
        </row>
        <row r="11729">
          <cell r="L11729" t="str">
            <v>74312071</v>
          </cell>
        </row>
        <row r="11730">
          <cell r="L11730" t="str">
            <v>74312086</v>
          </cell>
        </row>
        <row r="11731">
          <cell r="L11731" t="str">
            <v>74312087</v>
          </cell>
        </row>
        <row r="11732">
          <cell r="L11732" t="str">
            <v>74312808</v>
          </cell>
        </row>
        <row r="11733">
          <cell r="L11733" t="str">
            <v>74312820</v>
          </cell>
        </row>
        <row r="11734">
          <cell r="L11734" t="str">
            <v>74312821</v>
          </cell>
        </row>
        <row r="11735">
          <cell r="L11735" t="str">
            <v>74312822</v>
          </cell>
        </row>
        <row r="11736">
          <cell r="L11736" t="str">
            <v>74312824</v>
          </cell>
        </row>
        <row r="11737">
          <cell r="L11737" t="str">
            <v>74312828</v>
          </cell>
        </row>
        <row r="11738">
          <cell r="L11738" t="str">
            <v>74313123</v>
          </cell>
        </row>
        <row r="11739">
          <cell r="L11739" t="str">
            <v>74313142</v>
          </cell>
        </row>
        <row r="11740">
          <cell r="L11740" t="str">
            <v>74313381</v>
          </cell>
        </row>
        <row r="11741">
          <cell r="L11741" t="str">
            <v>74313424</v>
          </cell>
        </row>
        <row r="11742">
          <cell r="L11742" t="str">
            <v>74313543</v>
          </cell>
        </row>
        <row r="11743">
          <cell r="L11743" t="str">
            <v>74313704</v>
          </cell>
        </row>
        <row r="11744">
          <cell r="L11744" t="str">
            <v>74314299</v>
          </cell>
        </row>
        <row r="11745">
          <cell r="L11745" t="str">
            <v>74314488</v>
          </cell>
        </row>
        <row r="11746">
          <cell r="L11746" t="str">
            <v>74314935</v>
          </cell>
        </row>
        <row r="11747">
          <cell r="L11747" t="str">
            <v>74315769</v>
          </cell>
        </row>
        <row r="11748">
          <cell r="L11748" t="str">
            <v>74315822</v>
          </cell>
        </row>
        <row r="11749">
          <cell r="L11749" t="str">
            <v>74315861</v>
          </cell>
        </row>
        <row r="11750">
          <cell r="L11750" t="str">
            <v>74315920</v>
          </cell>
        </row>
        <row r="11751">
          <cell r="L11751" t="str">
            <v>74316240</v>
          </cell>
        </row>
        <row r="11752">
          <cell r="L11752" t="str">
            <v>74316419</v>
          </cell>
        </row>
        <row r="11753">
          <cell r="L11753" t="str">
            <v>74316422</v>
          </cell>
        </row>
        <row r="11754">
          <cell r="L11754" t="str">
            <v>74316423</v>
          </cell>
        </row>
        <row r="11755">
          <cell r="L11755" t="str">
            <v>74316539</v>
          </cell>
        </row>
        <row r="11756">
          <cell r="L11756" t="str">
            <v>74316859</v>
          </cell>
        </row>
        <row r="11757">
          <cell r="L11757" t="str">
            <v>74317499</v>
          </cell>
        </row>
        <row r="11758">
          <cell r="L11758" t="str">
            <v>74317524</v>
          </cell>
        </row>
        <row r="11759">
          <cell r="L11759" t="str">
            <v>74317726</v>
          </cell>
        </row>
        <row r="11760">
          <cell r="L11760" t="str">
            <v>74317728</v>
          </cell>
        </row>
        <row r="11761">
          <cell r="L11761" t="str">
            <v>74317862</v>
          </cell>
        </row>
        <row r="11762">
          <cell r="L11762" t="str">
            <v>74318719</v>
          </cell>
        </row>
        <row r="11763">
          <cell r="L11763" t="str">
            <v>74318981</v>
          </cell>
        </row>
        <row r="11764">
          <cell r="L11764" t="str">
            <v>74318985</v>
          </cell>
        </row>
        <row r="11765">
          <cell r="L11765" t="str">
            <v>74319000</v>
          </cell>
        </row>
        <row r="11766">
          <cell r="L11766" t="str">
            <v>74319002</v>
          </cell>
        </row>
        <row r="11767">
          <cell r="L11767" t="str">
            <v>74319242</v>
          </cell>
        </row>
        <row r="11768">
          <cell r="L11768" t="str">
            <v>74319501</v>
          </cell>
        </row>
        <row r="11769">
          <cell r="L11769" t="str">
            <v>74319502</v>
          </cell>
        </row>
        <row r="11770">
          <cell r="L11770" t="str">
            <v>74319523</v>
          </cell>
        </row>
        <row r="11771">
          <cell r="L11771" t="str">
            <v>74319761</v>
          </cell>
        </row>
        <row r="11772">
          <cell r="L11772" t="str">
            <v>74319762</v>
          </cell>
        </row>
        <row r="11773">
          <cell r="L11773" t="str">
            <v>74319763</v>
          </cell>
        </row>
        <row r="11774">
          <cell r="L11774" t="str">
            <v>74319780</v>
          </cell>
        </row>
        <row r="11775">
          <cell r="L11775" t="str">
            <v>74319782</v>
          </cell>
        </row>
        <row r="11776">
          <cell r="L11776" t="str">
            <v>74319799</v>
          </cell>
        </row>
        <row r="11777">
          <cell r="L11777" t="str">
            <v>74319819</v>
          </cell>
        </row>
        <row r="11778">
          <cell r="L11778" t="str">
            <v>74319839</v>
          </cell>
        </row>
        <row r="11779">
          <cell r="L11779" t="str">
            <v>74319842</v>
          </cell>
        </row>
        <row r="11780">
          <cell r="L11780" t="str">
            <v>74320439</v>
          </cell>
        </row>
        <row r="11781">
          <cell r="L11781" t="str">
            <v>74320610</v>
          </cell>
        </row>
        <row r="11782">
          <cell r="L11782" t="str">
            <v>74320662</v>
          </cell>
        </row>
        <row r="11783">
          <cell r="L11783" t="str">
            <v>74320722</v>
          </cell>
        </row>
        <row r="11784">
          <cell r="L11784" t="str">
            <v>74320725</v>
          </cell>
        </row>
        <row r="11785">
          <cell r="L11785" t="str">
            <v>74320901</v>
          </cell>
        </row>
        <row r="11786">
          <cell r="L11786" t="str">
            <v>74321464</v>
          </cell>
        </row>
        <row r="11787">
          <cell r="L11787" t="str">
            <v>74321480</v>
          </cell>
        </row>
        <row r="11788">
          <cell r="L11788" t="str">
            <v>74321624</v>
          </cell>
        </row>
        <row r="11789">
          <cell r="L11789" t="str">
            <v>74322203</v>
          </cell>
        </row>
        <row r="11790">
          <cell r="L11790" t="str">
            <v>74322242</v>
          </cell>
        </row>
        <row r="11791">
          <cell r="L11791" t="str">
            <v>74322612</v>
          </cell>
        </row>
        <row r="11792">
          <cell r="L11792" t="str">
            <v>74322860</v>
          </cell>
        </row>
        <row r="11793">
          <cell r="L11793" t="str">
            <v>74322916</v>
          </cell>
        </row>
        <row r="11794">
          <cell r="L11794" t="str">
            <v>74322970</v>
          </cell>
        </row>
        <row r="11795">
          <cell r="L11795" t="str">
            <v>74324966</v>
          </cell>
        </row>
        <row r="11796">
          <cell r="L11796" t="str">
            <v>74325139</v>
          </cell>
        </row>
        <row r="11797">
          <cell r="L11797" t="str">
            <v>ARD080</v>
          </cell>
        </row>
        <row r="11798">
          <cell r="L11798" t="str">
            <v>ARD090</v>
          </cell>
        </row>
        <row r="11799">
          <cell r="L11799" t="str">
            <v>BAL080</v>
          </cell>
        </row>
        <row r="11800">
          <cell r="L11800" t="str">
            <v>BAL090</v>
          </cell>
        </row>
        <row r="11801">
          <cell r="L11801" t="str">
            <v>BD9635040</v>
          </cell>
        </row>
        <row r="11802">
          <cell r="L11802" t="str">
            <v>BD9635055</v>
          </cell>
        </row>
        <row r="11803">
          <cell r="L11803" t="str">
            <v>BD9635060</v>
          </cell>
        </row>
        <row r="11804">
          <cell r="L11804" t="str">
            <v>BD9635065</v>
          </cell>
        </row>
        <row r="11805">
          <cell r="L11805" t="str">
            <v>BD9635070</v>
          </cell>
        </row>
        <row r="11806">
          <cell r="L11806" t="str">
            <v>BD9635080</v>
          </cell>
        </row>
        <row r="11807">
          <cell r="L11807" t="str">
            <v>BD9635090</v>
          </cell>
        </row>
        <row r="11808">
          <cell r="L11808" t="str">
            <v>GEE080</v>
          </cell>
        </row>
        <row r="11809">
          <cell r="L11809" t="str">
            <v>GEE090</v>
          </cell>
        </row>
        <row r="11810">
          <cell r="L11810" t="str">
            <v>GS070CUOH12</v>
          </cell>
        </row>
        <row r="11811">
          <cell r="L11811" t="str">
            <v>ITECHCUSTG</v>
          </cell>
        </row>
        <row r="11812">
          <cell r="L11812" t="str">
            <v>SARCODING090</v>
          </cell>
        </row>
        <row r="11813">
          <cell r="L11813" t="str">
            <v>TMSERRORS</v>
          </cell>
        </row>
        <row r="11814">
          <cell r="L11814" t="str">
            <v>TR070045</v>
          </cell>
        </row>
        <row r="11815">
          <cell r="L11815" t="str">
            <v>TR070060</v>
          </cell>
        </row>
        <row r="11816">
          <cell r="L11816" t="str">
            <v>TR070070</v>
          </cell>
        </row>
        <row r="11817">
          <cell r="L11817" t="str">
            <v>TR080010</v>
          </cell>
        </row>
        <row r="11818">
          <cell r="L11818" t="str">
            <v>TR080015</v>
          </cell>
        </row>
        <row r="11819">
          <cell r="L11819" t="str">
            <v>TR080018</v>
          </cell>
        </row>
        <row r="11820">
          <cell r="L11820" t="str">
            <v>TR080020</v>
          </cell>
        </row>
        <row r="11821">
          <cell r="L11821" t="str">
            <v>TR080030</v>
          </cell>
        </row>
        <row r="11822">
          <cell r="L11822" t="str">
            <v>TU070050</v>
          </cell>
        </row>
        <row r="11823">
          <cell r="L11823" t="str">
            <v>TU070060</v>
          </cell>
        </row>
        <row r="11824">
          <cell r="L11824" t="str">
            <v>TU070070</v>
          </cell>
        </row>
        <row r="11825">
          <cell r="L11825" t="str">
            <v>TU080015</v>
          </cell>
        </row>
        <row r="11826">
          <cell r="L11826" t="str">
            <v>TU080018</v>
          </cell>
        </row>
        <row r="11827">
          <cell r="L11827" t="str">
            <v>TU080020</v>
          </cell>
        </row>
        <row r="11828">
          <cell r="L11828" t="str">
            <v>TU080030</v>
          </cell>
        </row>
        <row r="11829">
          <cell r="L11829" t="str">
            <v>UPLOAD70</v>
          </cell>
        </row>
        <row r="11830">
          <cell r="L11830" t="str">
            <v>UPLOAD80</v>
          </cell>
        </row>
        <row r="11831">
          <cell r="L11831" t="str">
            <v>74148123</v>
          </cell>
        </row>
        <row r="11832">
          <cell r="L11832" t="str">
            <v>74160573</v>
          </cell>
        </row>
        <row r="11833">
          <cell r="L11833" t="str">
            <v>74165013</v>
          </cell>
        </row>
        <row r="11834">
          <cell r="L11834" t="str">
            <v>74168757</v>
          </cell>
        </row>
        <row r="11835">
          <cell r="L11835" t="str">
            <v>74169932</v>
          </cell>
        </row>
        <row r="11836">
          <cell r="L11836" t="str">
            <v>74170337</v>
          </cell>
        </row>
        <row r="11837">
          <cell r="L11837" t="str">
            <v>74170948</v>
          </cell>
        </row>
        <row r="11838">
          <cell r="L11838" t="str">
            <v>74171000</v>
          </cell>
        </row>
        <row r="11839">
          <cell r="L11839" t="str">
            <v>74173942</v>
          </cell>
        </row>
        <row r="11840">
          <cell r="L11840" t="str">
            <v>74174479</v>
          </cell>
        </row>
        <row r="11841">
          <cell r="L11841" t="str">
            <v>74176436</v>
          </cell>
        </row>
        <row r="11842">
          <cell r="L11842" t="str">
            <v>74177448</v>
          </cell>
        </row>
        <row r="11843">
          <cell r="L11843" t="str">
            <v>74177473</v>
          </cell>
        </row>
        <row r="11844">
          <cell r="L11844" t="str">
            <v>74177610</v>
          </cell>
        </row>
        <row r="11845">
          <cell r="L11845" t="str">
            <v>74177611</v>
          </cell>
        </row>
        <row r="11846">
          <cell r="L11846" t="str">
            <v>74180815</v>
          </cell>
        </row>
        <row r="11847">
          <cell r="L11847" t="str">
            <v>74181115</v>
          </cell>
        </row>
        <row r="11848">
          <cell r="L11848" t="str">
            <v>74182661</v>
          </cell>
        </row>
        <row r="11849">
          <cell r="L11849" t="str">
            <v>74185172</v>
          </cell>
        </row>
        <row r="11850">
          <cell r="L11850" t="str">
            <v>74187969</v>
          </cell>
        </row>
        <row r="11851">
          <cell r="L11851" t="str">
            <v>74190199</v>
          </cell>
        </row>
        <row r="11852">
          <cell r="L11852" t="str">
            <v>74190930</v>
          </cell>
        </row>
        <row r="11853">
          <cell r="L11853" t="str">
            <v>74192611</v>
          </cell>
        </row>
        <row r="11854">
          <cell r="L11854" t="str">
            <v>74195726</v>
          </cell>
        </row>
        <row r="11855">
          <cell r="L11855" t="str">
            <v>74196801</v>
          </cell>
        </row>
        <row r="11856">
          <cell r="L11856" t="str">
            <v>74201532</v>
          </cell>
        </row>
        <row r="11857">
          <cell r="L11857" t="str">
            <v>74205720</v>
          </cell>
        </row>
        <row r="11858">
          <cell r="L11858" t="str">
            <v>74206405</v>
          </cell>
        </row>
        <row r="11859">
          <cell r="L11859" t="str">
            <v>74210890</v>
          </cell>
        </row>
        <row r="11860">
          <cell r="L11860" t="str">
            <v>74215460</v>
          </cell>
        </row>
        <row r="11861">
          <cell r="L11861" t="str">
            <v>74217920</v>
          </cell>
        </row>
        <row r="11862">
          <cell r="L11862" t="str">
            <v>74221540</v>
          </cell>
        </row>
        <row r="11863">
          <cell r="L11863" t="str">
            <v>74227479</v>
          </cell>
        </row>
        <row r="11864">
          <cell r="L11864" t="str">
            <v>74228323</v>
          </cell>
        </row>
        <row r="11865">
          <cell r="L11865" t="str">
            <v>74233692</v>
          </cell>
        </row>
        <row r="11866">
          <cell r="L11866" t="str">
            <v>74233779</v>
          </cell>
        </row>
        <row r="11867">
          <cell r="L11867" t="str">
            <v>74234899</v>
          </cell>
        </row>
        <row r="11868">
          <cell r="L11868" t="str">
            <v>74236642</v>
          </cell>
        </row>
        <row r="11869">
          <cell r="L11869" t="str">
            <v>74236863</v>
          </cell>
        </row>
        <row r="11870">
          <cell r="L11870" t="str">
            <v>74238423</v>
          </cell>
        </row>
        <row r="11871">
          <cell r="L11871" t="str">
            <v>74238623</v>
          </cell>
        </row>
        <row r="11872">
          <cell r="L11872" t="str">
            <v>74238802</v>
          </cell>
        </row>
        <row r="11873">
          <cell r="L11873" t="str">
            <v>74240613</v>
          </cell>
        </row>
        <row r="11874">
          <cell r="L11874" t="str">
            <v>74241421</v>
          </cell>
        </row>
        <row r="11875">
          <cell r="L11875" t="str">
            <v>74241681</v>
          </cell>
        </row>
        <row r="11876">
          <cell r="L11876" t="str">
            <v>74241699</v>
          </cell>
        </row>
        <row r="11877">
          <cell r="L11877" t="str">
            <v>74241979</v>
          </cell>
        </row>
        <row r="11878">
          <cell r="L11878" t="str">
            <v>74242957</v>
          </cell>
        </row>
        <row r="11879">
          <cell r="L11879" t="str">
            <v>74242983</v>
          </cell>
        </row>
        <row r="11880">
          <cell r="L11880" t="str">
            <v>74243220</v>
          </cell>
        </row>
        <row r="11881">
          <cell r="L11881" t="str">
            <v>74243468</v>
          </cell>
        </row>
        <row r="11882">
          <cell r="L11882" t="str">
            <v>74243779</v>
          </cell>
        </row>
        <row r="11883">
          <cell r="L11883" t="str">
            <v>74244584</v>
          </cell>
        </row>
        <row r="11884">
          <cell r="L11884" t="str">
            <v>74244739</v>
          </cell>
        </row>
        <row r="11885">
          <cell r="L11885" t="str">
            <v>74245200</v>
          </cell>
        </row>
        <row r="11886">
          <cell r="L11886" t="str">
            <v>74246100</v>
          </cell>
        </row>
        <row r="11887">
          <cell r="L11887" t="str">
            <v>74246124</v>
          </cell>
        </row>
        <row r="11888">
          <cell r="L11888" t="str">
            <v>74246707</v>
          </cell>
        </row>
        <row r="11889">
          <cell r="L11889" t="str">
            <v>74246719</v>
          </cell>
        </row>
        <row r="11890">
          <cell r="L11890" t="str">
            <v>74247079</v>
          </cell>
        </row>
        <row r="11891">
          <cell r="L11891" t="str">
            <v>74247261</v>
          </cell>
        </row>
        <row r="11892">
          <cell r="L11892" t="str">
            <v>74247640</v>
          </cell>
        </row>
        <row r="11893">
          <cell r="L11893" t="str">
            <v>74247720</v>
          </cell>
        </row>
        <row r="11894">
          <cell r="L11894" t="str">
            <v>74247952</v>
          </cell>
        </row>
        <row r="11895">
          <cell r="L11895" t="str">
            <v>74248161</v>
          </cell>
        </row>
        <row r="11896">
          <cell r="L11896" t="str">
            <v>74248522</v>
          </cell>
        </row>
        <row r="11897">
          <cell r="L11897" t="str">
            <v>74248545</v>
          </cell>
        </row>
        <row r="11898">
          <cell r="L11898" t="str">
            <v>74249967</v>
          </cell>
        </row>
        <row r="11899">
          <cell r="L11899" t="str">
            <v>74250081</v>
          </cell>
        </row>
        <row r="11900">
          <cell r="L11900" t="str">
            <v>74250542</v>
          </cell>
        </row>
        <row r="11901">
          <cell r="L11901" t="str">
            <v>74251321</v>
          </cell>
        </row>
        <row r="11902">
          <cell r="L11902" t="str">
            <v>74251345</v>
          </cell>
        </row>
        <row r="11903">
          <cell r="L11903" t="str">
            <v>74251348</v>
          </cell>
        </row>
        <row r="11904">
          <cell r="L11904" t="str">
            <v>74251403</v>
          </cell>
        </row>
        <row r="11905">
          <cell r="L11905" t="str">
            <v>74252139</v>
          </cell>
        </row>
        <row r="11906">
          <cell r="L11906" t="str">
            <v>74252220</v>
          </cell>
        </row>
        <row r="11907">
          <cell r="L11907" t="str">
            <v>74252362</v>
          </cell>
        </row>
        <row r="11908">
          <cell r="L11908" t="str">
            <v>74252401</v>
          </cell>
        </row>
        <row r="11909">
          <cell r="L11909" t="str">
            <v>74253483</v>
          </cell>
        </row>
        <row r="11910">
          <cell r="L11910" t="str">
            <v>74253665</v>
          </cell>
        </row>
        <row r="11911">
          <cell r="L11911" t="str">
            <v>74253680</v>
          </cell>
        </row>
        <row r="11912">
          <cell r="L11912" t="str">
            <v>74253949</v>
          </cell>
        </row>
        <row r="11913">
          <cell r="L11913" t="str">
            <v>74254659</v>
          </cell>
        </row>
        <row r="11914">
          <cell r="L11914" t="str">
            <v>74255219</v>
          </cell>
        </row>
        <row r="11915">
          <cell r="L11915" t="str">
            <v>74255680</v>
          </cell>
        </row>
        <row r="11916">
          <cell r="L11916" t="str">
            <v>74257079</v>
          </cell>
        </row>
        <row r="11917">
          <cell r="L11917" t="str">
            <v>74257262</v>
          </cell>
        </row>
        <row r="11918">
          <cell r="L11918" t="str">
            <v>74258702</v>
          </cell>
        </row>
        <row r="11919">
          <cell r="L11919" t="str">
            <v>74259190</v>
          </cell>
        </row>
        <row r="11920">
          <cell r="L11920" t="str">
            <v>74259360</v>
          </cell>
        </row>
        <row r="11921">
          <cell r="L11921" t="str">
            <v>74259380</v>
          </cell>
        </row>
        <row r="11922">
          <cell r="L11922" t="str">
            <v>74259401</v>
          </cell>
        </row>
        <row r="11923">
          <cell r="L11923" t="str">
            <v>74260026</v>
          </cell>
        </row>
        <row r="11924">
          <cell r="L11924" t="str">
            <v>74260161</v>
          </cell>
        </row>
        <row r="11925">
          <cell r="L11925" t="str">
            <v>74260162</v>
          </cell>
        </row>
        <row r="11926">
          <cell r="L11926" t="str">
            <v>74260163</v>
          </cell>
        </row>
        <row r="11927">
          <cell r="L11927" t="str">
            <v>74260227</v>
          </cell>
        </row>
        <row r="11928">
          <cell r="L11928" t="str">
            <v>74260500</v>
          </cell>
        </row>
        <row r="11929">
          <cell r="L11929" t="str">
            <v>74263002</v>
          </cell>
        </row>
        <row r="11930">
          <cell r="L11930" t="str">
            <v>74263248</v>
          </cell>
        </row>
        <row r="11931">
          <cell r="L11931" t="str">
            <v>74263399</v>
          </cell>
        </row>
        <row r="11932">
          <cell r="L11932" t="str">
            <v>74263919</v>
          </cell>
        </row>
        <row r="11933">
          <cell r="L11933" t="str">
            <v>74263920</v>
          </cell>
        </row>
        <row r="11934">
          <cell r="L11934" t="str">
            <v>74264459</v>
          </cell>
        </row>
        <row r="11935">
          <cell r="L11935" t="str">
            <v>74265542</v>
          </cell>
        </row>
        <row r="11936">
          <cell r="L11936" t="str">
            <v>74267600</v>
          </cell>
        </row>
        <row r="11937">
          <cell r="L11937" t="str">
            <v>74268921</v>
          </cell>
        </row>
        <row r="11938">
          <cell r="L11938" t="str">
            <v>74273212</v>
          </cell>
        </row>
        <row r="11939">
          <cell r="L11939" t="str">
            <v>74273349</v>
          </cell>
        </row>
        <row r="11940">
          <cell r="L11940" t="str">
            <v>74273459</v>
          </cell>
        </row>
        <row r="11941">
          <cell r="L11941" t="str">
            <v>74273632</v>
          </cell>
        </row>
        <row r="11942">
          <cell r="L11942" t="str">
            <v>74275182</v>
          </cell>
        </row>
        <row r="11943">
          <cell r="L11943" t="str">
            <v>74275430</v>
          </cell>
        </row>
        <row r="11944">
          <cell r="L11944" t="str">
            <v>74276008</v>
          </cell>
        </row>
        <row r="11945">
          <cell r="L11945" t="str">
            <v>74276009</v>
          </cell>
        </row>
        <row r="11946">
          <cell r="L11946" t="str">
            <v>74276015</v>
          </cell>
        </row>
        <row r="11947">
          <cell r="L11947" t="str">
            <v>74276017</v>
          </cell>
        </row>
        <row r="11948">
          <cell r="L11948" t="str">
            <v>74276205</v>
          </cell>
        </row>
        <row r="11949">
          <cell r="L11949" t="str">
            <v>74276322</v>
          </cell>
        </row>
        <row r="11950">
          <cell r="L11950" t="str">
            <v>74276748</v>
          </cell>
        </row>
        <row r="11951">
          <cell r="L11951" t="str">
            <v>74276800</v>
          </cell>
        </row>
        <row r="11952">
          <cell r="L11952" t="str">
            <v>74276897</v>
          </cell>
        </row>
        <row r="11953">
          <cell r="L11953" t="str">
            <v>74277661</v>
          </cell>
        </row>
        <row r="11954">
          <cell r="L11954" t="str">
            <v>74277702</v>
          </cell>
        </row>
        <row r="11955">
          <cell r="L11955" t="str">
            <v>74277779</v>
          </cell>
        </row>
        <row r="11956">
          <cell r="L11956" t="str">
            <v>74277800</v>
          </cell>
        </row>
        <row r="11957">
          <cell r="L11957" t="str">
            <v>74278162</v>
          </cell>
        </row>
        <row r="11958">
          <cell r="L11958" t="str">
            <v>74278537</v>
          </cell>
        </row>
        <row r="11959">
          <cell r="L11959" t="str">
            <v>74278565</v>
          </cell>
        </row>
        <row r="11960">
          <cell r="L11960" t="str">
            <v>74278800</v>
          </cell>
        </row>
        <row r="11961">
          <cell r="L11961" t="str">
            <v>74278801</v>
          </cell>
        </row>
        <row r="11962">
          <cell r="L11962" t="str">
            <v>74278840</v>
          </cell>
        </row>
        <row r="11963">
          <cell r="L11963" t="str">
            <v>74279186</v>
          </cell>
        </row>
        <row r="11964">
          <cell r="L11964" t="str">
            <v>74279346</v>
          </cell>
        </row>
        <row r="11965">
          <cell r="L11965" t="str">
            <v>74279477</v>
          </cell>
        </row>
        <row r="11966">
          <cell r="L11966" t="str">
            <v>74279986</v>
          </cell>
        </row>
        <row r="11967">
          <cell r="L11967" t="str">
            <v>74279989</v>
          </cell>
        </row>
        <row r="11968">
          <cell r="L11968" t="str">
            <v>74280147</v>
          </cell>
        </row>
        <row r="11969">
          <cell r="L11969" t="str">
            <v>74280163</v>
          </cell>
        </row>
        <row r="11970">
          <cell r="L11970" t="str">
            <v>74280342</v>
          </cell>
        </row>
        <row r="11971">
          <cell r="L11971" t="str">
            <v>74280402</v>
          </cell>
        </row>
        <row r="11972">
          <cell r="L11972" t="str">
            <v>74280583</v>
          </cell>
        </row>
        <row r="11973">
          <cell r="L11973" t="str">
            <v>74280826</v>
          </cell>
        </row>
        <row r="11974">
          <cell r="L11974" t="str">
            <v>74280922</v>
          </cell>
        </row>
        <row r="11975">
          <cell r="L11975" t="str">
            <v>74280924</v>
          </cell>
        </row>
        <row r="11976">
          <cell r="L11976" t="str">
            <v>74281563</v>
          </cell>
        </row>
        <row r="11977">
          <cell r="L11977" t="str">
            <v>74281568</v>
          </cell>
        </row>
        <row r="11978">
          <cell r="L11978" t="str">
            <v>74281780</v>
          </cell>
        </row>
        <row r="11979">
          <cell r="L11979" t="str">
            <v>74282361</v>
          </cell>
        </row>
        <row r="11980">
          <cell r="L11980" t="str">
            <v>74282681</v>
          </cell>
        </row>
        <row r="11981">
          <cell r="L11981" t="str">
            <v>74282682</v>
          </cell>
        </row>
        <row r="11982">
          <cell r="L11982" t="str">
            <v>74282683</v>
          </cell>
        </row>
        <row r="11983">
          <cell r="L11983" t="str">
            <v>74283040</v>
          </cell>
        </row>
        <row r="11984">
          <cell r="L11984" t="str">
            <v>74283062</v>
          </cell>
        </row>
        <row r="11985">
          <cell r="L11985" t="str">
            <v>74283063</v>
          </cell>
        </row>
        <row r="11986">
          <cell r="L11986" t="str">
            <v>74283202</v>
          </cell>
        </row>
        <row r="11987">
          <cell r="L11987" t="str">
            <v>74283324</v>
          </cell>
        </row>
        <row r="11988">
          <cell r="L11988" t="str">
            <v>74283721</v>
          </cell>
        </row>
        <row r="11989">
          <cell r="L11989" t="str">
            <v>74283722</v>
          </cell>
        </row>
        <row r="11990">
          <cell r="L11990" t="str">
            <v>74283724</v>
          </cell>
        </row>
        <row r="11991">
          <cell r="L11991" t="str">
            <v>74284260</v>
          </cell>
        </row>
        <row r="11992">
          <cell r="L11992" t="str">
            <v>74284660</v>
          </cell>
        </row>
        <row r="11993">
          <cell r="L11993" t="str">
            <v>74284740</v>
          </cell>
        </row>
        <row r="11994">
          <cell r="L11994" t="str">
            <v>74284741</v>
          </cell>
        </row>
        <row r="11995">
          <cell r="L11995" t="str">
            <v>74284860</v>
          </cell>
        </row>
        <row r="11996">
          <cell r="L11996" t="str">
            <v>74285123</v>
          </cell>
        </row>
        <row r="11997">
          <cell r="L11997" t="str">
            <v>74285130</v>
          </cell>
        </row>
        <row r="11998">
          <cell r="L11998" t="str">
            <v>74285443</v>
          </cell>
        </row>
        <row r="11999">
          <cell r="L11999" t="str">
            <v>74285449</v>
          </cell>
        </row>
        <row r="12000">
          <cell r="L12000" t="str">
            <v>74285884</v>
          </cell>
        </row>
        <row r="12001">
          <cell r="L12001" t="str">
            <v>74286102</v>
          </cell>
        </row>
        <row r="12002">
          <cell r="L12002" t="str">
            <v>74286508</v>
          </cell>
        </row>
        <row r="12003">
          <cell r="L12003" t="str">
            <v>74286642</v>
          </cell>
        </row>
        <row r="12004">
          <cell r="L12004" t="str">
            <v>74286855</v>
          </cell>
        </row>
        <row r="12005">
          <cell r="L12005" t="str">
            <v>74286922</v>
          </cell>
        </row>
        <row r="12006">
          <cell r="L12006" t="str">
            <v>74287060</v>
          </cell>
        </row>
        <row r="12007">
          <cell r="L12007" t="str">
            <v>74287502</v>
          </cell>
        </row>
        <row r="12008">
          <cell r="L12008" t="str">
            <v>74287522</v>
          </cell>
        </row>
        <row r="12009">
          <cell r="L12009" t="str">
            <v>74287523</v>
          </cell>
        </row>
        <row r="12010">
          <cell r="L12010" t="str">
            <v>74287639</v>
          </cell>
        </row>
        <row r="12011">
          <cell r="L12011" t="str">
            <v>74287986</v>
          </cell>
        </row>
        <row r="12012">
          <cell r="L12012" t="str">
            <v>74287993</v>
          </cell>
        </row>
        <row r="12013">
          <cell r="L12013" t="str">
            <v>74288260</v>
          </cell>
        </row>
        <row r="12014">
          <cell r="L12014" t="str">
            <v>74288287</v>
          </cell>
        </row>
        <row r="12015">
          <cell r="L12015" t="str">
            <v>74288630</v>
          </cell>
        </row>
        <row r="12016">
          <cell r="L12016" t="str">
            <v>74289097</v>
          </cell>
        </row>
        <row r="12017">
          <cell r="L12017" t="str">
            <v>74289120</v>
          </cell>
        </row>
        <row r="12018">
          <cell r="L12018" t="str">
            <v>74289163</v>
          </cell>
        </row>
        <row r="12019">
          <cell r="L12019" t="str">
            <v>74289282</v>
          </cell>
        </row>
        <row r="12020">
          <cell r="L12020" t="str">
            <v>74289499</v>
          </cell>
        </row>
        <row r="12021">
          <cell r="L12021" t="str">
            <v>74289560</v>
          </cell>
        </row>
        <row r="12022">
          <cell r="L12022" t="str">
            <v>74289561</v>
          </cell>
        </row>
        <row r="12023">
          <cell r="L12023" t="str">
            <v>74289562</v>
          </cell>
        </row>
        <row r="12024">
          <cell r="L12024" t="str">
            <v>74289563</v>
          </cell>
        </row>
        <row r="12025">
          <cell r="L12025" t="str">
            <v>74289739</v>
          </cell>
        </row>
        <row r="12026">
          <cell r="L12026" t="str">
            <v>74289740</v>
          </cell>
        </row>
        <row r="12027">
          <cell r="L12027" t="str">
            <v>74290080</v>
          </cell>
        </row>
        <row r="12028">
          <cell r="L12028" t="str">
            <v>74290162</v>
          </cell>
        </row>
        <row r="12029">
          <cell r="L12029" t="str">
            <v>74290179</v>
          </cell>
        </row>
        <row r="12030">
          <cell r="L12030" t="str">
            <v>74290380</v>
          </cell>
        </row>
        <row r="12031">
          <cell r="L12031" t="str">
            <v>74290440</v>
          </cell>
        </row>
        <row r="12032">
          <cell r="L12032" t="str">
            <v>74290662</v>
          </cell>
        </row>
        <row r="12033">
          <cell r="L12033" t="str">
            <v>74290800</v>
          </cell>
        </row>
        <row r="12034">
          <cell r="L12034" t="str">
            <v>74291995</v>
          </cell>
        </row>
        <row r="12035">
          <cell r="L12035" t="str">
            <v>74291996</v>
          </cell>
        </row>
        <row r="12036">
          <cell r="L12036" t="str">
            <v>74292133</v>
          </cell>
        </row>
        <row r="12037">
          <cell r="L12037" t="str">
            <v>74293062</v>
          </cell>
        </row>
        <row r="12038">
          <cell r="L12038" t="str">
            <v>74293120</v>
          </cell>
        </row>
        <row r="12039">
          <cell r="L12039" t="str">
            <v>74293346</v>
          </cell>
        </row>
        <row r="12040">
          <cell r="L12040" t="str">
            <v>74293391</v>
          </cell>
        </row>
        <row r="12041">
          <cell r="L12041" t="str">
            <v>74293644</v>
          </cell>
        </row>
        <row r="12042">
          <cell r="L12042" t="str">
            <v>74293661</v>
          </cell>
        </row>
        <row r="12043">
          <cell r="L12043" t="str">
            <v>74293719</v>
          </cell>
        </row>
        <row r="12044">
          <cell r="L12044" t="str">
            <v>74294145</v>
          </cell>
        </row>
        <row r="12045">
          <cell r="L12045" t="str">
            <v>74294148</v>
          </cell>
        </row>
        <row r="12046">
          <cell r="L12046" t="str">
            <v>74294159</v>
          </cell>
        </row>
        <row r="12047">
          <cell r="L12047" t="str">
            <v>74294340</v>
          </cell>
        </row>
        <row r="12048">
          <cell r="L12048" t="str">
            <v>74294462</v>
          </cell>
        </row>
        <row r="12049">
          <cell r="L12049" t="str">
            <v>74294659</v>
          </cell>
        </row>
        <row r="12050">
          <cell r="L12050" t="str">
            <v>74294741</v>
          </cell>
        </row>
        <row r="12051">
          <cell r="L12051" t="str">
            <v>74294812</v>
          </cell>
        </row>
        <row r="12052">
          <cell r="L12052" t="str">
            <v>74294818</v>
          </cell>
        </row>
        <row r="12053">
          <cell r="L12053" t="str">
            <v>74294867</v>
          </cell>
        </row>
        <row r="12054">
          <cell r="L12054" t="str">
            <v>74295501</v>
          </cell>
        </row>
        <row r="12055">
          <cell r="L12055" t="str">
            <v>74295639</v>
          </cell>
        </row>
        <row r="12056">
          <cell r="L12056" t="str">
            <v>74295960</v>
          </cell>
        </row>
        <row r="12057">
          <cell r="L12057" t="str">
            <v>74295961</v>
          </cell>
        </row>
        <row r="12058">
          <cell r="L12058" t="str">
            <v>74296526</v>
          </cell>
        </row>
        <row r="12059">
          <cell r="L12059" t="str">
            <v>74297159</v>
          </cell>
        </row>
        <row r="12060">
          <cell r="L12060" t="str">
            <v>74297245</v>
          </cell>
        </row>
        <row r="12061">
          <cell r="L12061" t="str">
            <v>74297962</v>
          </cell>
        </row>
        <row r="12062">
          <cell r="L12062" t="str">
            <v>74298105</v>
          </cell>
        </row>
        <row r="12063">
          <cell r="L12063" t="str">
            <v>74298366</v>
          </cell>
        </row>
        <row r="12064">
          <cell r="L12064" t="str">
            <v>74298480</v>
          </cell>
        </row>
        <row r="12065">
          <cell r="L12065" t="str">
            <v>74298565</v>
          </cell>
        </row>
        <row r="12066">
          <cell r="L12066" t="str">
            <v>74298739</v>
          </cell>
        </row>
        <row r="12067">
          <cell r="L12067" t="str">
            <v>74298780</v>
          </cell>
        </row>
        <row r="12068">
          <cell r="L12068" t="str">
            <v>74298840</v>
          </cell>
        </row>
        <row r="12069">
          <cell r="L12069" t="str">
            <v>74300181</v>
          </cell>
        </row>
        <row r="12070">
          <cell r="L12070" t="str">
            <v>74300224</v>
          </cell>
        </row>
        <row r="12071">
          <cell r="L12071" t="str">
            <v>74300500</v>
          </cell>
        </row>
        <row r="12072">
          <cell r="L12072" t="str">
            <v>74301114</v>
          </cell>
        </row>
        <row r="12073">
          <cell r="L12073" t="str">
            <v>74301331</v>
          </cell>
        </row>
        <row r="12074">
          <cell r="L12074" t="str">
            <v>74301405</v>
          </cell>
        </row>
        <row r="12075">
          <cell r="L12075" t="str">
            <v>74301408</v>
          </cell>
        </row>
        <row r="12076">
          <cell r="L12076" t="str">
            <v>74301566</v>
          </cell>
        </row>
        <row r="12077">
          <cell r="L12077" t="str">
            <v>74301568</v>
          </cell>
        </row>
        <row r="12078">
          <cell r="L12078" t="str">
            <v>74301570</v>
          </cell>
        </row>
        <row r="12079">
          <cell r="L12079" t="str">
            <v>74301599</v>
          </cell>
        </row>
        <row r="12080">
          <cell r="L12080" t="str">
            <v>74301625</v>
          </cell>
        </row>
        <row r="12081">
          <cell r="L12081" t="str">
            <v>74301960</v>
          </cell>
        </row>
        <row r="12082">
          <cell r="L12082" t="str">
            <v>74302319</v>
          </cell>
        </row>
        <row r="12083">
          <cell r="L12083" t="str">
            <v>74302320</v>
          </cell>
        </row>
        <row r="12084">
          <cell r="L12084" t="str">
            <v>74302559</v>
          </cell>
        </row>
        <row r="12085">
          <cell r="L12085" t="str">
            <v>74302560</v>
          </cell>
        </row>
        <row r="12086">
          <cell r="L12086" t="str">
            <v>74302963</v>
          </cell>
        </row>
        <row r="12087">
          <cell r="L12087" t="str">
            <v>74303560</v>
          </cell>
        </row>
        <row r="12088">
          <cell r="L12088" t="str">
            <v>74303907</v>
          </cell>
        </row>
        <row r="12089">
          <cell r="L12089" t="str">
            <v>74303985</v>
          </cell>
        </row>
        <row r="12090">
          <cell r="L12090" t="str">
            <v>74304081</v>
          </cell>
        </row>
        <row r="12091">
          <cell r="L12091" t="str">
            <v>74304241</v>
          </cell>
        </row>
        <row r="12092">
          <cell r="L12092" t="str">
            <v>74304321</v>
          </cell>
        </row>
        <row r="12093">
          <cell r="L12093" t="str">
            <v>74304441</v>
          </cell>
        </row>
        <row r="12094">
          <cell r="L12094" t="str">
            <v>74304642</v>
          </cell>
        </row>
        <row r="12095">
          <cell r="L12095" t="str">
            <v>74304961</v>
          </cell>
        </row>
        <row r="12096">
          <cell r="L12096" t="str">
            <v>74304981</v>
          </cell>
        </row>
        <row r="12097">
          <cell r="L12097" t="str">
            <v>74305001</v>
          </cell>
        </row>
        <row r="12098">
          <cell r="L12098" t="str">
            <v>74305130</v>
          </cell>
        </row>
        <row r="12099">
          <cell r="L12099" t="str">
            <v>74306059</v>
          </cell>
        </row>
        <row r="12100">
          <cell r="L12100" t="str">
            <v>74306105</v>
          </cell>
        </row>
        <row r="12101">
          <cell r="L12101" t="str">
            <v>74306110</v>
          </cell>
        </row>
        <row r="12102">
          <cell r="L12102" t="str">
            <v>74306303</v>
          </cell>
        </row>
        <row r="12103">
          <cell r="L12103" t="str">
            <v>74306361</v>
          </cell>
        </row>
        <row r="12104">
          <cell r="L12104" t="str">
            <v>74306442</v>
          </cell>
        </row>
        <row r="12105">
          <cell r="L12105" t="str">
            <v>74306561</v>
          </cell>
        </row>
        <row r="12106">
          <cell r="L12106" t="str">
            <v>74306680</v>
          </cell>
        </row>
        <row r="12107">
          <cell r="L12107" t="str">
            <v>74306740</v>
          </cell>
        </row>
        <row r="12108">
          <cell r="L12108" t="str">
            <v>74307180</v>
          </cell>
        </row>
        <row r="12109">
          <cell r="L12109" t="str">
            <v>74307359</v>
          </cell>
        </row>
        <row r="12110">
          <cell r="L12110" t="str">
            <v>74307406</v>
          </cell>
        </row>
        <row r="12111">
          <cell r="L12111" t="str">
            <v>74308160</v>
          </cell>
        </row>
        <row r="12112">
          <cell r="L12112" t="str">
            <v>74308161</v>
          </cell>
        </row>
        <row r="12113">
          <cell r="L12113" t="str">
            <v>74308249</v>
          </cell>
        </row>
        <row r="12114">
          <cell r="L12114" t="str">
            <v>74308251</v>
          </cell>
        </row>
        <row r="12115">
          <cell r="L12115" t="str">
            <v>74308365</v>
          </cell>
        </row>
        <row r="12116">
          <cell r="L12116" t="str">
            <v>74309599</v>
          </cell>
        </row>
        <row r="12117">
          <cell r="L12117" t="str">
            <v>74309603</v>
          </cell>
        </row>
        <row r="12118">
          <cell r="L12118" t="str">
            <v>74309610</v>
          </cell>
        </row>
        <row r="12119">
          <cell r="L12119" t="str">
            <v>74309961</v>
          </cell>
        </row>
        <row r="12120">
          <cell r="L12120" t="str">
            <v>74310268</v>
          </cell>
        </row>
        <row r="12121">
          <cell r="L12121" t="str">
            <v>74310269</v>
          </cell>
        </row>
        <row r="12122">
          <cell r="L12122" t="str">
            <v>74310270</v>
          </cell>
        </row>
        <row r="12123">
          <cell r="L12123" t="str">
            <v>74310505</v>
          </cell>
        </row>
        <row r="12124">
          <cell r="L12124" t="str">
            <v>74311499</v>
          </cell>
        </row>
        <row r="12125">
          <cell r="L12125" t="str">
            <v>74311922</v>
          </cell>
        </row>
        <row r="12126">
          <cell r="L12126" t="str">
            <v>74312042</v>
          </cell>
        </row>
        <row r="12127">
          <cell r="L12127" t="str">
            <v>74312341</v>
          </cell>
        </row>
        <row r="12128">
          <cell r="L12128" t="str">
            <v>74312967</v>
          </cell>
        </row>
        <row r="12129">
          <cell r="L12129" t="str">
            <v>74314302</v>
          </cell>
        </row>
        <row r="12130">
          <cell r="L12130" t="str">
            <v>74314705</v>
          </cell>
        </row>
        <row r="12131">
          <cell r="L12131" t="str">
            <v>74314721</v>
          </cell>
        </row>
        <row r="12132">
          <cell r="L12132" t="str">
            <v>74314922</v>
          </cell>
        </row>
        <row r="12133">
          <cell r="L12133" t="str">
            <v>74314961</v>
          </cell>
        </row>
        <row r="12134">
          <cell r="L12134" t="str">
            <v>74314970</v>
          </cell>
        </row>
        <row r="12135">
          <cell r="L12135" t="str">
            <v>74315003</v>
          </cell>
        </row>
        <row r="12136">
          <cell r="L12136" t="str">
            <v>74315060</v>
          </cell>
        </row>
        <row r="12137">
          <cell r="L12137" t="str">
            <v>74315500</v>
          </cell>
        </row>
        <row r="12138">
          <cell r="L12138" t="str">
            <v>74315761</v>
          </cell>
        </row>
        <row r="12139">
          <cell r="L12139" t="str">
            <v>74316372</v>
          </cell>
        </row>
        <row r="12140">
          <cell r="L12140" t="str">
            <v>74316460</v>
          </cell>
        </row>
        <row r="12141">
          <cell r="L12141" t="str">
            <v>74316461</v>
          </cell>
        </row>
        <row r="12142">
          <cell r="L12142" t="str">
            <v>74316463</v>
          </cell>
        </row>
        <row r="12143">
          <cell r="L12143" t="str">
            <v>74316582</v>
          </cell>
        </row>
        <row r="12144">
          <cell r="L12144" t="str">
            <v>74316640</v>
          </cell>
        </row>
        <row r="12145">
          <cell r="L12145" t="str">
            <v>74316879</v>
          </cell>
        </row>
        <row r="12146">
          <cell r="L12146" t="str">
            <v>74316940</v>
          </cell>
        </row>
        <row r="12147">
          <cell r="L12147" t="str">
            <v>74317182</v>
          </cell>
        </row>
        <row r="12148">
          <cell r="L12148" t="str">
            <v>74317993</v>
          </cell>
        </row>
        <row r="12149">
          <cell r="L12149" t="str">
            <v>74317999</v>
          </cell>
        </row>
        <row r="12150">
          <cell r="L12150" t="str">
            <v>74318661</v>
          </cell>
        </row>
        <row r="12151">
          <cell r="L12151" t="str">
            <v>74318865</v>
          </cell>
        </row>
        <row r="12152">
          <cell r="L12152" t="str">
            <v>74318901</v>
          </cell>
        </row>
        <row r="12153">
          <cell r="L12153" t="str">
            <v>74319020</v>
          </cell>
        </row>
        <row r="12154">
          <cell r="L12154" t="str">
            <v>74319360</v>
          </cell>
        </row>
        <row r="12155">
          <cell r="L12155" t="str">
            <v>74320141</v>
          </cell>
        </row>
        <row r="12156">
          <cell r="L12156" t="str">
            <v>74320199</v>
          </cell>
        </row>
        <row r="12157">
          <cell r="L12157" t="str">
            <v>74320613</v>
          </cell>
        </row>
        <row r="12158">
          <cell r="L12158" t="str">
            <v>74320680</v>
          </cell>
        </row>
        <row r="12159">
          <cell r="L12159" t="str">
            <v>74321009</v>
          </cell>
        </row>
        <row r="12160">
          <cell r="L12160" t="str">
            <v>74321485</v>
          </cell>
        </row>
        <row r="12161">
          <cell r="L12161" t="str">
            <v>74321631</v>
          </cell>
        </row>
        <row r="12162">
          <cell r="L12162" t="str">
            <v>74321686</v>
          </cell>
        </row>
        <row r="12163">
          <cell r="L12163" t="str">
            <v>74322202</v>
          </cell>
        </row>
        <row r="12164">
          <cell r="L12164" t="str">
            <v>74322465</v>
          </cell>
        </row>
        <row r="12165">
          <cell r="L12165" t="str">
            <v>74322570</v>
          </cell>
        </row>
        <row r="12166">
          <cell r="L12166" t="str">
            <v>74322826</v>
          </cell>
        </row>
        <row r="12167">
          <cell r="L12167" t="str">
            <v>74322918</v>
          </cell>
        </row>
        <row r="12168">
          <cell r="L12168" t="str">
            <v>74323081</v>
          </cell>
        </row>
        <row r="12169">
          <cell r="L12169" t="str">
            <v>74323320</v>
          </cell>
        </row>
        <row r="12170">
          <cell r="L12170" t="str">
            <v>74323799</v>
          </cell>
        </row>
        <row r="12171">
          <cell r="L12171" t="str">
            <v>74323819</v>
          </cell>
        </row>
        <row r="12172">
          <cell r="L12172" t="str">
            <v>74324809</v>
          </cell>
        </row>
        <row r="12173">
          <cell r="L12173" t="str">
            <v>74326016</v>
          </cell>
        </row>
        <row r="12174">
          <cell r="L12174" t="str">
            <v>74134292</v>
          </cell>
        </row>
        <row r="12175">
          <cell r="L12175" t="str">
            <v>74176253</v>
          </cell>
        </row>
        <row r="12176">
          <cell r="L12176" t="str">
            <v>74233919</v>
          </cell>
        </row>
        <row r="12177">
          <cell r="L12177" t="str">
            <v>74307221</v>
          </cell>
        </row>
        <row r="12178">
          <cell r="L12178" t="str">
            <v>74228248</v>
          </cell>
        </row>
        <row r="12179">
          <cell r="L12179" t="str">
            <v>74184869</v>
          </cell>
        </row>
        <row r="12180">
          <cell r="L12180" t="str">
            <v>74291182</v>
          </cell>
        </row>
        <row r="12181">
          <cell r="L12181" t="str">
            <v>74295362</v>
          </cell>
        </row>
        <row r="12182">
          <cell r="L12182" t="str">
            <v>74297626</v>
          </cell>
        </row>
        <row r="12183">
          <cell r="L12183" t="str">
            <v>74297671</v>
          </cell>
        </row>
        <row r="12184">
          <cell r="L12184" t="str">
            <v>74297673</v>
          </cell>
        </row>
        <row r="12185">
          <cell r="L12185" t="str">
            <v>74297800</v>
          </cell>
        </row>
        <row r="12186">
          <cell r="L12186" t="str">
            <v>74297961</v>
          </cell>
        </row>
        <row r="12187">
          <cell r="L12187" t="str">
            <v>74298564</v>
          </cell>
        </row>
        <row r="12188">
          <cell r="L12188" t="str">
            <v>74298634</v>
          </cell>
        </row>
        <row r="12189">
          <cell r="L12189" t="str">
            <v>74298720</v>
          </cell>
        </row>
        <row r="12190">
          <cell r="L12190" t="str">
            <v>74299365</v>
          </cell>
        </row>
        <row r="12191">
          <cell r="L12191" t="str">
            <v>74274287</v>
          </cell>
        </row>
        <row r="12192">
          <cell r="L12192" t="str">
            <v>74162096</v>
          </cell>
        </row>
        <row r="12193">
          <cell r="L12193" t="str">
            <v>74238384</v>
          </cell>
        </row>
        <row r="12194">
          <cell r="L12194" t="str">
            <v>74247260</v>
          </cell>
        </row>
        <row r="12195">
          <cell r="L12195" t="str">
            <v>74276780</v>
          </cell>
        </row>
        <row r="12196">
          <cell r="L12196" t="str">
            <v>74282340</v>
          </cell>
        </row>
        <row r="12197">
          <cell r="L12197" t="str">
            <v>74282680</v>
          </cell>
        </row>
        <row r="12198">
          <cell r="L12198" t="str">
            <v>74284439</v>
          </cell>
        </row>
        <row r="12199">
          <cell r="L12199" t="str">
            <v>74285760</v>
          </cell>
        </row>
        <row r="12200">
          <cell r="L12200" t="str">
            <v>74287781</v>
          </cell>
        </row>
        <row r="12201">
          <cell r="L12201" t="str">
            <v>74289946</v>
          </cell>
        </row>
        <row r="12202">
          <cell r="L12202" t="str">
            <v>74290439</v>
          </cell>
        </row>
        <row r="12203">
          <cell r="L12203" t="str">
            <v>74290987</v>
          </cell>
        </row>
        <row r="12204">
          <cell r="L12204" t="str">
            <v>74291524</v>
          </cell>
        </row>
        <row r="12205">
          <cell r="L12205" t="str">
            <v>74293445</v>
          </cell>
        </row>
        <row r="12206">
          <cell r="L12206" t="str">
            <v>74193489</v>
          </cell>
        </row>
        <row r="12207">
          <cell r="L12207" t="str">
            <v>74322360</v>
          </cell>
        </row>
        <row r="12208">
          <cell r="L12208" t="str">
            <v>74250439</v>
          </cell>
        </row>
        <row r="12209">
          <cell r="L12209" t="str">
            <v>74149365</v>
          </cell>
        </row>
        <row r="12210">
          <cell r="L12210" t="str">
            <v>74221503</v>
          </cell>
        </row>
        <row r="12211">
          <cell r="L12211" t="str">
            <v>74252299</v>
          </cell>
        </row>
        <row r="12212">
          <cell r="L12212" t="str">
            <v>74222739</v>
          </cell>
        </row>
        <row r="12213">
          <cell r="L12213" t="str">
            <v>74241639</v>
          </cell>
        </row>
        <row r="12214">
          <cell r="L12214" t="str">
            <v>74241891</v>
          </cell>
        </row>
        <row r="12215">
          <cell r="L12215" t="str">
            <v>74168738</v>
          </cell>
        </row>
        <row r="12216">
          <cell r="L12216" t="str">
            <v>74181830</v>
          </cell>
        </row>
        <row r="12217">
          <cell r="L12217" t="str">
            <v>74184329</v>
          </cell>
        </row>
        <row r="12218">
          <cell r="L12218" t="str">
            <v>74185031</v>
          </cell>
        </row>
        <row r="12219">
          <cell r="L12219" t="str">
            <v>74185033</v>
          </cell>
        </row>
        <row r="12220">
          <cell r="L12220" t="str">
            <v>74196923</v>
          </cell>
        </row>
        <row r="12221">
          <cell r="L12221" t="str">
            <v>74196963</v>
          </cell>
        </row>
        <row r="12222">
          <cell r="L12222" t="str">
            <v>74199831</v>
          </cell>
        </row>
        <row r="12223">
          <cell r="L12223" t="str">
            <v>74200142</v>
          </cell>
        </row>
        <row r="12224">
          <cell r="L12224" t="str">
            <v>74203019</v>
          </cell>
        </row>
        <row r="12225">
          <cell r="L12225" t="str">
            <v>74204020</v>
          </cell>
        </row>
        <row r="12226">
          <cell r="L12226" t="str">
            <v>74205799</v>
          </cell>
        </row>
        <row r="12227">
          <cell r="L12227" t="str">
            <v>74209401</v>
          </cell>
        </row>
        <row r="12228">
          <cell r="L12228" t="str">
            <v>74222107</v>
          </cell>
        </row>
        <row r="12229">
          <cell r="L12229" t="str">
            <v>74223665</v>
          </cell>
        </row>
        <row r="12230">
          <cell r="L12230" t="str">
            <v>74224259</v>
          </cell>
        </row>
        <row r="12231">
          <cell r="L12231" t="str">
            <v>74226613</v>
          </cell>
        </row>
        <row r="12232">
          <cell r="L12232" t="str">
            <v>74253746</v>
          </cell>
        </row>
        <row r="12233">
          <cell r="L12233" t="str">
            <v>74256688</v>
          </cell>
        </row>
        <row r="12234">
          <cell r="L12234" t="str">
            <v>74257039</v>
          </cell>
        </row>
        <row r="12235">
          <cell r="L12235" t="str">
            <v>74257501</v>
          </cell>
        </row>
        <row r="12236">
          <cell r="L12236" t="str">
            <v>74258162</v>
          </cell>
        </row>
        <row r="12237">
          <cell r="L12237" t="str">
            <v>74258679</v>
          </cell>
        </row>
        <row r="12238">
          <cell r="L12238" t="str">
            <v>74259020</v>
          </cell>
        </row>
        <row r="12239">
          <cell r="L12239" t="str">
            <v>74259299</v>
          </cell>
        </row>
        <row r="12240">
          <cell r="L12240" t="str">
            <v>74260083</v>
          </cell>
        </row>
        <row r="12241">
          <cell r="L12241" t="str">
            <v>74260100</v>
          </cell>
        </row>
        <row r="12242">
          <cell r="L12242" t="str">
            <v>74260899</v>
          </cell>
        </row>
        <row r="12243">
          <cell r="L12243" t="str">
            <v>74261662</v>
          </cell>
        </row>
        <row r="12244">
          <cell r="L12244" t="str">
            <v>74262999</v>
          </cell>
        </row>
        <row r="12245">
          <cell r="L12245" t="str">
            <v>74263249</v>
          </cell>
        </row>
        <row r="12246">
          <cell r="L12246" t="str">
            <v>74263444</v>
          </cell>
        </row>
        <row r="12247">
          <cell r="L12247" t="str">
            <v>74263863</v>
          </cell>
        </row>
        <row r="12248">
          <cell r="L12248" t="str">
            <v>74263864</v>
          </cell>
        </row>
        <row r="12249">
          <cell r="L12249" t="str">
            <v>74266000</v>
          </cell>
        </row>
        <row r="12250">
          <cell r="L12250" t="str">
            <v>74266186</v>
          </cell>
        </row>
        <row r="12251">
          <cell r="L12251" t="str">
            <v>74266321</v>
          </cell>
        </row>
        <row r="12252">
          <cell r="L12252" t="str">
            <v>74269060</v>
          </cell>
        </row>
        <row r="12253">
          <cell r="L12253" t="str">
            <v>74269280</v>
          </cell>
        </row>
        <row r="12254">
          <cell r="L12254" t="str">
            <v>74269924</v>
          </cell>
        </row>
        <row r="12255">
          <cell r="L12255" t="str">
            <v>74270401</v>
          </cell>
        </row>
        <row r="12256">
          <cell r="L12256" t="str">
            <v>74272665</v>
          </cell>
        </row>
        <row r="12257">
          <cell r="L12257" t="str">
            <v>74272683</v>
          </cell>
        </row>
        <row r="12258">
          <cell r="L12258" t="str">
            <v>74273262</v>
          </cell>
        </row>
        <row r="12259">
          <cell r="L12259" t="str">
            <v>74204684</v>
          </cell>
        </row>
        <row r="12260">
          <cell r="L12260" t="str">
            <v>74213688</v>
          </cell>
        </row>
        <row r="12261">
          <cell r="L12261" t="str">
            <v>74213693</v>
          </cell>
        </row>
        <row r="12262">
          <cell r="L12262" t="str">
            <v>74217727</v>
          </cell>
        </row>
        <row r="12263">
          <cell r="L12263" t="str">
            <v>74218845</v>
          </cell>
        </row>
        <row r="12264">
          <cell r="L12264" t="str">
            <v>74220469</v>
          </cell>
        </row>
        <row r="12265">
          <cell r="L12265" t="str">
            <v>74221506</v>
          </cell>
        </row>
        <row r="12266">
          <cell r="L12266" t="str">
            <v>74221579</v>
          </cell>
        </row>
        <row r="12267">
          <cell r="L12267" t="str">
            <v>74221806</v>
          </cell>
        </row>
        <row r="12268">
          <cell r="L12268" t="str">
            <v>74225423</v>
          </cell>
        </row>
        <row r="12269">
          <cell r="L12269" t="str">
            <v>74225424</v>
          </cell>
        </row>
        <row r="12270">
          <cell r="L12270" t="str">
            <v>74227386</v>
          </cell>
        </row>
        <row r="12271">
          <cell r="L12271" t="str">
            <v>74238064</v>
          </cell>
        </row>
        <row r="12272">
          <cell r="L12272" t="str">
            <v>74238069</v>
          </cell>
        </row>
        <row r="12273">
          <cell r="L12273" t="str">
            <v>74238070</v>
          </cell>
        </row>
        <row r="12274">
          <cell r="L12274" t="str">
            <v>74238075</v>
          </cell>
        </row>
        <row r="12275">
          <cell r="L12275" t="str">
            <v>74238842</v>
          </cell>
        </row>
        <row r="12276">
          <cell r="L12276" t="str">
            <v>74238843</v>
          </cell>
        </row>
        <row r="12277">
          <cell r="L12277" t="str">
            <v>74238846</v>
          </cell>
        </row>
        <row r="12278">
          <cell r="L12278" t="str">
            <v>74241220</v>
          </cell>
        </row>
        <row r="12279">
          <cell r="L12279" t="str">
            <v>74241319</v>
          </cell>
        </row>
        <row r="12280">
          <cell r="L12280" t="str">
            <v>74241901</v>
          </cell>
        </row>
        <row r="12281">
          <cell r="L12281" t="str">
            <v>74241923</v>
          </cell>
        </row>
        <row r="12282">
          <cell r="L12282" t="str">
            <v>74241925</v>
          </cell>
        </row>
        <row r="12283">
          <cell r="L12283" t="str">
            <v>74241939</v>
          </cell>
        </row>
        <row r="12284">
          <cell r="L12284" t="str">
            <v>74242621</v>
          </cell>
        </row>
        <row r="12285">
          <cell r="L12285" t="str">
            <v>74242919</v>
          </cell>
        </row>
        <row r="12286">
          <cell r="L12286" t="str">
            <v>74242921</v>
          </cell>
        </row>
        <row r="12287">
          <cell r="L12287" t="str">
            <v>74243459</v>
          </cell>
        </row>
        <row r="12288">
          <cell r="L12288" t="str">
            <v>74243463</v>
          </cell>
        </row>
        <row r="12289">
          <cell r="L12289" t="str">
            <v>74243466</v>
          </cell>
        </row>
        <row r="12290">
          <cell r="L12290" t="str">
            <v>74243579</v>
          </cell>
        </row>
        <row r="12291">
          <cell r="L12291" t="str">
            <v>74244783</v>
          </cell>
        </row>
        <row r="12292">
          <cell r="L12292" t="str">
            <v>74244819</v>
          </cell>
        </row>
        <row r="12293">
          <cell r="L12293" t="str">
            <v>74246261</v>
          </cell>
        </row>
        <row r="12294">
          <cell r="L12294" t="str">
            <v>74246266</v>
          </cell>
        </row>
        <row r="12295">
          <cell r="L12295" t="str">
            <v>74247384</v>
          </cell>
        </row>
        <row r="12296">
          <cell r="L12296" t="str">
            <v>74247385</v>
          </cell>
        </row>
        <row r="12297">
          <cell r="L12297" t="str">
            <v>74247386</v>
          </cell>
        </row>
        <row r="12298">
          <cell r="L12298" t="str">
            <v>74247387</v>
          </cell>
        </row>
        <row r="12299">
          <cell r="L12299" t="str">
            <v>74247389</v>
          </cell>
        </row>
        <row r="12300">
          <cell r="L12300" t="str">
            <v>74247580</v>
          </cell>
        </row>
        <row r="12301">
          <cell r="L12301" t="str">
            <v>74247901</v>
          </cell>
        </row>
        <row r="12302">
          <cell r="L12302" t="str">
            <v>74247961</v>
          </cell>
        </row>
        <row r="12303">
          <cell r="L12303" t="str">
            <v>74247967</v>
          </cell>
        </row>
        <row r="12304">
          <cell r="L12304" t="str">
            <v>74249206</v>
          </cell>
        </row>
        <row r="12305">
          <cell r="L12305" t="str">
            <v>74249209</v>
          </cell>
        </row>
        <row r="12306">
          <cell r="L12306" t="str">
            <v>74249399</v>
          </cell>
        </row>
        <row r="12307">
          <cell r="L12307" t="str">
            <v>74250159</v>
          </cell>
        </row>
        <row r="12308">
          <cell r="L12308" t="str">
            <v>74250614</v>
          </cell>
        </row>
        <row r="12309">
          <cell r="L12309" t="str">
            <v>74250944</v>
          </cell>
        </row>
        <row r="12310">
          <cell r="L12310" t="str">
            <v>74251039</v>
          </cell>
        </row>
        <row r="12311">
          <cell r="L12311" t="str">
            <v>74251440</v>
          </cell>
        </row>
        <row r="12312">
          <cell r="L12312" t="str">
            <v>74251816</v>
          </cell>
        </row>
        <row r="12313">
          <cell r="L12313" t="str">
            <v>74252342</v>
          </cell>
        </row>
        <row r="12314">
          <cell r="L12314" t="str">
            <v>74253068</v>
          </cell>
        </row>
        <row r="12315">
          <cell r="L12315" t="str">
            <v>74253607</v>
          </cell>
        </row>
        <row r="12316">
          <cell r="L12316" t="str">
            <v>74253608</v>
          </cell>
        </row>
        <row r="12317">
          <cell r="L12317" t="str">
            <v>74253781</v>
          </cell>
        </row>
        <row r="12318">
          <cell r="L12318" t="str">
            <v>74253782</v>
          </cell>
        </row>
        <row r="12319">
          <cell r="L12319" t="str">
            <v>74254245</v>
          </cell>
        </row>
        <row r="12320">
          <cell r="L12320" t="str">
            <v>74255573</v>
          </cell>
        </row>
        <row r="12321">
          <cell r="L12321" t="str">
            <v>74255879</v>
          </cell>
        </row>
        <row r="12322">
          <cell r="L12322" t="str">
            <v>74256207</v>
          </cell>
        </row>
        <row r="12323">
          <cell r="L12323" t="str">
            <v>74256863</v>
          </cell>
        </row>
        <row r="12324">
          <cell r="L12324" t="str">
            <v>74238151</v>
          </cell>
        </row>
        <row r="12325">
          <cell r="L12325" t="str">
            <v>74246239</v>
          </cell>
        </row>
        <row r="12326">
          <cell r="L12326" t="str">
            <v>74247765</v>
          </cell>
        </row>
        <row r="12327">
          <cell r="L12327" t="str">
            <v>74249163</v>
          </cell>
        </row>
        <row r="12328">
          <cell r="L12328" t="str">
            <v>74250945</v>
          </cell>
        </row>
        <row r="12329">
          <cell r="L12329" t="str">
            <v>74204002</v>
          </cell>
        </row>
        <row r="12330">
          <cell r="L12330" t="str">
            <v>74238841</v>
          </cell>
        </row>
        <row r="12331">
          <cell r="L12331" t="str">
            <v>74239120</v>
          </cell>
        </row>
        <row r="12332">
          <cell r="L12332" t="str">
            <v>74240784</v>
          </cell>
        </row>
        <row r="12333">
          <cell r="L12333" t="str">
            <v>74241222</v>
          </cell>
        </row>
        <row r="12334">
          <cell r="L12334" t="str">
            <v>74241921</v>
          </cell>
        </row>
        <row r="12335">
          <cell r="L12335" t="str">
            <v>74243461</v>
          </cell>
        </row>
        <row r="12336">
          <cell r="L12336" t="str">
            <v>74249419</v>
          </cell>
        </row>
        <row r="12337">
          <cell r="L12337" t="str">
            <v>74250942</v>
          </cell>
        </row>
        <row r="12338">
          <cell r="L12338" t="str">
            <v>74253064</v>
          </cell>
        </row>
        <row r="12339">
          <cell r="L12339" t="str">
            <v>74255040</v>
          </cell>
        </row>
        <row r="12340">
          <cell r="L12340" t="str">
            <v>74183310</v>
          </cell>
        </row>
        <row r="12341">
          <cell r="L12341" t="str">
            <v>74255593</v>
          </cell>
        </row>
        <row r="12342">
          <cell r="L12342" t="str">
            <v>74215541</v>
          </cell>
        </row>
        <row r="12343">
          <cell r="L12343" t="str">
            <v>74213745</v>
          </cell>
        </row>
        <row r="12344">
          <cell r="L12344" t="str">
            <v>74219484</v>
          </cell>
        </row>
        <row r="12345">
          <cell r="L12345" t="str">
            <v>74219818</v>
          </cell>
        </row>
        <row r="12346">
          <cell r="L12346" t="str">
            <v>74219825</v>
          </cell>
        </row>
        <row r="12347">
          <cell r="L12347" t="str">
            <v>74225473</v>
          </cell>
        </row>
        <row r="12348">
          <cell r="L12348" t="str">
            <v>74229154</v>
          </cell>
        </row>
        <row r="12349">
          <cell r="L12349" t="str">
            <v>74232260</v>
          </cell>
        </row>
        <row r="12350">
          <cell r="L12350" t="str">
            <v>74237012</v>
          </cell>
        </row>
        <row r="12351">
          <cell r="L12351" t="str">
            <v>74238539</v>
          </cell>
        </row>
        <row r="12352">
          <cell r="L12352" t="str">
            <v>74238699</v>
          </cell>
        </row>
        <row r="12353">
          <cell r="L12353" t="str">
            <v>74238804</v>
          </cell>
        </row>
        <row r="12354">
          <cell r="L12354" t="str">
            <v>74241399</v>
          </cell>
        </row>
        <row r="12355">
          <cell r="L12355" t="str">
            <v>74244619</v>
          </cell>
        </row>
        <row r="12356">
          <cell r="L12356" t="str">
            <v>74246383</v>
          </cell>
        </row>
        <row r="12357">
          <cell r="L12357" t="str">
            <v>74249779</v>
          </cell>
        </row>
        <row r="12358">
          <cell r="L12358" t="str">
            <v>74249985</v>
          </cell>
        </row>
        <row r="12359">
          <cell r="L12359" t="str">
            <v>74252239</v>
          </cell>
        </row>
        <row r="12360">
          <cell r="L12360" t="str">
            <v>74252641</v>
          </cell>
        </row>
        <row r="12361">
          <cell r="L12361" t="str">
            <v>74253280</v>
          </cell>
        </row>
        <row r="12362">
          <cell r="L12362" t="str">
            <v>74253639</v>
          </cell>
        </row>
        <row r="12363">
          <cell r="L12363" t="str">
            <v>74253885</v>
          </cell>
        </row>
        <row r="12364">
          <cell r="L12364" t="str">
            <v>74257260</v>
          </cell>
        </row>
        <row r="12365">
          <cell r="L12365" t="str">
            <v>74257761</v>
          </cell>
        </row>
        <row r="12366">
          <cell r="L12366" t="str">
            <v>74261022</v>
          </cell>
        </row>
        <row r="12367">
          <cell r="L12367" t="str">
            <v>74261279</v>
          </cell>
        </row>
        <row r="12368">
          <cell r="L12368" t="str">
            <v>74261421</v>
          </cell>
        </row>
        <row r="12369">
          <cell r="L12369" t="str">
            <v>74273163</v>
          </cell>
        </row>
        <row r="12370">
          <cell r="L12370" t="str">
            <v>74273164</v>
          </cell>
        </row>
        <row r="12371">
          <cell r="L12371" t="str">
            <v>74275346</v>
          </cell>
        </row>
        <row r="12372">
          <cell r="L12372" t="str">
            <v>74277839</v>
          </cell>
        </row>
        <row r="12373">
          <cell r="L12373" t="str">
            <v>74278382</v>
          </cell>
        </row>
        <row r="12374">
          <cell r="L12374" t="str">
            <v>74279340</v>
          </cell>
        </row>
        <row r="12375">
          <cell r="L12375" t="str">
            <v>74281562</v>
          </cell>
        </row>
        <row r="12376">
          <cell r="L12376" t="str">
            <v>74283071</v>
          </cell>
        </row>
        <row r="12377">
          <cell r="L12377" t="str">
            <v>74283199</v>
          </cell>
        </row>
        <row r="12378">
          <cell r="L12378" t="str">
            <v>74283700</v>
          </cell>
        </row>
        <row r="12379">
          <cell r="L12379" t="str">
            <v>74284104</v>
          </cell>
        </row>
        <row r="12380">
          <cell r="L12380" t="str">
            <v>74286699</v>
          </cell>
        </row>
        <row r="12381">
          <cell r="L12381" t="str">
            <v>74287264</v>
          </cell>
        </row>
        <row r="12382">
          <cell r="L12382" t="str">
            <v>74287699</v>
          </cell>
        </row>
        <row r="12383">
          <cell r="L12383" t="str">
            <v>74302745</v>
          </cell>
        </row>
        <row r="12384">
          <cell r="L12384" t="str">
            <v>74302764</v>
          </cell>
        </row>
        <row r="12385">
          <cell r="L12385" t="str">
            <v>74304161</v>
          </cell>
        </row>
        <row r="12386">
          <cell r="L12386" t="str">
            <v>74304745</v>
          </cell>
        </row>
        <row r="12387">
          <cell r="L12387" t="str">
            <v>74305941</v>
          </cell>
        </row>
        <row r="12388">
          <cell r="L12388" t="str">
            <v>74306040</v>
          </cell>
        </row>
        <row r="12389">
          <cell r="L12389" t="str">
            <v>74306041</v>
          </cell>
        </row>
        <row r="12390">
          <cell r="L12390" t="str">
            <v>74306043</v>
          </cell>
        </row>
        <row r="12391">
          <cell r="L12391" t="str">
            <v>74306725</v>
          </cell>
        </row>
        <row r="12392">
          <cell r="L12392" t="str">
            <v>74306726</v>
          </cell>
        </row>
        <row r="12393">
          <cell r="L12393" t="str">
            <v>74306727</v>
          </cell>
        </row>
        <row r="12394">
          <cell r="L12394" t="str">
            <v>74306728</v>
          </cell>
        </row>
        <row r="12395">
          <cell r="L12395" t="str">
            <v>74307722</v>
          </cell>
        </row>
        <row r="12396">
          <cell r="L12396" t="str">
            <v>74307724</v>
          </cell>
        </row>
        <row r="12397">
          <cell r="L12397" t="str">
            <v>74307726</v>
          </cell>
        </row>
        <row r="12398">
          <cell r="L12398" t="str">
            <v>74307729</v>
          </cell>
        </row>
        <row r="12399">
          <cell r="L12399" t="str">
            <v>74308590</v>
          </cell>
        </row>
        <row r="12400">
          <cell r="L12400" t="str">
            <v>74308593</v>
          </cell>
        </row>
        <row r="12401">
          <cell r="L12401" t="str">
            <v>74308595</v>
          </cell>
        </row>
        <row r="12402">
          <cell r="L12402" t="str">
            <v>74308600</v>
          </cell>
        </row>
        <row r="12403">
          <cell r="L12403" t="str">
            <v>74308602</v>
          </cell>
        </row>
        <row r="12404">
          <cell r="L12404" t="str">
            <v>74308604</v>
          </cell>
        </row>
        <row r="12405">
          <cell r="L12405" t="str">
            <v>74309381</v>
          </cell>
        </row>
        <row r="12406">
          <cell r="L12406" t="str">
            <v>74309382</v>
          </cell>
        </row>
        <row r="12407">
          <cell r="L12407" t="str">
            <v>74309420</v>
          </cell>
        </row>
        <row r="12408">
          <cell r="L12408" t="str">
            <v>74309421</v>
          </cell>
        </row>
        <row r="12409">
          <cell r="L12409" t="str">
            <v>74309923</v>
          </cell>
        </row>
        <row r="12410">
          <cell r="L12410" t="str">
            <v>74309924</v>
          </cell>
        </row>
        <row r="12411">
          <cell r="L12411" t="str">
            <v>74309926</v>
          </cell>
        </row>
        <row r="12412">
          <cell r="L12412" t="str">
            <v>74310884</v>
          </cell>
        </row>
        <row r="12413">
          <cell r="L12413" t="str">
            <v>74310888</v>
          </cell>
        </row>
        <row r="12414">
          <cell r="L12414" t="str">
            <v>74311480</v>
          </cell>
        </row>
        <row r="12415">
          <cell r="L12415" t="str">
            <v>74311482</v>
          </cell>
        </row>
        <row r="12416">
          <cell r="L12416" t="str">
            <v>74311846</v>
          </cell>
        </row>
        <row r="12417">
          <cell r="L12417" t="str">
            <v>74311847</v>
          </cell>
        </row>
        <row r="12418">
          <cell r="L12418" t="str">
            <v>74311851</v>
          </cell>
        </row>
        <row r="12419">
          <cell r="L12419" t="str">
            <v>74311852</v>
          </cell>
        </row>
        <row r="12420">
          <cell r="L12420" t="str">
            <v>74311855</v>
          </cell>
        </row>
        <row r="12421">
          <cell r="L12421" t="str">
            <v>74311856</v>
          </cell>
        </row>
        <row r="12422">
          <cell r="L12422" t="str">
            <v>74311857</v>
          </cell>
        </row>
        <row r="12423">
          <cell r="L12423" t="str">
            <v>74311858</v>
          </cell>
        </row>
        <row r="12424">
          <cell r="L12424" t="str">
            <v>74312067</v>
          </cell>
        </row>
        <row r="12425">
          <cell r="L12425" t="str">
            <v>74312069</v>
          </cell>
        </row>
        <row r="12426">
          <cell r="L12426" t="str">
            <v>74312072</v>
          </cell>
        </row>
        <row r="12427">
          <cell r="L12427" t="str">
            <v>74313359</v>
          </cell>
        </row>
        <row r="12428">
          <cell r="L12428" t="str">
            <v>74313361</v>
          </cell>
        </row>
        <row r="12429">
          <cell r="L12429" t="str">
            <v>74314303</v>
          </cell>
        </row>
        <row r="12430">
          <cell r="L12430" t="str">
            <v>74315599</v>
          </cell>
        </row>
        <row r="12431">
          <cell r="L12431" t="str">
            <v>74315762</v>
          </cell>
        </row>
        <row r="12432">
          <cell r="L12432" t="str">
            <v>74315779</v>
          </cell>
        </row>
        <row r="12433">
          <cell r="L12433" t="str">
            <v>74317528</v>
          </cell>
        </row>
        <row r="12434">
          <cell r="L12434" t="str">
            <v>74317722</v>
          </cell>
        </row>
        <row r="12435">
          <cell r="L12435" t="str">
            <v>74167412</v>
          </cell>
        </row>
        <row r="12436">
          <cell r="L12436" t="str">
            <v>74171292</v>
          </cell>
        </row>
        <row r="12437">
          <cell r="L12437" t="str">
            <v>74214041</v>
          </cell>
        </row>
        <row r="12438">
          <cell r="L12438" t="str">
            <v>74218500</v>
          </cell>
        </row>
        <row r="12439">
          <cell r="L12439" t="str">
            <v>74295401</v>
          </cell>
        </row>
        <row r="12440">
          <cell r="L12440" t="str">
            <v>74297780</v>
          </cell>
        </row>
        <row r="12441">
          <cell r="L12441" t="str">
            <v>74223880</v>
          </cell>
        </row>
        <row r="12442">
          <cell r="L12442" t="str">
            <v>74177629</v>
          </cell>
        </row>
        <row r="12443">
          <cell r="L12443" t="str">
            <v>74225699</v>
          </cell>
        </row>
        <row r="12444">
          <cell r="L12444" t="str">
            <v>74226499</v>
          </cell>
        </row>
        <row r="12445">
          <cell r="L12445" t="str">
            <v>74181490</v>
          </cell>
        </row>
        <row r="12446">
          <cell r="L12446" t="str">
            <v>74309925</v>
          </cell>
        </row>
        <row r="12447">
          <cell r="L12447" t="str">
            <v>74311849</v>
          </cell>
        </row>
        <row r="12448">
          <cell r="L12448" t="str">
            <v>74159351</v>
          </cell>
        </row>
        <row r="12449">
          <cell r="L12449" t="str">
            <v>74202066</v>
          </cell>
        </row>
        <row r="12450">
          <cell r="L12450" t="str">
            <v>74286704</v>
          </cell>
        </row>
        <row r="12451">
          <cell r="L12451" t="str">
            <v>74314519</v>
          </cell>
        </row>
        <row r="12452">
          <cell r="L12452" t="str">
            <v>74296784</v>
          </cell>
        </row>
        <row r="12453">
          <cell r="L12453" t="str">
            <v>74303349</v>
          </cell>
        </row>
        <row r="12454">
          <cell r="L12454" t="str">
            <v>74262641</v>
          </cell>
        </row>
        <row r="12455">
          <cell r="L12455" t="str">
            <v>74151408</v>
          </cell>
        </row>
        <row r="12456">
          <cell r="L12456" t="str">
            <v>74165395</v>
          </cell>
        </row>
        <row r="12457">
          <cell r="L12457" t="str">
            <v>74166568</v>
          </cell>
        </row>
        <row r="12458">
          <cell r="L12458" t="str">
            <v>74169293</v>
          </cell>
        </row>
        <row r="12459">
          <cell r="L12459" t="str">
            <v>74170568</v>
          </cell>
        </row>
        <row r="12460">
          <cell r="L12460" t="str">
            <v>74192237</v>
          </cell>
        </row>
        <row r="12461">
          <cell r="L12461" t="str">
            <v>74193219</v>
          </cell>
        </row>
        <row r="12462">
          <cell r="L12462" t="str">
            <v>74199121</v>
          </cell>
        </row>
        <row r="12463">
          <cell r="L12463" t="str">
            <v>74199601</v>
          </cell>
        </row>
        <row r="12464">
          <cell r="L12464" t="str">
            <v>74200600</v>
          </cell>
        </row>
        <row r="12465">
          <cell r="L12465" t="str">
            <v>74202999</v>
          </cell>
        </row>
        <row r="12466">
          <cell r="L12466" t="str">
            <v>74203500</v>
          </cell>
        </row>
        <row r="12467">
          <cell r="L12467" t="str">
            <v>74204085</v>
          </cell>
        </row>
        <row r="12468">
          <cell r="L12468" t="str">
            <v>74206053</v>
          </cell>
        </row>
        <row r="12469">
          <cell r="L12469" t="str">
            <v>74215720</v>
          </cell>
        </row>
        <row r="12470">
          <cell r="L12470" t="str">
            <v>74217121</v>
          </cell>
        </row>
        <row r="12471">
          <cell r="L12471" t="str">
            <v>74218139</v>
          </cell>
        </row>
        <row r="12472">
          <cell r="L12472" t="str">
            <v>74218142</v>
          </cell>
        </row>
        <row r="12473">
          <cell r="L12473" t="str">
            <v>74218731</v>
          </cell>
        </row>
        <row r="12474">
          <cell r="L12474" t="str">
            <v>74219832</v>
          </cell>
        </row>
        <row r="12475">
          <cell r="L12475" t="str">
            <v>74222343</v>
          </cell>
        </row>
        <row r="12476">
          <cell r="L12476" t="str">
            <v>74224545</v>
          </cell>
        </row>
        <row r="12477">
          <cell r="L12477" t="str">
            <v>74227265</v>
          </cell>
        </row>
        <row r="12478">
          <cell r="L12478" t="str">
            <v>74229419</v>
          </cell>
        </row>
        <row r="12479">
          <cell r="L12479" t="str">
            <v>74229439</v>
          </cell>
        </row>
        <row r="12480">
          <cell r="L12480" t="str">
            <v>74229699</v>
          </cell>
        </row>
        <row r="12481">
          <cell r="L12481" t="str">
            <v>74230942</v>
          </cell>
        </row>
        <row r="12482">
          <cell r="L12482" t="str">
            <v>74232819</v>
          </cell>
        </row>
        <row r="12483">
          <cell r="L12483" t="str">
            <v>74233819</v>
          </cell>
        </row>
        <row r="12484">
          <cell r="L12484" t="str">
            <v>74234020</v>
          </cell>
        </row>
        <row r="12485">
          <cell r="L12485" t="str">
            <v>74235700</v>
          </cell>
        </row>
        <row r="12486">
          <cell r="L12486" t="str">
            <v>74236867</v>
          </cell>
        </row>
        <row r="12487">
          <cell r="L12487" t="str">
            <v>74237960</v>
          </cell>
        </row>
        <row r="12488">
          <cell r="L12488" t="str">
            <v>74237999</v>
          </cell>
        </row>
        <row r="12489">
          <cell r="L12489" t="str">
            <v>74241802</v>
          </cell>
        </row>
        <row r="12490">
          <cell r="L12490" t="str">
            <v>74242079</v>
          </cell>
        </row>
        <row r="12491">
          <cell r="L12491" t="str">
            <v>74243919</v>
          </cell>
        </row>
        <row r="12492">
          <cell r="L12492" t="str">
            <v>74244140</v>
          </cell>
        </row>
        <row r="12493">
          <cell r="L12493" t="str">
            <v>74244579</v>
          </cell>
        </row>
        <row r="12494">
          <cell r="L12494" t="str">
            <v>74244640</v>
          </cell>
        </row>
        <row r="12495">
          <cell r="L12495" t="str">
            <v>74245400</v>
          </cell>
        </row>
        <row r="12496">
          <cell r="L12496" t="str">
            <v>74245462</v>
          </cell>
        </row>
        <row r="12497">
          <cell r="L12497" t="str">
            <v>74246340</v>
          </cell>
        </row>
        <row r="12498">
          <cell r="L12498" t="str">
            <v>74246922</v>
          </cell>
        </row>
        <row r="12499">
          <cell r="L12499" t="str">
            <v>74249959</v>
          </cell>
        </row>
        <row r="12500">
          <cell r="L12500" t="str">
            <v>74250079</v>
          </cell>
        </row>
        <row r="12501">
          <cell r="L12501" t="str">
            <v>74250160</v>
          </cell>
        </row>
        <row r="12502">
          <cell r="L12502" t="str">
            <v>74250721</v>
          </cell>
        </row>
        <row r="12503">
          <cell r="L12503" t="str">
            <v>74251260</v>
          </cell>
        </row>
        <row r="12504">
          <cell r="L12504" t="str">
            <v>74251261</v>
          </cell>
        </row>
        <row r="12505">
          <cell r="L12505" t="str">
            <v>74252379</v>
          </cell>
        </row>
        <row r="12506">
          <cell r="L12506" t="str">
            <v>74252399</v>
          </cell>
        </row>
        <row r="12507">
          <cell r="L12507" t="str">
            <v>74252959</v>
          </cell>
        </row>
        <row r="12508">
          <cell r="L12508" t="str">
            <v>74253600</v>
          </cell>
        </row>
        <row r="12509">
          <cell r="L12509" t="str">
            <v>74253661</v>
          </cell>
        </row>
        <row r="12510">
          <cell r="L12510" t="str">
            <v>74253747</v>
          </cell>
        </row>
        <row r="12511">
          <cell r="L12511" t="str">
            <v>74253749</v>
          </cell>
        </row>
        <row r="12512">
          <cell r="L12512" t="str">
            <v>74253799</v>
          </cell>
        </row>
        <row r="12513">
          <cell r="L12513" t="str">
            <v>74254861</v>
          </cell>
        </row>
        <row r="12514">
          <cell r="L12514" t="str">
            <v>74255700</v>
          </cell>
        </row>
        <row r="12515">
          <cell r="L12515" t="str">
            <v>74256579</v>
          </cell>
        </row>
        <row r="12516">
          <cell r="L12516" t="str">
            <v>74256679</v>
          </cell>
        </row>
        <row r="12517">
          <cell r="L12517" t="str">
            <v>74256680</v>
          </cell>
        </row>
        <row r="12518">
          <cell r="L12518" t="str">
            <v>74257699</v>
          </cell>
        </row>
        <row r="12519">
          <cell r="L12519" t="str">
            <v>74257741</v>
          </cell>
        </row>
        <row r="12520">
          <cell r="L12520" t="str">
            <v>74257941</v>
          </cell>
        </row>
        <row r="12521">
          <cell r="L12521" t="str">
            <v>74257960</v>
          </cell>
        </row>
        <row r="12522">
          <cell r="L12522" t="str">
            <v>74258379</v>
          </cell>
        </row>
        <row r="12523">
          <cell r="L12523" t="str">
            <v>74258640</v>
          </cell>
        </row>
        <row r="12524">
          <cell r="L12524" t="str">
            <v>74259781</v>
          </cell>
        </row>
        <row r="12525">
          <cell r="L12525" t="str">
            <v>74259999</v>
          </cell>
        </row>
        <row r="12526">
          <cell r="L12526" t="str">
            <v>74260048</v>
          </cell>
        </row>
        <row r="12527">
          <cell r="L12527" t="str">
            <v>74260179</v>
          </cell>
        </row>
        <row r="12528">
          <cell r="L12528" t="str">
            <v>74260230</v>
          </cell>
        </row>
        <row r="12529">
          <cell r="L12529" t="str">
            <v>74260420</v>
          </cell>
        </row>
        <row r="12530">
          <cell r="L12530" t="str">
            <v>74263199</v>
          </cell>
        </row>
        <row r="12531">
          <cell r="L12531" t="str">
            <v>74263250</v>
          </cell>
        </row>
        <row r="12532">
          <cell r="L12532" t="str">
            <v>74264036</v>
          </cell>
        </row>
        <row r="12533">
          <cell r="L12533" t="str">
            <v>74264359</v>
          </cell>
        </row>
        <row r="12534">
          <cell r="L12534" t="str">
            <v>74265611</v>
          </cell>
        </row>
        <row r="12535">
          <cell r="L12535" t="str">
            <v>74266485</v>
          </cell>
        </row>
        <row r="12536">
          <cell r="L12536" t="str">
            <v>74266599</v>
          </cell>
        </row>
        <row r="12537">
          <cell r="L12537" t="str">
            <v>74268860</v>
          </cell>
        </row>
        <row r="12538">
          <cell r="L12538" t="str">
            <v>74269941</v>
          </cell>
        </row>
        <row r="12539">
          <cell r="L12539" t="str">
            <v>74272259</v>
          </cell>
        </row>
        <row r="12540">
          <cell r="L12540" t="str">
            <v>74272840</v>
          </cell>
        </row>
        <row r="12541">
          <cell r="L12541" t="str">
            <v>74272982</v>
          </cell>
        </row>
        <row r="12542">
          <cell r="L12542" t="str">
            <v>74275751</v>
          </cell>
        </row>
        <row r="12543">
          <cell r="L12543" t="str">
            <v>74276035</v>
          </cell>
        </row>
        <row r="12544">
          <cell r="L12544" t="str">
            <v>74276728</v>
          </cell>
        </row>
        <row r="12545">
          <cell r="L12545" t="str">
            <v>74276744</v>
          </cell>
        </row>
        <row r="12546">
          <cell r="L12546" t="str">
            <v>74277319</v>
          </cell>
        </row>
        <row r="12547">
          <cell r="L12547" t="str">
            <v>74278603</v>
          </cell>
        </row>
        <row r="12548">
          <cell r="L12548" t="str">
            <v>74278959</v>
          </cell>
        </row>
        <row r="12549">
          <cell r="L12549" t="str">
            <v>74279471</v>
          </cell>
        </row>
        <row r="12550">
          <cell r="L12550" t="str">
            <v>74281561</v>
          </cell>
        </row>
        <row r="12551">
          <cell r="L12551" t="str">
            <v>74281587</v>
          </cell>
        </row>
        <row r="12552">
          <cell r="L12552" t="str">
            <v>74282182</v>
          </cell>
        </row>
        <row r="12553">
          <cell r="L12553" t="str">
            <v>74284423</v>
          </cell>
        </row>
        <row r="12554">
          <cell r="L12554" t="str">
            <v>74285561</v>
          </cell>
        </row>
        <row r="12555">
          <cell r="L12555" t="str">
            <v>74285723</v>
          </cell>
        </row>
        <row r="12556">
          <cell r="L12556" t="str">
            <v>74286082</v>
          </cell>
        </row>
        <row r="12557">
          <cell r="L12557" t="str">
            <v>74286099</v>
          </cell>
        </row>
        <row r="12558">
          <cell r="L12558" t="str">
            <v>74286103</v>
          </cell>
        </row>
        <row r="12559">
          <cell r="L12559" t="str">
            <v>74286322</v>
          </cell>
        </row>
        <row r="12560">
          <cell r="L12560" t="str">
            <v>74286733</v>
          </cell>
        </row>
        <row r="12561">
          <cell r="L12561" t="str">
            <v>74287220</v>
          </cell>
        </row>
        <row r="12562">
          <cell r="L12562" t="str">
            <v>74287505</v>
          </cell>
        </row>
        <row r="12563">
          <cell r="L12563" t="str">
            <v>74288285</v>
          </cell>
        </row>
        <row r="12564">
          <cell r="L12564" t="str">
            <v>74289091</v>
          </cell>
        </row>
        <row r="12565">
          <cell r="L12565" t="str">
            <v>74289093</v>
          </cell>
        </row>
        <row r="12566">
          <cell r="L12566" t="str">
            <v>74289600</v>
          </cell>
        </row>
        <row r="12567">
          <cell r="L12567" t="str">
            <v>74290589</v>
          </cell>
        </row>
        <row r="12568">
          <cell r="L12568" t="str">
            <v>74290983</v>
          </cell>
        </row>
        <row r="12569">
          <cell r="L12569" t="str">
            <v>74291190</v>
          </cell>
        </row>
        <row r="12570">
          <cell r="L12570" t="str">
            <v>74291359</v>
          </cell>
        </row>
        <row r="12571">
          <cell r="L12571" t="str">
            <v>74291886</v>
          </cell>
        </row>
        <row r="12572">
          <cell r="L12572" t="str">
            <v>74292544</v>
          </cell>
        </row>
        <row r="12573">
          <cell r="L12573" t="str">
            <v>74293869</v>
          </cell>
        </row>
        <row r="12574">
          <cell r="L12574" t="str">
            <v>74294342</v>
          </cell>
        </row>
        <row r="12575">
          <cell r="L12575" t="str">
            <v>74294442</v>
          </cell>
        </row>
        <row r="12576">
          <cell r="L12576" t="str">
            <v>74294753</v>
          </cell>
        </row>
        <row r="12577">
          <cell r="L12577" t="str">
            <v>74294921</v>
          </cell>
        </row>
        <row r="12578">
          <cell r="L12578" t="str">
            <v>74295268</v>
          </cell>
        </row>
        <row r="12579">
          <cell r="L12579" t="str">
            <v>74295982</v>
          </cell>
        </row>
        <row r="12580">
          <cell r="L12580" t="str">
            <v>74296874</v>
          </cell>
        </row>
        <row r="12581">
          <cell r="L12581" t="str">
            <v>74297079</v>
          </cell>
        </row>
        <row r="12582">
          <cell r="L12582" t="str">
            <v>74297081</v>
          </cell>
        </row>
        <row r="12583">
          <cell r="L12583" t="str">
            <v>74297683</v>
          </cell>
        </row>
        <row r="12584">
          <cell r="L12584" t="str">
            <v>74297880</v>
          </cell>
        </row>
        <row r="12585">
          <cell r="L12585" t="str">
            <v>74297967</v>
          </cell>
        </row>
        <row r="12586">
          <cell r="L12586" t="str">
            <v>74298021</v>
          </cell>
        </row>
        <row r="12587">
          <cell r="L12587" t="str">
            <v>74298974</v>
          </cell>
        </row>
        <row r="12588">
          <cell r="L12588" t="str">
            <v>74299079</v>
          </cell>
        </row>
        <row r="12589">
          <cell r="L12589" t="str">
            <v>74299080</v>
          </cell>
        </row>
        <row r="12590">
          <cell r="L12590" t="str">
            <v>74299710</v>
          </cell>
        </row>
        <row r="12591">
          <cell r="L12591" t="str">
            <v>74299711</v>
          </cell>
        </row>
        <row r="12592">
          <cell r="L12592" t="str">
            <v>74299713</v>
          </cell>
        </row>
        <row r="12593">
          <cell r="L12593" t="str">
            <v>74299850</v>
          </cell>
        </row>
        <row r="12594">
          <cell r="L12594" t="str">
            <v>74300199</v>
          </cell>
        </row>
        <row r="12595">
          <cell r="L12595" t="str">
            <v>74300200</v>
          </cell>
        </row>
        <row r="12596">
          <cell r="L12596" t="str">
            <v>74300201</v>
          </cell>
        </row>
        <row r="12597">
          <cell r="L12597" t="str">
            <v>74300221</v>
          </cell>
        </row>
        <row r="12598">
          <cell r="L12598" t="str">
            <v>74300492</v>
          </cell>
        </row>
        <row r="12599">
          <cell r="L12599" t="str">
            <v>74301079</v>
          </cell>
        </row>
        <row r="12600">
          <cell r="L12600" t="str">
            <v>74301301</v>
          </cell>
        </row>
        <row r="12601">
          <cell r="L12601" t="str">
            <v>74301407</v>
          </cell>
        </row>
        <row r="12602">
          <cell r="L12602" t="str">
            <v>74301655</v>
          </cell>
        </row>
        <row r="12603">
          <cell r="L12603" t="str">
            <v>74302159</v>
          </cell>
        </row>
        <row r="12604">
          <cell r="L12604" t="str">
            <v>74303346</v>
          </cell>
        </row>
        <row r="12605">
          <cell r="L12605" t="str">
            <v>74303347</v>
          </cell>
        </row>
        <row r="12606">
          <cell r="L12606" t="str">
            <v>74303563</v>
          </cell>
        </row>
        <row r="12607">
          <cell r="L12607" t="str">
            <v>74303942</v>
          </cell>
        </row>
        <row r="12608">
          <cell r="L12608" t="str">
            <v>74304439</v>
          </cell>
        </row>
        <row r="12609">
          <cell r="L12609" t="str">
            <v>74304881</v>
          </cell>
        </row>
        <row r="12610">
          <cell r="L12610" t="str">
            <v>74305039</v>
          </cell>
        </row>
        <row r="12611">
          <cell r="L12611" t="str">
            <v>74305063</v>
          </cell>
        </row>
        <row r="12612">
          <cell r="L12612" t="str">
            <v>74305603</v>
          </cell>
        </row>
        <row r="12613">
          <cell r="L12613" t="str">
            <v>74305608</v>
          </cell>
        </row>
        <row r="12614">
          <cell r="L12614" t="str">
            <v>74305767</v>
          </cell>
        </row>
        <row r="12615">
          <cell r="L12615" t="str">
            <v>74306319</v>
          </cell>
        </row>
        <row r="12616">
          <cell r="L12616" t="str">
            <v>74306748</v>
          </cell>
        </row>
        <row r="12617">
          <cell r="L12617" t="str">
            <v>74306780</v>
          </cell>
        </row>
        <row r="12618">
          <cell r="L12618" t="str">
            <v>74306964</v>
          </cell>
        </row>
        <row r="12619">
          <cell r="L12619" t="str">
            <v>74307183</v>
          </cell>
        </row>
        <row r="12620">
          <cell r="L12620" t="str">
            <v>74308041</v>
          </cell>
        </row>
        <row r="12621">
          <cell r="L12621" t="str">
            <v>74308304</v>
          </cell>
        </row>
        <row r="12622">
          <cell r="L12622" t="str">
            <v>74308585</v>
          </cell>
        </row>
        <row r="12623">
          <cell r="L12623" t="str">
            <v>74308865</v>
          </cell>
        </row>
        <row r="12624">
          <cell r="L12624" t="str">
            <v>74308999</v>
          </cell>
        </row>
        <row r="12625">
          <cell r="L12625" t="str">
            <v>74309121</v>
          </cell>
        </row>
        <row r="12626">
          <cell r="L12626" t="str">
            <v>74309459</v>
          </cell>
        </row>
        <row r="12627">
          <cell r="L12627" t="str">
            <v>74309506</v>
          </cell>
        </row>
        <row r="12628">
          <cell r="L12628" t="str">
            <v>74309509</v>
          </cell>
        </row>
        <row r="12629">
          <cell r="L12629" t="str">
            <v>74309647</v>
          </cell>
        </row>
        <row r="12630">
          <cell r="L12630" t="str">
            <v>74309801</v>
          </cell>
        </row>
        <row r="12631">
          <cell r="L12631" t="str">
            <v>74310760</v>
          </cell>
        </row>
        <row r="12632">
          <cell r="L12632" t="str">
            <v>74310840</v>
          </cell>
        </row>
        <row r="12633">
          <cell r="L12633" t="str">
            <v>74311443</v>
          </cell>
        </row>
        <row r="12634">
          <cell r="L12634" t="str">
            <v>74311447</v>
          </cell>
        </row>
        <row r="12635">
          <cell r="L12635" t="str">
            <v>74311490</v>
          </cell>
        </row>
        <row r="12636">
          <cell r="L12636" t="str">
            <v>74311607</v>
          </cell>
        </row>
        <row r="12637">
          <cell r="L12637" t="str">
            <v>74311880</v>
          </cell>
        </row>
        <row r="12638">
          <cell r="L12638" t="str">
            <v>74312539</v>
          </cell>
        </row>
        <row r="12639">
          <cell r="L12639" t="str">
            <v>74312609</v>
          </cell>
        </row>
        <row r="12640">
          <cell r="L12640" t="str">
            <v>74312610</v>
          </cell>
        </row>
        <row r="12641">
          <cell r="L12641" t="str">
            <v>74312613</v>
          </cell>
        </row>
        <row r="12642">
          <cell r="L12642" t="str">
            <v>74312883</v>
          </cell>
        </row>
        <row r="12643">
          <cell r="L12643" t="str">
            <v>74312886</v>
          </cell>
        </row>
        <row r="12644">
          <cell r="L12644" t="str">
            <v>74313079</v>
          </cell>
        </row>
        <row r="12645">
          <cell r="L12645" t="str">
            <v>74313080</v>
          </cell>
        </row>
        <row r="12646">
          <cell r="L12646" t="str">
            <v>74313425</v>
          </cell>
        </row>
        <row r="12647">
          <cell r="L12647" t="str">
            <v>74313579</v>
          </cell>
        </row>
        <row r="12648">
          <cell r="L12648" t="str">
            <v>74313800</v>
          </cell>
        </row>
        <row r="12649">
          <cell r="L12649" t="str">
            <v>74314946</v>
          </cell>
        </row>
        <row r="12650">
          <cell r="L12650" t="str">
            <v>74314947</v>
          </cell>
        </row>
        <row r="12651">
          <cell r="L12651" t="str">
            <v>74315401</v>
          </cell>
        </row>
        <row r="12652">
          <cell r="L12652" t="str">
            <v>74315411</v>
          </cell>
        </row>
        <row r="12653">
          <cell r="L12653" t="str">
            <v>74315412</v>
          </cell>
        </row>
        <row r="12654">
          <cell r="L12654" t="str">
            <v>74315760</v>
          </cell>
        </row>
        <row r="12655">
          <cell r="L12655" t="str">
            <v>74315766</v>
          </cell>
        </row>
        <row r="12656">
          <cell r="L12656" t="str">
            <v>74317779</v>
          </cell>
        </row>
        <row r="12657">
          <cell r="L12657" t="str">
            <v>74318341</v>
          </cell>
        </row>
        <row r="12658">
          <cell r="L12658" t="str">
            <v>74319022</v>
          </cell>
        </row>
        <row r="12659">
          <cell r="L12659" t="str">
            <v>74319262</v>
          </cell>
        </row>
        <row r="12660">
          <cell r="L12660" t="str">
            <v>74319665</v>
          </cell>
        </row>
        <row r="12661">
          <cell r="L12661" t="str">
            <v>74320139</v>
          </cell>
        </row>
        <row r="12662">
          <cell r="L12662" t="str">
            <v>74321250</v>
          </cell>
        </row>
        <row r="12663">
          <cell r="L12663" t="str">
            <v>74321479</v>
          </cell>
        </row>
        <row r="12664">
          <cell r="L12664" t="str">
            <v>74321802</v>
          </cell>
        </row>
        <row r="12665">
          <cell r="L12665" t="str">
            <v>74321968</v>
          </cell>
        </row>
        <row r="12666">
          <cell r="L12666" t="str">
            <v>74321971</v>
          </cell>
        </row>
        <row r="12667">
          <cell r="L12667" t="str">
            <v>74322155</v>
          </cell>
        </row>
        <row r="12668">
          <cell r="L12668" t="str">
            <v>74322220</v>
          </cell>
        </row>
        <row r="12669">
          <cell r="L12669" t="str">
            <v>74322261</v>
          </cell>
        </row>
        <row r="12670">
          <cell r="L12670" t="str">
            <v>74322305</v>
          </cell>
        </row>
        <row r="12671">
          <cell r="L12671" t="str">
            <v>74323082</v>
          </cell>
        </row>
        <row r="12672">
          <cell r="L12672" t="str">
            <v>74324799</v>
          </cell>
        </row>
        <row r="12673">
          <cell r="L12673" t="str">
            <v>74215221</v>
          </cell>
        </row>
        <row r="12674">
          <cell r="L12674" t="str">
            <v>74294755</v>
          </cell>
        </row>
        <row r="12675">
          <cell r="L12675" t="str">
            <v>74260045</v>
          </cell>
        </row>
        <row r="12676">
          <cell r="L12676" t="str">
            <v>74195263</v>
          </cell>
        </row>
        <row r="12677">
          <cell r="L12677" t="str">
            <v>74186071</v>
          </cell>
        </row>
        <row r="12678">
          <cell r="L12678" t="str">
            <v>74210877</v>
          </cell>
        </row>
        <row r="12679">
          <cell r="L12679" t="str">
            <v>74217082</v>
          </cell>
        </row>
        <row r="12680">
          <cell r="L12680" t="str">
            <v>74223362</v>
          </cell>
        </row>
        <row r="12681">
          <cell r="L12681" t="str">
            <v>74258920</v>
          </cell>
        </row>
        <row r="12682">
          <cell r="L12682" t="str">
            <v>74264141</v>
          </cell>
        </row>
        <row r="12683">
          <cell r="L12683" t="str">
            <v>74287666</v>
          </cell>
        </row>
        <row r="12684">
          <cell r="L12684" t="str">
            <v>74169132</v>
          </cell>
        </row>
        <row r="12685">
          <cell r="L12685" t="str">
            <v>74171862</v>
          </cell>
        </row>
        <row r="12686">
          <cell r="L12686" t="str">
            <v>74186258</v>
          </cell>
        </row>
        <row r="12687">
          <cell r="L12687" t="str">
            <v>74196144</v>
          </cell>
        </row>
        <row r="12688">
          <cell r="L12688" t="str">
            <v>74201812</v>
          </cell>
        </row>
        <row r="12689">
          <cell r="L12689" t="str">
            <v>74251259</v>
          </cell>
        </row>
        <row r="12690">
          <cell r="L12690" t="str">
            <v>74321143</v>
          </cell>
        </row>
        <row r="12691">
          <cell r="L12691" t="str">
            <v>74195600</v>
          </cell>
        </row>
        <row r="12692">
          <cell r="L12692" t="str">
            <v>74267239</v>
          </cell>
        </row>
        <row r="12693">
          <cell r="L12693" t="str">
            <v>74317482</v>
          </cell>
        </row>
        <row r="12694">
          <cell r="L12694" t="str">
            <v>74260024</v>
          </cell>
        </row>
        <row r="12695">
          <cell r="L12695" t="str">
            <v>74155369</v>
          </cell>
        </row>
        <row r="12696">
          <cell r="L12696" t="str">
            <v>74166444</v>
          </cell>
        </row>
        <row r="12697">
          <cell r="L12697" t="str">
            <v>74170952</v>
          </cell>
        </row>
        <row r="12698">
          <cell r="L12698" t="str">
            <v>74178189</v>
          </cell>
        </row>
        <row r="12699">
          <cell r="L12699" t="str">
            <v>74183172</v>
          </cell>
        </row>
        <row r="12700">
          <cell r="L12700" t="str">
            <v>74183468</v>
          </cell>
        </row>
        <row r="12701">
          <cell r="L12701" t="str">
            <v>74183476</v>
          </cell>
        </row>
        <row r="12702">
          <cell r="L12702" t="str">
            <v>74194367</v>
          </cell>
        </row>
        <row r="12703">
          <cell r="L12703" t="str">
            <v>74202064</v>
          </cell>
        </row>
        <row r="12704">
          <cell r="L12704" t="str">
            <v>74205327</v>
          </cell>
        </row>
        <row r="12705">
          <cell r="L12705" t="str">
            <v>74211539</v>
          </cell>
        </row>
        <row r="12706">
          <cell r="L12706" t="str">
            <v>74228760</v>
          </cell>
        </row>
        <row r="12707">
          <cell r="L12707" t="str">
            <v>74232001</v>
          </cell>
        </row>
        <row r="12708">
          <cell r="L12708" t="str">
            <v>74232222</v>
          </cell>
        </row>
        <row r="12709">
          <cell r="L12709" t="str">
            <v>74234979</v>
          </cell>
        </row>
        <row r="12710">
          <cell r="L12710" t="str">
            <v>74234980</v>
          </cell>
        </row>
        <row r="12711">
          <cell r="L12711" t="str">
            <v>74235269</v>
          </cell>
        </row>
        <row r="12712">
          <cell r="L12712" t="str">
            <v>74236985</v>
          </cell>
        </row>
        <row r="12713">
          <cell r="L12713" t="str">
            <v>74237385</v>
          </cell>
        </row>
        <row r="12714">
          <cell r="L12714" t="str">
            <v>74238059</v>
          </cell>
        </row>
        <row r="12715">
          <cell r="L12715" t="str">
            <v>74238582</v>
          </cell>
        </row>
        <row r="12716">
          <cell r="L12716" t="str">
            <v>74241800</v>
          </cell>
        </row>
        <row r="12717">
          <cell r="L12717" t="str">
            <v>74242020</v>
          </cell>
        </row>
        <row r="12718">
          <cell r="L12718" t="str">
            <v>74242660</v>
          </cell>
        </row>
        <row r="12719">
          <cell r="L12719" t="str">
            <v>74242948</v>
          </cell>
        </row>
        <row r="12720">
          <cell r="L12720" t="str">
            <v>74244500</v>
          </cell>
        </row>
        <row r="12721">
          <cell r="L12721" t="str">
            <v>74244864</v>
          </cell>
        </row>
        <row r="12722">
          <cell r="L12722" t="str">
            <v>74245519</v>
          </cell>
        </row>
        <row r="12723">
          <cell r="L12723" t="str">
            <v>74245539</v>
          </cell>
        </row>
        <row r="12724">
          <cell r="L12724" t="str">
            <v>74245959</v>
          </cell>
        </row>
        <row r="12725">
          <cell r="L12725" t="str">
            <v>74246363</v>
          </cell>
        </row>
        <row r="12726">
          <cell r="L12726" t="str">
            <v>74246940</v>
          </cell>
        </row>
        <row r="12727">
          <cell r="L12727" t="str">
            <v>74247903</v>
          </cell>
        </row>
        <row r="12728">
          <cell r="L12728" t="str">
            <v>74248000</v>
          </cell>
        </row>
        <row r="12729">
          <cell r="L12729" t="str">
            <v>74248363</v>
          </cell>
        </row>
        <row r="12730">
          <cell r="L12730" t="str">
            <v>74248500</v>
          </cell>
        </row>
        <row r="12731">
          <cell r="L12731" t="str">
            <v>74249568</v>
          </cell>
        </row>
        <row r="12732">
          <cell r="L12732" t="str">
            <v>74249759</v>
          </cell>
        </row>
        <row r="12733">
          <cell r="L12733" t="str">
            <v>74251339</v>
          </cell>
        </row>
        <row r="12734">
          <cell r="L12734" t="str">
            <v>74251344</v>
          </cell>
        </row>
        <row r="12735">
          <cell r="L12735" t="str">
            <v>74251681</v>
          </cell>
        </row>
        <row r="12736">
          <cell r="L12736" t="str">
            <v>74251859</v>
          </cell>
        </row>
        <row r="12737">
          <cell r="L12737" t="str">
            <v>74251864</v>
          </cell>
        </row>
        <row r="12738">
          <cell r="L12738" t="str">
            <v>74252060</v>
          </cell>
        </row>
        <row r="12739">
          <cell r="L12739" t="str">
            <v>74252599</v>
          </cell>
        </row>
        <row r="12740">
          <cell r="L12740" t="str">
            <v>74253199</v>
          </cell>
        </row>
        <row r="12741">
          <cell r="L12741" t="str">
            <v>74253644</v>
          </cell>
        </row>
        <row r="12742">
          <cell r="L12742" t="str">
            <v>74253645</v>
          </cell>
        </row>
        <row r="12743">
          <cell r="L12743" t="str">
            <v>74253750</v>
          </cell>
        </row>
        <row r="12744">
          <cell r="L12744" t="str">
            <v>74253751</v>
          </cell>
        </row>
        <row r="12745">
          <cell r="L12745" t="str">
            <v>74253859</v>
          </cell>
        </row>
        <row r="12746">
          <cell r="L12746" t="str">
            <v>74254721</v>
          </cell>
        </row>
        <row r="12747">
          <cell r="L12747" t="str">
            <v>74256260</v>
          </cell>
        </row>
        <row r="12748">
          <cell r="L12748" t="str">
            <v>74257343</v>
          </cell>
        </row>
        <row r="12749">
          <cell r="L12749" t="str">
            <v>74258984</v>
          </cell>
        </row>
        <row r="12750">
          <cell r="L12750" t="str">
            <v>74259122</v>
          </cell>
        </row>
        <row r="12751">
          <cell r="L12751" t="str">
            <v>74259186</v>
          </cell>
        </row>
        <row r="12752">
          <cell r="L12752" t="str">
            <v>74259400</v>
          </cell>
        </row>
        <row r="12753">
          <cell r="L12753" t="str">
            <v>74259450</v>
          </cell>
        </row>
        <row r="12754">
          <cell r="L12754" t="str">
            <v>74260055</v>
          </cell>
        </row>
        <row r="12755">
          <cell r="L12755" t="str">
            <v>74260200</v>
          </cell>
        </row>
        <row r="12756">
          <cell r="L12756" t="str">
            <v>74261300</v>
          </cell>
        </row>
        <row r="12757">
          <cell r="L12757" t="str">
            <v>74261808</v>
          </cell>
        </row>
        <row r="12758">
          <cell r="L12758" t="str">
            <v>74261811</v>
          </cell>
        </row>
        <row r="12759">
          <cell r="L12759" t="str">
            <v>74262620</v>
          </cell>
        </row>
        <row r="12760">
          <cell r="L12760" t="str">
            <v>74262691</v>
          </cell>
        </row>
        <row r="12761">
          <cell r="L12761" t="str">
            <v>74263059</v>
          </cell>
        </row>
        <row r="12762">
          <cell r="L12762" t="str">
            <v>74265056</v>
          </cell>
        </row>
        <row r="12763">
          <cell r="L12763" t="str">
            <v>74265614</v>
          </cell>
        </row>
        <row r="12764">
          <cell r="L12764" t="str">
            <v>74265928</v>
          </cell>
        </row>
        <row r="12765">
          <cell r="L12765" t="str">
            <v>74266185</v>
          </cell>
        </row>
        <row r="12766">
          <cell r="L12766" t="str">
            <v>74266864</v>
          </cell>
        </row>
        <row r="12767">
          <cell r="L12767" t="str">
            <v>74266900</v>
          </cell>
        </row>
        <row r="12768">
          <cell r="L12768" t="str">
            <v>74267213</v>
          </cell>
        </row>
        <row r="12769">
          <cell r="L12769" t="str">
            <v>74270760</v>
          </cell>
        </row>
        <row r="12770">
          <cell r="L12770" t="str">
            <v>74271242</v>
          </cell>
        </row>
        <row r="12771">
          <cell r="L12771" t="str">
            <v>74272140</v>
          </cell>
        </row>
        <row r="12772">
          <cell r="L12772" t="str">
            <v>74272999</v>
          </cell>
        </row>
        <row r="12773">
          <cell r="L12773" t="str">
            <v>74273732</v>
          </cell>
        </row>
        <row r="12774">
          <cell r="L12774" t="str">
            <v>74274041</v>
          </cell>
        </row>
        <row r="12775">
          <cell r="L12775" t="str">
            <v>74274163</v>
          </cell>
        </row>
        <row r="12776">
          <cell r="L12776" t="str">
            <v>74274188</v>
          </cell>
        </row>
        <row r="12777">
          <cell r="L12777" t="str">
            <v>74275164</v>
          </cell>
        </row>
        <row r="12778">
          <cell r="L12778" t="str">
            <v>74276001</v>
          </cell>
        </row>
        <row r="12779">
          <cell r="L12779" t="str">
            <v>74276188</v>
          </cell>
        </row>
        <row r="12780">
          <cell r="L12780" t="str">
            <v>74276839</v>
          </cell>
        </row>
        <row r="12781">
          <cell r="L12781" t="str">
            <v>74277519</v>
          </cell>
        </row>
        <row r="12782">
          <cell r="L12782" t="str">
            <v>74277548</v>
          </cell>
        </row>
        <row r="12783">
          <cell r="L12783" t="str">
            <v>74277639</v>
          </cell>
        </row>
        <row r="12784">
          <cell r="L12784" t="str">
            <v>74278531</v>
          </cell>
        </row>
        <row r="12785">
          <cell r="L12785" t="str">
            <v>74278809</v>
          </cell>
        </row>
        <row r="12786">
          <cell r="L12786" t="str">
            <v>74278821</v>
          </cell>
        </row>
        <row r="12787">
          <cell r="L12787" t="str">
            <v>74279564</v>
          </cell>
        </row>
        <row r="12788">
          <cell r="L12788" t="str">
            <v>74279887</v>
          </cell>
        </row>
        <row r="12789">
          <cell r="L12789" t="str">
            <v>74279987</v>
          </cell>
        </row>
        <row r="12790">
          <cell r="L12790" t="str">
            <v>74280040</v>
          </cell>
        </row>
        <row r="12791">
          <cell r="L12791" t="str">
            <v>74280044</v>
          </cell>
        </row>
        <row r="12792">
          <cell r="L12792" t="str">
            <v>74280243</v>
          </cell>
        </row>
        <row r="12793">
          <cell r="L12793" t="str">
            <v>74280339</v>
          </cell>
        </row>
        <row r="12794">
          <cell r="L12794" t="str">
            <v>74280419</v>
          </cell>
        </row>
        <row r="12795">
          <cell r="L12795" t="str">
            <v>74280421</v>
          </cell>
        </row>
        <row r="12796">
          <cell r="L12796" t="str">
            <v>74280619</v>
          </cell>
        </row>
        <row r="12797">
          <cell r="L12797" t="str">
            <v>74281041</v>
          </cell>
        </row>
        <row r="12798">
          <cell r="L12798" t="str">
            <v>74281569</v>
          </cell>
        </row>
        <row r="12799">
          <cell r="L12799" t="str">
            <v>74282290</v>
          </cell>
        </row>
        <row r="12800">
          <cell r="L12800" t="str">
            <v>74283039</v>
          </cell>
        </row>
        <row r="12801">
          <cell r="L12801" t="str">
            <v>74283066</v>
          </cell>
        </row>
        <row r="12802">
          <cell r="L12802" t="str">
            <v>74283329</v>
          </cell>
        </row>
        <row r="12803">
          <cell r="L12803" t="str">
            <v>74283601</v>
          </cell>
        </row>
        <row r="12804">
          <cell r="L12804" t="str">
            <v>74283760</v>
          </cell>
        </row>
        <row r="12805">
          <cell r="L12805" t="str">
            <v>74283964</v>
          </cell>
        </row>
        <row r="12806">
          <cell r="L12806" t="str">
            <v>74284508</v>
          </cell>
        </row>
        <row r="12807">
          <cell r="L12807" t="str">
            <v>74285127</v>
          </cell>
        </row>
        <row r="12808">
          <cell r="L12808" t="str">
            <v>74285721</v>
          </cell>
        </row>
        <row r="12809">
          <cell r="L12809" t="str">
            <v>74286509</v>
          </cell>
        </row>
        <row r="12810">
          <cell r="L12810" t="str">
            <v>74286725</v>
          </cell>
        </row>
        <row r="12811">
          <cell r="L12811" t="str">
            <v>74287520</v>
          </cell>
        </row>
        <row r="12812">
          <cell r="L12812" t="str">
            <v>74287679</v>
          </cell>
        </row>
        <row r="12813">
          <cell r="L12813" t="str">
            <v>74287783</v>
          </cell>
        </row>
        <row r="12814">
          <cell r="L12814" t="str">
            <v>74287846</v>
          </cell>
        </row>
        <row r="12815">
          <cell r="L12815" t="str">
            <v>74288666</v>
          </cell>
        </row>
        <row r="12816">
          <cell r="L12816" t="str">
            <v>74289445</v>
          </cell>
        </row>
        <row r="12817">
          <cell r="L12817" t="str">
            <v>74289602</v>
          </cell>
        </row>
        <row r="12818">
          <cell r="L12818" t="str">
            <v>74289603</v>
          </cell>
        </row>
        <row r="12819">
          <cell r="L12819" t="str">
            <v>74289759</v>
          </cell>
        </row>
        <row r="12820">
          <cell r="L12820" t="str">
            <v>74289939</v>
          </cell>
        </row>
        <row r="12821">
          <cell r="L12821" t="str">
            <v>74290099</v>
          </cell>
        </row>
        <row r="12822">
          <cell r="L12822" t="str">
            <v>74290101</v>
          </cell>
        </row>
        <row r="12823">
          <cell r="L12823" t="str">
            <v>74290267</v>
          </cell>
        </row>
        <row r="12824">
          <cell r="L12824" t="str">
            <v>74290568</v>
          </cell>
        </row>
        <row r="12825">
          <cell r="L12825" t="str">
            <v>74290639</v>
          </cell>
        </row>
        <row r="12826">
          <cell r="L12826" t="str">
            <v>74290804</v>
          </cell>
        </row>
        <row r="12827">
          <cell r="L12827" t="str">
            <v>74290861</v>
          </cell>
        </row>
        <row r="12828">
          <cell r="L12828" t="str">
            <v>74291160</v>
          </cell>
        </row>
        <row r="12829">
          <cell r="L12829" t="str">
            <v>74291193</v>
          </cell>
        </row>
        <row r="12830">
          <cell r="L12830" t="str">
            <v>74291195</v>
          </cell>
        </row>
        <row r="12831">
          <cell r="L12831" t="str">
            <v>74291200</v>
          </cell>
        </row>
        <row r="12832">
          <cell r="L12832" t="str">
            <v>74291680</v>
          </cell>
        </row>
        <row r="12833">
          <cell r="L12833" t="str">
            <v>74292119</v>
          </cell>
        </row>
        <row r="12834">
          <cell r="L12834" t="str">
            <v>74292524</v>
          </cell>
        </row>
        <row r="12835">
          <cell r="L12835" t="str">
            <v>74292963</v>
          </cell>
        </row>
        <row r="12836">
          <cell r="L12836" t="str">
            <v>74293300</v>
          </cell>
        </row>
        <row r="12837">
          <cell r="L12837" t="str">
            <v>74293434</v>
          </cell>
        </row>
        <row r="12838">
          <cell r="L12838" t="str">
            <v>74293452</v>
          </cell>
        </row>
        <row r="12839">
          <cell r="L12839" t="str">
            <v>74293486</v>
          </cell>
        </row>
        <row r="12840">
          <cell r="L12840" t="str">
            <v>74294306</v>
          </cell>
        </row>
        <row r="12841">
          <cell r="L12841" t="str">
            <v>74294332</v>
          </cell>
        </row>
        <row r="12842">
          <cell r="L12842" t="str">
            <v>74294733</v>
          </cell>
        </row>
        <row r="12843">
          <cell r="L12843" t="str">
            <v>74295265</v>
          </cell>
        </row>
        <row r="12844">
          <cell r="L12844" t="str">
            <v>74295519</v>
          </cell>
        </row>
        <row r="12845">
          <cell r="L12845" t="str">
            <v>74296099</v>
          </cell>
        </row>
        <row r="12846">
          <cell r="L12846" t="str">
            <v>74296789</v>
          </cell>
        </row>
        <row r="12847">
          <cell r="L12847" t="str">
            <v>74296846</v>
          </cell>
        </row>
        <row r="12848">
          <cell r="L12848" t="str">
            <v>74297299</v>
          </cell>
        </row>
        <row r="12849">
          <cell r="L12849" t="str">
            <v>74297684</v>
          </cell>
        </row>
        <row r="12850">
          <cell r="L12850" t="str">
            <v>74297785</v>
          </cell>
        </row>
        <row r="12851">
          <cell r="L12851" t="str">
            <v>74297964</v>
          </cell>
        </row>
        <row r="12852">
          <cell r="L12852" t="str">
            <v>74298566</v>
          </cell>
        </row>
        <row r="12853">
          <cell r="L12853" t="str">
            <v>74298579</v>
          </cell>
        </row>
        <row r="12854">
          <cell r="L12854" t="str">
            <v>74298580</v>
          </cell>
        </row>
        <row r="12855">
          <cell r="L12855" t="str">
            <v>74298626</v>
          </cell>
        </row>
        <row r="12856">
          <cell r="L12856" t="str">
            <v>74299270</v>
          </cell>
        </row>
        <row r="12857">
          <cell r="L12857" t="str">
            <v>74299301</v>
          </cell>
        </row>
        <row r="12858">
          <cell r="L12858" t="str">
            <v>74299306</v>
          </cell>
        </row>
        <row r="12859">
          <cell r="L12859" t="str">
            <v>74299374</v>
          </cell>
        </row>
        <row r="12860">
          <cell r="L12860" t="str">
            <v>74300487</v>
          </cell>
        </row>
        <row r="12861">
          <cell r="L12861" t="str">
            <v>74300635</v>
          </cell>
        </row>
        <row r="12862">
          <cell r="L12862" t="str">
            <v>74301311</v>
          </cell>
        </row>
        <row r="12863">
          <cell r="L12863" t="str">
            <v>74302499</v>
          </cell>
        </row>
        <row r="12864">
          <cell r="L12864" t="str">
            <v>74302521</v>
          </cell>
        </row>
        <row r="12865">
          <cell r="L12865" t="str">
            <v>74302601</v>
          </cell>
        </row>
        <row r="12866">
          <cell r="L12866" t="str">
            <v>74302679</v>
          </cell>
        </row>
        <row r="12867">
          <cell r="L12867" t="str">
            <v>74303362</v>
          </cell>
        </row>
        <row r="12868">
          <cell r="L12868" t="str">
            <v>74303364</v>
          </cell>
        </row>
        <row r="12869">
          <cell r="L12869" t="str">
            <v>74303561</v>
          </cell>
        </row>
        <row r="12870">
          <cell r="L12870" t="str">
            <v>74303562</v>
          </cell>
        </row>
        <row r="12871">
          <cell r="L12871" t="str">
            <v>74304089</v>
          </cell>
        </row>
        <row r="12872">
          <cell r="L12872" t="str">
            <v>74304692</v>
          </cell>
        </row>
        <row r="12873">
          <cell r="L12873" t="str">
            <v>74305067</v>
          </cell>
        </row>
        <row r="12874">
          <cell r="L12874" t="str">
            <v>74305957</v>
          </cell>
        </row>
        <row r="12875">
          <cell r="L12875" t="str">
            <v>74306039</v>
          </cell>
        </row>
        <row r="12876">
          <cell r="L12876" t="str">
            <v>74306107</v>
          </cell>
        </row>
        <row r="12877">
          <cell r="L12877" t="str">
            <v>74306108</v>
          </cell>
        </row>
        <row r="12878">
          <cell r="L12878" t="str">
            <v>74306314</v>
          </cell>
        </row>
        <row r="12879">
          <cell r="L12879" t="str">
            <v>74306363</v>
          </cell>
        </row>
        <row r="12880">
          <cell r="L12880" t="str">
            <v>74307065</v>
          </cell>
        </row>
        <row r="12881">
          <cell r="L12881" t="str">
            <v>74307262</v>
          </cell>
        </row>
        <row r="12882">
          <cell r="L12882" t="str">
            <v>74308579</v>
          </cell>
        </row>
        <row r="12883">
          <cell r="L12883" t="str">
            <v>74308759</v>
          </cell>
        </row>
        <row r="12884">
          <cell r="L12884" t="str">
            <v>74309505</v>
          </cell>
        </row>
        <row r="12885">
          <cell r="L12885" t="str">
            <v>74309563</v>
          </cell>
        </row>
        <row r="12886">
          <cell r="L12886" t="str">
            <v>74310064</v>
          </cell>
        </row>
        <row r="12887">
          <cell r="L12887" t="str">
            <v>74310501</v>
          </cell>
        </row>
        <row r="12888">
          <cell r="L12888" t="str">
            <v>74310502</v>
          </cell>
        </row>
        <row r="12889">
          <cell r="L12889" t="str">
            <v>74311321</v>
          </cell>
        </row>
        <row r="12890">
          <cell r="L12890" t="str">
            <v>74311801</v>
          </cell>
        </row>
        <row r="12891">
          <cell r="L12891" t="str">
            <v>74312061</v>
          </cell>
        </row>
        <row r="12892">
          <cell r="L12892" t="str">
            <v>74312065</v>
          </cell>
        </row>
        <row r="12893">
          <cell r="L12893" t="str">
            <v>74312641</v>
          </cell>
        </row>
        <row r="12894">
          <cell r="L12894" t="str">
            <v>74312860</v>
          </cell>
        </row>
        <row r="12895">
          <cell r="L12895" t="str">
            <v>74313463</v>
          </cell>
        </row>
        <row r="12896">
          <cell r="L12896" t="str">
            <v>74313710</v>
          </cell>
        </row>
        <row r="12897">
          <cell r="L12897" t="str">
            <v>74314332</v>
          </cell>
        </row>
        <row r="12898">
          <cell r="L12898" t="str">
            <v>74314702</v>
          </cell>
        </row>
        <row r="12899">
          <cell r="L12899" t="str">
            <v>74314740</v>
          </cell>
        </row>
        <row r="12900">
          <cell r="L12900" t="str">
            <v>74315410</v>
          </cell>
        </row>
        <row r="12901">
          <cell r="L12901" t="str">
            <v>74315419</v>
          </cell>
        </row>
        <row r="12902">
          <cell r="L12902" t="str">
            <v>74315643</v>
          </cell>
        </row>
        <row r="12903">
          <cell r="L12903" t="str">
            <v>74315645</v>
          </cell>
        </row>
        <row r="12904">
          <cell r="L12904" t="str">
            <v>74315765</v>
          </cell>
        </row>
        <row r="12905">
          <cell r="L12905" t="str">
            <v>74316045</v>
          </cell>
        </row>
        <row r="12906">
          <cell r="L12906" t="str">
            <v>74316441</v>
          </cell>
        </row>
        <row r="12907">
          <cell r="L12907" t="str">
            <v>74316705</v>
          </cell>
        </row>
        <row r="12908">
          <cell r="L12908" t="str">
            <v>74317120</v>
          </cell>
        </row>
        <row r="12909">
          <cell r="L12909" t="str">
            <v>74317719</v>
          </cell>
        </row>
        <row r="12910">
          <cell r="L12910" t="str">
            <v>74234361</v>
          </cell>
        </row>
        <row r="12911">
          <cell r="L12911" t="str">
            <v>74280119</v>
          </cell>
        </row>
        <row r="12912">
          <cell r="L12912" t="str">
            <v>74300495</v>
          </cell>
        </row>
        <row r="12913">
          <cell r="L12913" t="str">
            <v>74190548</v>
          </cell>
        </row>
        <row r="12914">
          <cell r="L12914" t="str">
            <v>74201740</v>
          </cell>
        </row>
        <row r="12915">
          <cell r="L12915" t="str">
            <v>74239025</v>
          </cell>
        </row>
        <row r="12916">
          <cell r="L12916" t="str">
            <v>74281565</v>
          </cell>
        </row>
        <row r="12917">
          <cell r="L12917" t="str">
            <v>74283072</v>
          </cell>
        </row>
        <row r="12918">
          <cell r="L12918" t="str">
            <v>74284441</v>
          </cell>
        </row>
        <row r="12919">
          <cell r="L12919" t="str">
            <v>74190549</v>
          </cell>
        </row>
        <row r="12920">
          <cell r="L12920" t="str">
            <v>74184630</v>
          </cell>
        </row>
        <row r="12921">
          <cell r="L12921" t="str">
            <v>74188161</v>
          </cell>
        </row>
        <row r="12922">
          <cell r="L12922" t="str">
            <v>74199080</v>
          </cell>
        </row>
        <row r="12923">
          <cell r="L12923" t="str">
            <v>74209861</v>
          </cell>
        </row>
        <row r="12924">
          <cell r="L12924" t="str">
            <v>74272149</v>
          </cell>
        </row>
        <row r="12925">
          <cell r="L12925" t="str">
            <v>74231501</v>
          </cell>
        </row>
        <row r="12926">
          <cell r="L12926" t="str">
            <v>74232822</v>
          </cell>
        </row>
        <row r="12927">
          <cell r="L12927" t="str">
            <v>74237022</v>
          </cell>
        </row>
        <row r="12928">
          <cell r="L12928" t="str">
            <v>74260519</v>
          </cell>
        </row>
        <row r="12929">
          <cell r="L12929" t="str">
            <v>74279467</v>
          </cell>
        </row>
        <row r="12930">
          <cell r="L12930" t="str">
            <v>74281524</v>
          </cell>
        </row>
        <row r="12931">
          <cell r="L12931" t="str">
            <v>74290574</v>
          </cell>
        </row>
        <row r="12932">
          <cell r="L12932" t="str">
            <v>74135625</v>
          </cell>
        </row>
        <row r="12933">
          <cell r="L12933" t="str">
            <v>74190889</v>
          </cell>
        </row>
        <row r="12934">
          <cell r="L12934" t="str">
            <v>74201500</v>
          </cell>
        </row>
        <row r="12935">
          <cell r="L12935" t="str">
            <v>74217821</v>
          </cell>
        </row>
        <row r="12936">
          <cell r="L12936" t="str">
            <v>74231079</v>
          </cell>
        </row>
        <row r="12937">
          <cell r="L12937" t="str">
            <v>74232840</v>
          </cell>
        </row>
        <row r="12938">
          <cell r="L12938" t="str">
            <v>74241379</v>
          </cell>
        </row>
        <row r="12939">
          <cell r="L12939" t="str">
            <v>74174736</v>
          </cell>
        </row>
        <row r="12940">
          <cell r="L12940" t="str">
            <v>74281905</v>
          </cell>
        </row>
        <row r="12941">
          <cell r="L12941" t="str">
            <v>74159276</v>
          </cell>
        </row>
        <row r="12942">
          <cell r="L12942" t="str">
            <v>74159277</v>
          </cell>
        </row>
        <row r="12943">
          <cell r="L12943" t="str">
            <v>74163354</v>
          </cell>
        </row>
        <row r="12944">
          <cell r="L12944" t="str">
            <v>74165697</v>
          </cell>
        </row>
        <row r="12945">
          <cell r="L12945" t="str">
            <v>74165915</v>
          </cell>
        </row>
        <row r="12946">
          <cell r="L12946" t="str">
            <v>74168448</v>
          </cell>
        </row>
        <row r="12947">
          <cell r="L12947" t="str">
            <v>74171705</v>
          </cell>
        </row>
        <row r="12948">
          <cell r="L12948" t="str">
            <v>74174010</v>
          </cell>
        </row>
        <row r="12949">
          <cell r="L12949" t="str">
            <v>74179580</v>
          </cell>
        </row>
        <row r="12950">
          <cell r="L12950" t="str">
            <v>74181130</v>
          </cell>
        </row>
        <row r="12951">
          <cell r="L12951" t="str">
            <v>74181390</v>
          </cell>
        </row>
        <row r="12952">
          <cell r="L12952" t="str">
            <v>74183308</v>
          </cell>
        </row>
        <row r="12953">
          <cell r="L12953" t="str">
            <v>74183874</v>
          </cell>
        </row>
        <row r="12954">
          <cell r="L12954" t="str">
            <v>74185528</v>
          </cell>
        </row>
        <row r="12955">
          <cell r="L12955" t="str">
            <v>74187335</v>
          </cell>
        </row>
        <row r="12956">
          <cell r="L12956" t="str">
            <v>74188929</v>
          </cell>
        </row>
        <row r="12957">
          <cell r="L12957" t="str">
            <v>74189139</v>
          </cell>
        </row>
        <row r="12958">
          <cell r="L12958" t="str">
            <v>74189809</v>
          </cell>
        </row>
        <row r="12959">
          <cell r="L12959" t="str">
            <v>74190059</v>
          </cell>
        </row>
        <row r="12960">
          <cell r="L12960" t="str">
            <v>74193871</v>
          </cell>
        </row>
        <row r="12961">
          <cell r="L12961" t="str">
            <v>74194692</v>
          </cell>
        </row>
        <row r="12962">
          <cell r="L12962" t="str">
            <v>74195934</v>
          </cell>
        </row>
        <row r="12963">
          <cell r="L12963" t="str">
            <v>74196267</v>
          </cell>
        </row>
        <row r="12964">
          <cell r="L12964" t="str">
            <v>74196781</v>
          </cell>
        </row>
        <row r="12965">
          <cell r="L12965" t="str">
            <v>74199559</v>
          </cell>
        </row>
        <row r="12966">
          <cell r="L12966" t="str">
            <v>74200069</v>
          </cell>
        </row>
        <row r="12967">
          <cell r="L12967" t="str">
            <v>74200545</v>
          </cell>
        </row>
        <row r="12968">
          <cell r="L12968" t="str">
            <v>74201699</v>
          </cell>
        </row>
        <row r="12969">
          <cell r="L12969" t="str">
            <v>74201700</v>
          </cell>
        </row>
        <row r="12970">
          <cell r="L12970" t="str">
            <v>74201830</v>
          </cell>
        </row>
        <row r="12971">
          <cell r="L12971" t="str">
            <v>74202054</v>
          </cell>
        </row>
        <row r="12972">
          <cell r="L12972" t="str">
            <v>74202385</v>
          </cell>
        </row>
        <row r="12973">
          <cell r="L12973" t="str">
            <v>74202386</v>
          </cell>
        </row>
        <row r="12974">
          <cell r="L12974" t="str">
            <v>74203289</v>
          </cell>
        </row>
        <row r="12975">
          <cell r="L12975" t="str">
            <v>74203367</v>
          </cell>
        </row>
        <row r="12976">
          <cell r="L12976" t="str">
            <v>74204022</v>
          </cell>
        </row>
        <row r="12977">
          <cell r="L12977" t="str">
            <v>74204025</v>
          </cell>
        </row>
        <row r="12978">
          <cell r="L12978" t="str">
            <v>74204031</v>
          </cell>
        </row>
        <row r="12979">
          <cell r="L12979" t="str">
            <v>74204032</v>
          </cell>
        </row>
        <row r="12980">
          <cell r="L12980" t="str">
            <v>74204038</v>
          </cell>
        </row>
        <row r="12981">
          <cell r="L12981" t="str">
            <v>74204986</v>
          </cell>
        </row>
        <row r="12982">
          <cell r="L12982" t="str">
            <v>74204987</v>
          </cell>
        </row>
        <row r="12983">
          <cell r="L12983" t="str">
            <v>74205103</v>
          </cell>
        </row>
        <row r="12984">
          <cell r="L12984" t="str">
            <v>74205300</v>
          </cell>
        </row>
        <row r="12985">
          <cell r="L12985" t="str">
            <v>74205960</v>
          </cell>
        </row>
        <row r="12986">
          <cell r="L12986" t="str">
            <v>74206802</v>
          </cell>
        </row>
        <row r="12987">
          <cell r="L12987" t="str">
            <v>74207626</v>
          </cell>
        </row>
        <row r="12988">
          <cell r="L12988" t="str">
            <v>74207880</v>
          </cell>
        </row>
        <row r="12989">
          <cell r="L12989" t="str">
            <v>74208244</v>
          </cell>
        </row>
        <row r="12990">
          <cell r="L12990" t="str">
            <v>74208250</v>
          </cell>
        </row>
        <row r="12991">
          <cell r="L12991" t="str">
            <v>74208281</v>
          </cell>
        </row>
        <row r="12992">
          <cell r="L12992" t="str">
            <v>74208282</v>
          </cell>
        </row>
        <row r="12993">
          <cell r="L12993" t="str">
            <v>74208284</v>
          </cell>
        </row>
        <row r="12994">
          <cell r="L12994" t="str">
            <v>74208801</v>
          </cell>
        </row>
        <row r="12995">
          <cell r="L12995" t="str">
            <v>74208840</v>
          </cell>
        </row>
        <row r="12996">
          <cell r="L12996" t="str">
            <v>74210600</v>
          </cell>
        </row>
        <row r="12997">
          <cell r="L12997" t="str">
            <v>74213800</v>
          </cell>
        </row>
        <row r="12998">
          <cell r="L12998" t="str">
            <v>74215092</v>
          </cell>
        </row>
        <row r="12999">
          <cell r="L12999" t="str">
            <v>74215899</v>
          </cell>
        </row>
        <row r="13000">
          <cell r="L13000" t="str">
            <v>74216683</v>
          </cell>
        </row>
        <row r="13001">
          <cell r="L13001" t="str">
            <v>74217159</v>
          </cell>
        </row>
        <row r="13002">
          <cell r="L13002" t="str">
            <v>74217661</v>
          </cell>
        </row>
        <row r="13003">
          <cell r="L13003" t="str">
            <v>74217964</v>
          </cell>
        </row>
        <row r="13004">
          <cell r="L13004" t="str">
            <v>74219724</v>
          </cell>
        </row>
        <row r="13005">
          <cell r="L13005" t="str">
            <v>74221504</v>
          </cell>
        </row>
        <row r="13006">
          <cell r="L13006" t="str">
            <v>74222443</v>
          </cell>
        </row>
        <row r="13007">
          <cell r="L13007" t="str">
            <v>74223305</v>
          </cell>
        </row>
        <row r="13008">
          <cell r="L13008" t="str">
            <v>74223308</v>
          </cell>
        </row>
        <row r="13009">
          <cell r="L13009" t="str">
            <v>74223313</v>
          </cell>
        </row>
        <row r="13010">
          <cell r="L13010" t="str">
            <v>74223821</v>
          </cell>
        </row>
        <row r="13011">
          <cell r="L13011" t="str">
            <v>74223822</v>
          </cell>
        </row>
        <row r="13012">
          <cell r="L13012" t="str">
            <v>74224181</v>
          </cell>
        </row>
        <row r="13013">
          <cell r="L13013" t="str">
            <v>74225425</v>
          </cell>
        </row>
        <row r="13014">
          <cell r="L13014" t="str">
            <v>74225719</v>
          </cell>
        </row>
        <row r="13015">
          <cell r="L13015" t="str">
            <v>74225939</v>
          </cell>
        </row>
        <row r="13016">
          <cell r="L13016" t="str">
            <v>74226459</v>
          </cell>
        </row>
        <row r="13017">
          <cell r="L13017" t="str">
            <v>74227388</v>
          </cell>
        </row>
        <row r="13018">
          <cell r="L13018" t="str">
            <v>74227395</v>
          </cell>
        </row>
        <row r="13019">
          <cell r="L13019" t="str">
            <v>74227398</v>
          </cell>
        </row>
        <row r="13020">
          <cell r="L13020" t="str">
            <v>74227946</v>
          </cell>
        </row>
        <row r="13021">
          <cell r="L13021" t="str">
            <v>74228062</v>
          </cell>
        </row>
        <row r="13022">
          <cell r="L13022" t="str">
            <v>74228359</v>
          </cell>
        </row>
        <row r="13023">
          <cell r="L13023" t="str">
            <v>74229045</v>
          </cell>
        </row>
        <row r="13024">
          <cell r="L13024" t="str">
            <v>74229142</v>
          </cell>
        </row>
        <row r="13025">
          <cell r="L13025" t="str">
            <v>74229144</v>
          </cell>
        </row>
        <row r="13026">
          <cell r="L13026" t="str">
            <v>74229146</v>
          </cell>
        </row>
        <row r="13027">
          <cell r="L13027" t="str">
            <v>74229972</v>
          </cell>
        </row>
        <row r="13028">
          <cell r="L13028" t="str">
            <v>74229978</v>
          </cell>
        </row>
        <row r="13029">
          <cell r="L13029" t="str">
            <v>74230683</v>
          </cell>
        </row>
        <row r="13030">
          <cell r="L13030" t="str">
            <v>74230688</v>
          </cell>
        </row>
        <row r="13031">
          <cell r="L13031" t="str">
            <v>74230711</v>
          </cell>
        </row>
        <row r="13032">
          <cell r="L13032" t="str">
            <v>74231161</v>
          </cell>
        </row>
        <row r="13033">
          <cell r="L13033" t="str">
            <v>74231506</v>
          </cell>
        </row>
        <row r="13034">
          <cell r="L13034" t="str">
            <v>74233057</v>
          </cell>
        </row>
        <row r="13035">
          <cell r="L13035" t="str">
            <v>74233060</v>
          </cell>
        </row>
        <row r="13036">
          <cell r="L13036" t="str">
            <v>74233064</v>
          </cell>
        </row>
        <row r="13037">
          <cell r="L13037" t="str">
            <v>74233066</v>
          </cell>
        </row>
        <row r="13038">
          <cell r="L13038" t="str">
            <v>74233081</v>
          </cell>
        </row>
        <row r="13039">
          <cell r="L13039" t="str">
            <v>74233084</v>
          </cell>
        </row>
        <row r="13040">
          <cell r="L13040" t="str">
            <v>74233085</v>
          </cell>
        </row>
        <row r="13041">
          <cell r="L13041" t="str">
            <v>74233090</v>
          </cell>
        </row>
        <row r="13042">
          <cell r="L13042" t="str">
            <v>74233585</v>
          </cell>
        </row>
        <row r="13043">
          <cell r="L13043" t="str">
            <v>74233600</v>
          </cell>
        </row>
        <row r="13044">
          <cell r="L13044" t="str">
            <v>74233739</v>
          </cell>
        </row>
        <row r="13045">
          <cell r="L13045" t="str">
            <v>74235019</v>
          </cell>
        </row>
        <row r="13046">
          <cell r="L13046" t="str">
            <v>74235020</v>
          </cell>
        </row>
        <row r="13047">
          <cell r="L13047" t="str">
            <v>74235024</v>
          </cell>
        </row>
        <row r="13048">
          <cell r="L13048" t="str">
            <v>74235028</v>
          </cell>
        </row>
        <row r="13049">
          <cell r="L13049" t="str">
            <v>74235703</v>
          </cell>
        </row>
        <row r="13050">
          <cell r="L13050" t="str">
            <v>74235704</v>
          </cell>
        </row>
        <row r="13051">
          <cell r="L13051" t="str">
            <v>74235705</v>
          </cell>
        </row>
        <row r="13052">
          <cell r="L13052" t="str">
            <v>74235900</v>
          </cell>
        </row>
        <row r="13053">
          <cell r="L13053" t="str">
            <v>74236287</v>
          </cell>
        </row>
        <row r="13054">
          <cell r="L13054" t="str">
            <v>74236319</v>
          </cell>
        </row>
        <row r="13055">
          <cell r="L13055" t="str">
            <v>74236320</v>
          </cell>
        </row>
        <row r="13056">
          <cell r="L13056" t="str">
            <v>74236363</v>
          </cell>
        </row>
        <row r="13057">
          <cell r="L13057" t="str">
            <v>74238066</v>
          </cell>
        </row>
        <row r="13058">
          <cell r="L13058" t="str">
            <v>74238067</v>
          </cell>
        </row>
        <row r="13059">
          <cell r="L13059" t="str">
            <v>74238072</v>
          </cell>
        </row>
        <row r="13060">
          <cell r="L13060" t="str">
            <v>74238073</v>
          </cell>
        </row>
        <row r="13061">
          <cell r="L13061" t="str">
            <v>74238076</v>
          </cell>
        </row>
        <row r="13062">
          <cell r="L13062" t="str">
            <v>74238080</v>
          </cell>
        </row>
        <row r="13063">
          <cell r="L13063" t="str">
            <v>74238160</v>
          </cell>
        </row>
        <row r="13064">
          <cell r="L13064" t="str">
            <v>74238243</v>
          </cell>
        </row>
        <row r="13065">
          <cell r="L13065" t="str">
            <v>74238701</v>
          </cell>
        </row>
        <row r="13066">
          <cell r="L13066" t="str">
            <v>74239780</v>
          </cell>
        </row>
        <row r="13067">
          <cell r="L13067" t="str">
            <v>74239800</v>
          </cell>
        </row>
        <row r="13068">
          <cell r="L13068" t="str">
            <v>74243622</v>
          </cell>
        </row>
        <row r="13069">
          <cell r="L13069" t="str">
            <v>74244639</v>
          </cell>
        </row>
        <row r="13070">
          <cell r="L13070" t="str">
            <v>74246264</v>
          </cell>
        </row>
        <row r="13071">
          <cell r="L13071" t="str">
            <v>74246271</v>
          </cell>
        </row>
        <row r="13072">
          <cell r="L13072" t="str">
            <v>74247139</v>
          </cell>
        </row>
        <row r="13073">
          <cell r="L13073" t="str">
            <v>74247322</v>
          </cell>
        </row>
        <row r="13074">
          <cell r="L13074" t="str">
            <v>74247383</v>
          </cell>
        </row>
        <row r="13075">
          <cell r="L13075" t="str">
            <v>74247391</v>
          </cell>
        </row>
        <row r="13076">
          <cell r="L13076" t="str">
            <v>74247629</v>
          </cell>
        </row>
        <row r="13077">
          <cell r="L13077" t="str">
            <v>74247630</v>
          </cell>
        </row>
        <row r="13078">
          <cell r="L13078" t="str">
            <v>74247631</v>
          </cell>
        </row>
        <row r="13079">
          <cell r="L13079" t="str">
            <v>74247980</v>
          </cell>
        </row>
        <row r="13080">
          <cell r="L13080" t="str">
            <v>74250949</v>
          </cell>
        </row>
        <row r="13081">
          <cell r="L13081" t="str">
            <v>74251040</v>
          </cell>
        </row>
        <row r="13082">
          <cell r="L13082" t="str">
            <v>74251045</v>
          </cell>
        </row>
        <row r="13083">
          <cell r="L13083" t="str">
            <v>74252023</v>
          </cell>
        </row>
        <row r="13084">
          <cell r="L13084" t="str">
            <v>74252680</v>
          </cell>
        </row>
        <row r="13085">
          <cell r="L13085" t="str">
            <v>74252683</v>
          </cell>
        </row>
        <row r="13086">
          <cell r="L13086" t="str">
            <v>74252684</v>
          </cell>
        </row>
        <row r="13087">
          <cell r="L13087" t="str">
            <v>74253067</v>
          </cell>
        </row>
        <row r="13088">
          <cell r="L13088" t="str">
            <v>74253069</v>
          </cell>
        </row>
        <row r="13089">
          <cell r="L13089" t="str">
            <v>74253780</v>
          </cell>
        </row>
        <row r="13090">
          <cell r="L13090" t="str">
            <v>74254419</v>
          </cell>
        </row>
        <row r="13091">
          <cell r="L13091" t="str">
            <v>74254422</v>
          </cell>
        </row>
        <row r="13092">
          <cell r="L13092" t="str">
            <v>74254699</v>
          </cell>
        </row>
        <row r="13093">
          <cell r="L13093" t="str">
            <v>74255561</v>
          </cell>
        </row>
        <row r="13094">
          <cell r="L13094" t="str">
            <v>74255577</v>
          </cell>
        </row>
        <row r="13095">
          <cell r="L13095" t="str">
            <v>74255881</v>
          </cell>
        </row>
        <row r="13096">
          <cell r="L13096" t="str">
            <v>74255885</v>
          </cell>
        </row>
        <row r="13097">
          <cell r="L13097" t="str">
            <v>74255892</v>
          </cell>
        </row>
        <row r="13098">
          <cell r="L13098" t="str">
            <v>74255999</v>
          </cell>
        </row>
        <row r="13099">
          <cell r="L13099" t="str">
            <v>74256139</v>
          </cell>
        </row>
        <row r="13100">
          <cell r="L13100" t="str">
            <v>74256200</v>
          </cell>
        </row>
        <row r="13101">
          <cell r="L13101" t="str">
            <v>74256203</v>
          </cell>
        </row>
        <row r="13102">
          <cell r="L13102" t="str">
            <v>74256741</v>
          </cell>
        </row>
        <row r="13103">
          <cell r="L13103" t="str">
            <v>74257740</v>
          </cell>
        </row>
        <row r="13104">
          <cell r="L13104" t="str">
            <v>74257940</v>
          </cell>
        </row>
        <row r="13105">
          <cell r="L13105" t="str">
            <v>74257959</v>
          </cell>
        </row>
        <row r="13106">
          <cell r="L13106" t="str">
            <v>74258264</v>
          </cell>
        </row>
        <row r="13107">
          <cell r="L13107" t="str">
            <v>74258268</v>
          </cell>
        </row>
        <row r="13108">
          <cell r="L13108" t="str">
            <v>74258419</v>
          </cell>
        </row>
        <row r="13109">
          <cell r="L13109" t="str">
            <v>74258439</v>
          </cell>
        </row>
        <row r="13110">
          <cell r="L13110" t="str">
            <v>74258502</v>
          </cell>
        </row>
        <row r="13111">
          <cell r="L13111" t="str">
            <v>74258521</v>
          </cell>
        </row>
        <row r="13112">
          <cell r="L13112" t="str">
            <v>74258524</v>
          </cell>
        </row>
        <row r="13113">
          <cell r="L13113" t="str">
            <v>74258699</v>
          </cell>
        </row>
        <row r="13114">
          <cell r="L13114" t="str">
            <v>74258760</v>
          </cell>
        </row>
        <row r="13115">
          <cell r="L13115" t="str">
            <v>74258763</v>
          </cell>
        </row>
        <row r="13116">
          <cell r="L13116" t="str">
            <v>74259760</v>
          </cell>
        </row>
        <row r="13117">
          <cell r="L13117" t="str">
            <v>74259886</v>
          </cell>
        </row>
        <row r="13118">
          <cell r="L13118" t="str">
            <v>74260159</v>
          </cell>
        </row>
        <row r="13119">
          <cell r="L13119" t="str">
            <v>74260499</v>
          </cell>
        </row>
        <row r="13120">
          <cell r="L13120" t="str">
            <v>74260801</v>
          </cell>
        </row>
        <row r="13121">
          <cell r="L13121" t="str">
            <v>74261020</v>
          </cell>
        </row>
        <row r="13122">
          <cell r="L13122" t="str">
            <v>74261319</v>
          </cell>
        </row>
        <row r="13123">
          <cell r="L13123" t="str">
            <v>74263980</v>
          </cell>
        </row>
        <row r="13124">
          <cell r="L13124" t="str">
            <v>74263982</v>
          </cell>
        </row>
        <row r="13125">
          <cell r="L13125" t="str">
            <v>74263985</v>
          </cell>
        </row>
        <row r="13126">
          <cell r="L13126" t="str">
            <v>74264381</v>
          </cell>
        </row>
        <row r="13127">
          <cell r="L13127" t="str">
            <v>74264743</v>
          </cell>
        </row>
        <row r="13128">
          <cell r="L13128" t="str">
            <v>74264745</v>
          </cell>
        </row>
        <row r="13129">
          <cell r="L13129" t="str">
            <v>74265102</v>
          </cell>
        </row>
        <row r="13130">
          <cell r="L13130" t="str">
            <v>74265291</v>
          </cell>
        </row>
        <row r="13131">
          <cell r="L13131" t="str">
            <v>74265301</v>
          </cell>
        </row>
        <row r="13132">
          <cell r="L13132" t="str">
            <v>74265302</v>
          </cell>
        </row>
        <row r="13133">
          <cell r="L13133" t="str">
            <v>74265803</v>
          </cell>
        </row>
        <row r="13134">
          <cell r="L13134" t="str">
            <v>74266159</v>
          </cell>
        </row>
        <row r="13135">
          <cell r="L13135" t="str">
            <v>74266184</v>
          </cell>
        </row>
        <row r="13136">
          <cell r="L13136" t="str">
            <v>74266193</v>
          </cell>
        </row>
        <row r="13137">
          <cell r="L13137" t="str">
            <v>74266482</v>
          </cell>
        </row>
        <row r="13138">
          <cell r="L13138" t="str">
            <v>74267230</v>
          </cell>
        </row>
        <row r="13139">
          <cell r="L13139" t="str">
            <v>74267232</v>
          </cell>
        </row>
        <row r="13140">
          <cell r="L13140" t="str">
            <v>74267242</v>
          </cell>
        </row>
        <row r="13141">
          <cell r="L13141" t="str">
            <v>74269720</v>
          </cell>
        </row>
        <row r="13142">
          <cell r="L13142" t="str">
            <v>74269863</v>
          </cell>
        </row>
        <row r="13143">
          <cell r="L13143" t="str">
            <v>74269919</v>
          </cell>
        </row>
        <row r="13144">
          <cell r="L13144" t="str">
            <v>74269926</v>
          </cell>
        </row>
        <row r="13145">
          <cell r="L13145" t="str">
            <v>74270959</v>
          </cell>
        </row>
        <row r="13146">
          <cell r="L13146" t="str">
            <v>74270968</v>
          </cell>
        </row>
        <row r="13147">
          <cell r="L13147" t="str">
            <v>74271359</v>
          </cell>
        </row>
        <row r="13148">
          <cell r="L13148" t="str">
            <v>74271522</v>
          </cell>
        </row>
        <row r="13149">
          <cell r="L13149" t="str">
            <v>74271719</v>
          </cell>
        </row>
        <row r="13150">
          <cell r="L13150" t="str">
            <v>74272150</v>
          </cell>
        </row>
        <row r="13151">
          <cell r="L13151" t="str">
            <v>74272560</v>
          </cell>
        </row>
        <row r="13152">
          <cell r="L13152" t="str">
            <v>74272569</v>
          </cell>
        </row>
        <row r="13153">
          <cell r="L13153" t="str">
            <v>74272681</v>
          </cell>
        </row>
        <row r="13154">
          <cell r="L13154" t="str">
            <v>74272682</v>
          </cell>
        </row>
        <row r="13155">
          <cell r="L13155" t="str">
            <v>74273208</v>
          </cell>
        </row>
        <row r="13156">
          <cell r="L13156" t="str">
            <v>74273217</v>
          </cell>
        </row>
        <row r="13157">
          <cell r="L13157" t="str">
            <v>74273224</v>
          </cell>
        </row>
        <row r="13158">
          <cell r="L13158" t="str">
            <v>74273684</v>
          </cell>
        </row>
        <row r="13159">
          <cell r="L13159" t="str">
            <v>74273685</v>
          </cell>
        </row>
        <row r="13160">
          <cell r="L13160" t="str">
            <v>74273686</v>
          </cell>
        </row>
        <row r="13161">
          <cell r="L13161" t="str">
            <v>74273783</v>
          </cell>
        </row>
        <row r="13162">
          <cell r="L13162" t="str">
            <v>74274168</v>
          </cell>
        </row>
        <row r="13163">
          <cell r="L13163" t="str">
            <v>74274170</v>
          </cell>
        </row>
        <row r="13164">
          <cell r="L13164" t="str">
            <v>74274172</v>
          </cell>
        </row>
        <row r="13165">
          <cell r="L13165" t="str">
            <v>74274173</v>
          </cell>
        </row>
        <row r="13166">
          <cell r="L13166" t="str">
            <v>74274174</v>
          </cell>
        </row>
        <row r="13167">
          <cell r="L13167" t="str">
            <v>74274701</v>
          </cell>
        </row>
        <row r="13168">
          <cell r="L13168" t="str">
            <v>74275880</v>
          </cell>
        </row>
        <row r="13169">
          <cell r="L13169" t="str">
            <v>74275881</v>
          </cell>
        </row>
        <row r="13170">
          <cell r="L13170" t="str">
            <v>74275885</v>
          </cell>
        </row>
        <row r="13171">
          <cell r="L13171" t="str">
            <v>74276140</v>
          </cell>
        </row>
        <row r="13172">
          <cell r="L13172" t="str">
            <v>74276688</v>
          </cell>
        </row>
        <row r="13173">
          <cell r="L13173" t="str">
            <v>74276906</v>
          </cell>
        </row>
        <row r="13174">
          <cell r="L13174" t="str">
            <v>74276915</v>
          </cell>
        </row>
        <row r="13175">
          <cell r="L13175" t="str">
            <v>74276916</v>
          </cell>
        </row>
        <row r="13176">
          <cell r="L13176" t="str">
            <v>74277545</v>
          </cell>
        </row>
        <row r="13177">
          <cell r="L13177" t="str">
            <v>74278240</v>
          </cell>
        </row>
        <row r="13178">
          <cell r="L13178" t="str">
            <v>74278241</v>
          </cell>
        </row>
        <row r="13179">
          <cell r="L13179" t="str">
            <v>74278260</v>
          </cell>
        </row>
        <row r="13180">
          <cell r="L13180" t="str">
            <v>74278261</v>
          </cell>
        </row>
        <row r="13181">
          <cell r="L13181" t="str">
            <v>74278262</v>
          </cell>
        </row>
        <row r="13182">
          <cell r="L13182" t="str">
            <v>74278263</v>
          </cell>
        </row>
        <row r="13183">
          <cell r="L13183" t="str">
            <v>74278440</v>
          </cell>
        </row>
        <row r="13184">
          <cell r="L13184" t="str">
            <v>74278443</v>
          </cell>
        </row>
        <row r="13185">
          <cell r="L13185" t="str">
            <v>74278444</v>
          </cell>
        </row>
        <row r="13186">
          <cell r="L13186" t="str">
            <v>74278859</v>
          </cell>
        </row>
        <row r="13187">
          <cell r="L13187" t="str">
            <v>74278867</v>
          </cell>
        </row>
        <row r="13188">
          <cell r="L13188" t="str">
            <v>74278869</v>
          </cell>
        </row>
        <row r="13189">
          <cell r="L13189" t="str">
            <v>74278870</v>
          </cell>
        </row>
        <row r="13190">
          <cell r="L13190" t="str">
            <v>74278871</v>
          </cell>
        </row>
        <row r="13191">
          <cell r="L13191" t="str">
            <v>74278903</v>
          </cell>
        </row>
        <row r="13192">
          <cell r="L13192" t="str">
            <v>74278906</v>
          </cell>
        </row>
        <row r="13193">
          <cell r="L13193" t="str">
            <v>74278907</v>
          </cell>
        </row>
        <row r="13194">
          <cell r="L13194" t="str">
            <v>74278909</v>
          </cell>
        </row>
        <row r="13195">
          <cell r="L13195" t="str">
            <v>74278910</v>
          </cell>
        </row>
        <row r="13196">
          <cell r="L13196" t="str">
            <v>74278911</v>
          </cell>
        </row>
        <row r="13197">
          <cell r="L13197" t="str">
            <v>74278999</v>
          </cell>
        </row>
        <row r="13198">
          <cell r="L13198" t="str">
            <v>74279000</v>
          </cell>
        </row>
        <row r="13199">
          <cell r="L13199" t="str">
            <v>74279341</v>
          </cell>
        </row>
        <row r="13200">
          <cell r="L13200" t="str">
            <v>74279343</v>
          </cell>
        </row>
        <row r="13201">
          <cell r="L13201" t="str">
            <v>74279344</v>
          </cell>
        </row>
        <row r="13202">
          <cell r="L13202" t="str">
            <v>74279980</v>
          </cell>
        </row>
        <row r="13203">
          <cell r="L13203" t="str">
            <v>74279981</v>
          </cell>
        </row>
        <row r="13204">
          <cell r="L13204" t="str">
            <v>74279982</v>
          </cell>
        </row>
        <row r="13205">
          <cell r="L13205" t="str">
            <v>74279984</v>
          </cell>
        </row>
        <row r="13206">
          <cell r="L13206" t="str">
            <v>74279990</v>
          </cell>
        </row>
        <row r="13207">
          <cell r="L13207" t="str">
            <v>74279992</v>
          </cell>
        </row>
        <row r="13208">
          <cell r="L13208" t="str">
            <v>74279994</v>
          </cell>
        </row>
        <row r="13209">
          <cell r="L13209" t="str">
            <v>74280259</v>
          </cell>
        </row>
        <row r="13210">
          <cell r="L13210" t="str">
            <v>74280260</v>
          </cell>
        </row>
        <row r="13211">
          <cell r="L13211" t="str">
            <v>74280262</v>
          </cell>
        </row>
        <row r="13212">
          <cell r="L13212" t="str">
            <v>74280264</v>
          </cell>
        </row>
        <row r="13213">
          <cell r="L13213" t="str">
            <v>74280265</v>
          </cell>
        </row>
        <row r="13214">
          <cell r="L13214" t="str">
            <v>74280266</v>
          </cell>
        </row>
        <row r="13215">
          <cell r="L13215" t="str">
            <v>74280267</v>
          </cell>
        </row>
        <row r="13216">
          <cell r="L13216" t="str">
            <v>74280299</v>
          </cell>
        </row>
        <row r="13217">
          <cell r="L13217" t="str">
            <v>74280301</v>
          </cell>
        </row>
        <row r="13218">
          <cell r="L13218" t="str">
            <v>74280437</v>
          </cell>
        </row>
        <row r="13219">
          <cell r="L13219" t="str">
            <v>74280440</v>
          </cell>
        </row>
        <row r="13220">
          <cell r="L13220" t="str">
            <v>74280579</v>
          </cell>
        </row>
        <row r="13221">
          <cell r="L13221" t="str">
            <v>74281004</v>
          </cell>
        </row>
        <row r="13222">
          <cell r="L13222" t="str">
            <v>74281005</v>
          </cell>
        </row>
        <row r="13223">
          <cell r="L13223" t="str">
            <v>74281006</v>
          </cell>
        </row>
        <row r="13224">
          <cell r="L13224" t="str">
            <v>74281007</v>
          </cell>
        </row>
        <row r="13225">
          <cell r="L13225" t="str">
            <v>74281008</v>
          </cell>
        </row>
        <row r="13226">
          <cell r="L13226" t="str">
            <v>74281009</v>
          </cell>
        </row>
        <row r="13227">
          <cell r="L13227" t="str">
            <v>74281010</v>
          </cell>
        </row>
        <row r="13228">
          <cell r="L13228" t="str">
            <v>74281119</v>
          </cell>
        </row>
        <row r="13229">
          <cell r="L13229" t="str">
            <v>74281121</v>
          </cell>
        </row>
        <row r="13230">
          <cell r="L13230" t="str">
            <v>74281199</v>
          </cell>
        </row>
        <row r="13231">
          <cell r="L13231" t="str">
            <v>74281247</v>
          </cell>
        </row>
        <row r="13232">
          <cell r="L13232" t="str">
            <v>74281580</v>
          </cell>
        </row>
        <row r="13233">
          <cell r="L13233" t="str">
            <v>74282162</v>
          </cell>
        </row>
        <row r="13234">
          <cell r="L13234" t="str">
            <v>74282164</v>
          </cell>
        </row>
        <row r="13235">
          <cell r="L13235" t="str">
            <v>74282179</v>
          </cell>
        </row>
        <row r="13236">
          <cell r="L13236" t="str">
            <v>74282181</v>
          </cell>
        </row>
        <row r="13237">
          <cell r="L13237" t="str">
            <v>74282183</v>
          </cell>
        </row>
        <row r="13238">
          <cell r="L13238" t="str">
            <v>74282280</v>
          </cell>
        </row>
        <row r="13239">
          <cell r="L13239" t="str">
            <v>74282319</v>
          </cell>
        </row>
        <row r="13240">
          <cell r="L13240" t="str">
            <v>74282360</v>
          </cell>
        </row>
        <row r="13241">
          <cell r="L13241" t="str">
            <v>74282763</v>
          </cell>
        </row>
        <row r="13242">
          <cell r="L13242" t="str">
            <v>74282764</v>
          </cell>
        </row>
        <row r="13243">
          <cell r="L13243" t="str">
            <v>74282765</v>
          </cell>
        </row>
        <row r="13244">
          <cell r="L13244" t="str">
            <v>74282766</v>
          </cell>
        </row>
        <row r="13245">
          <cell r="L13245" t="str">
            <v>74282767</v>
          </cell>
        </row>
        <row r="13246">
          <cell r="L13246" t="str">
            <v>74282769</v>
          </cell>
        </row>
        <row r="13247">
          <cell r="L13247" t="str">
            <v>74282781</v>
          </cell>
        </row>
        <row r="13248">
          <cell r="L13248" t="str">
            <v>74282782</v>
          </cell>
        </row>
        <row r="13249">
          <cell r="L13249" t="str">
            <v>74282783</v>
          </cell>
        </row>
        <row r="13250">
          <cell r="L13250" t="str">
            <v>74282785</v>
          </cell>
        </row>
        <row r="13251">
          <cell r="L13251" t="str">
            <v>74282787</v>
          </cell>
        </row>
        <row r="13252">
          <cell r="L13252" t="str">
            <v>74282919</v>
          </cell>
        </row>
        <row r="13253">
          <cell r="L13253" t="str">
            <v>74282920</v>
          </cell>
        </row>
        <row r="13254">
          <cell r="L13254" t="str">
            <v>74282921</v>
          </cell>
        </row>
        <row r="13255">
          <cell r="L13255" t="str">
            <v>74282922</v>
          </cell>
        </row>
        <row r="13256">
          <cell r="L13256" t="str">
            <v>74283019</v>
          </cell>
        </row>
        <row r="13257">
          <cell r="L13257" t="str">
            <v>74283067</v>
          </cell>
        </row>
        <row r="13258">
          <cell r="L13258" t="str">
            <v>74283103</v>
          </cell>
        </row>
        <row r="13259">
          <cell r="L13259" t="str">
            <v>74283104</v>
          </cell>
        </row>
        <row r="13260">
          <cell r="L13260" t="str">
            <v>74284939</v>
          </cell>
        </row>
        <row r="13261">
          <cell r="L13261" t="str">
            <v>74284960</v>
          </cell>
        </row>
        <row r="13262">
          <cell r="L13262" t="str">
            <v>74285027</v>
          </cell>
        </row>
        <row r="13263">
          <cell r="L13263" t="str">
            <v>74285028</v>
          </cell>
        </row>
        <row r="13264">
          <cell r="L13264" t="str">
            <v>74285029</v>
          </cell>
        </row>
        <row r="13265">
          <cell r="L13265" t="str">
            <v>74285030</v>
          </cell>
        </row>
        <row r="13266">
          <cell r="L13266" t="str">
            <v>74285032</v>
          </cell>
        </row>
        <row r="13267">
          <cell r="L13267" t="str">
            <v>74285033</v>
          </cell>
        </row>
        <row r="13268">
          <cell r="L13268" t="str">
            <v>74285040</v>
          </cell>
        </row>
        <row r="13269">
          <cell r="L13269" t="str">
            <v>74285042</v>
          </cell>
        </row>
        <row r="13270">
          <cell r="L13270" t="str">
            <v>74285063</v>
          </cell>
        </row>
        <row r="13271">
          <cell r="L13271" t="str">
            <v>74285068</v>
          </cell>
        </row>
        <row r="13272">
          <cell r="L13272" t="str">
            <v>74285070</v>
          </cell>
        </row>
        <row r="13273">
          <cell r="L13273" t="str">
            <v>74285133</v>
          </cell>
        </row>
        <row r="13274">
          <cell r="L13274" t="str">
            <v>74285134</v>
          </cell>
        </row>
        <row r="13275">
          <cell r="L13275" t="str">
            <v>74285136</v>
          </cell>
        </row>
        <row r="13276">
          <cell r="L13276" t="str">
            <v>74285140</v>
          </cell>
        </row>
        <row r="13277">
          <cell r="L13277" t="str">
            <v>74285359</v>
          </cell>
        </row>
        <row r="13278">
          <cell r="L13278" t="str">
            <v>74285363</v>
          </cell>
        </row>
        <row r="13279">
          <cell r="L13279" t="str">
            <v>74285800</v>
          </cell>
        </row>
        <row r="13280">
          <cell r="L13280" t="str">
            <v>74286031</v>
          </cell>
        </row>
        <row r="13281">
          <cell r="L13281" t="str">
            <v>74286400</v>
          </cell>
        </row>
        <row r="13282">
          <cell r="L13282" t="str">
            <v>74286402</v>
          </cell>
        </row>
        <row r="13283">
          <cell r="L13283" t="str">
            <v>74286702</v>
          </cell>
        </row>
        <row r="13284">
          <cell r="L13284" t="str">
            <v>74286703</v>
          </cell>
        </row>
        <row r="13285">
          <cell r="L13285" t="str">
            <v>74286705</v>
          </cell>
        </row>
        <row r="13286">
          <cell r="L13286" t="str">
            <v>74286706</v>
          </cell>
        </row>
        <row r="13287">
          <cell r="L13287" t="str">
            <v>74286707</v>
          </cell>
        </row>
        <row r="13288">
          <cell r="L13288" t="str">
            <v>74286708</v>
          </cell>
        </row>
        <row r="13289">
          <cell r="L13289" t="str">
            <v>74286709</v>
          </cell>
        </row>
        <row r="13290">
          <cell r="L13290" t="str">
            <v>74286720</v>
          </cell>
        </row>
        <row r="13291">
          <cell r="L13291" t="str">
            <v>74286726</v>
          </cell>
        </row>
        <row r="13292">
          <cell r="L13292" t="str">
            <v>74286728</v>
          </cell>
        </row>
        <row r="13293">
          <cell r="L13293" t="str">
            <v>74286729</v>
          </cell>
        </row>
        <row r="13294">
          <cell r="L13294" t="str">
            <v>74286730</v>
          </cell>
        </row>
        <row r="13295">
          <cell r="L13295" t="str">
            <v>74286731</v>
          </cell>
        </row>
        <row r="13296">
          <cell r="L13296" t="str">
            <v>74286732</v>
          </cell>
        </row>
        <row r="13297">
          <cell r="L13297" t="str">
            <v>74286734</v>
          </cell>
        </row>
        <row r="13298">
          <cell r="L13298" t="str">
            <v>74287279</v>
          </cell>
        </row>
        <row r="13299">
          <cell r="L13299" t="str">
            <v>74287283</v>
          </cell>
        </row>
        <row r="13300">
          <cell r="L13300" t="str">
            <v>74287284</v>
          </cell>
        </row>
        <row r="13301">
          <cell r="L13301" t="str">
            <v>74287287</v>
          </cell>
        </row>
        <row r="13302">
          <cell r="L13302" t="str">
            <v>74287706</v>
          </cell>
        </row>
        <row r="13303">
          <cell r="L13303" t="str">
            <v>74287708</v>
          </cell>
        </row>
        <row r="13304">
          <cell r="L13304" t="str">
            <v>74287709</v>
          </cell>
        </row>
        <row r="13305">
          <cell r="L13305" t="str">
            <v>74287711</v>
          </cell>
        </row>
        <row r="13306">
          <cell r="L13306" t="str">
            <v>74287750</v>
          </cell>
        </row>
        <row r="13307">
          <cell r="L13307" t="str">
            <v>74287751</v>
          </cell>
        </row>
        <row r="13308">
          <cell r="L13308" t="str">
            <v>74287843</v>
          </cell>
        </row>
        <row r="13309">
          <cell r="L13309" t="str">
            <v>74288019</v>
          </cell>
        </row>
        <row r="13310">
          <cell r="L13310" t="str">
            <v>74288619</v>
          </cell>
        </row>
        <row r="13311">
          <cell r="L13311" t="str">
            <v>74288664</v>
          </cell>
        </row>
        <row r="13312">
          <cell r="L13312" t="str">
            <v>74289419</v>
          </cell>
        </row>
        <row r="13313">
          <cell r="L13313" t="str">
            <v>74289420</v>
          </cell>
        </row>
        <row r="13314">
          <cell r="L13314" t="str">
            <v>74289421</v>
          </cell>
        </row>
        <row r="13315">
          <cell r="L13315" t="str">
            <v>74289422</v>
          </cell>
        </row>
        <row r="13316">
          <cell r="L13316" t="str">
            <v>74289424</v>
          </cell>
        </row>
        <row r="13317">
          <cell r="L13317" t="str">
            <v>74289427</v>
          </cell>
        </row>
        <row r="13318">
          <cell r="L13318" t="str">
            <v>74289428</v>
          </cell>
        </row>
        <row r="13319">
          <cell r="L13319" t="str">
            <v>74289429</v>
          </cell>
        </row>
        <row r="13320">
          <cell r="L13320" t="str">
            <v>74289434</v>
          </cell>
        </row>
        <row r="13321">
          <cell r="L13321" t="str">
            <v>74289435</v>
          </cell>
        </row>
        <row r="13322">
          <cell r="L13322" t="str">
            <v>74289436</v>
          </cell>
        </row>
        <row r="13323">
          <cell r="L13323" t="str">
            <v>74289437</v>
          </cell>
        </row>
        <row r="13324">
          <cell r="L13324" t="str">
            <v>74289439</v>
          </cell>
        </row>
        <row r="13325">
          <cell r="L13325" t="str">
            <v>74289440</v>
          </cell>
        </row>
        <row r="13326">
          <cell r="L13326" t="str">
            <v>74289441</v>
          </cell>
        </row>
        <row r="13327">
          <cell r="L13327" t="str">
            <v>74289442</v>
          </cell>
        </row>
        <row r="13328">
          <cell r="L13328" t="str">
            <v>74289606</v>
          </cell>
        </row>
        <row r="13329">
          <cell r="L13329" t="str">
            <v>74289900</v>
          </cell>
        </row>
        <row r="13330">
          <cell r="L13330" t="str">
            <v>74289901</v>
          </cell>
        </row>
        <row r="13331">
          <cell r="L13331" t="str">
            <v>74290082</v>
          </cell>
        </row>
        <row r="13332">
          <cell r="L13332" t="str">
            <v>74290221</v>
          </cell>
        </row>
        <row r="13333">
          <cell r="L13333" t="str">
            <v>74290223</v>
          </cell>
        </row>
        <row r="13334">
          <cell r="L13334" t="str">
            <v>74290224</v>
          </cell>
        </row>
        <row r="13335">
          <cell r="L13335" t="str">
            <v>74290228</v>
          </cell>
        </row>
        <row r="13336">
          <cell r="L13336" t="str">
            <v>74290420</v>
          </cell>
        </row>
        <row r="13337">
          <cell r="L13337" t="str">
            <v>74290512</v>
          </cell>
        </row>
        <row r="13338">
          <cell r="L13338" t="str">
            <v>74290883</v>
          </cell>
        </row>
        <row r="13339">
          <cell r="L13339" t="str">
            <v>74290884</v>
          </cell>
        </row>
        <row r="13340">
          <cell r="L13340" t="str">
            <v>74290886</v>
          </cell>
        </row>
        <row r="13341">
          <cell r="L13341" t="str">
            <v>74290887</v>
          </cell>
        </row>
        <row r="13342">
          <cell r="L13342" t="str">
            <v>74290888</v>
          </cell>
        </row>
        <row r="13343">
          <cell r="L13343" t="str">
            <v>74290968</v>
          </cell>
        </row>
        <row r="13344">
          <cell r="L13344" t="str">
            <v>74290982</v>
          </cell>
        </row>
        <row r="13345">
          <cell r="L13345" t="str">
            <v>74290984</v>
          </cell>
        </row>
        <row r="13346">
          <cell r="L13346" t="str">
            <v>74291179</v>
          </cell>
        </row>
        <row r="13347">
          <cell r="L13347" t="str">
            <v>74291980</v>
          </cell>
        </row>
        <row r="13348">
          <cell r="L13348" t="str">
            <v>74291982</v>
          </cell>
        </row>
        <row r="13349">
          <cell r="L13349" t="str">
            <v>74291985</v>
          </cell>
        </row>
        <row r="13350">
          <cell r="L13350" t="str">
            <v>74291989</v>
          </cell>
        </row>
        <row r="13351">
          <cell r="L13351" t="str">
            <v>74291990</v>
          </cell>
        </row>
        <row r="13352">
          <cell r="L13352" t="str">
            <v>74291991</v>
          </cell>
        </row>
        <row r="13353">
          <cell r="L13353" t="str">
            <v>74291993</v>
          </cell>
        </row>
        <row r="13354">
          <cell r="L13354" t="str">
            <v>74292021</v>
          </cell>
        </row>
        <row r="13355">
          <cell r="L13355" t="str">
            <v>74292022</v>
          </cell>
        </row>
        <row r="13356">
          <cell r="L13356" t="str">
            <v>74292023</v>
          </cell>
        </row>
        <row r="13357">
          <cell r="L13357" t="str">
            <v>74292026</v>
          </cell>
        </row>
        <row r="13358">
          <cell r="L13358" t="str">
            <v>74292027</v>
          </cell>
        </row>
        <row r="13359">
          <cell r="L13359" t="str">
            <v>74292043</v>
          </cell>
        </row>
        <row r="13360">
          <cell r="L13360" t="str">
            <v>74293282</v>
          </cell>
        </row>
        <row r="13361">
          <cell r="L13361" t="str">
            <v>74293320</v>
          </cell>
        </row>
        <row r="13362">
          <cell r="L13362" t="str">
            <v>74293348</v>
          </cell>
        </row>
        <row r="13363">
          <cell r="L13363" t="str">
            <v>74293350</v>
          </cell>
        </row>
        <row r="13364">
          <cell r="L13364" t="str">
            <v>74293351</v>
          </cell>
        </row>
        <row r="13365">
          <cell r="L13365" t="str">
            <v>74293352</v>
          </cell>
        </row>
        <row r="13366">
          <cell r="L13366" t="str">
            <v>74293353</v>
          </cell>
        </row>
        <row r="13367">
          <cell r="L13367" t="str">
            <v>74293354</v>
          </cell>
        </row>
        <row r="13368">
          <cell r="L13368" t="str">
            <v>74293356</v>
          </cell>
        </row>
        <row r="13369">
          <cell r="L13369" t="str">
            <v>74293357</v>
          </cell>
        </row>
        <row r="13370">
          <cell r="L13370" t="str">
            <v>74293358</v>
          </cell>
        </row>
        <row r="13371">
          <cell r="L13371" t="str">
            <v>74293365</v>
          </cell>
        </row>
        <row r="13372">
          <cell r="L13372" t="str">
            <v>74293366</v>
          </cell>
        </row>
        <row r="13373">
          <cell r="L13373" t="str">
            <v>74293367</v>
          </cell>
        </row>
        <row r="13374">
          <cell r="L13374" t="str">
            <v>74293382</v>
          </cell>
        </row>
        <row r="13375">
          <cell r="L13375" t="str">
            <v>74293387</v>
          </cell>
        </row>
        <row r="13376">
          <cell r="L13376" t="str">
            <v>74293520</v>
          </cell>
        </row>
        <row r="13377">
          <cell r="L13377" t="str">
            <v>74294001</v>
          </cell>
        </row>
        <row r="13378">
          <cell r="L13378" t="str">
            <v>74294019</v>
          </cell>
        </row>
        <row r="13379">
          <cell r="L13379" t="str">
            <v>74294023</v>
          </cell>
        </row>
        <row r="13380">
          <cell r="L13380" t="str">
            <v>74294024</v>
          </cell>
        </row>
        <row r="13381">
          <cell r="L13381" t="str">
            <v>74294025</v>
          </cell>
        </row>
        <row r="13382">
          <cell r="L13382" t="str">
            <v>74294028</v>
          </cell>
        </row>
        <row r="13383">
          <cell r="L13383" t="str">
            <v>74294300</v>
          </cell>
        </row>
        <row r="13384">
          <cell r="L13384" t="str">
            <v>74294303</v>
          </cell>
        </row>
        <row r="13385">
          <cell r="L13385" t="str">
            <v>74294319</v>
          </cell>
        </row>
        <row r="13386">
          <cell r="L13386" t="str">
            <v>74294320</v>
          </cell>
        </row>
        <row r="13387">
          <cell r="L13387" t="str">
            <v>74294321</v>
          </cell>
        </row>
        <row r="13388">
          <cell r="L13388" t="str">
            <v>74294543</v>
          </cell>
        </row>
        <row r="13389">
          <cell r="L13389" t="str">
            <v>74294804</v>
          </cell>
        </row>
        <row r="13390">
          <cell r="L13390" t="str">
            <v>74294806</v>
          </cell>
        </row>
        <row r="13391">
          <cell r="L13391" t="str">
            <v>74294807</v>
          </cell>
        </row>
        <row r="13392">
          <cell r="L13392" t="str">
            <v>74294808</v>
          </cell>
        </row>
        <row r="13393">
          <cell r="L13393" t="str">
            <v>74294809</v>
          </cell>
        </row>
        <row r="13394">
          <cell r="L13394" t="str">
            <v>74294810</v>
          </cell>
        </row>
        <row r="13395">
          <cell r="L13395" t="str">
            <v>74294811</v>
          </cell>
        </row>
        <row r="13396">
          <cell r="L13396" t="str">
            <v>74294813</v>
          </cell>
        </row>
        <row r="13397">
          <cell r="L13397" t="str">
            <v>74294815</v>
          </cell>
        </row>
        <row r="13398">
          <cell r="L13398" t="str">
            <v>74294816</v>
          </cell>
        </row>
        <row r="13399">
          <cell r="L13399" t="str">
            <v>74295162</v>
          </cell>
        </row>
        <row r="13400">
          <cell r="L13400" t="str">
            <v>74295259</v>
          </cell>
        </row>
        <row r="13401">
          <cell r="L13401" t="str">
            <v>74295260</v>
          </cell>
        </row>
        <row r="13402">
          <cell r="L13402" t="str">
            <v>74295261</v>
          </cell>
        </row>
        <row r="13403">
          <cell r="L13403" t="str">
            <v>74295262</v>
          </cell>
        </row>
        <row r="13404">
          <cell r="L13404" t="str">
            <v>74295500</v>
          </cell>
        </row>
        <row r="13405">
          <cell r="L13405" t="str">
            <v>74295502</v>
          </cell>
        </row>
        <row r="13406">
          <cell r="L13406" t="str">
            <v>74295504</v>
          </cell>
        </row>
        <row r="13407">
          <cell r="L13407" t="str">
            <v>74295505</v>
          </cell>
        </row>
        <row r="13408">
          <cell r="L13408" t="str">
            <v>74295506</v>
          </cell>
        </row>
        <row r="13409">
          <cell r="L13409" t="str">
            <v>74295508</v>
          </cell>
        </row>
        <row r="13410">
          <cell r="L13410" t="str">
            <v>74295524</v>
          </cell>
        </row>
        <row r="13411">
          <cell r="L13411" t="str">
            <v>74295528</v>
          </cell>
        </row>
        <row r="13412">
          <cell r="L13412" t="str">
            <v>74295783</v>
          </cell>
        </row>
        <row r="13413">
          <cell r="L13413" t="str">
            <v>74295963</v>
          </cell>
        </row>
        <row r="13414">
          <cell r="L13414" t="str">
            <v>74295964</v>
          </cell>
        </row>
        <row r="13415">
          <cell r="L13415" t="str">
            <v>74295966</v>
          </cell>
        </row>
        <row r="13416">
          <cell r="L13416" t="str">
            <v>74295968</v>
          </cell>
        </row>
        <row r="13417">
          <cell r="L13417" t="str">
            <v>74295969</v>
          </cell>
        </row>
        <row r="13418">
          <cell r="L13418" t="str">
            <v>74295970</v>
          </cell>
        </row>
        <row r="13419">
          <cell r="L13419" t="str">
            <v>74295980</v>
          </cell>
        </row>
        <row r="13420">
          <cell r="L13420" t="str">
            <v>74295981</v>
          </cell>
        </row>
        <row r="13421">
          <cell r="L13421" t="str">
            <v>74295983</v>
          </cell>
        </row>
        <row r="13422">
          <cell r="L13422" t="str">
            <v>74295984</v>
          </cell>
        </row>
        <row r="13423">
          <cell r="L13423" t="str">
            <v>74296021</v>
          </cell>
        </row>
        <row r="13424">
          <cell r="L13424" t="str">
            <v>74296025</v>
          </cell>
        </row>
        <row r="13425">
          <cell r="L13425" t="str">
            <v>74296721</v>
          </cell>
        </row>
        <row r="13426">
          <cell r="L13426" t="str">
            <v>74296722</v>
          </cell>
        </row>
        <row r="13427">
          <cell r="L13427" t="str">
            <v>74296739</v>
          </cell>
        </row>
        <row r="13428">
          <cell r="L13428" t="str">
            <v>74296741</v>
          </cell>
        </row>
        <row r="13429">
          <cell r="L13429" t="str">
            <v>74296742</v>
          </cell>
        </row>
        <row r="13430">
          <cell r="L13430" t="str">
            <v>74296744</v>
          </cell>
        </row>
        <row r="13431">
          <cell r="L13431" t="str">
            <v>74296780</v>
          </cell>
        </row>
        <row r="13432">
          <cell r="L13432" t="str">
            <v>74296782</v>
          </cell>
        </row>
        <row r="13433">
          <cell r="L13433" t="str">
            <v>74296787</v>
          </cell>
        </row>
        <row r="13434">
          <cell r="L13434" t="str">
            <v>74297919</v>
          </cell>
        </row>
        <row r="13435">
          <cell r="L13435" t="str">
            <v>74297920</v>
          </cell>
        </row>
        <row r="13436">
          <cell r="L13436" t="str">
            <v>74297921</v>
          </cell>
        </row>
        <row r="13437">
          <cell r="L13437" t="str">
            <v>74297922</v>
          </cell>
        </row>
        <row r="13438">
          <cell r="L13438" t="str">
            <v>74297923</v>
          </cell>
        </row>
        <row r="13439">
          <cell r="L13439" t="str">
            <v>74297924</v>
          </cell>
        </row>
        <row r="13440">
          <cell r="L13440" t="str">
            <v>74297926</v>
          </cell>
        </row>
        <row r="13441">
          <cell r="L13441" t="str">
            <v>74297970</v>
          </cell>
        </row>
        <row r="13442">
          <cell r="L13442" t="str">
            <v>74297971</v>
          </cell>
        </row>
        <row r="13443">
          <cell r="L13443" t="str">
            <v>74297972</v>
          </cell>
        </row>
        <row r="13444">
          <cell r="L13444" t="str">
            <v>74297973</v>
          </cell>
        </row>
        <row r="13445">
          <cell r="L13445" t="str">
            <v>74298282</v>
          </cell>
        </row>
        <row r="13446">
          <cell r="L13446" t="str">
            <v>74298283</v>
          </cell>
        </row>
        <row r="13447">
          <cell r="L13447" t="str">
            <v>74298284</v>
          </cell>
        </row>
        <row r="13448">
          <cell r="L13448" t="str">
            <v>74298285</v>
          </cell>
        </row>
        <row r="13449">
          <cell r="L13449" t="str">
            <v>74298289</v>
          </cell>
        </row>
        <row r="13450">
          <cell r="L13450" t="str">
            <v>74298291</v>
          </cell>
        </row>
        <row r="13451">
          <cell r="L13451" t="str">
            <v>74298292</v>
          </cell>
        </row>
        <row r="13452">
          <cell r="L13452" t="str">
            <v>74298293</v>
          </cell>
        </row>
        <row r="13453">
          <cell r="L13453" t="str">
            <v>74298322</v>
          </cell>
        </row>
        <row r="13454">
          <cell r="L13454" t="str">
            <v>74298339</v>
          </cell>
        </row>
        <row r="13455">
          <cell r="L13455" t="str">
            <v>74298360</v>
          </cell>
        </row>
        <row r="13456">
          <cell r="L13456" t="str">
            <v>74298361</v>
          </cell>
        </row>
        <row r="13457">
          <cell r="L13457" t="str">
            <v>74298362</v>
          </cell>
        </row>
        <row r="13458">
          <cell r="L13458" t="str">
            <v>74298363</v>
          </cell>
        </row>
        <row r="13459">
          <cell r="L13459" t="str">
            <v>74298365</v>
          </cell>
        </row>
        <row r="13460">
          <cell r="L13460" t="str">
            <v>74298367</v>
          </cell>
        </row>
        <row r="13461">
          <cell r="L13461" t="str">
            <v>74298368</v>
          </cell>
        </row>
        <row r="13462">
          <cell r="L13462" t="str">
            <v>74298369</v>
          </cell>
        </row>
        <row r="13463">
          <cell r="L13463" t="str">
            <v>74298370</v>
          </cell>
        </row>
        <row r="13464">
          <cell r="L13464" t="str">
            <v>74298371</v>
          </cell>
        </row>
        <row r="13465">
          <cell r="L13465" t="str">
            <v>74298374</v>
          </cell>
        </row>
        <row r="13466">
          <cell r="L13466" t="str">
            <v>74298419</v>
          </cell>
        </row>
        <row r="13467">
          <cell r="L13467" t="str">
            <v>74298523</v>
          </cell>
        </row>
        <row r="13468">
          <cell r="L13468" t="str">
            <v>74298524</v>
          </cell>
        </row>
        <row r="13469">
          <cell r="L13469" t="str">
            <v>74298719</v>
          </cell>
        </row>
        <row r="13470">
          <cell r="L13470" t="str">
            <v>74298822</v>
          </cell>
        </row>
        <row r="13471">
          <cell r="L13471" t="str">
            <v>74298881</v>
          </cell>
        </row>
        <row r="13472">
          <cell r="L13472" t="str">
            <v>74298899</v>
          </cell>
        </row>
        <row r="13473">
          <cell r="L13473" t="str">
            <v>74298908</v>
          </cell>
        </row>
        <row r="13474">
          <cell r="L13474" t="str">
            <v>74298911</v>
          </cell>
        </row>
        <row r="13475">
          <cell r="L13475" t="str">
            <v>74298912</v>
          </cell>
        </row>
        <row r="13476">
          <cell r="L13476" t="str">
            <v>74298963</v>
          </cell>
        </row>
        <row r="13477">
          <cell r="L13477" t="str">
            <v>74298964</v>
          </cell>
        </row>
        <row r="13478">
          <cell r="L13478" t="str">
            <v>74298965</v>
          </cell>
        </row>
        <row r="13479">
          <cell r="L13479" t="str">
            <v>74298966</v>
          </cell>
        </row>
        <row r="13480">
          <cell r="L13480" t="str">
            <v>74298967</v>
          </cell>
        </row>
        <row r="13481">
          <cell r="L13481" t="str">
            <v>74298968</v>
          </cell>
        </row>
        <row r="13482">
          <cell r="L13482" t="str">
            <v>74299163</v>
          </cell>
        </row>
        <row r="13483">
          <cell r="L13483" t="str">
            <v>74299259</v>
          </cell>
        </row>
        <row r="13484">
          <cell r="L13484" t="str">
            <v>74299262</v>
          </cell>
        </row>
        <row r="13485">
          <cell r="L13485" t="str">
            <v>74299375</v>
          </cell>
        </row>
        <row r="13486">
          <cell r="L13486" t="str">
            <v>74299377</v>
          </cell>
        </row>
        <row r="13487">
          <cell r="L13487" t="str">
            <v>74299750</v>
          </cell>
        </row>
        <row r="13488">
          <cell r="L13488" t="str">
            <v>74300241</v>
          </cell>
        </row>
        <row r="13489">
          <cell r="L13489" t="str">
            <v>74300260</v>
          </cell>
        </row>
        <row r="13490">
          <cell r="L13490" t="str">
            <v>74300263</v>
          </cell>
        </row>
        <row r="13491">
          <cell r="L13491" t="str">
            <v>74300264</v>
          </cell>
        </row>
        <row r="13492">
          <cell r="L13492" t="str">
            <v>74300265</v>
          </cell>
        </row>
        <row r="13493">
          <cell r="L13493" t="str">
            <v>74300266</v>
          </cell>
        </row>
        <row r="13494">
          <cell r="L13494" t="str">
            <v>74300272</v>
          </cell>
        </row>
        <row r="13495">
          <cell r="L13495" t="str">
            <v>74300273</v>
          </cell>
        </row>
        <row r="13496">
          <cell r="L13496" t="str">
            <v>74300275</v>
          </cell>
        </row>
        <row r="13497">
          <cell r="L13497" t="str">
            <v>74300382</v>
          </cell>
        </row>
        <row r="13498">
          <cell r="L13498" t="str">
            <v>74300383</v>
          </cell>
        </row>
        <row r="13499">
          <cell r="L13499" t="str">
            <v>74300384</v>
          </cell>
        </row>
        <row r="13500">
          <cell r="L13500" t="str">
            <v>74301644</v>
          </cell>
        </row>
        <row r="13501">
          <cell r="L13501" t="str">
            <v>74301646</v>
          </cell>
        </row>
        <row r="13502">
          <cell r="L13502" t="str">
            <v>74301648</v>
          </cell>
        </row>
        <row r="13503">
          <cell r="L13503" t="str">
            <v>74301651</v>
          </cell>
        </row>
        <row r="13504">
          <cell r="L13504" t="str">
            <v>74301652</v>
          </cell>
        </row>
        <row r="13505">
          <cell r="L13505" t="str">
            <v>74301653</v>
          </cell>
        </row>
        <row r="13506">
          <cell r="L13506" t="str">
            <v>74301657</v>
          </cell>
        </row>
        <row r="13507">
          <cell r="L13507" t="str">
            <v>74301658</v>
          </cell>
        </row>
        <row r="13508">
          <cell r="L13508" t="str">
            <v>74301659</v>
          </cell>
        </row>
        <row r="13509">
          <cell r="L13509" t="str">
            <v>74301660</v>
          </cell>
        </row>
        <row r="13510">
          <cell r="L13510" t="str">
            <v>74301661</v>
          </cell>
        </row>
        <row r="13511">
          <cell r="L13511" t="str">
            <v>74301720</v>
          </cell>
        </row>
        <row r="13512">
          <cell r="L13512" t="str">
            <v>74301721</v>
          </cell>
        </row>
        <row r="13513">
          <cell r="L13513" t="str">
            <v>74301722</v>
          </cell>
        </row>
        <row r="13514">
          <cell r="L13514" t="str">
            <v>74301723</v>
          </cell>
        </row>
        <row r="13515">
          <cell r="L13515" t="str">
            <v>74301724</v>
          </cell>
        </row>
        <row r="13516">
          <cell r="L13516" t="str">
            <v>74302021</v>
          </cell>
        </row>
        <row r="13517">
          <cell r="L13517" t="str">
            <v>74302041</v>
          </cell>
        </row>
        <row r="13518">
          <cell r="L13518" t="str">
            <v>74302681</v>
          </cell>
        </row>
        <row r="13519">
          <cell r="L13519" t="str">
            <v>74302719</v>
          </cell>
        </row>
        <row r="13520">
          <cell r="L13520" t="str">
            <v>74302720</v>
          </cell>
        </row>
        <row r="13521">
          <cell r="L13521" t="str">
            <v>74302722</v>
          </cell>
        </row>
        <row r="13522">
          <cell r="L13522" t="str">
            <v>74302763</v>
          </cell>
        </row>
        <row r="13523">
          <cell r="L13523" t="str">
            <v>74302819</v>
          </cell>
        </row>
        <row r="13524">
          <cell r="L13524" t="str">
            <v>74302824</v>
          </cell>
        </row>
        <row r="13525">
          <cell r="L13525" t="str">
            <v>74302825</v>
          </cell>
        </row>
        <row r="13526">
          <cell r="L13526" t="str">
            <v>74302826</v>
          </cell>
        </row>
        <row r="13527">
          <cell r="L13527" t="str">
            <v>74302827</v>
          </cell>
        </row>
        <row r="13528">
          <cell r="L13528" t="str">
            <v>74302829</v>
          </cell>
        </row>
        <row r="13529">
          <cell r="L13529" t="str">
            <v>74302834</v>
          </cell>
        </row>
        <row r="13530">
          <cell r="L13530" t="str">
            <v>74302836</v>
          </cell>
        </row>
        <row r="13531">
          <cell r="L13531" t="str">
            <v>74303540</v>
          </cell>
        </row>
        <row r="13532">
          <cell r="L13532" t="str">
            <v>74304312</v>
          </cell>
        </row>
        <row r="13533">
          <cell r="L13533" t="str">
            <v>74304744</v>
          </cell>
        </row>
        <row r="13534">
          <cell r="L13534" t="str">
            <v>74304746</v>
          </cell>
        </row>
        <row r="13535">
          <cell r="L13535" t="str">
            <v>74305191</v>
          </cell>
        </row>
        <row r="13536">
          <cell r="L13536" t="str">
            <v>74305192</v>
          </cell>
        </row>
        <row r="13537">
          <cell r="L13537" t="str">
            <v>74305200</v>
          </cell>
        </row>
        <row r="13538">
          <cell r="L13538" t="str">
            <v>74305839</v>
          </cell>
        </row>
        <row r="13539">
          <cell r="L13539" t="str">
            <v>74306042</v>
          </cell>
        </row>
        <row r="13540">
          <cell r="L13540" t="str">
            <v>74306061</v>
          </cell>
        </row>
        <row r="13541">
          <cell r="L13541" t="str">
            <v>74306741</v>
          </cell>
        </row>
        <row r="13542">
          <cell r="L13542" t="str">
            <v>74307441</v>
          </cell>
        </row>
        <row r="13543">
          <cell r="L13543" t="str">
            <v>74308560</v>
          </cell>
        </row>
        <row r="13544">
          <cell r="L13544" t="str">
            <v>74308597</v>
          </cell>
        </row>
        <row r="13545">
          <cell r="L13545" t="str">
            <v>74308601</v>
          </cell>
        </row>
        <row r="13546">
          <cell r="L13546" t="str">
            <v>74309239</v>
          </cell>
        </row>
        <row r="13547">
          <cell r="L13547" t="str">
            <v>74309365</v>
          </cell>
        </row>
        <row r="13548">
          <cell r="L13548" t="str">
            <v>74309920</v>
          </cell>
        </row>
        <row r="13549">
          <cell r="L13549">
            <v>74309921</v>
          </cell>
        </row>
        <row r="13550">
          <cell r="L13550">
            <v>74310023</v>
          </cell>
        </row>
        <row r="13551">
          <cell r="L13551">
            <v>74310125</v>
          </cell>
        </row>
        <row r="13552">
          <cell r="L13552">
            <v>74310623</v>
          </cell>
        </row>
        <row r="13553">
          <cell r="L13553">
            <v>74311498</v>
          </cell>
        </row>
        <row r="13554">
          <cell r="L13554">
            <v>74312240</v>
          </cell>
        </row>
        <row r="13555">
          <cell r="L13555">
            <v>74312644</v>
          </cell>
        </row>
        <row r="13556">
          <cell r="L13556">
            <v>74312921</v>
          </cell>
        </row>
        <row r="13557">
          <cell r="L13557">
            <v>74313167</v>
          </cell>
        </row>
        <row r="13558">
          <cell r="L13558">
            <v>74313175</v>
          </cell>
        </row>
        <row r="13559">
          <cell r="L13559">
            <v>74313480</v>
          </cell>
        </row>
        <row r="13560">
          <cell r="L13560">
            <v>74313540</v>
          </cell>
        </row>
        <row r="13561">
          <cell r="L13561">
            <v>74314579</v>
          </cell>
        </row>
        <row r="13562">
          <cell r="L13562">
            <v>74314603</v>
          </cell>
        </row>
        <row r="13563">
          <cell r="L13563">
            <v>74314938</v>
          </cell>
        </row>
        <row r="13564">
          <cell r="L13564">
            <v>74314942</v>
          </cell>
        </row>
        <row r="13565">
          <cell r="L13565">
            <v>74315108</v>
          </cell>
        </row>
        <row r="13566">
          <cell r="L13566">
            <v>74315469</v>
          </cell>
        </row>
        <row r="13567">
          <cell r="L13567">
            <v>74315503</v>
          </cell>
        </row>
        <row r="13568">
          <cell r="L13568">
            <v>74315763</v>
          </cell>
        </row>
        <row r="13569">
          <cell r="L13569">
            <v>74315941</v>
          </cell>
        </row>
        <row r="13570">
          <cell r="L13570">
            <v>74316542</v>
          </cell>
        </row>
        <row r="13571">
          <cell r="L13571">
            <v>74316583</v>
          </cell>
        </row>
        <row r="13572">
          <cell r="L13572">
            <v>74316633</v>
          </cell>
        </row>
        <row r="13573">
          <cell r="L13573">
            <v>74316667</v>
          </cell>
        </row>
        <row r="13574">
          <cell r="L13574">
            <v>74316702</v>
          </cell>
        </row>
        <row r="13575">
          <cell r="L13575">
            <v>74316704</v>
          </cell>
        </row>
        <row r="13576">
          <cell r="L13576">
            <v>74316939</v>
          </cell>
        </row>
        <row r="13577">
          <cell r="L13577">
            <v>74317061</v>
          </cell>
        </row>
        <row r="13578">
          <cell r="L13578">
            <v>74317183</v>
          </cell>
        </row>
        <row r="13579">
          <cell r="L13579">
            <v>74317400</v>
          </cell>
        </row>
        <row r="13580">
          <cell r="L13580">
            <v>74317560</v>
          </cell>
        </row>
        <row r="13581">
          <cell r="L13581">
            <v>74317992</v>
          </cell>
        </row>
        <row r="13582">
          <cell r="L13582">
            <v>74318042</v>
          </cell>
        </row>
        <row r="13583">
          <cell r="L13583">
            <v>74318183</v>
          </cell>
        </row>
        <row r="13584">
          <cell r="L13584">
            <v>74318185</v>
          </cell>
        </row>
        <row r="13585">
          <cell r="L13585">
            <v>74318240</v>
          </cell>
        </row>
        <row r="13586">
          <cell r="L13586">
            <v>74318359</v>
          </cell>
        </row>
        <row r="13587">
          <cell r="L13587">
            <v>74318481</v>
          </cell>
        </row>
        <row r="13588">
          <cell r="L13588" t="str">
            <v>74318483</v>
          </cell>
        </row>
        <row r="13589">
          <cell r="L13589">
            <v>74318541</v>
          </cell>
        </row>
        <row r="13590">
          <cell r="L13590">
            <v>74318701</v>
          </cell>
        </row>
        <row r="13591">
          <cell r="L13591">
            <v>74318740</v>
          </cell>
        </row>
        <row r="13592">
          <cell r="L13592">
            <v>74318862</v>
          </cell>
        </row>
        <row r="13593">
          <cell r="L13593">
            <v>74318943</v>
          </cell>
        </row>
        <row r="13594">
          <cell r="L13594">
            <v>74319019</v>
          </cell>
        </row>
        <row r="13595">
          <cell r="L13595">
            <v>74319140</v>
          </cell>
        </row>
        <row r="13596">
          <cell r="L13596">
            <v>74319468</v>
          </cell>
        </row>
        <row r="13597">
          <cell r="L13597">
            <v>74319542</v>
          </cell>
        </row>
        <row r="13598">
          <cell r="L13598">
            <v>74319723</v>
          </cell>
        </row>
        <row r="13599">
          <cell r="L13599">
            <v>74319784</v>
          </cell>
        </row>
        <row r="13600">
          <cell r="L13600">
            <v>74319860</v>
          </cell>
        </row>
        <row r="13601">
          <cell r="L13601">
            <v>74319880</v>
          </cell>
        </row>
        <row r="13602">
          <cell r="L13602">
            <v>74319947</v>
          </cell>
        </row>
        <row r="13603">
          <cell r="L13603">
            <v>74320059</v>
          </cell>
        </row>
        <row r="13604">
          <cell r="L13604">
            <v>74320179</v>
          </cell>
        </row>
        <row r="13605">
          <cell r="L13605">
            <v>74320181</v>
          </cell>
        </row>
        <row r="13606">
          <cell r="L13606">
            <v>74320242</v>
          </cell>
        </row>
        <row r="13607">
          <cell r="L13607">
            <v>74320322</v>
          </cell>
        </row>
        <row r="13608">
          <cell r="L13608">
            <v>74320490</v>
          </cell>
        </row>
        <row r="13609">
          <cell r="L13609">
            <v>74320612</v>
          </cell>
        </row>
        <row r="13610">
          <cell r="L13610">
            <v>74320719</v>
          </cell>
        </row>
        <row r="13611">
          <cell r="L13611">
            <v>74320721</v>
          </cell>
        </row>
        <row r="13612">
          <cell r="L13612">
            <v>74320943</v>
          </cell>
        </row>
        <row r="13613">
          <cell r="L13613">
            <v>74321083</v>
          </cell>
        </row>
        <row r="13614">
          <cell r="L13614">
            <v>74321223</v>
          </cell>
        </row>
        <row r="13615">
          <cell r="L13615">
            <v>74321290</v>
          </cell>
        </row>
        <row r="13616">
          <cell r="L13616">
            <v>74321292</v>
          </cell>
        </row>
        <row r="13617">
          <cell r="L13617">
            <v>74321387</v>
          </cell>
        </row>
        <row r="13618">
          <cell r="L13618">
            <v>74321419</v>
          </cell>
        </row>
        <row r="13619">
          <cell r="L13619">
            <v>74321445</v>
          </cell>
        </row>
        <row r="13620">
          <cell r="L13620">
            <v>74321683</v>
          </cell>
        </row>
        <row r="13621">
          <cell r="L13621">
            <v>74322164</v>
          </cell>
        </row>
        <row r="13622">
          <cell r="L13622">
            <v>74322466</v>
          </cell>
        </row>
        <row r="13623">
          <cell r="L13623">
            <v>74322620</v>
          </cell>
        </row>
        <row r="13624">
          <cell r="L13624">
            <v>74322740</v>
          </cell>
        </row>
        <row r="13625">
          <cell r="L13625">
            <v>74323244</v>
          </cell>
        </row>
        <row r="13626">
          <cell r="L13626">
            <v>74323383</v>
          </cell>
        </row>
        <row r="13627">
          <cell r="L13627">
            <v>74323883</v>
          </cell>
        </row>
        <row r="13628">
          <cell r="L13628">
            <v>74324186</v>
          </cell>
        </row>
        <row r="13629">
          <cell r="L13629">
            <v>74324418</v>
          </cell>
        </row>
        <row r="13630">
          <cell r="L13630">
            <v>74324783</v>
          </cell>
        </row>
        <row r="13631">
          <cell r="L13631" t="str">
            <v>ZD9635</v>
          </cell>
        </row>
        <row r="13632">
          <cell r="L13632">
            <v>74186624</v>
          </cell>
        </row>
        <row r="13633">
          <cell r="L13633">
            <v>74152929</v>
          </cell>
        </row>
        <row r="13634">
          <cell r="L13634">
            <v>74159288</v>
          </cell>
        </row>
        <row r="13635">
          <cell r="L13635">
            <v>74162833</v>
          </cell>
        </row>
        <row r="13636">
          <cell r="L13636">
            <v>74165703</v>
          </cell>
        </row>
        <row r="13637">
          <cell r="L13637">
            <v>74168590</v>
          </cell>
        </row>
        <row r="13638">
          <cell r="L13638">
            <v>74171751</v>
          </cell>
        </row>
        <row r="13639">
          <cell r="L13639">
            <v>74174118</v>
          </cell>
        </row>
        <row r="13640">
          <cell r="L13640">
            <v>74188707</v>
          </cell>
        </row>
        <row r="13641">
          <cell r="L13641">
            <v>74191892</v>
          </cell>
        </row>
        <row r="13642">
          <cell r="L13642">
            <v>74195900</v>
          </cell>
        </row>
        <row r="13643">
          <cell r="L13643">
            <v>74197491</v>
          </cell>
        </row>
        <row r="13644">
          <cell r="L13644">
            <v>74199140</v>
          </cell>
        </row>
        <row r="13645">
          <cell r="L13645">
            <v>74199683</v>
          </cell>
        </row>
        <row r="13646">
          <cell r="L13646">
            <v>74202863</v>
          </cell>
        </row>
        <row r="13647">
          <cell r="L13647">
            <v>74204985</v>
          </cell>
        </row>
        <row r="13648">
          <cell r="L13648">
            <v>74205106</v>
          </cell>
        </row>
        <row r="13649">
          <cell r="L13649">
            <v>74206045</v>
          </cell>
        </row>
        <row r="13650">
          <cell r="L13650">
            <v>74206143</v>
          </cell>
        </row>
        <row r="13651">
          <cell r="L13651">
            <v>74206159</v>
          </cell>
        </row>
        <row r="13652">
          <cell r="L13652">
            <v>74208249</v>
          </cell>
        </row>
        <row r="13653">
          <cell r="L13653">
            <v>74209700</v>
          </cell>
        </row>
        <row r="13654">
          <cell r="L13654">
            <v>74217880</v>
          </cell>
        </row>
        <row r="13655">
          <cell r="L13655">
            <v>74219644</v>
          </cell>
        </row>
        <row r="13656">
          <cell r="L13656">
            <v>74219721</v>
          </cell>
        </row>
        <row r="13657">
          <cell r="L13657">
            <v>74222441</v>
          </cell>
        </row>
        <row r="13658">
          <cell r="L13658" t="str">
            <v>74224062</v>
          </cell>
        </row>
        <row r="13659">
          <cell r="L13659">
            <v>74224179</v>
          </cell>
        </row>
        <row r="13660">
          <cell r="L13660">
            <v>74225700</v>
          </cell>
        </row>
        <row r="13661">
          <cell r="L13661">
            <v>74227139</v>
          </cell>
        </row>
        <row r="13662">
          <cell r="L13662">
            <v>74227660</v>
          </cell>
        </row>
        <row r="13663">
          <cell r="L13663">
            <v>74228361</v>
          </cell>
        </row>
        <row r="13664">
          <cell r="L13664">
            <v>74229145</v>
          </cell>
        </row>
        <row r="13665">
          <cell r="L13665">
            <v>74230579</v>
          </cell>
        </row>
        <row r="13666">
          <cell r="L13666">
            <v>74230685</v>
          </cell>
        </row>
        <row r="13667">
          <cell r="L13667">
            <v>74231525</v>
          </cell>
        </row>
        <row r="13668">
          <cell r="L13668">
            <v>74235779</v>
          </cell>
        </row>
        <row r="13669">
          <cell r="L13669">
            <v>74238859</v>
          </cell>
        </row>
        <row r="13670">
          <cell r="L13670">
            <v>74241900</v>
          </cell>
        </row>
        <row r="13671">
          <cell r="L13671">
            <v>74250802</v>
          </cell>
        </row>
        <row r="13672">
          <cell r="L13672">
            <v>74260679</v>
          </cell>
        </row>
        <row r="13673">
          <cell r="L13673">
            <v>74261879</v>
          </cell>
        </row>
        <row r="13674">
          <cell r="L13674">
            <v>74262161</v>
          </cell>
        </row>
        <row r="13675">
          <cell r="L13675">
            <v>74267963</v>
          </cell>
        </row>
        <row r="13676">
          <cell r="L13676">
            <v>74268323</v>
          </cell>
        </row>
        <row r="13677">
          <cell r="L13677">
            <v>74278865</v>
          </cell>
        </row>
        <row r="13678">
          <cell r="L13678">
            <v>74286724</v>
          </cell>
        </row>
        <row r="13679">
          <cell r="L13679">
            <v>74287707</v>
          </cell>
        </row>
        <row r="13680">
          <cell r="L13680">
            <v>74290681</v>
          </cell>
        </row>
        <row r="13681">
          <cell r="L13681">
            <v>74298563</v>
          </cell>
        </row>
        <row r="13682">
          <cell r="L13682">
            <v>74301656</v>
          </cell>
        </row>
        <row r="13683">
          <cell r="L13683">
            <v>74296743</v>
          </cell>
        </row>
        <row r="13684">
          <cell r="L13684">
            <v>74150567</v>
          </cell>
        </row>
        <row r="13685">
          <cell r="L13685">
            <v>74161327</v>
          </cell>
        </row>
        <row r="13686">
          <cell r="L13686">
            <v>74169946</v>
          </cell>
        </row>
        <row r="13687">
          <cell r="L13687">
            <v>74185268</v>
          </cell>
        </row>
        <row r="13688">
          <cell r="L13688">
            <v>74188690</v>
          </cell>
        </row>
        <row r="13689">
          <cell r="L13689">
            <v>74189391</v>
          </cell>
        </row>
        <row r="13690">
          <cell r="L13690">
            <v>74193641</v>
          </cell>
        </row>
        <row r="13691">
          <cell r="L13691">
            <v>74199681</v>
          </cell>
        </row>
        <row r="13692">
          <cell r="L13692">
            <v>74209524</v>
          </cell>
        </row>
        <row r="13693">
          <cell r="L13693">
            <v>74213690</v>
          </cell>
        </row>
        <row r="13694">
          <cell r="L13694">
            <v>74221840</v>
          </cell>
        </row>
        <row r="13695">
          <cell r="L13695">
            <v>74222444</v>
          </cell>
        </row>
        <row r="13696">
          <cell r="L13696">
            <v>74228200</v>
          </cell>
        </row>
        <row r="13697">
          <cell r="L13697">
            <v>74229079</v>
          </cell>
        </row>
        <row r="13698">
          <cell r="L13698">
            <v>74233087</v>
          </cell>
        </row>
        <row r="13699">
          <cell r="L13699">
            <v>74235899</v>
          </cell>
        </row>
        <row r="13700">
          <cell r="L13700">
            <v>74236361</v>
          </cell>
        </row>
        <row r="13701">
          <cell r="L13701">
            <v>74243204</v>
          </cell>
        </row>
        <row r="13702">
          <cell r="L13702">
            <v>74243219</v>
          </cell>
        </row>
        <row r="13703">
          <cell r="L13703">
            <v>74255569</v>
          </cell>
        </row>
        <row r="13704">
          <cell r="L13704">
            <v>74255572</v>
          </cell>
        </row>
        <row r="13705">
          <cell r="L13705">
            <v>74255862</v>
          </cell>
        </row>
        <row r="13706">
          <cell r="L13706">
            <v>74256179</v>
          </cell>
        </row>
        <row r="13707">
          <cell r="L13707">
            <v>74256779</v>
          </cell>
        </row>
        <row r="13708">
          <cell r="L13708">
            <v>74257961</v>
          </cell>
        </row>
        <row r="13709">
          <cell r="L13709">
            <v>74259889</v>
          </cell>
        </row>
        <row r="13710">
          <cell r="L13710">
            <v>74266187</v>
          </cell>
        </row>
        <row r="13711">
          <cell r="L13711">
            <v>74269929</v>
          </cell>
        </row>
        <row r="13712">
          <cell r="L13712">
            <v>74271360</v>
          </cell>
        </row>
        <row r="13713">
          <cell r="L13713">
            <v>74271527</v>
          </cell>
        </row>
        <row r="13714">
          <cell r="L13714">
            <v>74273220</v>
          </cell>
        </row>
        <row r="13715">
          <cell r="L13715">
            <v>74273221</v>
          </cell>
        </row>
        <row r="13716">
          <cell r="L13716">
            <v>74274319</v>
          </cell>
        </row>
        <row r="13717">
          <cell r="L13717">
            <v>74274903</v>
          </cell>
        </row>
        <row r="13718">
          <cell r="L13718">
            <v>74277540</v>
          </cell>
        </row>
        <row r="13719">
          <cell r="L13719">
            <v>74278601</v>
          </cell>
        </row>
        <row r="13720">
          <cell r="L13720">
            <v>74278866</v>
          </cell>
        </row>
        <row r="13721">
          <cell r="L13721">
            <v>74279993</v>
          </cell>
        </row>
        <row r="13722">
          <cell r="L13722">
            <v>74280824</v>
          </cell>
        </row>
        <row r="13723">
          <cell r="L13723">
            <v>74281000</v>
          </cell>
        </row>
        <row r="13724">
          <cell r="L13724">
            <v>74281572</v>
          </cell>
        </row>
        <row r="13725">
          <cell r="L13725">
            <v>74285066</v>
          </cell>
        </row>
        <row r="13726">
          <cell r="L13726">
            <v>74285137</v>
          </cell>
        </row>
        <row r="13727">
          <cell r="L13727">
            <v>74285153</v>
          </cell>
        </row>
        <row r="13728">
          <cell r="L13728">
            <v>74285361</v>
          </cell>
        </row>
        <row r="13729">
          <cell r="L13729">
            <v>74285362</v>
          </cell>
        </row>
        <row r="13730">
          <cell r="L13730">
            <v>74285765</v>
          </cell>
        </row>
        <row r="13731">
          <cell r="L13731">
            <v>74285768</v>
          </cell>
        </row>
        <row r="13732">
          <cell r="L13732">
            <v>74287760</v>
          </cell>
        </row>
        <row r="13733">
          <cell r="L13733">
            <v>74287845</v>
          </cell>
        </row>
        <row r="13734">
          <cell r="L13734">
            <v>74288000</v>
          </cell>
        </row>
        <row r="13735">
          <cell r="L13735">
            <v>74289426</v>
          </cell>
        </row>
        <row r="13736">
          <cell r="L13736">
            <v>74291599</v>
          </cell>
        </row>
        <row r="13737">
          <cell r="L13737">
            <v>74293321</v>
          </cell>
        </row>
        <row r="13738">
          <cell r="L13738">
            <v>74293355</v>
          </cell>
        </row>
        <row r="13739">
          <cell r="L13739">
            <v>74294004</v>
          </cell>
        </row>
        <row r="13740">
          <cell r="L13740">
            <v>74294027</v>
          </cell>
        </row>
        <row r="13741">
          <cell r="L13741">
            <v>74294353</v>
          </cell>
        </row>
        <row r="13742">
          <cell r="L13742">
            <v>74295499</v>
          </cell>
        </row>
        <row r="13743">
          <cell r="L13743">
            <v>74295503</v>
          </cell>
        </row>
        <row r="13744">
          <cell r="L13744">
            <v>74296020</v>
          </cell>
        </row>
        <row r="13745">
          <cell r="L13745">
            <v>74296024</v>
          </cell>
        </row>
        <row r="13746">
          <cell r="L13746">
            <v>74297925</v>
          </cell>
        </row>
        <row r="13747">
          <cell r="L13747">
            <v>74298103</v>
          </cell>
        </row>
        <row r="13748">
          <cell r="L13748">
            <v>74299751</v>
          </cell>
        </row>
        <row r="13749">
          <cell r="L13749">
            <v>74301649</v>
          </cell>
        </row>
        <row r="13750">
          <cell r="L13750">
            <v>74301654</v>
          </cell>
        </row>
        <row r="13751">
          <cell r="L13751">
            <v>74302039</v>
          </cell>
        </row>
        <row r="13752">
          <cell r="L13752">
            <v>74302684</v>
          </cell>
        </row>
        <row r="13753">
          <cell r="L13753">
            <v>74303581</v>
          </cell>
        </row>
        <row r="13754">
          <cell r="L13754">
            <v>74308667</v>
          </cell>
        </row>
        <row r="13755">
          <cell r="L13755">
            <v>74310625</v>
          </cell>
        </row>
        <row r="13756">
          <cell r="L13756">
            <v>74182874</v>
          </cell>
        </row>
        <row r="13757">
          <cell r="L13757">
            <v>74182878</v>
          </cell>
        </row>
        <row r="13758">
          <cell r="L13758">
            <v>74319464</v>
          </cell>
        </row>
        <row r="13759">
          <cell r="L13759">
            <v>74202387</v>
          </cell>
        </row>
        <row r="13760">
          <cell r="L13760">
            <v>74195849</v>
          </cell>
        </row>
        <row r="13761">
          <cell r="L13761">
            <v>74204008</v>
          </cell>
        </row>
        <row r="13762">
          <cell r="L13762">
            <v>74223284</v>
          </cell>
        </row>
        <row r="13763">
          <cell r="L13763">
            <v>74207249</v>
          </cell>
        </row>
        <row r="13764">
          <cell r="L13764">
            <v>74260222</v>
          </cell>
        </row>
        <row r="13765">
          <cell r="L13765">
            <v>74145433</v>
          </cell>
        </row>
        <row r="13766">
          <cell r="L13766">
            <v>74166608</v>
          </cell>
        </row>
        <row r="13767">
          <cell r="L13767">
            <v>74289843</v>
          </cell>
        </row>
        <row r="13768">
          <cell r="L13768">
            <v>74213441</v>
          </cell>
        </row>
        <row r="13769">
          <cell r="L13769">
            <v>74174009</v>
          </cell>
        </row>
        <row r="13770">
          <cell r="L13770">
            <v>74230687</v>
          </cell>
        </row>
        <row r="13771">
          <cell r="L13771">
            <v>74274281</v>
          </cell>
        </row>
        <row r="13772">
          <cell r="L13772">
            <v>74301959</v>
          </cell>
        </row>
        <row r="13773">
          <cell r="L13773">
            <v>74303460</v>
          </cell>
        </row>
        <row r="13774">
          <cell r="L13774">
            <v>74304163</v>
          </cell>
        </row>
        <row r="13775">
          <cell r="L13775">
            <v>74304921</v>
          </cell>
        </row>
        <row r="13776">
          <cell r="L13776">
            <v>74304999</v>
          </cell>
        </row>
        <row r="13777">
          <cell r="L13777">
            <v>74305219</v>
          </cell>
        </row>
        <row r="13778">
          <cell r="L13778">
            <v>74305222</v>
          </cell>
        </row>
        <row r="13779">
          <cell r="L13779">
            <v>74305460</v>
          </cell>
        </row>
        <row r="13780">
          <cell r="L13780">
            <v>74305480</v>
          </cell>
        </row>
        <row r="13781">
          <cell r="L13781">
            <v>74305481</v>
          </cell>
        </row>
        <row r="13782">
          <cell r="L13782">
            <v>74305539</v>
          </cell>
        </row>
        <row r="13783">
          <cell r="L13783">
            <v>74305760</v>
          </cell>
        </row>
        <row r="13784">
          <cell r="L13784">
            <v>74306660</v>
          </cell>
        </row>
        <row r="13785">
          <cell r="L13785">
            <v>74307019</v>
          </cell>
        </row>
        <row r="13786">
          <cell r="L13786">
            <v>74307045</v>
          </cell>
        </row>
        <row r="13787">
          <cell r="L13787">
            <v>74308159</v>
          </cell>
        </row>
        <row r="13788">
          <cell r="L13788">
            <v>74308785</v>
          </cell>
        </row>
        <row r="13789">
          <cell r="L13789">
            <v>74309414</v>
          </cell>
        </row>
        <row r="13790">
          <cell r="L13790">
            <v>74309667</v>
          </cell>
        </row>
        <row r="13791">
          <cell r="L13791">
            <v>74310420</v>
          </cell>
        </row>
        <row r="13792">
          <cell r="L13792">
            <v>74310739</v>
          </cell>
        </row>
        <row r="13793">
          <cell r="L13793">
            <v>74311413</v>
          </cell>
        </row>
        <row r="13794">
          <cell r="L13794">
            <v>74311492</v>
          </cell>
        </row>
        <row r="13795">
          <cell r="L13795">
            <v>74311879</v>
          </cell>
        </row>
        <row r="13796">
          <cell r="L13796">
            <v>74311921</v>
          </cell>
        </row>
        <row r="13797">
          <cell r="L13797">
            <v>74312000</v>
          </cell>
        </row>
        <row r="13798">
          <cell r="L13798">
            <v>74313122</v>
          </cell>
        </row>
        <row r="13799">
          <cell r="L13799">
            <v>74313143</v>
          </cell>
        </row>
        <row r="13800">
          <cell r="L13800">
            <v>74313144</v>
          </cell>
        </row>
        <row r="13801">
          <cell r="L13801">
            <v>74313146</v>
          </cell>
        </row>
        <row r="13802">
          <cell r="L13802">
            <v>74313155</v>
          </cell>
        </row>
        <row r="13803">
          <cell r="L13803">
            <v>74313158</v>
          </cell>
        </row>
        <row r="13804">
          <cell r="L13804">
            <v>74313571</v>
          </cell>
        </row>
        <row r="13805">
          <cell r="L13805">
            <v>74314761</v>
          </cell>
        </row>
        <row r="13806">
          <cell r="L13806">
            <v>74315004</v>
          </cell>
        </row>
        <row r="13807">
          <cell r="L13807">
            <v>74315280</v>
          </cell>
        </row>
        <row r="13808">
          <cell r="L13808">
            <v>74316020</v>
          </cell>
        </row>
        <row r="13809">
          <cell r="L13809">
            <v>74316079</v>
          </cell>
        </row>
        <row r="13810">
          <cell r="L13810">
            <v>74316144</v>
          </cell>
        </row>
        <row r="13811">
          <cell r="L13811">
            <v>74316171</v>
          </cell>
        </row>
        <row r="13812">
          <cell r="L13812">
            <v>74316184</v>
          </cell>
        </row>
        <row r="13813">
          <cell r="L13813">
            <v>74316464</v>
          </cell>
        </row>
        <row r="13814">
          <cell r="L13814">
            <v>74316700</v>
          </cell>
        </row>
        <row r="13815">
          <cell r="L13815">
            <v>74317247</v>
          </cell>
        </row>
        <row r="13816">
          <cell r="L13816">
            <v>74317248</v>
          </cell>
        </row>
        <row r="13817">
          <cell r="L13817">
            <v>74317483</v>
          </cell>
        </row>
        <row r="13818">
          <cell r="L13818">
            <v>74317739</v>
          </cell>
        </row>
        <row r="13819">
          <cell r="L13819">
            <v>74317740</v>
          </cell>
        </row>
        <row r="13820">
          <cell r="L13820">
            <v>74317982</v>
          </cell>
        </row>
        <row r="13821">
          <cell r="L13821">
            <v>74317984</v>
          </cell>
        </row>
        <row r="13822">
          <cell r="L13822">
            <v>74317986</v>
          </cell>
        </row>
        <row r="13823">
          <cell r="L13823">
            <v>74318389</v>
          </cell>
        </row>
        <row r="13824">
          <cell r="L13824">
            <v>74318683</v>
          </cell>
        </row>
        <row r="13825">
          <cell r="L13825">
            <v>74320903</v>
          </cell>
        </row>
        <row r="13826">
          <cell r="L13826">
            <v>74322122</v>
          </cell>
        </row>
        <row r="13827">
          <cell r="L13827">
            <v>74323305</v>
          </cell>
        </row>
        <row r="13828">
          <cell r="L13828">
            <v>74323659</v>
          </cell>
        </row>
        <row r="13829">
          <cell r="L13829">
            <v>74323839</v>
          </cell>
        </row>
        <row r="13830">
          <cell r="L13830">
            <v>74285646</v>
          </cell>
        </row>
        <row r="13831">
          <cell r="L13831">
            <v>74294641</v>
          </cell>
        </row>
        <row r="13832">
          <cell r="L13832">
            <v>74235980</v>
          </cell>
        </row>
        <row r="13833">
          <cell r="L13833">
            <v>74246382</v>
          </cell>
        </row>
        <row r="13834">
          <cell r="L13834">
            <v>74248225</v>
          </cell>
        </row>
        <row r="13835">
          <cell r="L13835">
            <v>74249780</v>
          </cell>
        </row>
        <row r="13836">
          <cell r="L13836">
            <v>74251594</v>
          </cell>
        </row>
        <row r="13837">
          <cell r="L13837">
            <v>74252419</v>
          </cell>
        </row>
        <row r="13838">
          <cell r="L13838">
            <v>74252442</v>
          </cell>
        </row>
        <row r="13839">
          <cell r="L13839">
            <v>74254059</v>
          </cell>
        </row>
        <row r="13840">
          <cell r="L13840">
            <v>74256023</v>
          </cell>
        </row>
        <row r="13841">
          <cell r="L13841">
            <v>74256600</v>
          </cell>
        </row>
        <row r="13842">
          <cell r="L13842">
            <v>74257119</v>
          </cell>
        </row>
        <row r="13843">
          <cell r="L13843">
            <v>74257280</v>
          </cell>
        </row>
        <row r="13844">
          <cell r="L13844">
            <v>74257319</v>
          </cell>
        </row>
        <row r="13845">
          <cell r="L13845">
            <v>74262387</v>
          </cell>
        </row>
        <row r="13846">
          <cell r="L13846">
            <v>74264034</v>
          </cell>
        </row>
        <row r="13847">
          <cell r="L13847">
            <v>74264439</v>
          </cell>
        </row>
        <row r="13848">
          <cell r="L13848">
            <v>74266859</v>
          </cell>
        </row>
        <row r="13849">
          <cell r="L13849">
            <v>74270159</v>
          </cell>
        </row>
        <row r="13850">
          <cell r="L13850">
            <v>74303363</v>
          </cell>
        </row>
        <row r="13851">
          <cell r="L13851">
            <v>74306744</v>
          </cell>
        </row>
        <row r="13852">
          <cell r="L13852" t="str">
            <v>74311959</v>
          </cell>
        </row>
        <row r="13853">
          <cell r="L13853" t="str">
            <v>74316302</v>
          </cell>
        </row>
        <row r="13854">
          <cell r="L13854" t="str">
            <v>74137708</v>
          </cell>
        </row>
        <row r="13855">
          <cell r="L13855" t="str">
            <v>74175672</v>
          </cell>
        </row>
        <row r="13856">
          <cell r="L13856" t="str">
            <v>74185399</v>
          </cell>
        </row>
        <row r="13857">
          <cell r="L13857" t="str">
            <v>74188941</v>
          </cell>
        </row>
        <row r="13858">
          <cell r="L13858" t="str">
            <v>74194719</v>
          </cell>
        </row>
        <row r="13859">
          <cell r="L13859" t="str">
            <v>74196020</v>
          </cell>
        </row>
        <row r="13860">
          <cell r="L13860" t="str">
            <v>74210002</v>
          </cell>
        </row>
        <row r="13861">
          <cell r="L13861" t="str">
            <v>74216741</v>
          </cell>
        </row>
        <row r="13862">
          <cell r="L13862" t="str">
            <v>74216833</v>
          </cell>
        </row>
        <row r="13863">
          <cell r="L13863" t="str">
            <v>74218279</v>
          </cell>
        </row>
        <row r="13864">
          <cell r="L13864" t="str">
            <v>74218563</v>
          </cell>
        </row>
        <row r="13865">
          <cell r="L13865" t="str">
            <v>74218703</v>
          </cell>
        </row>
        <row r="13866">
          <cell r="L13866" t="str">
            <v>74219646</v>
          </cell>
        </row>
        <row r="13867">
          <cell r="L13867" t="str">
            <v>74219650</v>
          </cell>
        </row>
        <row r="13868">
          <cell r="L13868" t="str">
            <v>74219651</v>
          </cell>
        </row>
        <row r="13869">
          <cell r="L13869" t="str">
            <v>74219835</v>
          </cell>
        </row>
        <row r="13870">
          <cell r="L13870" t="str">
            <v>74228486</v>
          </cell>
        </row>
        <row r="13871">
          <cell r="L13871" t="str">
            <v>74228599</v>
          </cell>
        </row>
        <row r="13872">
          <cell r="L13872" t="str">
            <v>74228762</v>
          </cell>
        </row>
        <row r="13873">
          <cell r="L13873" t="str">
            <v>74231341</v>
          </cell>
        </row>
        <row r="13874">
          <cell r="L13874" t="str">
            <v>74232340</v>
          </cell>
        </row>
        <row r="13875">
          <cell r="L13875" t="str">
            <v>74235079</v>
          </cell>
        </row>
        <row r="13876">
          <cell r="L13876" t="str">
            <v>74241840</v>
          </cell>
        </row>
        <row r="13877">
          <cell r="L13877" t="str">
            <v>74241960</v>
          </cell>
        </row>
        <row r="13878">
          <cell r="L13878" t="str">
            <v>74241971</v>
          </cell>
        </row>
        <row r="13879">
          <cell r="L13879" t="str">
            <v>74242241</v>
          </cell>
        </row>
        <row r="13880">
          <cell r="L13880" t="str">
            <v>74242599</v>
          </cell>
        </row>
        <row r="13881">
          <cell r="L13881" t="str">
            <v>74245779</v>
          </cell>
        </row>
        <row r="13882">
          <cell r="L13882" t="str">
            <v>74246121</v>
          </cell>
        </row>
        <row r="13883">
          <cell r="L13883" t="str">
            <v>74246683</v>
          </cell>
        </row>
        <row r="13884">
          <cell r="L13884" t="str">
            <v>74246702</v>
          </cell>
        </row>
        <row r="13885">
          <cell r="L13885" t="str">
            <v>74247320</v>
          </cell>
        </row>
        <row r="13886">
          <cell r="L13886" t="str">
            <v>74247459</v>
          </cell>
        </row>
        <row r="13887">
          <cell r="L13887" t="str">
            <v>74247479</v>
          </cell>
        </row>
        <row r="13888">
          <cell r="L13888" t="str">
            <v>74247900</v>
          </cell>
        </row>
        <row r="13889">
          <cell r="L13889" t="str">
            <v>74247958</v>
          </cell>
        </row>
        <row r="13890">
          <cell r="L13890" t="str">
            <v>74247973</v>
          </cell>
        </row>
        <row r="13891">
          <cell r="L13891" t="str">
            <v>74248014</v>
          </cell>
        </row>
        <row r="13892">
          <cell r="L13892" t="str">
            <v>74248380</v>
          </cell>
        </row>
        <row r="13893">
          <cell r="L13893" t="str">
            <v>74250601</v>
          </cell>
        </row>
        <row r="13894">
          <cell r="L13894" t="str">
            <v>74250625</v>
          </cell>
        </row>
        <row r="13895">
          <cell r="L13895" t="str">
            <v>74251341</v>
          </cell>
        </row>
        <row r="13896">
          <cell r="L13896" t="str">
            <v>74251343</v>
          </cell>
        </row>
        <row r="13897">
          <cell r="L13897" t="str">
            <v>74251587</v>
          </cell>
        </row>
        <row r="13898">
          <cell r="L13898" t="str">
            <v>74252341</v>
          </cell>
        </row>
        <row r="13899">
          <cell r="L13899" t="str">
            <v>74252589</v>
          </cell>
        </row>
        <row r="13900">
          <cell r="L13900" t="str">
            <v>74252619</v>
          </cell>
        </row>
        <row r="13901">
          <cell r="L13901" t="str">
            <v>74252840</v>
          </cell>
        </row>
        <row r="13902">
          <cell r="L13902" t="str">
            <v>74252862</v>
          </cell>
        </row>
        <row r="13903">
          <cell r="L13903" t="str">
            <v>74254260</v>
          </cell>
        </row>
        <row r="13904">
          <cell r="L13904" t="str">
            <v>74254282</v>
          </cell>
        </row>
        <row r="13905">
          <cell r="L13905" t="str">
            <v>74254740</v>
          </cell>
        </row>
        <row r="13906">
          <cell r="L13906" t="str">
            <v>74255000</v>
          </cell>
        </row>
        <row r="13907">
          <cell r="L13907" t="str">
            <v>74255346</v>
          </cell>
        </row>
        <row r="13908">
          <cell r="L13908" t="str">
            <v>74256642</v>
          </cell>
        </row>
        <row r="13909">
          <cell r="L13909" t="str">
            <v>74256643</v>
          </cell>
        </row>
        <row r="13910">
          <cell r="L13910" t="str">
            <v>74256690</v>
          </cell>
        </row>
        <row r="13911">
          <cell r="L13911" t="str">
            <v>74256721</v>
          </cell>
        </row>
        <row r="13912">
          <cell r="L13912" t="str">
            <v>74257819</v>
          </cell>
        </row>
        <row r="13913">
          <cell r="L13913" t="str">
            <v>74258361</v>
          </cell>
        </row>
        <row r="13914">
          <cell r="L13914" t="str">
            <v>74258999</v>
          </cell>
        </row>
        <row r="13915">
          <cell r="L13915" t="str">
            <v>74259361</v>
          </cell>
        </row>
        <row r="13916">
          <cell r="L13916" t="str">
            <v>74259461</v>
          </cell>
        </row>
        <row r="13917">
          <cell r="L13917" t="str">
            <v>74259799</v>
          </cell>
        </row>
        <row r="13918">
          <cell r="L13918" t="str">
            <v>74260021</v>
          </cell>
        </row>
        <row r="13919">
          <cell r="L13919" t="str">
            <v>74260050</v>
          </cell>
        </row>
        <row r="13920">
          <cell r="L13920" t="str">
            <v>74260226</v>
          </cell>
        </row>
        <row r="13921">
          <cell r="L13921" t="str">
            <v>74261802</v>
          </cell>
        </row>
        <row r="13922">
          <cell r="L13922" t="str">
            <v>74263180</v>
          </cell>
        </row>
        <row r="13923">
          <cell r="L13923" t="str">
            <v>74263219</v>
          </cell>
        </row>
        <row r="13924">
          <cell r="L13924" t="str">
            <v>74263221</v>
          </cell>
        </row>
        <row r="13925">
          <cell r="L13925" t="str">
            <v>74263239</v>
          </cell>
        </row>
        <row r="13926">
          <cell r="L13926" t="str">
            <v>74263446</v>
          </cell>
        </row>
        <row r="13927">
          <cell r="L13927" t="str">
            <v>74263519</v>
          </cell>
        </row>
        <row r="13928">
          <cell r="L13928" t="str">
            <v>74263661</v>
          </cell>
        </row>
        <row r="13929">
          <cell r="L13929" t="str">
            <v>74263867</v>
          </cell>
        </row>
        <row r="13930">
          <cell r="L13930" t="str">
            <v>74264281</v>
          </cell>
        </row>
        <row r="13931">
          <cell r="L13931" t="str">
            <v>74264660</v>
          </cell>
        </row>
        <row r="13932">
          <cell r="L13932" t="str">
            <v>74266079</v>
          </cell>
        </row>
        <row r="13933">
          <cell r="L13933" t="str">
            <v>74266143</v>
          </cell>
        </row>
        <row r="13934">
          <cell r="L13934" t="str">
            <v>74266579</v>
          </cell>
        </row>
        <row r="13935">
          <cell r="L13935" t="str">
            <v>74266585</v>
          </cell>
        </row>
        <row r="13936">
          <cell r="L13936" t="str">
            <v>74266863</v>
          </cell>
        </row>
        <row r="13937">
          <cell r="L13937" t="str">
            <v>74268319</v>
          </cell>
        </row>
        <row r="13938">
          <cell r="L13938" t="str">
            <v>74270540</v>
          </cell>
        </row>
        <row r="13939">
          <cell r="L13939" t="str">
            <v>74270543</v>
          </cell>
        </row>
        <row r="13940">
          <cell r="L13940" t="str">
            <v>74272143</v>
          </cell>
        </row>
        <row r="13941">
          <cell r="L13941" t="str">
            <v>74272706</v>
          </cell>
        </row>
        <row r="13942">
          <cell r="L13942" t="str">
            <v>74273064</v>
          </cell>
        </row>
        <row r="13943">
          <cell r="L13943" t="str">
            <v>74273360</v>
          </cell>
        </row>
        <row r="13944">
          <cell r="L13944" t="str">
            <v>74274185</v>
          </cell>
        </row>
        <row r="13945">
          <cell r="L13945" t="str">
            <v>74274187</v>
          </cell>
        </row>
        <row r="13946">
          <cell r="L13946" t="str">
            <v>74274906</v>
          </cell>
        </row>
        <row r="13947">
          <cell r="L13947" t="str">
            <v>74274908</v>
          </cell>
        </row>
        <row r="13948">
          <cell r="L13948" t="str">
            <v>74274909</v>
          </cell>
        </row>
        <row r="13949">
          <cell r="L13949" t="str">
            <v>74275979</v>
          </cell>
        </row>
        <row r="13950">
          <cell r="L13950" t="str">
            <v>74276700</v>
          </cell>
        </row>
        <row r="13951">
          <cell r="L13951" t="str">
            <v>74276977</v>
          </cell>
        </row>
        <row r="13952">
          <cell r="L13952" t="str">
            <v>74277119</v>
          </cell>
        </row>
        <row r="13953">
          <cell r="L13953" t="str">
            <v>74277720</v>
          </cell>
        </row>
        <row r="13954">
          <cell r="L13954" t="str">
            <v>74278439</v>
          </cell>
        </row>
        <row r="13955">
          <cell r="L13955" t="str">
            <v>74278562</v>
          </cell>
        </row>
        <row r="13956">
          <cell r="L13956" t="str">
            <v>74278563</v>
          </cell>
        </row>
        <row r="13957">
          <cell r="L13957" t="str">
            <v>74278807</v>
          </cell>
        </row>
        <row r="13958">
          <cell r="L13958" t="str">
            <v>74280688</v>
          </cell>
        </row>
        <row r="13959">
          <cell r="L13959" t="str">
            <v>74280711</v>
          </cell>
        </row>
        <row r="13960">
          <cell r="L13960" t="str">
            <v>74281040</v>
          </cell>
        </row>
        <row r="13961">
          <cell r="L13961" t="str">
            <v>74281583</v>
          </cell>
        </row>
        <row r="13962">
          <cell r="L13962" t="str">
            <v>74281610</v>
          </cell>
        </row>
        <row r="13963">
          <cell r="L13963" t="str">
            <v>74281640</v>
          </cell>
        </row>
        <row r="13964">
          <cell r="L13964" t="str">
            <v>74282379</v>
          </cell>
        </row>
        <row r="13965">
          <cell r="L13965" t="str">
            <v>74283075</v>
          </cell>
        </row>
        <row r="13966">
          <cell r="L13966" t="str">
            <v>74283079</v>
          </cell>
        </row>
        <row r="13967">
          <cell r="L13967" t="str">
            <v>74283720</v>
          </cell>
        </row>
        <row r="13968">
          <cell r="L13968" t="str">
            <v>74283759</v>
          </cell>
        </row>
        <row r="13969">
          <cell r="L13969" t="str">
            <v>74284380</v>
          </cell>
        </row>
        <row r="13970">
          <cell r="L13970" t="str">
            <v>74284419</v>
          </cell>
        </row>
        <row r="13971">
          <cell r="L13971" t="str">
            <v>74285463</v>
          </cell>
        </row>
        <row r="13972">
          <cell r="L13972" t="str">
            <v>74285763</v>
          </cell>
        </row>
        <row r="13973">
          <cell r="L13973" t="str">
            <v>74285801</v>
          </cell>
        </row>
        <row r="13974">
          <cell r="L13974" t="str">
            <v>74286282</v>
          </cell>
        </row>
        <row r="13975">
          <cell r="L13975" t="str">
            <v>74286513</v>
          </cell>
        </row>
        <row r="13976">
          <cell r="L13976" t="str">
            <v>74286561</v>
          </cell>
        </row>
        <row r="13977">
          <cell r="L13977" t="str">
            <v>74286562</v>
          </cell>
        </row>
        <row r="13978">
          <cell r="L13978" t="str">
            <v>74287668</v>
          </cell>
        </row>
        <row r="13979">
          <cell r="L13979" t="str">
            <v>74287702</v>
          </cell>
        </row>
        <row r="13980">
          <cell r="L13980" t="str">
            <v>74288462</v>
          </cell>
        </row>
        <row r="13981">
          <cell r="L13981" t="str">
            <v>74288499</v>
          </cell>
        </row>
        <row r="13982">
          <cell r="L13982" t="str">
            <v>74288642</v>
          </cell>
        </row>
        <row r="13983">
          <cell r="L13983" t="str">
            <v>74289460</v>
          </cell>
        </row>
        <row r="13984">
          <cell r="L13984" t="str">
            <v>74289725</v>
          </cell>
        </row>
        <row r="13985">
          <cell r="L13985" t="str">
            <v>74289726</v>
          </cell>
        </row>
        <row r="13986">
          <cell r="L13986" t="str">
            <v>74289940</v>
          </cell>
        </row>
        <row r="13987">
          <cell r="L13987" t="str">
            <v>74290164</v>
          </cell>
        </row>
        <row r="13988">
          <cell r="L13988" t="str">
            <v>74290167</v>
          </cell>
        </row>
        <row r="13989">
          <cell r="L13989" t="str">
            <v>74290530</v>
          </cell>
        </row>
        <row r="13990">
          <cell r="L13990" t="str">
            <v>74290531</v>
          </cell>
        </row>
        <row r="13991">
          <cell r="L13991" t="str">
            <v>74290841</v>
          </cell>
        </row>
        <row r="13992">
          <cell r="L13992" t="str">
            <v>74290920</v>
          </cell>
        </row>
        <row r="13993">
          <cell r="L13993" t="str">
            <v>74291319</v>
          </cell>
        </row>
        <row r="13994">
          <cell r="L13994" t="str">
            <v>74291341</v>
          </cell>
        </row>
        <row r="13995">
          <cell r="L13995" t="str">
            <v>74291544</v>
          </cell>
        </row>
        <row r="13996">
          <cell r="L13996" t="str">
            <v>74291545</v>
          </cell>
        </row>
        <row r="13997">
          <cell r="L13997" t="str">
            <v>74293140</v>
          </cell>
        </row>
        <row r="13998">
          <cell r="L13998" t="str">
            <v>74293281</v>
          </cell>
        </row>
        <row r="13999">
          <cell r="L13999" t="str">
            <v>74293521</v>
          </cell>
        </row>
        <row r="14000">
          <cell r="L14000" t="str">
            <v>74293591</v>
          </cell>
        </row>
        <row r="14001">
          <cell r="L14001" t="str">
            <v>74293740</v>
          </cell>
        </row>
        <row r="14002">
          <cell r="L14002" t="str">
            <v>74293782</v>
          </cell>
        </row>
        <row r="14003">
          <cell r="L14003" t="str">
            <v>74293942</v>
          </cell>
        </row>
        <row r="14004">
          <cell r="L14004" t="str">
            <v>74296599</v>
          </cell>
        </row>
        <row r="14005">
          <cell r="L14005" t="str">
            <v>74296867</v>
          </cell>
        </row>
        <row r="14006">
          <cell r="L14006" t="str">
            <v>74297839</v>
          </cell>
        </row>
        <row r="14007">
          <cell r="L14007" t="str">
            <v>74298583</v>
          </cell>
        </row>
        <row r="14008">
          <cell r="L14008" t="str">
            <v>74298591</v>
          </cell>
        </row>
        <row r="14009">
          <cell r="L14009" t="str">
            <v>74298826</v>
          </cell>
        </row>
        <row r="14010">
          <cell r="L14010" t="str">
            <v>74298905</v>
          </cell>
        </row>
        <row r="14011">
          <cell r="L14011" t="str">
            <v>74300062</v>
          </cell>
        </row>
        <row r="14012">
          <cell r="L14012" t="str">
            <v>74300223</v>
          </cell>
        </row>
        <row r="14013">
          <cell r="L14013" t="str">
            <v>74300483</v>
          </cell>
        </row>
        <row r="14014">
          <cell r="L14014" t="str">
            <v>74300484</v>
          </cell>
        </row>
        <row r="14015">
          <cell r="L14015" t="str">
            <v>74300485</v>
          </cell>
        </row>
        <row r="14016">
          <cell r="L14016" t="str">
            <v>74301119</v>
          </cell>
        </row>
        <row r="14017">
          <cell r="L14017" t="str">
            <v>74302912</v>
          </cell>
        </row>
        <row r="14018">
          <cell r="L14018" t="str">
            <v>74303342</v>
          </cell>
        </row>
        <row r="14019">
          <cell r="L14019" t="str">
            <v>74303981</v>
          </cell>
        </row>
        <row r="14020">
          <cell r="L14020" t="str">
            <v>74304043</v>
          </cell>
        </row>
        <row r="14021">
          <cell r="L14021" t="str">
            <v>74304164</v>
          </cell>
        </row>
        <row r="14022">
          <cell r="L14022" t="str">
            <v>74304179</v>
          </cell>
        </row>
        <row r="14023">
          <cell r="L14023" t="str">
            <v>74304419</v>
          </cell>
        </row>
        <row r="14024">
          <cell r="L14024" t="str">
            <v>74304647</v>
          </cell>
        </row>
        <row r="14025">
          <cell r="L14025" t="str">
            <v>74305609</v>
          </cell>
        </row>
        <row r="14026">
          <cell r="L14026" t="str">
            <v>74305801</v>
          </cell>
        </row>
        <row r="14027">
          <cell r="L14027" t="str">
            <v>74306202</v>
          </cell>
        </row>
        <row r="14028">
          <cell r="L14028" t="str">
            <v>74306306</v>
          </cell>
        </row>
        <row r="14029">
          <cell r="L14029" t="str">
            <v>74306681</v>
          </cell>
        </row>
        <row r="14030">
          <cell r="L14030" t="str">
            <v>74306746</v>
          </cell>
        </row>
        <row r="14031">
          <cell r="L14031" t="str">
            <v>74307182</v>
          </cell>
        </row>
        <row r="14032">
          <cell r="L14032" t="str">
            <v>74308461</v>
          </cell>
        </row>
        <row r="14033">
          <cell r="L14033" t="str">
            <v>74308499</v>
          </cell>
        </row>
        <row r="14034">
          <cell r="L14034" t="str">
            <v>74308741</v>
          </cell>
        </row>
        <row r="14035">
          <cell r="L14035" t="str">
            <v>74309639</v>
          </cell>
        </row>
        <row r="14036">
          <cell r="L14036" t="str">
            <v>74309859</v>
          </cell>
        </row>
        <row r="14037">
          <cell r="L14037" t="str">
            <v>74310461</v>
          </cell>
        </row>
        <row r="14038">
          <cell r="L14038" t="str">
            <v>74311739</v>
          </cell>
        </row>
        <row r="14039">
          <cell r="L14039" t="str">
            <v>74313482</v>
          </cell>
        </row>
        <row r="14040">
          <cell r="L14040" t="str">
            <v>74314039</v>
          </cell>
        </row>
        <row r="14041">
          <cell r="L14041" t="str">
            <v>74314601</v>
          </cell>
        </row>
        <row r="14042">
          <cell r="L14042" t="str">
            <v>74314742</v>
          </cell>
        </row>
        <row r="14043">
          <cell r="L14043" t="str">
            <v>74315284</v>
          </cell>
        </row>
        <row r="14044">
          <cell r="L14044" t="str">
            <v>74315532</v>
          </cell>
        </row>
        <row r="14045">
          <cell r="L14045" t="str">
            <v>74315806</v>
          </cell>
        </row>
        <row r="14046">
          <cell r="L14046" t="str">
            <v>74316203</v>
          </cell>
        </row>
        <row r="14047">
          <cell r="L14047" t="str">
            <v>74316349</v>
          </cell>
        </row>
        <row r="14048">
          <cell r="L14048" t="str">
            <v>74316670</v>
          </cell>
        </row>
        <row r="14049">
          <cell r="L14049" t="str">
            <v>74317140</v>
          </cell>
        </row>
        <row r="14050">
          <cell r="L14050" t="str">
            <v>74317399</v>
          </cell>
        </row>
        <row r="14051">
          <cell r="L14051" t="str">
            <v>74318746</v>
          </cell>
        </row>
        <row r="14052">
          <cell r="L14052" t="str">
            <v>74318782</v>
          </cell>
        </row>
        <row r="14053">
          <cell r="L14053" t="str">
            <v>74319222</v>
          </cell>
        </row>
        <row r="14054">
          <cell r="L14054" t="str">
            <v>74319300</v>
          </cell>
        </row>
        <row r="14055">
          <cell r="L14055" t="str">
            <v>74319322</v>
          </cell>
        </row>
        <row r="14056">
          <cell r="L14056" t="str">
            <v>74319670</v>
          </cell>
        </row>
        <row r="14057">
          <cell r="L14057" t="str">
            <v>74319881</v>
          </cell>
        </row>
        <row r="14058">
          <cell r="L14058" t="str">
            <v>74320424</v>
          </cell>
        </row>
        <row r="14059">
          <cell r="L14059" t="str">
            <v>74320729</v>
          </cell>
        </row>
        <row r="14060">
          <cell r="L14060" t="str">
            <v>74320961</v>
          </cell>
        </row>
        <row r="14061">
          <cell r="L14061" t="str">
            <v>74321361</v>
          </cell>
        </row>
        <row r="14062">
          <cell r="L14062" t="str">
            <v>74321481</v>
          </cell>
        </row>
        <row r="14063">
          <cell r="L14063" t="str">
            <v>74321767</v>
          </cell>
        </row>
        <row r="14064">
          <cell r="L14064" t="str">
            <v>74322316</v>
          </cell>
        </row>
        <row r="14065">
          <cell r="L14065" t="str">
            <v>74322603</v>
          </cell>
        </row>
        <row r="14066">
          <cell r="L14066" t="str">
            <v>74322662</v>
          </cell>
        </row>
        <row r="14067">
          <cell r="L14067" t="str">
            <v>74323999</v>
          </cell>
        </row>
        <row r="14068">
          <cell r="L14068" t="str">
            <v>74324806</v>
          </cell>
        </row>
        <row r="14069">
          <cell r="L14069" t="str">
            <v>74272802</v>
          </cell>
        </row>
        <row r="14070">
          <cell r="L14070" t="str">
            <v>74279473</v>
          </cell>
        </row>
        <row r="14071">
          <cell r="L14071" t="str">
            <v>74299823</v>
          </cell>
        </row>
        <row r="14072">
          <cell r="L14072" t="str">
            <v>74281900</v>
          </cell>
        </row>
        <row r="14073">
          <cell r="L14073" t="str">
            <v>74306564</v>
          </cell>
        </row>
        <row r="14074">
          <cell r="L14074" t="str">
            <v>74218562</v>
          </cell>
        </row>
        <row r="14075">
          <cell r="L14075" t="str">
            <v>74175239</v>
          </cell>
        </row>
        <row r="14076">
          <cell r="L14076" t="str">
            <v>74195084</v>
          </cell>
        </row>
        <row r="14077">
          <cell r="L14077" t="str">
            <v>74206645</v>
          </cell>
        </row>
        <row r="14078">
          <cell r="L14078" t="str">
            <v>74253020</v>
          </cell>
        </row>
        <row r="14079">
          <cell r="L14079" t="str">
            <v>74275170</v>
          </cell>
        </row>
        <row r="14080">
          <cell r="L14080" t="str">
            <v>74279546</v>
          </cell>
        </row>
        <row r="14081">
          <cell r="L14081" t="str">
            <v>74287521</v>
          </cell>
        </row>
        <row r="14082">
          <cell r="L14082" t="str">
            <v>74171850</v>
          </cell>
        </row>
        <row r="14083">
          <cell r="L14083" t="str">
            <v>74189668</v>
          </cell>
        </row>
        <row r="14084">
          <cell r="L14084" t="str">
            <v>74205303</v>
          </cell>
        </row>
        <row r="14085">
          <cell r="L14085" t="str">
            <v>74247119</v>
          </cell>
        </row>
        <row r="14086">
          <cell r="L14086" t="str">
            <v>74260240</v>
          </cell>
        </row>
        <row r="14087">
          <cell r="L14087" t="str">
            <v>74289522</v>
          </cell>
        </row>
        <row r="14088">
          <cell r="L14088" t="str">
            <v>74289559</v>
          </cell>
        </row>
        <row r="14089">
          <cell r="L14089" t="str">
            <v>74169718</v>
          </cell>
        </row>
        <row r="14090">
          <cell r="L14090" t="str">
            <v>74206623</v>
          </cell>
        </row>
        <row r="14091">
          <cell r="L14091" t="str">
            <v>74254741</v>
          </cell>
        </row>
        <row r="14092">
          <cell r="L14092" t="str">
            <v>74218921</v>
          </cell>
        </row>
        <row r="14093">
          <cell r="L14093" t="str">
            <v>74213779</v>
          </cell>
        </row>
        <row r="14094">
          <cell r="L14094" t="str">
            <v>74160233</v>
          </cell>
        </row>
        <row r="14095">
          <cell r="L14095" t="str">
            <v>74201261</v>
          </cell>
        </row>
        <row r="14096">
          <cell r="L14096" t="str">
            <v>74211547</v>
          </cell>
        </row>
        <row r="14097">
          <cell r="L14097" t="str">
            <v>74214039</v>
          </cell>
        </row>
        <row r="14098">
          <cell r="L14098" t="str">
            <v>74218802</v>
          </cell>
        </row>
        <row r="14099">
          <cell r="L14099" t="str">
            <v>74238620</v>
          </cell>
        </row>
        <row r="14100">
          <cell r="L14100" t="str">
            <v>74219822</v>
          </cell>
        </row>
        <row r="14101">
          <cell r="L14101" t="str">
            <v>74122658</v>
          </cell>
        </row>
        <row r="14102">
          <cell r="L14102" t="str">
            <v>74258987</v>
          </cell>
        </row>
        <row r="14103">
          <cell r="L14103" t="str">
            <v>74260782</v>
          </cell>
        </row>
        <row r="14104">
          <cell r="L14104" t="str">
            <v>74271319</v>
          </cell>
        </row>
        <row r="14105">
          <cell r="L14105" t="str">
            <v>74271320</v>
          </cell>
        </row>
        <row r="14106">
          <cell r="L14106" t="str">
            <v>74271919</v>
          </cell>
        </row>
        <row r="14107">
          <cell r="L14107" t="str">
            <v>74274063</v>
          </cell>
        </row>
        <row r="14108">
          <cell r="L14108" t="str">
            <v>74274285</v>
          </cell>
        </row>
        <row r="14109">
          <cell r="L14109" t="str">
            <v>74275144</v>
          </cell>
        </row>
        <row r="14110">
          <cell r="L14110" t="str">
            <v>74276004</v>
          </cell>
        </row>
        <row r="14111">
          <cell r="L14111" t="str">
            <v>74276161</v>
          </cell>
        </row>
        <row r="14112">
          <cell r="L14112" t="str">
            <v>74276690</v>
          </cell>
        </row>
        <row r="14113">
          <cell r="L14113" t="str">
            <v>74276740</v>
          </cell>
        </row>
        <row r="14114">
          <cell r="L14114" t="str">
            <v>74276742</v>
          </cell>
        </row>
        <row r="14115">
          <cell r="L14115" t="str">
            <v>74277622</v>
          </cell>
        </row>
        <row r="14116">
          <cell r="L14116" t="str">
            <v>74278460</v>
          </cell>
        </row>
        <row r="14117">
          <cell r="L14117" t="str">
            <v>74278524</v>
          </cell>
        </row>
        <row r="14118">
          <cell r="L14118" t="str">
            <v>74278799</v>
          </cell>
        </row>
        <row r="14119">
          <cell r="L14119" t="str">
            <v>74279419</v>
          </cell>
        </row>
        <row r="14120">
          <cell r="L14120" t="str">
            <v>74279985</v>
          </cell>
        </row>
        <row r="14121">
          <cell r="L14121" t="str">
            <v>74280101</v>
          </cell>
        </row>
        <row r="14122">
          <cell r="L14122" t="str">
            <v>74280103</v>
          </cell>
        </row>
        <row r="14123">
          <cell r="L14123" t="str">
            <v>74280819</v>
          </cell>
        </row>
        <row r="14124">
          <cell r="L14124" t="str">
            <v>74281342</v>
          </cell>
        </row>
        <row r="14125">
          <cell r="L14125" t="str">
            <v>74284943</v>
          </cell>
        </row>
        <row r="14126">
          <cell r="L14126" t="str">
            <v>74285291</v>
          </cell>
        </row>
        <row r="14127">
          <cell r="L14127" t="str">
            <v>74285448</v>
          </cell>
        </row>
        <row r="14128">
          <cell r="L14128" t="str">
            <v>74285541</v>
          </cell>
        </row>
        <row r="14129">
          <cell r="L14129" t="str">
            <v>74285724</v>
          </cell>
        </row>
        <row r="14130">
          <cell r="L14130" t="str">
            <v>74285727</v>
          </cell>
        </row>
        <row r="14131">
          <cell r="L14131" t="str">
            <v>74286039</v>
          </cell>
        </row>
        <row r="14132">
          <cell r="L14132" t="str">
            <v>74286104</v>
          </cell>
        </row>
        <row r="14133">
          <cell r="L14133" t="str">
            <v>74286119</v>
          </cell>
        </row>
        <row r="14134">
          <cell r="L14134" t="str">
            <v>74286345</v>
          </cell>
        </row>
        <row r="14135">
          <cell r="L14135" t="str">
            <v>74286727</v>
          </cell>
        </row>
        <row r="14136">
          <cell r="L14136" t="str">
            <v>74287239</v>
          </cell>
        </row>
        <row r="14137">
          <cell r="L14137" t="str">
            <v>74287504</v>
          </cell>
        </row>
        <row r="14138">
          <cell r="L14138" t="str">
            <v>74287739</v>
          </cell>
        </row>
        <row r="14139">
          <cell r="L14139" t="str">
            <v>74288524</v>
          </cell>
        </row>
        <row r="14140">
          <cell r="L14140" t="str">
            <v>74289122</v>
          </cell>
        </row>
        <row r="14141">
          <cell r="L14141" t="str">
            <v>74289659</v>
          </cell>
        </row>
        <row r="14142">
          <cell r="L14142" t="str">
            <v>74289719</v>
          </cell>
        </row>
        <row r="14143">
          <cell r="L14143" t="str">
            <v>74289720</v>
          </cell>
        </row>
        <row r="14144">
          <cell r="L14144" t="str">
            <v>74289742</v>
          </cell>
        </row>
        <row r="14145">
          <cell r="L14145" t="str">
            <v>74290081</v>
          </cell>
        </row>
        <row r="14146">
          <cell r="L14146" t="str">
            <v>74290269</v>
          </cell>
        </row>
        <row r="14147">
          <cell r="L14147" t="str">
            <v>74290503</v>
          </cell>
        </row>
        <row r="14148">
          <cell r="L14148" t="str">
            <v>74290521</v>
          </cell>
        </row>
        <row r="14149">
          <cell r="L14149" t="str">
            <v>74290979</v>
          </cell>
        </row>
        <row r="14150">
          <cell r="L14150" t="str">
            <v>74290980</v>
          </cell>
        </row>
        <row r="14151">
          <cell r="L14151" t="str">
            <v>74291339</v>
          </cell>
        </row>
        <row r="14152">
          <cell r="L14152" t="str">
            <v>74291343</v>
          </cell>
        </row>
        <row r="14153">
          <cell r="L14153" t="str">
            <v>74291600</v>
          </cell>
        </row>
        <row r="14154">
          <cell r="L14154" t="str">
            <v>74291986</v>
          </cell>
        </row>
        <row r="14155">
          <cell r="L14155" t="str">
            <v>74292002</v>
          </cell>
        </row>
        <row r="14156">
          <cell r="L14156" t="str">
            <v>74292125</v>
          </cell>
        </row>
        <row r="14157">
          <cell r="L14157" t="str">
            <v>74292480</v>
          </cell>
        </row>
        <row r="14158">
          <cell r="L14158" t="str">
            <v>74293100</v>
          </cell>
        </row>
        <row r="14159">
          <cell r="L14159" t="str">
            <v>74293301</v>
          </cell>
        </row>
        <row r="14160">
          <cell r="L14160" t="str">
            <v>74293699</v>
          </cell>
        </row>
        <row r="14161">
          <cell r="L14161" t="str">
            <v>74294240</v>
          </cell>
        </row>
        <row r="14162">
          <cell r="L14162" t="str">
            <v>74294466</v>
          </cell>
        </row>
        <row r="14163">
          <cell r="L14163" t="str">
            <v>74294503</v>
          </cell>
        </row>
        <row r="14164">
          <cell r="L14164" t="str">
            <v>74294722</v>
          </cell>
        </row>
        <row r="14165">
          <cell r="L14165" t="str">
            <v>74294725</v>
          </cell>
        </row>
        <row r="14166">
          <cell r="L14166" t="str">
            <v>74295160</v>
          </cell>
        </row>
        <row r="14167">
          <cell r="L14167" t="str">
            <v>74295742</v>
          </cell>
        </row>
        <row r="14168">
          <cell r="L14168" t="str">
            <v>74296022</v>
          </cell>
        </row>
        <row r="14169">
          <cell r="L14169" t="str">
            <v>74296662</v>
          </cell>
        </row>
        <row r="14170">
          <cell r="L14170" t="str">
            <v>74297099</v>
          </cell>
        </row>
        <row r="14171">
          <cell r="L14171" t="str">
            <v>74297302</v>
          </cell>
        </row>
        <row r="14172">
          <cell r="L14172" t="str">
            <v>74297303</v>
          </cell>
        </row>
        <row r="14173">
          <cell r="L14173" t="str">
            <v>74298006</v>
          </cell>
        </row>
        <row r="14174">
          <cell r="L14174" t="str">
            <v>74298399</v>
          </cell>
        </row>
        <row r="14175">
          <cell r="L14175" t="str">
            <v>74299462</v>
          </cell>
        </row>
        <row r="14176">
          <cell r="L14176" t="str">
            <v>74299704</v>
          </cell>
        </row>
        <row r="14177">
          <cell r="L14177" t="str">
            <v>74299706</v>
          </cell>
        </row>
        <row r="14178">
          <cell r="L14178" t="str">
            <v>74300581</v>
          </cell>
        </row>
        <row r="14179">
          <cell r="L14179" t="str">
            <v>74301801</v>
          </cell>
        </row>
        <row r="14180">
          <cell r="L14180" t="str">
            <v>74301873</v>
          </cell>
        </row>
        <row r="14181">
          <cell r="L14181" t="str">
            <v>74303984</v>
          </cell>
        </row>
        <row r="14182">
          <cell r="L14182" t="str">
            <v>74304041</v>
          </cell>
        </row>
        <row r="14183">
          <cell r="L14183" t="str">
            <v>74304580</v>
          </cell>
        </row>
        <row r="14184">
          <cell r="L14184" t="str">
            <v>74305002</v>
          </cell>
        </row>
        <row r="14185">
          <cell r="L14185" t="str">
            <v>74305144</v>
          </cell>
        </row>
        <row r="14186">
          <cell r="L14186" t="str">
            <v>74305488</v>
          </cell>
        </row>
        <row r="14187">
          <cell r="L14187" t="str">
            <v>74306699</v>
          </cell>
        </row>
        <row r="14188">
          <cell r="L14188" t="str">
            <v>74307241</v>
          </cell>
        </row>
        <row r="14189">
          <cell r="L14189" t="str">
            <v>74307805</v>
          </cell>
        </row>
        <row r="14190">
          <cell r="L14190" t="str">
            <v>74309484</v>
          </cell>
        </row>
        <row r="14191">
          <cell r="L14191" t="str">
            <v>74309485</v>
          </cell>
        </row>
        <row r="14192">
          <cell r="L14192" t="str">
            <v>74309645</v>
          </cell>
        </row>
        <row r="14193">
          <cell r="L14193" t="str">
            <v>74309962</v>
          </cell>
        </row>
        <row r="14194">
          <cell r="L14194" t="str">
            <v>74310583</v>
          </cell>
        </row>
        <row r="14195">
          <cell r="L14195" t="str">
            <v>74311488</v>
          </cell>
        </row>
        <row r="14196">
          <cell r="L14196" t="str">
            <v>74311779</v>
          </cell>
        </row>
        <row r="14197">
          <cell r="L14197" t="str">
            <v>74313380</v>
          </cell>
        </row>
        <row r="14198">
          <cell r="L14198" t="str">
            <v>74313383</v>
          </cell>
        </row>
        <row r="14199">
          <cell r="L14199" t="str">
            <v>74313619</v>
          </cell>
        </row>
        <row r="14200">
          <cell r="L14200" t="str">
            <v>74317220</v>
          </cell>
        </row>
        <row r="14201">
          <cell r="L14201" t="str">
            <v>74317464</v>
          </cell>
        </row>
        <row r="14202">
          <cell r="L14202" t="str">
            <v>74318079</v>
          </cell>
        </row>
        <row r="14203">
          <cell r="L14203" t="str">
            <v>74318837</v>
          </cell>
        </row>
        <row r="14204">
          <cell r="L14204" t="str">
            <v>74273039</v>
          </cell>
        </row>
        <row r="14205">
          <cell r="L14205" t="str">
            <v>74285020</v>
          </cell>
        </row>
        <row r="14206">
          <cell r="L14206" t="str">
            <v>74295220</v>
          </cell>
        </row>
        <row r="14207">
          <cell r="L14207" t="str">
            <v>74299600</v>
          </cell>
        </row>
        <row r="14208">
          <cell r="L14208" t="str">
            <v>74293700</v>
          </cell>
        </row>
        <row r="14209">
          <cell r="L14209" t="str">
            <v>74245827</v>
          </cell>
        </row>
        <row r="14210">
          <cell r="L14210" t="str">
            <v>74252902</v>
          </cell>
        </row>
        <row r="14211">
          <cell r="L14211" t="str">
            <v>74276879</v>
          </cell>
        </row>
        <row r="14212">
          <cell r="L14212" t="str">
            <v>74286040</v>
          </cell>
        </row>
        <row r="14213">
          <cell r="L14213" t="str">
            <v>74290225</v>
          </cell>
        </row>
        <row r="14214">
          <cell r="L14214" t="str">
            <v>74258680</v>
          </cell>
        </row>
        <row r="14215">
          <cell r="L14215" t="str">
            <v>74156874</v>
          </cell>
        </row>
        <row r="14216">
          <cell r="L14216" t="str">
            <v>74168271</v>
          </cell>
        </row>
        <row r="14217">
          <cell r="L14217" t="str">
            <v>74180548</v>
          </cell>
        </row>
        <row r="14218">
          <cell r="L14218" t="str">
            <v>74188514</v>
          </cell>
        </row>
        <row r="14219">
          <cell r="L14219" t="str">
            <v>74188950</v>
          </cell>
        </row>
        <row r="14220">
          <cell r="L14220" t="str">
            <v>74191935</v>
          </cell>
        </row>
        <row r="14221">
          <cell r="L14221" t="str">
            <v>74195061</v>
          </cell>
        </row>
        <row r="14222">
          <cell r="L14222" t="str">
            <v>74195195</v>
          </cell>
        </row>
        <row r="14223">
          <cell r="L14223" t="str">
            <v>74196190</v>
          </cell>
        </row>
        <row r="14224">
          <cell r="L14224" t="str">
            <v>74197727</v>
          </cell>
        </row>
        <row r="14225">
          <cell r="L14225" t="str">
            <v>74201337</v>
          </cell>
        </row>
        <row r="14226">
          <cell r="L14226" t="str">
            <v>74201459</v>
          </cell>
        </row>
        <row r="14227">
          <cell r="L14227" t="str">
            <v>74201584</v>
          </cell>
        </row>
        <row r="14228">
          <cell r="L14228" t="str">
            <v>74201687</v>
          </cell>
        </row>
        <row r="14229">
          <cell r="L14229" t="str">
            <v>74203053</v>
          </cell>
        </row>
        <row r="14230">
          <cell r="L14230" t="str">
            <v>74211660</v>
          </cell>
        </row>
        <row r="14231">
          <cell r="L14231" t="str">
            <v>74212719</v>
          </cell>
        </row>
        <row r="14232">
          <cell r="L14232" t="str">
            <v>74213059</v>
          </cell>
        </row>
        <row r="14233">
          <cell r="L14233" t="str">
            <v>74214979</v>
          </cell>
        </row>
        <row r="14234">
          <cell r="L14234" t="str">
            <v>74215540</v>
          </cell>
        </row>
        <row r="14235">
          <cell r="L14235" t="str">
            <v>74216959</v>
          </cell>
        </row>
        <row r="14236">
          <cell r="L14236" t="str">
            <v>74217480</v>
          </cell>
        </row>
        <row r="14237">
          <cell r="L14237" t="str">
            <v>74217800</v>
          </cell>
        </row>
        <row r="14238">
          <cell r="L14238" t="str">
            <v>74220441</v>
          </cell>
        </row>
        <row r="14239">
          <cell r="L14239" t="str">
            <v>74221207</v>
          </cell>
        </row>
        <row r="14240">
          <cell r="L14240" t="str">
            <v>74224239</v>
          </cell>
        </row>
        <row r="14241">
          <cell r="L14241" t="str">
            <v>74227001</v>
          </cell>
        </row>
        <row r="14242">
          <cell r="L14242" t="str">
            <v>74227103</v>
          </cell>
        </row>
        <row r="14243">
          <cell r="L14243" t="str">
            <v>74227379</v>
          </cell>
        </row>
        <row r="14244">
          <cell r="L14244" t="str">
            <v>74228583</v>
          </cell>
        </row>
        <row r="14245">
          <cell r="L14245" t="str">
            <v>74233931</v>
          </cell>
        </row>
        <row r="14246">
          <cell r="L14246" t="str">
            <v>74234340</v>
          </cell>
        </row>
        <row r="14247">
          <cell r="L14247" t="str">
            <v>74234982</v>
          </cell>
        </row>
        <row r="14248">
          <cell r="L14248" t="str">
            <v>74235320</v>
          </cell>
        </row>
        <row r="14249">
          <cell r="L14249" t="str">
            <v>74236980</v>
          </cell>
        </row>
        <row r="14250">
          <cell r="L14250" t="str">
            <v>74238499</v>
          </cell>
        </row>
        <row r="14251">
          <cell r="L14251" t="str">
            <v>74239419</v>
          </cell>
        </row>
        <row r="14252">
          <cell r="L14252" t="str">
            <v>74240044</v>
          </cell>
        </row>
        <row r="14253">
          <cell r="L14253" t="str">
            <v>74240519</v>
          </cell>
        </row>
        <row r="14254">
          <cell r="L14254" t="str">
            <v>74241079</v>
          </cell>
        </row>
        <row r="14255">
          <cell r="L14255" t="str">
            <v>74242941</v>
          </cell>
        </row>
        <row r="14256">
          <cell r="L14256" t="str">
            <v>74243340</v>
          </cell>
        </row>
        <row r="14257">
          <cell r="L14257" t="str">
            <v>74244320</v>
          </cell>
        </row>
        <row r="14258">
          <cell r="L14258" t="str">
            <v>74244361</v>
          </cell>
        </row>
        <row r="14259">
          <cell r="L14259" t="str">
            <v>74244419</v>
          </cell>
        </row>
        <row r="14260">
          <cell r="L14260" t="str">
            <v>74244802</v>
          </cell>
        </row>
        <row r="14261">
          <cell r="L14261" t="str">
            <v>74245560</v>
          </cell>
        </row>
        <row r="14262">
          <cell r="L14262" t="str">
            <v>74245759</v>
          </cell>
        </row>
        <row r="14263">
          <cell r="L14263" t="str">
            <v>74245921</v>
          </cell>
        </row>
        <row r="14264">
          <cell r="L14264" t="str">
            <v>74251423</v>
          </cell>
        </row>
        <row r="14265">
          <cell r="L14265" t="str">
            <v>74251580</v>
          </cell>
        </row>
        <row r="14266">
          <cell r="L14266" t="str">
            <v>74252459</v>
          </cell>
        </row>
        <row r="14267">
          <cell r="L14267" t="str">
            <v>74252582</v>
          </cell>
        </row>
        <row r="14268">
          <cell r="L14268" t="str">
            <v>74252859</v>
          </cell>
        </row>
        <row r="14269">
          <cell r="L14269" t="str">
            <v>74252964</v>
          </cell>
        </row>
        <row r="14270">
          <cell r="L14270" t="str">
            <v>74253023</v>
          </cell>
        </row>
        <row r="14271">
          <cell r="L14271" t="str">
            <v>74253519</v>
          </cell>
        </row>
        <row r="14272">
          <cell r="L14272" t="str">
            <v>74253664</v>
          </cell>
        </row>
        <row r="14273">
          <cell r="L14273" t="str">
            <v>74253943</v>
          </cell>
        </row>
        <row r="14274">
          <cell r="L14274" t="str">
            <v>74254119</v>
          </cell>
        </row>
        <row r="14275">
          <cell r="L14275" t="str">
            <v>74254123</v>
          </cell>
        </row>
        <row r="14276">
          <cell r="L14276" t="str">
            <v>74254481</v>
          </cell>
        </row>
        <row r="14277">
          <cell r="L14277" t="str">
            <v>74255069</v>
          </cell>
        </row>
        <row r="14278">
          <cell r="L14278" t="str">
            <v>74255980</v>
          </cell>
        </row>
        <row r="14279">
          <cell r="L14279" t="str">
            <v>74258179</v>
          </cell>
        </row>
        <row r="14280">
          <cell r="L14280" t="str">
            <v>74258979</v>
          </cell>
        </row>
        <row r="14281">
          <cell r="L14281" t="str">
            <v>74259701</v>
          </cell>
        </row>
        <row r="14282">
          <cell r="L14282" t="str">
            <v>74260483</v>
          </cell>
        </row>
        <row r="14283">
          <cell r="L14283" t="str">
            <v>74261659</v>
          </cell>
        </row>
        <row r="14284">
          <cell r="L14284" t="str">
            <v>74262940</v>
          </cell>
        </row>
        <row r="14285">
          <cell r="L14285" t="str">
            <v>74263060</v>
          </cell>
        </row>
        <row r="14286">
          <cell r="L14286" t="str">
            <v>74263243</v>
          </cell>
        </row>
        <row r="14287">
          <cell r="L14287" t="str">
            <v>74263860</v>
          </cell>
        </row>
        <row r="14288">
          <cell r="L14288" t="str">
            <v>74264028</v>
          </cell>
        </row>
        <row r="14289">
          <cell r="L14289" t="str">
            <v>74264363</v>
          </cell>
        </row>
        <row r="14290">
          <cell r="L14290" t="str">
            <v>74265459</v>
          </cell>
        </row>
        <row r="14291">
          <cell r="L14291" t="str">
            <v>74265460</v>
          </cell>
        </row>
        <row r="14292">
          <cell r="L14292" t="str">
            <v>74266019</v>
          </cell>
        </row>
        <row r="14293">
          <cell r="L14293" t="str">
            <v>74266161</v>
          </cell>
        </row>
        <row r="14294">
          <cell r="L14294" t="str">
            <v>74266379</v>
          </cell>
        </row>
        <row r="14295">
          <cell r="L14295" t="str">
            <v>74266386</v>
          </cell>
        </row>
        <row r="14296">
          <cell r="L14296" t="str">
            <v>74266839</v>
          </cell>
        </row>
        <row r="14297">
          <cell r="L14297" t="str">
            <v>74266862</v>
          </cell>
        </row>
        <row r="14298">
          <cell r="L14298" t="str">
            <v>74267180</v>
          </cell>
        </row>
        <row r="14299">
          <cell r="L14299" t="str">
            <v>74267205</v>
          </cell>
        </row>
        <row r="14300">
          <cell r="L14300" t="str">
            <v>74267226</v>
          </cell>
        </row>
        <row r="14301">
          <cell r="L14301" t="str">
            <v>74267233</v>
          </cell>
        </row>
        <row r="14302">
          <cell r="L14302" t="str">
            <v>74267583</v>
          </cell>
        </row>
        <row r="14303">
          <cell r="L14303" t="str">
            <v>74268039</v>
          </cell>
        </row>
        <row r="14304">
          <cell r="L14304" t="str">
            <v>74268299</v>
          </cell>
        </row>
        <row r="14305">
          <cell r="L14305" t="str">
            <v>74272155</v>
          </cell>
        </row>
        <row r="14306">
          <cell r="L14306" t="str">
            <v>74272156</v>
          </cell>
        </row>
        <row r="14307">
          <cell r="L14307" t="str">
            <v>74272157</v>
          </cell>
        </row>
        <row r="14308">
          <cell r="L14308" t="str">
            <v>74272188</v>
          </cell>
        </row>
        <row r="14309">
          <cell r="L14309" t="str">
            <v>74272260</v>
          </cell>
        </row>
        <row r="14310">
          <cell r="L14310" t="str">
            <v>74272593</v>
          </cell>
        </row>
        <row r="14311">
          <cell r="L14311" t="str">
            <v>74272598</v>
          </cell>
        </row>
        <row r="14312">
          <cell r="L14312" t="str">
            <v>74272666</v>
          </cell>
        </row>
        <row r="14313">
          <cell r="L14313" t="str">
            <v>74273429</v>
          </cell>
        </row>
        <row r="14314">
          <cell r="L14314" t="str">
            <v>74273640</v>
          </cell>
        </row>
        <row r="14315">
          <cell r="L14315" t="str">
            <v>74273642</v>
          </cell>
        </row>
        <row r="14316">
          <cell r="L14316" t="str">
            <v>74274182</v>
          </cell>
        </row>
        <row r="14317">
          <cell r="L14317" t="str">
            <v>74275320</v>
          </cell>
        </row>
        <row r="14318">
          <cell r="L14318" t="str">
            <v>74275473</v>
          </cell>
        </row>
        <row r="14319">
          <cell r="L14319" t="str">
            <v>74275559</v>
          </cell>
        </row>
        <row r="14320">
          <cell r="L14320" t="str">
            <v>74276681</v>
          </cell>
        </row>
        <row r="14321">
          <cell r="L14321" t="str">
            <v>74276683</v>
          </cell>
        </row>
        <row r="14322">
          <cell r="L14322" t="str">
            <v>74276687</v>
          </cell>
        </row>
        <row r="14323">
          <cell r="L14323" t="str">
            <v>74276967</v>
          </cell>
        </row>
        <row r="14324">
          <cell r="L14324" t="str">
            <v>74278399</v>
          </cell>
        </row>
        <row r="14325">
          <cell r="L14325" t="str">
            <v>74278779</v>
          </cell>
        </row>
        <row r="14326">
          <cell r="L14326" t="str">
            <v>74278780</v>
          </cell>
        </row>
        <row r="14327">
          <cell r="L14327" t="str">
            <v>74278879</v>
          </cell>
        </row>
        <row r="14328">
          <cell r="L14328" t="str">
            <v>74278880</v>
          </cell>
        </row>
        <row r="14329">
          <cell r="L14329" t="str">
            <v>74279179</v>
          </cell>
        </row>
        <row r="14330">
          <cell r="L14330" t="str">
            <v>74279181</v>
          </cell>
        </row>
        <row r="14331">
          <cell r="L14331" t="str">
            <v>74279439</v>
          </cell>
        </row>
        <row r="14332">
          <cell r="L14332" t="str">
            <v>74279478</v>
          </cell>
        </row>
        <row r="14333">
          <cell r="L14333" t="str">
            <v>74279516</v>
          </cell>
        </row>
        <row r="14334">
          <cell r="L14334" t="str">
            <v>74280042</v>
          </cell>
        </row>
        <row r="14335">
          <cell r="L14335" t="str">
            <v>74280239</v>
          </cell>
        </row>
        <row r="14336">
          <cell r="L14336" t="str">
            <v>74280920</v>
          </cell>
        </row>
        <row r="14337">
          <cell r="L14337" t="str">
            <v>74280925</v>
          </cell>
        </row>
        <row r="14338">
          <cell r="L14338" t="str">
            <v>74281082</v>
          </cell>
        </row>
        <row r="14339">
          <cell r="L14339" t="str">
            <v>74281083</v>
          </cell>
        </row>
        <row r="14340">
          <cell r="L14340" t="str">
            <v>74281340</v>
          </cell>
        </row>
        <row r="14341">
          <cell r="L14341" t="str">
            <v>74281604</v>
          </cell>
        </row>
        <row r="14342">
          <cell r="L14342" t="str">
            <v>74281763</v>
          </cell>
        </row>
        <row r="14343">
          <cell r="L14343" t="str">
            <v>74281999</v>
          </cell>
        </row>
        <row r="14344">
          <cell r="L14344" t="str">
            <v>74282000</v>
          </cell>
        </row>
        <row r="14345">
          <cell r="L14345" t="str">
            <v>74282059</v>
          </cell>
        </row>
        <row r="14346">
          <cell r="L14346" t="str">
            <v>74282521</v>
          </cell>
        </row>
        <row r="14347">
          <cell r="L14347" t="str">
            <v>74282679</v>
          </cell>
        </row>
        <row r="14348">
          <cell r="L14348" t="str">
            <v>74282690</v>
          </cell>
        </row>
        <row r="14349">
          <cell r="L14349" t="str">
            <v>74282899</v>
          </cell>
        </row>
        <row r="14350">
          <cell r="L14350" t="str">
            <v>74282981</v>
          </cell>
        </row>
        <row r="14351">
          <cell r="L14351" t="str">
            <v>74283200</v>
          </cell>
        </row>
        <row r="14352">
          <cell r="L14352" t="str">
            <v>74283325</v>
          </cell>
        </row>
        <row r="14353">
          <cell r="L14353" t="str">
            <v>74283701</v>
          </cell>
        </row>
        <row r="14354">
          <cell r="L14354" t="str">
            <v>74284060</v>
          </cell>
        </row>
        <row r="14355">
          <cell r="L14355" t="str">
            <v>74284101</v>
          </cell>
        </row>
        <row r="14356">
          <cell r="L14356" t="str">
            <v>74284107</v>
          </cell>
        </row>
        <row r="14357">
          <cell r="L14357" t="str">
            <v>74284579</v>
          </cell>
        </row>
        <row r="14358">
          <cell r="L14358" t="str">
            <v>74284640</v>
          </cell>
        </row>
        <row r="14359">
          <cell r="L14359" t="str">
            <v>74285239</v>
          </cell>
        </row>
        <row r="14360">
          <cell r="L14360" t="str">
            <v>74285240</v>
          </cell>
        </row>
        <row r="14361">
          <cell r="L14361" t="str">
            <v>74285839</v>
          </cell>
        </row>
        <row r="14362">
          <cell r="L14362" t="str">
            <v>74285940</v>
          </cell>
        </row>
        <row r="14363">
          <cell r="L14363" t="str">
            <v>74285959</v>
          </cell>
        </row>
        <row r="14364">
          <cell r="L14364" t="str">
            <v>74285960</v>
          </cell>
        </row>
        <row r="14365">
          <cell r="L14365" t="str">
            <v>74286364</v>
          </cell>
        </row>
        <row r="14366">
          <cell r="L14366" t="str">
            <v>74286459</v>
          </cell>
        </row>
        <row r="14367">
          <cell r="L14367" t="str">
            <v>74286468</v>
          </cell>
        </row>
        <row r="14368">
          <cell r="L14368" t="str">
            <v>74287020</v>
          </cell>
        </row>
        <row r="14369">
          <cell r="L14369" t="str">
            <v>74287710</v>
          </cell>
        </row>
        <row r="14370">
          <cell r="L14370" t="str">
            <v>74288039</v>
          </cell>
        </row>
        <row r="14371">
          <cell r="L14371" t="str">
            <v>74288204</v>
          </cell>
        </row>
        <row r="14372">
          <cell r="L14372" t="str">
            <v>74288384</v>
          </cell>
        </row>
        <row r="14373">
          <cell r="L14373" t="str">
            <v>74288741</v>
          </cell>
        </row>
        <row r="14374">
          <cell r="L14374" t="str">
            <v>74288744</v>
          </cell>
        </row>
        <row r="14375">
          <cell r="L14375" t="str">
            <v>74291845</v>
          </cell>
        </row>
        <row r="14376">
          <cell r="L14376" t="str">
            <v>74292200</v>
          </cell>
        </row>
        <row r="14377">
          <cell r="L14377" t="str">
            <v>74293071</v>
          </cell>
        </row>
        <row r="14378">
          <cell r="L14378" t="str">
            <v>74293347</v>
          </cell>
        </row>
        <row r="14379">
          <cell r="L14379" t="str">
            <v>74293642</v>
          </cell>
        </row>
        <row r="14380">
          <cell r="L14380" t="str">
            <v>74293660</v>
          </cell>
        </row>
        <row r="14381">
          <cell r="L14381" t="str">
            <v>74293705</v>
          </cell>
        </row>
        <row r="14382">
          <cell r="L14382" t="str">
            <v>74293943</v>
          </cell>
        </row>
        <row r="14383">
          <cell r="L14383" t="str">
            <v>74294723</v>
          </cell>
        </row>
        <row r="14384">
          <cell r="L14384" t="str">
            <v>74294729</v>
          </cell>
        </row>
        <row r="14385">
          <cell r="L14385" t="str">
            <v>74294799</v>
          </cell>
        </row>
        <row r="14386">
          <cell r="L14386" t="str">
            <v>74294919</v>
          </cell>
        </row>
        <row r="14387">
          <cell r="L14387" t="str">
            <v>74294942</v>
          </cell>
        </row>
        <row r="14388">
          <cell r="L14388" t="str">
            <v>74295743</v>
          </cell>
        </row>
        <row r="14389">
          <cell r="L14389" t="str">
            <v>74296619</v>
          </cell>
        </row>
        <row r="14390">
          <cell r="L14390" t="str">
            <v>74296861</v>
          </cell>
        </row>
        <row r="14391">
          <cell r="L14391" t="str">
            <v>74297217</v>
          </cell>
        </row>
        <row r="14392">
          <cell r="L14392" t="str">
            <v>74297572</v>
          </cell>
        </row>
        <row r="14393">
          <cell r="L14393" t="str">
            <v>74297999</v>
          </cell>
        </row>
        <row r="14394">
          <cell r="L14394" t="str">
            <v>74298005</v>
          </cell>
        </row>
        <row r="14395">
          <cell r="L14395" t="str">
            <v>74298794</v>
          </cell>
        </row>
        <row r="14396">
          <cell r="L14396" t="str">
            <v>74298820</v>
          </cell>
        </row>
        <row r="14397">
          <cell r="L14397" t="str">
            <v>74299461</v>
          </cell>
        </row>
        <row r="14398">
          <cell r="L14398" t="str">
            <v>74300080</v>
          </cell>
        </row>
        <row r="14399">
          <cell r="L14399" t="str">
            <v>74300480</v>
          </cell>
        </row>
        <row r="14400">
          <cell r="L14400" t="str">
            <v>74300481</v>
          </cell>
        </row>
        <row r="14401">
          <cell r="L14401" t="str">
            <v>74300482</v>
          </cell>
        </row>
        <row r="14402">
          <cell r="L14402" t="str">
            <v>74300580</v>
          </cell>
        </row>
        <row r="14403">
          <cell r="L14403" t="str">
            <v>74300638</v>
          </cell>
        </row>
        <row r="14404">
          <cell r="L14404" t="str">
            <v>74300742</v>
          </cell>
        </row>
        <row r="14405">
          <cell r="L14405" t="str">
            <v>74301099</v>
          </cell>
        </row>
        <row r="14406">
          <cell r="L14406" t="str">
            <v>74301402</v>
          </cell>
        </row>
        <row r="14407">
          <cell r="L14407" t="str">
            <v>74301576</v>
          </cell>
        </row>
        <row r="14408">
          <cell r="L14408" t="str">
            <v>74302401</v>
          </cell>
        </row>
        <row r="14409">
          <cell r="L14409" t="str">
            <v>74302742</v>
          </cell>
        </row>
        <row r="14410">
          <cell r="L14410" t="str">
            <v>74303301</v>
          </cell>
        </row>
        <row r="14411">
          <cell r="L14411" t="str">
            <v>74304644</v>
          </cell>
        </row>
        <row r="14412">
          <cell r="L14412" t="str">
            <v>74304646</v>
          </cell>
        </row>
        <row r="14413">
          <cell r="L14413" t="str">
            <v>74305020</v>
          </cell>
        </row>
        <row r="14414">
          <cell r="L14414" t="str">
            <v>74305193</v>
          </cell>
        </row>
        <row r="14415">
          <cell r="L14415" t="str">
            <v>74307280</v>
          </cell>
        </row>
        <row r="14416">
          <cell r="L14416" t="str">
            <v>74307380</v>
          </cell>
        </row>
        <row r="14417">
          <cell r="L14417" t="str">
            <v>74308208</v>
          </cell>
        </row>
        <row r="14418">
          <cell r="L14418" t="str">
            <v>74308210</v>
          </cell>
        </row>
        <row r="14419">
          <cell r="L14419" t="str">
            <v>74308500</v>
          </cell>
        </row>
        <row r="14420">
          <cell r="L14420" t="str">
            <v>74308724</v>
          </cell>
        </row>
        <row r="14421">
          <cell r="L14421" t="str">
            <v>74309120</v>
          </cell>
        </row>
        <row r="14422">
          <cell r="L14422" t="str">
            <v>74309444</v>
          </cell>
        </row>
        <row r="14423">
          <cell r="L14423" t="str">
            <v>74309605</v>
          </cell>
        </row>
        <row r="14424">
          <cell r="L14424" t="str">
            <v>74310272</v>
          </cell>
        </row>
        <row r="14425">
          <cell r="L14425" t="str">
            <v>74310311</v>
          </cell>
        </row>
        <row r="14426">
          <cell r="L14426" t="str">
            <v>74310421</v>
          </cell>
        </row>
        <row r="14427">
          <cell r="L14427" t="str">
            <v>74310585</v>
          </cell>
        </row>
        <row r="14428">
          <cell r="L14428" t="str">
            <v>74311491</v>
          </cell>
        </row>
        <row r="14429">
          <cell r="L14429" t="str">
            <v>74311623</v>
          </cell>
        </row>
        <row r="14430">
          <cell r="L14430" t="str">
            <v>74312220</v>
          </cell>
        </row>
        <row r="14431">
          <cell r="L14431" t="str">
            <v>74312221</v>
          </cell>
        </row>
        <row r="14432">
          <cell r="L14432" t="str">
            <v>74312226</v>
          </cell>
        </row>
        <row r="14433">
          <cell r="L14433" t="str">
            <v>74312235</v>
          </cell>
        </row>
        <row r="14434">
          <cell r="L14434" t="str">
            <v>74313162</v>
          </cell>
        </row>
        <row r="14435">
          <cell r="L14435" t="str">
            <v>74313339</v>
          </cell>
        </row>
        <row r="14436">
          <cell r="L14436" t="str">
            <v>74314020</v>
          </cell>
        </row>
        <row r="14437">
          <cell r="L14437" t="str">
            <v>74314300</v>
          </cell>
        </row>
        <row r="14438">
          <cell r="L14438" t="str">
            <v>74314886</v>
          </cell>
        </row>
        <row r="14439">
          <cell r="L14439" t="str">
            <v>74315484</v>
          </cell>
        </row>
        <row r="14440">
          <cell r="L14440" t="str">
            <v>74315767</v>
          </cell>
        </row>
        <row r="14441">
          <cell r="L14441" t="str">
            <v>74317001</v>
          </cell>
        </row>
        <row r="14442">
          <cell r="L14442" t="str">
            <v>74317617</v>
          </cell>
        </row>
        <row r="14443">
          <cell r="L14443" t="str">
            <v>74318083</v>
          </cell>
        </row>
        <row r="14444">
          <cell r="L14444" t="str">
            <v>74318203</v>
          </cell>
        </row>
        <row r="14445">
          <cell r="L14445" t="str">
            <v>74318579</v>
          </cell>
        </row>
        <row r="14446">
          <cell r="L14446" t="str">
            <v>74319722</v>
          </cell>
        </row>
        <row r="14447">
          <cell r="L14447" t="str">
            <v>74321248</v>
          </cell>
        </row>
        <row r="14448">
          <cell r="L14448" t="str">
            <v>74323239</v>
          </cell>
        </row>
        <row r="14449">
          <cell r="L14449" t="str">
            <v>74325279</v>
          </cell>
        </row>
        <row r="14450">
          <cell r="L14450" t="str">
            <v>74260900</v>
          </cell>
        </row>
        <row r="14451">
          <cell r="L14451" t="str">
            <v>74298691</v>
          </cell>
        </row>
        <row r="14452">
          <cell r="L14452" t="str">
            <v>74299372</v>
          </cell>
        </row>
        <row r="14453">
          <cell r="L14453" t="str">
            <v>74299928</v>
          </cell>
        </row>
        <row r="14454">
          <cell r="L14454" t="str">
            <v>74299929</v>
          </cell>
        </row>
        <row r="14455">
          <cell r="L14455" t="str">
            <v>74258904</v>
          </cell>
        </row>
        <row r="14456">
          <cell r="L14456" t="str">
            <v>74265959</v>
          </cell>
        </row>
        <row r="14457">
          <cell r="L14457" t="str">
            <v>74270087</v>
          </cell>
        </row>
        <row r="14458">
          <cell r="L14458" t="str">
            <v>74287999</v>
          </cell>
        </row>
        <row r="14459">
          <cell r="L14459" t="str">
            <v>74300099</v>
          </cell>
        </row>
        <row r="14460">
          <cell r="L14460" t="str">
            <v>74302902</v>
          </cell>
        </row>
        <row r="14461">
          <cell r="L14461" t="str">
            <v>74311840</v>
          </cell>
        </row>
        <row r="14462">
          <cell r="L14462" t="str">
            <v>74250779</v>
          </cell>
        </row>
        <row r="14463">
          <cell r="L14463" t="str">
            <v>74306334</v>
          </cell>
        </row>
        <row r="14464">
          <cell r="L14464" t="str">
            <v>74203319</v>
          </cell>
        </row>
        <row r="14465">
          <cell r="L14465" t="str">
            <v>74205981</v>
          </cell>
        </row>
        <row r="14466">
          <cell r="L14466" t="str">
            <v>74188138</v>
          </cell>
        </row>
        <row r="14467">
          <cell r="L14467" t="str">
            <v>74202569</v>
          </cell>
        </row>
        <row r="14468">
          <cell r="L14468" t="str">
            <v>74213143</v>
          </cell>
        </row>
        <row r="14469">
          <cell r="L14469" t="str">
            <v>74213902</v>
          </cell>
        </row>
        <row r="14470">
          <cell r="L14470" t="str">
            <v>74233283</v>
          </cell>
        </row>
        <row r="14471">
          <cell r="L14471" t="str">
            <v>74241081</v>
          </cell>
        </row>
        <row r="14472">
          <cell r="L14472" t="str">
            <v>74258902</v>
          </cell>
        </row>
        <row r="14473">
          <cell r="L14473" t="str">
            <v>74259196</v>
          </cell>
        </row>
        <row r="14474">
          <cell r="L14474" t="str">
            <v>74275020</v>
          </cell>
        </row>
        <row r="14475">
          <cell r="L14475" t="str">
            <v>74281382</v>
          </cell>
        </row>
        <row r="14476">
          <cell r="L14476" t="str">
            <v>74281770</v>
          </cell>
        </row>
        <row r="14477">
          <cell r="L14477" t="str">
            <v>74282559</v>
          </cell>
        </row>
        <row r="14478">
          <cell r="L14478" t="str">
            <v>74295862</v>
          </cell>
        </row>
        <row r="14479">
          <cell r="L14479" t="str">
            <v>74189429</v>
          </cell>
        </row>
        <row r="14480">
          <cell r="L14480" t="str">
            <v>74191188</v>
          </cell>
        </row>
        <row r="14481">
          <cell r="L14481" t="str">
            <v>74197405</v>
          </cell>
        </row>
        <row r="14482">
          <cell r="L14482" t="str">
            <v>74200860</v>
          </cell>
        </row>
        <row r="14483">
          <cell r="L14483" t="str">
            <v>74236239</v>
          </cell>
        </row>
        <row r="14484">
          <cell r="L14484" t="str">
            <v>74238239</v>
          </cell>
        </row>
        <row r="14485">
          <cell r="L14485" t="str">
            <v>74245979</v>
          </cell>
        </row>
        <row r="14486">
          <cell r="L14486" t="str">
            <v>74258820</v>
          </cell>
        </row>
        <row r="14487">
          <cell r="L14487" t="str">
            <v>74274960</v>
          </cell>
        </row>
        <row r="14488">
          <cell r="L14488" t="str">
            <v>74283064</v>
          </cell>
        </row>
        <row r="14489">
          <cell r="L14489" t="str">
            <v>74283065</v>
          </cell>
        </row>
        <row r="14490">
          <cell r="L14490" t="str">
            <v>74283965</v>
          </cell>
        </row>
        <row r="14491">
          <cell r="L14491" t="str">
            <v>74253066</v>
          </cell>
        </row>
        <row r="14492">
          <cell r="L14492" t="str">
            <v>200BT8761</v>
          </cell>
        </row>
        <row r="14493">
          <cell r="L14493" t="str">
            <v>BD7482CNG02</v>
          </cell>
        </row>
        <row r="14494">
          <cell r="L14494" t="str">
            <v>BT1724CNG02</v>
          </cell>
        </row>
        <row r="14495">
          <cell r="L14495" t="str">
            <v>BT2488CNG02</v>
          </cell>
        </row>
        <row r="14496">
          <cell r="L14496" t="str">
            <v>BT4541CNG02</v>
          </cell>
        </row>
        <row r="14497">
          <cell r="L14497" t="str">
            <v>BT5027CNG01</v>
          </cell>
        </row>
        <row r="14498">
          <cell r="L14498" t="str">
            <v>BT5068CNG02</v>
          </cell>
        </row>
        <row r="14499">
          <cell r="L14499" t="str">
            <v>BT7482CNG02</v>
          </cell>
        </row>
        <row r="14500">
          <cell r="L14500" t="str">
            <v>BT9300CG1R</v>
          </cell>
        </row>
        <row r="14501">
          <cell r="L14501" t="str">
            <v>BT9953CNG01</v>
          </cell>
        </row>
        <row r="14502">
          <cell r="L14502" t="str">
            <v>BT9954CNG01</v>
          </cell>
        </row>
        <row r="14503">
          <cell r="L14503" t="str">
            <v>BT9954CNG03</v>
          </cell>
        </row>
        <row r="14504">
          <cell r="L14504" t="str">
            <v>CDBS</v>
          </cell>
        </row>
        <row r="14505">
          <cell r="L14505" t="str">
            <v>CRAMST</v>
          </cell>
        </row>
        <row r="14506">
          <cell r="L14506" t="str">
            <v>CRCORPT</v>
          </cell>
        </row>
        <row r="14507">
          <cell r="L14507" t="str">
            <v>CTBS0067</v>
          </cell>
        </row>
        <row r="14508">
          <cell r="L14508" t="str">
            <v>CTBS0112</v>
          </cell>
        </row>
        <row r="14509">
          <cell r="L14509" t="str">
            <v>CTBS0117</v>
          </cell>
        </row>
        <row r="14510">
          <cell r="L14510" t="str">
            <v>CTBS0121</v>
          </cell>
        </row>
        <row r="14511">
          <cell r="L14511" t="str">
            <v>CTBS0123</v>
          </cell>
        </row>
        <row r="14512">
          <cell r="L14512" t="str">
            <v>CTBS0124</v>
          </cell>
        </row>
        <row r="14513">
          <cell r="L14513" t="str">
            <v>CTBS0127</v>
          </cell>
        </row>
        <row r="14514">
          <cell r="L14514" t="str">
            <v>CTBS0128</v>
          </cell>
        </row>
        <row r="14515">
          <cell r="L14515" t="str">
            <v>CTBS0129</v>
          </cell>
        </row>
        <row r="14516">
          <cell r="L14516" t="str">
            <v>CTBS0130</v>
          </cell>
        </row>
        <row r="14517">
          <cell r="L14517" t="str">
            <v>CTBS0131</v>
          </cell>
        </row>
        <row r="14518">
          <cell r="L14518" t="str">
            <v>CTBS0132</v>
          </cell>
        </row>
        <row r="14519">
          <cell r="L14519" t="str">
            <v>CTBS0134</v>
          </cell>
        </row>
        <row r="14520">
          <cell r="L14520" t="str">
            <v>CTBS0135</v>
          </cell>
        </row>
        <row r="14521">
          <cell r="L14521" t="str">
            <v>CTBS0136</v>
          </cell>
        </row>
        <row r="14522">
          <cell r="L14522" t="str">
            <v>CTBS0137</v>
          </cell>
        </row>
        <row r="14523">
          <cell r="L14523" t="str">
            <v>CTBS0138</v>
          </cell>
        </row>
        <row r="14524">
          <cell r="L14524" t="str">
            <v>CTBS0142</v>
          </cell>
        </row>
        <row r="14525">
          <cell r="L14525" t="str">
            <v>CTBS0143</v>
          </cell>
        </row>
        <row r="14526">
          <cell r="L14526" t="str">
            <v>CTBS0146</v>
          </cell>
        </row>
        <row r="14527">
          <cell r="L14527" t="str">
            <v>CTBS0147</v>
          </cell>
        </row>
        <row r="14528">
          <cell r="L14528" t="str">
            <v>CTBS0149</v>
          </cell>
        </row>
        <row r="14529">
          <cell r="L14529" t="str">
            <v>CTBS0150</v>
          </cell>
        </row>
        <row r="14530">
          <cell r="L14530" t="str">
            <v>CTBS0151</v>
          </cell>
        </row>
        <row r="14531">
          <cell r="L14531" t="str">
            <v>CTBS0153</v>
          </cell>
        </row>
        <row r="14532">
          <cell r="L14532" t="str">
            <v>CTBS0154</v>
          </cell>
        </row>
        <row r="14533">
          <cell r="L14533" t="str">
            <v>CTBS0155</v>
          </cell>
        </row>
        <row r="14534">
          <cell r="L14534" t="str">
            <v>CTBS0156</v>
          </cell>
        </row>
        <row r="14535">
          <cell r="L14535" t="str">
            <v>CTBS0158</v>
          </cell>
        </row>
        <row r="14536">
          <cell r="L14536" t="str">
            <v>CTBS0159</v>
          </cell>
        </row>
        <row r="14537">
          <cell r="L14537" t="str">
            <v>CTBS0160</v>
          </cell>
        </row>
        <row r="14538">
          <cell r="L14538" t="str">
            <v>CTBS0161</v>
          </cell>
        </row>
        <row r="14539">
          <cell r="L14539" t="str">
            <v>CTBS0164</v>
          </cell>
        </row>
        <row r="14540">
          <cell r="L14540" t="str">
            <v>CTBS0166</v>
          </cell>
        </row>
        <row r="14541">
          <cell r="L14541" t="str">
            <v>CTBS0168</v>
          </cell>
        </row>
        <row r="14542">
          <cell r="L14542" t="str">
            <v>CTBS0171</v>
          </cell>
        </row>
        <row r="14543">
          <cell r="L14543" t="str">
            <v>CTBS0173</v>
          </cell>
        </row>
        <row r="14544">
          <cell r="L14544" t="str">
            <v>CTBS0199</v>
          </cell>
        </row>
        <row r="14545">
          <cell r="L14545" t="str">
            <v>CTBSB019</v>
          </cell>
        </row>
        <row r="14546">
          <cell r="L14546" t="str">
            <v>CTBSB038</v>
          </cell>
        </row>
        <row r="14547">
          <cell r="L14547" t="str">
            <v>CTFMOB</v>
          </cell>
        </row>
        <row r="14548">
          <cell r="L14548" t="str">
            <v>CTINS</v>
          </cell>
        </row>
        <row r="14549">
          <cell r="L14549" t="str">
            <v>CTSDELTA</v>
          </cell>
        </row>
        <row r="14550">
          <cell r="L14550" t="str">
            <v>FN08TE130</v>
          </cell>
        </row>
        <row r="14551">
          <cell r="L14551" t="str">
            <v>FN08TE143</v>
          </cell>
        </row>
        <row r="14552">
          <cell r="L14552" t="str">
            <v>FN08TE155</v>
          </cell>
        </row>
        <row r="14553">
          <cell r="L14553" t="str">
            <v>FN08TE158</v>
          </cell>
        </row>
        <row r="14554">
          <cell r="L14554" t="str">
            <v>FN08TE163</v>
          </cell>
        </row>
        <row r="14555">
          <cell r="L14555" t="str">
            <v>FN08TE164</v>
          </cell>
        </row>
        <row r="14556">
          <cell r="L14556" t="str">
            <v>FN08TE165</v>
          </cell>
        </row>
        <row r="14557">
          <cell r="L14557" t="str">
            <v>FN08TE171</v>
          </cell>
        </row>
        <row r="14558">
          <cell r="L14558" t="str">
            <v>FN08TE202</v>
          </cell>
        </row>
        <row r="14559">
          <cell r="L14559" t="str">
            <v>G920</v>
          </cell>
        </row>
        <row r="14560">
          <cell r="L14560" t="str">
            <v>MPCG1OH12</v>
          </cell>
        </row>
        <row r="14561">
          <cell r="L14561" t="str">
            <v>TSCAMERA</v>
          </cell>
        </row>
        <row r="14562">
          <cell r="L14562" t="str">
            <v>TSCHEMREPL</v>
          </cell>
        </row>
        <row r="14563">
          <cell r="L14563" t="str">
            <v>TSFLUKE</v>
          </cell>
        </row>
        <row r="14564">
          <cell r="L14564" t="str">
            <v>TSTHERMOOF</v>
          </cell>
        </row>
        <row r="14565">
          <cell r="L14565" t="str">
            <v>TTSVEHFITOUT</v>
          </cell>
        </row>
        <row r="14566">
          <cell r="L14566" t="str">
            <v>X670</v>
          </cell>
        </row>
        <row r="14567">
          <cell r="L14567" t="str">
            <v>X7G0</v>
          </cell>
        </row>
        <row r="14568">
          <cell r="L14568" t="str">
            <v>XB41</v>
          </cell>
        </row>
        <row r="14569">
          <cell r="L14569" t="str">
            <v>X729</v>
          </cell>
        </row>
        <row r="14570">
          <cell r="L14570" t="str">
            <v>X538</v>
          </cell>
        </row>
        <row r="14571">
          <cell r="L14571" t="str">
            <v>X497</v>
          </cell>
        </row>
        <row r="14572">
          <cell r="L14572" t="str">
            <v>X498</v>
          </cell>
        </row>
        <row r="14573">
          <cell r="L14573" t="str">
            <v>X496</v>
          </cell>
        </row>
        <row r="14574">
          <cell r="L14574" t="str">
            <v>X461</v>
          </cell>
        </row>
        <row r="14575">
          <cell r="L14575" t="str">
            <v>X385</v>
          </cell>
        </row>
        <row r="14576">
          <cell r="L14576" t="str">
            <v>X412</v>
          </cell>
        </row>
        <row r="14577">
          <cell r="L14577" t="str">
            <v>X320</v>
          </cell>
        </row>
        <row r="14578">
          <cell r="L14578" t="str">
            <v>X3D2</v>
          </cell>
        </row>
        <row r="14579">
          <cell r="L14579" t="str">
            <v>X522</v>
          </cell>
        </row>
        <row r="14580">
          <cell r="L14580" t="str">
            <v>X384</v>
          </cell>
        </row>
        <row r="14581">
          <cell r="L14581" t="str">
            <v>X664</v>
          </cell>
        </row>
        <row r="14582">
          <cell r="L14582" t="str">
            <v>X515</v>
          </cell>
        </row>
        <row r="14583">
          <cell r="L14583" t="str">
            <v>X432</v>
          </cell>
        </row>
        <row r="14584">
          <cell r="L14584" t="str">
            <v>X490</v>
          </cell>
        </row>
        <row r="14585">
          <cell r="L14585" t="str">
            <v>X2A8</v>
          </cell>
        </row>
        <row r="14586">
          <cell r="L14586" t="str">
            <v>X730</v>
          </cell>
        </row>
        <row r="14587">
          <cell r="L14587" t="str">
            <v>X59178</v>
          </cell>
        </row>
        <row r="14588">
          <cell r="L14588" t="str">
            <v>X529</v>
          </cell>
        </row>
        <row r="14589">
          <cell r="L14589" t="str">
            <v>X3D3</v>
          </cell>
        </row>
        <row r="14590">
          <cell r="L14590" t="str">
            <v>X343</v>
          </cell>
        </row>
        <row r="14591">
          <cell r="L14591" t="str">
            <v>X344</v>
          </cell>
        </row>
        <row r="14592">
          <cell r="L14592" t="str">
            <v>X376</v>
          </cell>
        </row>
        <row r="14593">
          <cell r="L14593" t="str">
            <v>X458</v>
          </cell>
        </row>
        <row r="14594">
          <cell r="L14594" t="str">
            <v>X4B9</v>
          </cell>
        </row>
        <row r="14595">
          <cell r="L14595" t="str">
            <v>X373</v>
          </cell>
        </row>
        <row r="14596">
          <cell r="L14596" t="str">
            <v>X491</v>
          </cell>
        </row>
        <row r="14597">
          <cell r="L14597" t="str">
            <v>X428</v>
          </cell>
        </row>
        <row r="14598">
          <cell r="L14598" t="str">
            <v>X264</v>
          </cell>
        </row>
        <row r="14599">
          <cell r="L14599" t="str">
            <v>X3F6</v>
          </cell>
        </row>
        <row r="14600">
          <cell r="L14600" t="str">
            <v>X534</v>
          </cell>
        </row>
        <row r="14601">
          <cell r="L14601" t="str">
            <v>X574</v>
          </cell>
        </row>
        <row r="14602">
          <cell r="L14602" t="str">
            <v>X655</v>
          </cell>
        </row>
        <row r="14603">
          <cell r="L14603" t="str">
            <v>X488</v>
          </cell>
        </row>
        <row r="14604">
          <cell r="L14604" t="str">
            <v>X500</v>
          </cell>
        </row>
        <row r="14605">
          <cell r="L14605" t="str">
            <v>X460</v>
          </cell>
        </row>
        <row r="14606">
          <cell r="L14606" t="str">
            <v>X333</v>
          </cell>
        </row>
        <row r="14607">
          <cell r="L14607" t="str">
            <v>X272</v>
          </cell>
        </row>
        <row r="14608">
          <cell r="L14608" t="str">
            <v>X2A9</v>
          </cell>
        </row>
        <row r="14609">
          <cell r="L14609" t="str">
            <v>X406</v>
          </cell>
        </row>
        <row r="14610">
          <cell r="L14610" t="str">
            <v>X226</v>
          </cell>
        </row>
        <row r="14611">
          <cell r="L14611" t="str">
            <v>X228</v>
          </cell>
        </row>
        <row r="14612">
          <cell r="L14612" t="str">
            <v>X230</v>
          </cell>
        </row>
        <row r="14613">
          <cell r="L14613" t="str">
            <v>X336</v>
          </cell>
        </row>
        <row r="14614">
          <cell r="L14614" t="str">
            <v>X3E1</v>
          </cell>
        </row>
        <row r="14615">
          <cell r="L14615" t="str">
            <v>X536</v>
          </cell>
        </row>
        <row r="14616">
          <cell r="L14616" t="str">
            <v>X601</v>
          </cell>
        </row>
        <row r="14617">
          <cell r="L14617" t="str">
            <v>X256</v>
          </cell>
        </row>
        <row r="14618">
          <cell r="L14618" t="str">
            <v>X457</v>
          </cell>
        </row>
        <row r="14619">
          <cell r="L14619" t="str">
            <v>X731</v>
          </cell>
        </row>
        <row r="14620">
          <cell r="L14620" t="str">
            <v>X368</v>
          </cell>
        </row>
        <row r="14621">
          <cell r="L14621" t="str">
            <v>X513</v>
          </cell>
        </row>
        <row r="14622">
          <cell r="L14622" t="str">
            <v>X733</v>
          </cell>
        </row>
        <row r="14623">
          <cell r="L14623" t="str">
            <v>X572</v>
          </cell>
        </row>
        <row r="14624">
          <cell r="L14624" t="str">
            <v>X575</v>
          </cell>
        </row>
        <row r="14625">
          <cell r="L14625" t="str">
            <v>X566</v>
          </cell>
        </row>
        <row r="14626">
          <cell r="L14626" t="str">
            <v>X489</v>
          </cell>
        </row>
        <row r="14627">
          <cell r="L14627" t="str">
            <v>X523</v>
          </cell>
        </row>
        <row r="14628">
          <cell r="L14628" t="str">
            <v>X532</v>
          </cell>
        </row>
        <row r="14629">
          <cell r="L14629" t="str">
            <v>X550</v>
          </cell>
        </row>
        <row r="14630">
          <cell r="L14630" t="str">
            <v>X547</v>
          </cell>
        </row>
        <row r="14631">
          <cell r="L14631" t="str">
            <v>X543</v>
          </cell>
        </row>
        <row r="14632">
          <cell r="L14632" t="str">
            <v>X454</v>
          </cell>
        </row>
        <row r="14633">
          <cell r="L14633" t="str">
            <v>X464</v>
          </cell>
        </row>
        <row r="14634">
          <cell r="L14634" t="str">
            <v>X456</v>
          </cell>
        </row>
        <row r="14635">
          <cell r="L14635" t="str">
            <v>X518</v>
          </cell>
        </row>
        <row r="14636">
          <cell r="L14636" t="str">
            <v>X792</v>
          </cell>
        </row>
        <row r="14637">
          <cell r="L14637" t="str">
            <v>X569</v>
          </cell>
        </row>
        <row r="14638">
          <cell r="L14638" t="str">
            <v>X740</v>
          </cell>
        </row>
        <row r="14639">
          <cell r="L14639" t="str">
            <v>X3F2</v>
          </cell>
        </row>
        <row r="14640">
          <cell r="L14640" t="str">
            <v>X785</v>
          </cell>
        </row>
        <row r="14641">
          <cell r="L14641" t="str">
            <v>X606</v>
          </cell>
        </row>
        <row r="14642">
          <cell r="L14642" t="str">
            <v>X801</v>
          </cell>
        </row>
        <row r="14643">
          <cell r="L14643" t="str">
            <v>X636</v>
          </cell>
        </row>
        <row r="14644">
          <cell r="L14644" t="str">
            <v>X741</v>
          </cell>
        </row>
        <row r="14645">
          <cell r="L14645" t="str">
            <v>X724</v>
          </cell>
        </row>
        <row r="14646">
          <cell r="L14646" t="str">
            <v>X668</v>
          </cell>
        </row>
        <row r="14647">
          <cell r="L14647" t="str">
            <v>X508</v>
          </cell>
        </row>
        <row r="14648">
          <cell r="L14648" t="str">
            <v>X706</v>
          </cell>
        </row>
        <row r="14649">
          <cell r="L14649" t="str">
            <v>X711</v>
          </cell>
        </row>
        <row r="14650">
          <cell r="L14650" t="str">
            <v>X894</v>
          </cell>
        </row>
        <row r="14651">
          <cell r="L14651" t="str">
            <v>X742</v>
          </cell>
        </row>
        <row r="14652">
          <cell r="L14652" t="str">
            <v>X745</v>
          </cell>
        </row>
        <row r="14653">
          <cell r="L14653" t="str">
            <v>X744</v>
          </cell>
        </row>
        <row r="14654">
          <cell r="L14654" t="str">
            <v>X751</v>
          </cell>
        </row>
        <row r="14655">
          <cell r="L14655" t="str">
            <v>X895</v>
          </cell>
        </row>
        <row r="14656">
          <cell r="L14656" t="str">
            <v>X755</v>
          </cell>
        </row>
        <row r="14657">
          <cell r="L14657" t="str">
            <v>X779</v>
          </cell>
        </row>
        <row r="14658">
          <cell r="L14658" t="str">
            <v>X753</v>
          </cell>
        </row>
        <row r="14659">
          <cell r="L14659" t="str">
            <v>X765</v>
          </cell>
        </row>
        <row r="14660">
          <cell r="L14660" t="str">
            <v>X759</v>
          </cell>
        </row>
        <row r="14661">
          <cell r="L14661" t="str">
            <v>X7B2</v>
          </cell>
        </row>
        <row r="14662">
          <cell r="L14662" t="str">
            <v>X797</v>
          </cell>
        </row>
        <row r="14663">
          <cell r="L14663" t="str">
            <v>X657</v>
          </cell>
        </row>
        <row r="14664">
          <cell r="L14664" t="str">
            <v>X715</v>
          </cell>
        </row>
        <row r="14665">
          <cell r="L14665" t="str">
            <v>X798</v>
          </cell>
        </row>
        <row r="14666">
          <cell r="L14666" t="str">
            <v>X7A0</v>
          </cell>
        </row>
        <row r="14667">
          <cell r="L14667" t="str">
            <v>X7A3</v>
          </cell>
        </row>
        <row r="14668">
          <cell r="L14668" t="str">
            <v>X7B0</v>
          </cell>
        </row>
        <row r="14669">
          <cell r="L14669" t="str">
            <v>X768</v>
          </cell>
        </row>
        <row r="14670">
          <cell r="L14670" t="str">
            <v>X770</v>
          </cell>
        </row>
        <row r="14671">
          <cell r="L14671" t="str">
            <v>X707</v>
          </cell>
        </row>
        <row r="14672">
          <cell r="L14672" t="str">
            <v>74156551</v>
          </cell>
        </row>
        <row r="14673">
          <cell r="L14673" t="str">
            <v>X773</v>
          </cell>
        </row>
        <row r="14674">
          <cell r="L14674" t="str">
            <v>X7D4</v>
          </cell>
        </row>
        <row r="14675">
          <cell r="L14675" t="str">
            <v>X618</v>
          </cell>
        </row>
        <row r="14676">
          <cell r="L14676" t="str">
            <v>X7D2</v>
          </cell>
        </row>
        <row r="14677">
          <cell r="L14677" t="str">
            <v>X716</v>
          </cell>
        </row>
        <row r="14678">
          <cell r="L14678" t="str">
            <v>X7H7</v>
          </cell>
        </row>
        <row r="14679">
          <cell r="L14679" t="str">
            <v>X7C5</v>
          </cell>
        </row>
        <row r="14680">
          <cell r="L14680" t="str">
            <v>X8A9</v>
          </cell>
        </row>
        <row r="14681">
          <cell r="L14681" t="str">
            <v>X8B8</v>
          </cell>
        </row>
        <row r="14682">
          <cell r="L14682" t="str">
            <v>X7B5</v>
          </cell>
        </row>
        <row r="14683">
          <cell r="L14683" t="str">
            <v>X7D5</v>
          </cell>
        </row>
        <row r="14684">
          <cell r="L14684" t="str">
            <v>X816</v>
          </cell>
        </row>
        <row r="14685">
          <cell r="L14685" t="str">
            <v>X558</v>
          </cell>
        </row>
        <row r="14686">
          <cell r="L14686" t="str">
            <v>X726</v>
          </cell>
        </row>
        <row r="14687">
          <cell r="L14687" t="str">
            <v>X727</v>
          </cell>
        </row>
        <row r="14688">
          <cell r="L14688" t="str">
            <v>X710</v>
          </cell>
        </row>
        <row r="14689">
          <cell r="L14689" t="str">
            <v>X625</v>
          </cell>
        </row>
        <row r="14690">
          <cell r="L14690" t="str">
            <v>X7B4</v>
          </cell>
        </row>
        <row r="14691">
          <cell r="L14691" t="str">
            <v>X8B6</v>
          </cell>
        </row>
        <row r="14692">
          <cell r="L14692" t="str">
            <v>X7B6</v>
          </cell>
        </row>
        <row r="14693">
          <cell r="L14693" t="str">
            <v>X7D7</v>
          </cell>
        </row>
        <row r="14694">
          <cell r="L14694" t="str">
            <v>X7H2</v>
          </cell>
        </row>
        <row r="14695">
          <cell r="L14695" t="str">
            <v>X7E2</v>
          </cell>
        </row>
        <row r="14696">
          <cell r="L14696" t="str">
            <v>X8B9</v>
          </cell>
        </row>
        <row r="14697">
          <cell r="L14697" t="str">
            <v>X717</v>
          </cell>
        </row>
        <row r="14698">
          <cell r="L14698" t="str">
            <v>X712</v>
          </cell>
        </row>
        <row r="14699">
          <cell r="L14699" t="str">
            <v>X7E6</v>
          </cell>
        </row>
        <row r="14700">
          <cell r="L14700" t="str">
            <v>X721</v>
          </cell>
        </row>
        <row r="14701">
          <cell r="L14701" t="str">
            <v>X7C7</v>
          </cell>
        </row>
        <row r="14702">
          <cell r="L14702" t="str">
            <v>X7H3</v>
          </cell>
        </row>
        <row r="14703">
          <cell r="L14703" t="str">
            <v>X8B7</v>
          </cell>
        </row>
        <row r="14704">
          <cell r="L14704" t="str">
            <v>X7E1</v>
          </cell>
        </row>
        <row r="14705">
          <cell r="L14705" t="str">
            <v>X7E3</v>
          </cell>
        </row>
        <row r="14706">
          <cell r="L14706" t="str">
            <v>X7D8</v>
          </cell>
        </row>
        <row r="14707">
          <cell r="L14707" t="str">
            <v>X7D9</v>
          </cell>
        </row>
        <row r="14708">
          <cell r="L14708" t="str">
            <v>X7E0</v>
          </cell>
        </row>
        <row r="14709">
          <cell r="L14709" t="str">
            <v>X7E4</v>
          </cell>
        </row>
        <row r="14710">
          <cell r="L14710" t="str">
            <v>X7E5</v>
          </cell>
        </row>
        <row r="14711">
          <cell r="L14711" t="str">
            <v>X7E8</v>
          </cell>
        </row>
        <row r="14712">
          <cell r="L14712" t="str">
            <v>X7E9</v>
          </cell>
        </row>
        <row r="14713">
          <cell r="L14713" t="str">
            <v>X7F0</v>
          </cell>
        </row>
        <row r="14714">
          <cell r="L14714" t="str">
            <v>X7G1</v>
          </cell>
        </row>
        <row r="14715">
          <cell r="L14715" t="str">
            <v>X7G2</v>
          </cell>
        </row>
        <row r="14716">
          <cell r="L14716" t="str">
            <v>X7G3</v>
          </cell>
        </row>
        <row r="14717">
          <cell r="L14717" t="str">
            <v>X7G5</v>
          </cell>
        </row>
        <row r="14718">
          <cell r="L14718" t="str">
            <v>X870</v>
          </cell>
        </row>
        <row r="14719">
          <cell r="L14719" t="str">
            <v>X7G6</v>
          </cell>
        </row>
        <row r="14720">
          <cell r="L14720" t="str">
            <v>X7H1</v>
          </cell>
        </row>
        <row r="14721">
          <cell r="L14721" t="str">
            <v>XB40</v>
          </cell>
        </row>
        <row r="14722">
          <cell r="L14722" t="str">
            <v>X7H4</v>
          </cell>
        </row>
        <row r="14723">
          <cell r="L14723" t="str">
            <v>X7G9</v>
          </cell>
        </row>
        <row r="14724">
          <cell r="L14724" t="str">
            <v>X803</v>
          </cell>
        </row>
        <row r="14725">
          <cell r="L14725" t="str">
            <v>X804</v>
          </cell>
        </row>
        <row r="14726">
          <cell r="L14726" t="str">
            <v>X811</v>
          </cell>
        </row>
        <row r="14727">
          <cell r="L14727" t="str">
            <v>X824</v>
          </cell>
        </row>
        <row r="14728">
          <cell r="L14728" t="str">
            <v>X825</v>
          </cell>
        </row>
        <row r="14729">
          <cell r="L14729" t="str">
            <v>X827</v>
          </cell>
        </row>
        <row r="14730">
          <cell r="L14730" t="str">
            <v>X828</v>
          </cell>
        </row>
        <row r="14731">
          <cell r="L14731" t="str">
            <v>X829</v>
          </cell>
        </row>
        <row r="14732">
          <cell r="L14732" t="str">
            <v>X830</v>
          </cell>
        </row>
        <row r="14733">
          <cell r="L14733" t="str">
            <v>X831</v>
          </cell>
        </row>
        <row r="14734">
          <cell r="L14734" t="str">
            <v>X832</v>
          </cell>
        </row>
        <row r="14735">
          <cell r="L14735" t="str">
            <v>X833</v>
          </cell>
        </row>
        <row r="14736">
          <cell r="L14736" t="str">
            <v>X834</v>
          </cell>
        </row>
        <row r="14737">
          <cell r="L14737" t="str">
            <v>X835</v>
          </cell>
        </row>
        <row r="14738">
          <cell r="L14738" t="str">
            <v>X836</v>
          </cell>
        </row>
        <row r="14739">
          <cell r="L14739" t="str">
            <v>X837</v>
          </cell>
        </row>
        <row r="14740">
          <cell r="L14740" t="str">
            <v>X842</v>
          </cell>
        </row>
        <row r="14741">
          <cell r="L14741" t="str">
            <v>X840</v>
          </cell>
        </row>
        <row r="14742">
          <cell r="L14742" t="str">
            <v>X839</v>
          </cell>
        </row>
        <row r="14743">
          <cell r="L14743" t="str">
            <v>X841</v>
          </cell>
        </row>
        <row r="14744">
          <cell r="L14744" t="str">
            <v>X848</v>
          </cell>
        </row>
        <row r="14745">
          <cell r="L14745" t="str">
            <v>X847</v>
          </cell>
        </row>
        <row r="14746">
          <cell r="L14746" t="str">
            <v>X925</v>
          </cell>
        </row>
        <row r="14747">
          <cell r="L14747" t="str">
            <v>X846</v>
          </cell>
        </row>
        <row r="14748">
          <cell r="L14748" t="str">
            <v>X860</v>
          </cell>
        </row>
        <row r="14749">
          <cell r="L14749" t="str">
            <v>X864</v>
          </cell>
        </row>
        <row r="14750">
          <cell r="L14750" t="str">
            <v>X868</v>
          </cell>
        </row>
        <row r="14751">
          <cell r="L14751" t="str">
            <v>X869</v>
          </cell>
        </row>
        <row r="14752">
          <cell r="L14752" t="str">
            <v>X861</v>
          </cell>
        </row>
        <row r="14753">
          <cell r="L14753" t="str">
            <v>X859</v>
          </cell>
        </row>
        <row r="14754">
          <cell r="L14754" t="str">
            <v>X858</v>
          </cell>
        </row>
        <row r="14755">
          <cell r="L14755" t="str">
            <v>X854</v>
          </cell>
        </row>
        <row r="14756">
          <cell r="L14756" t="str">
            <v>X853</v>
          </cell>
        </row>
        <row r="14757">
          <cell r="L14757" t="str">
            <v>X852</v>
          </cell>
        </row>
        <row r="14758">
          <cell r="L14758" t="str">
            <v>X851</v>
          </cell>
        </row>
        <row r="14759">
          <cell r="L14759" t="str">
            <v>X850</v>
          </cell>
        </row>
        <row r="14760">
          <cell r="L14760" t="str">
            <v>X849</v>
          </cell>
        </row>
        <row r="14761">
          <cell r="L14761" t="str">
            <v>X874</v>
          </cell>
        </row>
        <row r="14762">
          <cell r="L14762" t="str">
            <v>X876</v>
          </cell>
        </row>
        <row r="14763">
          <cell r="L14763" t="str">
            <v>X877</v>
          </cell>
        </row>
        <row r="14764">
          <cell r="L14764" t="str">
            <v>X878</v>
          </cell>
        </row>
        <row r="14765">
          <cell r="L14765" t="str">
            <v>X879</v>
          </cell>
        </row>
        <row r="14766">
          <cell r="L14766" t="str">
            <v>X465</v>
          </cell>
        </row>
        <row r="14767">
          <cell r="L14767" t="str">
            <v>X884</v>
          </cell>
        </row>
        <row r="14768">
          <cell r="L14768" t="str">
            <v>X886</v>
          </cell>
        </row>
        <row r="14769">
          <cell r="L14769" t="str">
            <v>X888</v>
          </cell>
        </row>
        <row r="14770">
          <cell r="L14770" t="str">
            <v>X889</v>
          </cell>
        </row>
        <row r="14771">
          <cell r="L14771" t="str">
            <v>X890</v>
          </cell>
        </row>
        <row r="14772">
          <cell r="L14772" t="str">
            <v>X892</v>
          </cell>
        </row>
        <row r="14773">
          <cell r="L14773" t="str">
            <v>X896</v>
          </cell>
        </row>
        <row r="14774">
          <cell r="L14774" t="str">
            <v>X899</v>
          </cell>
        </row>
        <row r="14775">
          <cell r="L14775" t="str">
            <v>G811</v>
          </cell>
        </row>
        <row r="14776">
          <cell r="L14776" t="str">
            <v>X8A0</v>
          </cell>
        </row>
        <row r="14777">
          <cell r="L14777" t="str">
            <v>X8A6</v>
          </cell>
        </row>
        <row r="14778">
          <cell r="L14778" t="str">
            <v>X8C0</v>
          </cell>
        </row>
        <row r="14779">
          <cell r="L14779" t="str">
            <v>X8A4</v>
          </cell>
        </row>
        <row r="14780">
          <cell r="L14780" t="str">
            <v>X900</v>
          </cell>
        </row>
        <row r="14781">
          <cell r="L14781" t="str">
            <v>G904</v>
          </cell>
        </row>
        <row r="14782">
          <cell r="L14782" t="str">
            <v>X903</v>
          </cell>
        </row>
        <row r="14783">
          <cell r="L14783" t="str">
            <v>X916</v>
          </cell>
        </row>
        <row r="14784">
          <cell r="L14784" t="str">
            <v>X915</v>
          </cell>
        </row>
        <row r="14785">
          <cell r="L14785" t="str">
            <v>X906</v>
          </cell>
        </row>
        <row r="14786">
          <cell r="L14786" t="str">
            <v>X910</v>
          </cell>
        </row>
        <row r="14787">
          <cell r="L14787" t="str">
            <v>X919</v>
          </cell>
        </row>
        <row r="14788">
          <cell r="L14788" t="str">
            <v>X905</v>
          </cell>
        </row>
        <row r="14789">
          <cell r="L14789" t="str">
            <v>X907</v>
          </cell>
        </row>
        <row r="14790">
          <cell r="L14790" t="str">
            <v>X909</v>
          </cell>
        </row>
        <row r="14791">
          <cell r="L14791" t="str">
            <v>X917</v>
          </cell>
        </row>
        <row r="14792">
          <cell r="L14792" t="str">
            <v>X918</v>
          </cell>
        </row>
        <row r="14793">
          <cell r="L14793" t="str">
            <v>V956</v>
          </cell>
        </row>
        <row r="14794">
          <cell r="L14794" t="str">
            <v>X920</v>
          </cell>
        </row>
        <row r="14795">
          <cell r="L14795" t="str">
            <v>X922</v>
          </cell>
        </row>
        <row r="14796">
          <cell r="L14796" t="str">
            <v>X923</v>
          </cell>
        </row>
        <row r="14797">
          <cell r="L14797" t="str">
            <v>X926</v>
          </cell>
        </row>
        <row r="14798">
          <cell r="L14798" t="str">
            <v>G916</v>
          </cell>
        </row>
        <row r="14799">
          <cell r="L14799" t="str">
            <v>X936</v>
          </cell>
        </row>
        <row r="14800">
          <cell r="L14800" t="str">
            <v>X938</v>
          </cell>
        </row>
        <row r="14801">
          <cell r="L14801" t="str">
            <v>X941</v>
          </cell>
        </row>
        <row r="14802">
          <cell r="L14802" t="str">
            <v>X942</v>
          </cell>
        </row>
        <row r="14803">
          <cell r="L14803" t="str">
            <v>X945</v>
          </cell>
        </row>
        <row r="14804">
          <cell r="L14804" t="str">
            <v>X939</v>
          </cell>
        </row>
        <row r="14805">
          <cell r="L14805" t="str">
            <v>X946</v>
          </cell>
        </row>
        <row r="14806">
          <cell r="L14806" t="str">
            <v>X943</v>
          </cell>
        </row>
        <row r="14807">
          <cell r="L14807" t="str">
            <v>X947</v>
          </cell>
        </row>
        <row r="14808">
          <cell r="L14808" t="str">
            <v>X927</v>
          </cell>
        </row>
        <row r="14809">
          <cell r="L14809" t="str">
            <v>X931</v>
          </cell>
        </row>
        <row r="14810">
          <cell r="L14810" t="str">
            <v>X933</v>
          </cell>
        </row>
        <row r="14811">
          <cell r="L14811" t="str">
            <v>X934</v>
          </cell>
        </row>
        <row r="14812">
          <cell r="L14812" t="str">
            <v>X935</v>
          </cell>
        </row>
        <row r="14813">
          <cell r="L14813" t="str">
            <v>X937</v>
          </cell>
        </row>
        <row r="14814">
          <cell r="L14814" t="str">
            <v>X709</v>
          </cell>
        </row>
        <row r="14815">
          <cell r="L14815" t="str">
            <v>X929</v>
          </cell>
        </row>
        <row r="14816">
          <cell r="L14816" t="str">
            <v>X928</v>
          </cell>
        </row>
        <row r="14817">
          <cell r="L14817" t="str">
            <v>G911</v>
          </cell>
        </row>
        <row r="14818">
          <cell r="L14818" t="str">
            <v>X948</v>
          </cell>
        </row>
        <row r="14819">
          <cell r="L14819" t="str">
            <v>X949</v>
          </cell>
        </row>
        <row r="14820">
          <cell r="L14820" t="str">
            <v>G922</v>
          </cell>
        </row>
        <row r="14821">
          <cell r="L14821" t="str">
            <v>XA01</v>
          </cell>
        </row>
        <row r="14822">
          <cell r="L14822" t="str">
            <v>XA04</v>
          </cell>
        </row>
        <row r="14823">
          <cell r="L14823" t="str">
            <v>XA05</v>
          </cell>
        </row>
        <row r="14824">
          <cell r="L14824" t="str">
            <v>XA02</v>
          </cell>
        </row>
        <row r="14825">
          <cell r="L14825" t="str">
            <v>XA03</v>
          </cell>
        </row>
        <row r="14826">
          <cell r="L14826" t="str">
            <v>XA06</v>
          </cell>
        </row>
        <row r="14827">
          <cell r="L14827" t="str">
            <v>XA07</v>
          </cell>
        </row>
        <row r="14828">
          <cell r="L14828" t="str">
            <v>XA09</v>
          </cell>
        </row>
        <row r="14829">
          <cell r="L14829" t="str">
            <v>XA10</v>
          </cell>
        </row>
        <row r="14830">
          <cell r="L14830" t="str">
            <v>XA13</v>
          </cell>
        </row>
        <row r="14831">
          <cell r="L14831" t="str">
            <v>XA14</v>
          </cell>
        </row>
        <row r="14832">
          <cell r="L14832" t="str">
            <v>GA02</v>
          </cell>
        </row>
        <row r="14833">
          <cell r="L14833" t="str">
            <v>XA15</v>
          </cell>
        </row>
        <row r="14834">
          <cell r="L14834" t="str">
            <v>XA17</v>
          </cell>
        </row>
        <row r="14835">
          <cell r="L14835" t="str">
            <v>GA03</v>
          </cell>
        </row>
        <row r="14836">
          <cell r="L14836" t="str">
            <v>XA18</v>
          </cell>
        </row>
        <row r="14837">
          <cell r="L14837" t="str">
            <v>XA19</v>
          </cell>
        </row>
        <row r="14838">
          <cell r="L14838" t="str">
            <v>XA20</v>
          </cell>
        </row>
        <row r="14839">
          <cell r="L14839" t="str">
            <v>XA22</v>
          </cell>
        </row>
        <row r="14840">
          <cell r="L14840" t="str">
            <v>XA23</v>
          </cell>
        </row>
        <row r="14841">
          <cell r="L14841" t="str">
            <v>XA24</v>
          </cell>
        </row>
        <row r="14842">
          <cell r="L14842" t="str">
            <v>XA25</v>
          </cell>
        </row>
        <row r="14843">
          <cell r="L14843" t="str">
            <v>XA27</v>
          </cell>
        </row>
        <row r="14844">
          <cell r="L14844" t="str">
            <v>XA29</v>
          </cell>
        </row>
        <row r="14845">
          <cell r="L14845" t="str">
            <v>XA30</v>
          </cell>
        </row>
        <row r="14846">
          <cell r="L14846" t="str">
            <v>XA32</v>
          </cell>
        </row>
        <row r="14847">
          <cell r="L14847" t="str">
            <v>XA33</v>
          </cell>
        </row>
        <row r="14848">
          <cell r="L14848" t="str">
            <v>XA34</v>
          </cell>
        </row>
        <row r="14849">
          <cell r="L14849" t="str">
            <v>XA35</v>
          </cell>
        </row>
        <row r="14850">
          <cell r="L14850" t="str">
            <v>XA36</v>
          </cell>
        </row>
        <row r="14851">
          <cell r="L14851" t="str">
            <v>XA38</v>
          </cell>
        </row>
        <row r="14852">
          <cell r="L14852" t="str">
            <v>XA37</v>
          </cell>
        </row>
        <row r="14853">
          <cell r="L14853" t="str">
            <v>XA39</v>
          </cell>
        </row>
        <row r="14854">
          <cell r="L14854" t="str">
            <v>XA40</v>
          </cell>
        </row>
        <row r="14855">
          <cell r="L14855" t="str">
            <v>XA41</v>
          </cell>
        </row>
        <row r="14856">
          <cell r="L14856" t="str">
            <v>XA42</v>
          </cell>
        </row>
        <row r="14857">
          <cell r="L14857" t="str">
            <v>XA44</v>
          </cell>
        </row>
        <row r="14858">
          <cell r="L14858" t="str">
            <v>XA45</v>
          </cell>
        </row>
        <row r="14859">
          <cell r="L14859" t="str">
            <v>XA46</v>
          </cell>
        </row>
        <row r="14860">
          <cell r="L14860" t="str">
            <v>XA47</v>
          </cell>
        </row>
        <row r="14861">
          <cell r="L14861" t="str">
            <v>XA48</v>
          </cell>
        </row>
        <row r="14862">
          <cell r="L14862" t="str">
            <v>XA49</v>
          </cell>
        </row>
        <row r="14863">
          <cell r="L14863" t="str">
            <v>XA50</v>
          </cell>
        </row>
        <row r="14864">
          <cell r="L14864" t="str">
            <v>XA51</v>
          </cell>
        </row>
        <row r="14865">
          <cell r="L14865" t="str">
            <v>XA52</v>
          </cell>
        </row>
        <row r="14866">
          <cell r="L14866" t="str">
            <v>XA57</v>
          </cell>
        </row>
        <row r="14867">
          <cell r="L14867" t="str">
            <v>XA56</v>
          </cell>
        </row>
        <row r="14868">
          <cell r="L14868" t="str">
            <v>XA54</v>
          </cell>
        </row>
        <row r="14869">
          <cell r="L14869" t="str">
            <v>XA53</v>
          </cell>
        </row>
        <row r="14870">
          <cell r="L14870" t="str">
            <v>XA62</v>
          </cell>
        </row>
        <row r="14871">
          <cell r="L14871" t="str">
            <v>XA66</v>
          </cell>
        </row>
        <row r="14872">
          <cell r="L14872" t="str">
            <v>XA67</v>
          </cell>
        </row>
        <row r="14873">
          <cell r="L14873" t="str">
            <v>XA69</v>
          </cell>
        </row>
        <row r="14874">
          <cell r="L14874" t="str">
            <v>XA71</v>
          </cell>
        </row>
        <row r="14875">
          <cell r="L14875" t="str">
            <v>XA72</v>
          </cell>
        </row>
        <row r="14876">
          <cell r="L14876" t="str">
            <v>XA55</v>
          </cell>
        </row>
        <row r="14877">
          <cell r="L14877" t="str">
            <v>XA74</v>
          </cell>
        </row>
        <row r="14878">
          <cell r="L14878" t="str">
            <v>XA63</v>
          </cell>
        </row>
        <row r="14879">
          <cell r="L14879" t="str">
            <v>XA64</v>
          </cell>
        </row>
        <row r="14880">
          <cell r="L14880" t="str">
            <v>XA76</v>
          </cell>
        </row>
        <row r="14881">
          <cell r="L14881" t="str">
            <v>XA77</v>
          </cell>
        </row>
        <row r="14882">
          <cell r="L14882" t="str">
            <v>XA78</v>
          </cell>
        </row>
        <row r="14883">
          <cell r="L14883" t="str">
            <v>XA80</v>
          </cell>
        </row>
        <row r="14884">
          <cell r="L14884" t="str">
            <v>XA81</v>
          </cell>
        </row>
        <row r="14885">
          <cell r="L14885" t="str">
            <v>XA82</v>
          </cell>
        </row>
        <row r="14886">
          <cell r="L14886" t="str">
            <v>XB00</v>
          </cell>
        </row>
        <row r="14887">
          <cell r="L14887" t="str">
            <v>XB02</v>
          </cell>
        </row>
        <row r="14888">
          <cell r="L14888" t="str">
            <v>XB05</v>
          </cell>
        </row>
        <row r="14889">
          <cell r="L14889" t="str">
            <v>XB07</v>
          </cell>
        </row>
        <row r="14890">
          <cell r="L14890" t="str">
            <v>XB08</v>
          </cell>
        </row>
        <row r="14891">
          <cell r="L14891" t="str">
            <v>XB09</v>
          </cell>
        </row>
        <row r="14892">
          <cell r="L14892" t="str">
            <v>XB10</v>
          </cell>
        </row>
        <row r="14893">
          <cell r="L14893" t="str">
            <v>XB11</v>
          </cell>
        </row>
        <row r="14894">
          <cell r="L14894" t="str">
            <v>XB12</v>
          </cell>
        </row>
        <row r="14895">
          <cell r="L14895" t="str">
            <v>XB13</v>
          </cell>
        </row>
        <row r="14896">
          <cell r="L14896" t="str">
            <v>XB14</v>
          </cell>
        </row>
        <row r="14897">
          <cell r="L14897" t="str">
            <v>XB15</v>
          </cell>
        </row>
        <row r="14898">
          <cell r="L14898" t="str">
            <v>XB16</v>
          </cell>
        </row>
        <row r="14899">
          <cell r="L14899" t="str">
            <v>XB17</v>
          </cell>
        </row>
        <row r="14900">
          <cell r="L14900" t="str">
            <v>XB18</v>
          </cell>
        </row>
        <row r="14901">
          <cell r="L14901" t="str">
            <v>XB19</v>
          </cell>
        </row>
        <row r="14902">
          <cell r="L14902" t="str">
            <v>XB20</v>
          </cell>
        </row>
        <row r="14903">
          <cell r="L14903" t="str">
            <v>XB21</v>
          </cell>
        </row>
        <row r="14904">
          <cell r="L14904" t="str">
            <v>XB22</v>
          </cell>
        </row>
        <row r="14905">
          <cell r="L14905" t="str">
            <v>XB23</v>
          </cell>
        </row>
        <row r="14906">
          <cell r="L14906" t="str">
            <v>XB24</v>
          </cell>
        </row>
        <row r="14907">
          <cell r="L14907" t="str">
            <v>XB25</v>
          </cell>
        </row>
        <row r="14908">
          <cell r="L14908" t="str">
            <v>XB26</v>
          </cell>
        </row>
        <row r="14909">
          <cell r="L14909" t="str">
            <v>XB27</v>
          </cell>
        </row>
        <row r="14910">
          <cell r="L14910" t="str">
            <v>XB28</v>
          </cell>
        </row>
        <row r="14911">
          <cell r="L14911" t="str">
            <v>XB29</v>
          </cell>
        </row>
        <row r="14912">
          <cell r="L14912" t="str">
            <v>XB30</v>
          </cell>
        </row>
        <row r="14913">
          <cell r="L14913" t="str">
            <v>XB31</v>
          </cell>
        </row>
        <row r="14914">
          <cell r="L14914" t="str">
            <v>XB32</v>
          </cell>
        </row>
        <row r="14915">
          <cell r="L14915" t="str">
            <v>XB33</v>
          </cell>
        </row>
        <row r="14916">
          <cell r="L14916" t="str">
            <v>XB34</v>
          </cell>
        </row>
        <row r="14917">
          <cell r="L14917" t="str">
            <v>XB35</v>
          </cell>
        </row>
        <row r="14918">
          <cell r="L14918" t="str">
            <v>XB36</v>
          </cell>
        </row>
        <row r="14919">
          <cell r="L14919" t="str">
            <v>GB00</v>
          </cell>
        </row>
        <row r="14920">
          <cell r="L14920" t="str">
            <v>GB01</v>
          </cell>
        </row>
        <row r="14921">
          <cell r="L14921" t="str">
            <v>XB38</v>
          </cell>
        </row>
        <row r="14922">
          <cell r="L14922" t="str">
            <v>XB42</v>
          </cell>
        </row>
        <row r="14923">
          <cell r="L14923" t="str">
            <v>XB43</v>
          </cell>
        </row>
        <row r="14924">
          <cell r="L14924" t="str">
            <v>XB44</v>
          </cell>
        </row>
        <row r="14925">
          <cell r="L14925" t="str">
            <v>XB45</v>
          </cell>
        </row>
        <row r="14926">
          <cell r="L14926" t="str">
            <v>XB46</v>
          </cell>
        </row>
        <row r="14927">
          <cell r="L14927" t="str">
            <v>XB47</v>
          </cell>
        </row>
        <row r="14928">
          <cell r="L14928" t="str">
            <v>XB48</v>
          </cell>
        </row>
        <row r="14929">
          <cell r="L14929" t="str">
            <v>XB49</v>
          </cell>
        </row>
        <row r="14930">
          <cell r="L14930" t="str">
            <v>XB50</v>
          </cell>
        </row>
        <row r="14931">
          <cell r="L14931" t="str">
            <v>XB51</v>
          </cell>
        </row>
        <row r="14932">
          <cell r="L14932" t="str">
            <v>XB52</v>
          </cell>
        </row>
        <row r="14933">
          <cell r="L14933" t="str">
            <v>GB02</v>
          </cell>
        </row>
        <row r="14934">
          <cell r="L14934" t="str">
            <v>XB53</v>
          </cell>
        </row>
        <row r="14935">
          <cell r="L14935" t="str">
            <v>XB54</v>
          </cell>
        </row>
        <row r="14936">
          <cell r="L14936" t="str">
            <v>XB56</v>
          </cell>
        </row>
        <row r="14937">
          <cell r="L14937" t="str">
            <v>Z812</v>
          </cell>
        </row>
        <row r="14938">
          <cell r="L14938" t="str">
            <v>BT9300CG3</v>
          </cell>
        </row>
        <row r="14939">
          <cell r="L14939" t="str">
            <v>MPCG3OH12</v>
          </cell>
        </row>
        <row r="14940">
          <cell r="L14940" t="str">
            <v>ZA29</v>
          </cell>
        </row>
        <row r="14941">
          <cell r="L14941" t="str">
            <v>Z901</v>
          </cell>
        </row>
        <row r="14942">
          <cell r="L14942" t="str">
            <v>Z730</v>
          </cell>
        </row>
        <row r="14943">
          <cell r="L14943" t="str">
            <v>ZA22</v>
          </cell>
        </row>
        <row r="14944">
          <cell r="L14944" t="str">
            <v>Z505</v>
          </cell>
        </row>
        <row r="14945">
          <cell r="L14945" t="str">
            <v>Z517</v>
          </cell>
        </row>
        <row r="14946">
          <cell r="L14946" t="str">
            <v>Z632</v>
          </cell>
        </row>
        <row r="14947">
          <cell r="L14947" t="str">
            <v>Z716</v>
          </cell>
        </row>
        <row r="14948">
          <cell r="L14948" t="str">
            <v>Z832</v>
          </cell>
        </row>
        <row r="14949">
          <cell r="L14949" t="str">
            <v>Z310</v>
          </cell>
        </row>
        <row r="14950">
          <cell r="L14950" t="str">
            <v>Z645</v>
          </cell>
        </row>
        <row r="14951">
          <cell r="L14951" t="str">
            <v>Z830</v>
          </cell>
        </row>
        <row r="14952">
          <cell r="L14952" t="str">
            <v>Z833</v>
          </cell>
        </row>
        <row r="14953">
          <cell r="L14953" t="str">
            <v>Z834</v>
          </cell>
        </row>
        <row r="14954">
          <cell r="L14954" t="str">
            <v>Z924</v>
          </cell>
        </row>
        <row r="14955">
          <cell r="L14955" t="str">
            <v>ZB19</v>
          </cell>
        </row>
        <row r="14956">
          <cell r="L14956" t="str">
            <v>ZB20</v>
          </cell>
        </row>
        <row r="14957">
          <cell r="L14957" t="str">
            <v>ZB21</v>
          </cell>
        </row>
        <row r="14958">
          <cell r="L14958" t="str">
            <v>Z610</v>
          </cell>
        </row>
        <row r="14959">
          <cell r="L14959" t="str">
            <v>Z829</v>
          </cell>
        </row>
        <row r="14960">
          <cell r="L14960" t="str">
            <v>Z909</v>
          </cell>
        </row>
        <row r="14961">
          <cell r="L14961" t="str">
            <v>ZA33</v>
          </cell>
        </row>
        <row r="14962">
          <cell r="L14962" t="str">
            <v>Z631</v>
          </cell>
        </row>
        <row r="14963">
          <cell r="L14963" t="str">
            <v>Z811</v>
          </cell>
        </row>
        <row r="14964">
          <cell r="L14964" t="str">
            <v>ZB16</v>
          </cell>
        </row>
        <row r="14965">
          <cell r="L14965" t="str">
            <v>ZA27</v>
          </cell>
        </row>
        <row r="14966">
          <cell r="L14966" t="str">
            <v>ZA34</v>
          </cell>
        </row>
        <row r="14967">
          <cell r="L14967" t="str">
            <v>ZB11</v>
          </cell>
        </row>
        <row r="14968">
          <cell r="L14968" t="str">
            <v>Z822</v>
          </cell>
        </row>
        <row r="14969">
          <cell r="L14969" t="str">
            <v>ZB17</v>
          </cell>
        </row>
        <row r="14970">
          <cell r="L14970" t="str">
            <v>Z900</v>
          </cell>
        </row>
        <row r="14971">
          <cell r="L14971" t="str">
            <v>Z733</v>
          </cell>
        </row>
        <row r="14972">
          <cell r="L14972" t="str">
            <v>Z828</v>
          </cell>
        </row>
        <row r="14973">
          <cell r="L14973" t="str">
            <v>Z904</v>
          </cell>
        </row>
        <row r="14974">
          <cell r="L14974" t="str">
            <v>ZB02</v>
          </cell>
        </row>
        <row r="14975">
          <cell r="L14975" t="str">
            <v>Z607</v>
          </cell>
        </row>
        <row r="14976">
          <cell r="L14976" t="str">
            <v>Z808</v>
          </cell>
        </row>
        <row r="14977">
          <cell r="L14977" t="str">
            <v>Z910</v>
          </cell>
        </row>
        <row r="14978">
          <cell r="L14978" t="str">
            <v>ZA06</v>
          </cell>
        </row>
        <row r="14979">
          <cell r="L14979" t="str">
            <v>ZA26</v>
          </cell>
        </row>
        <row r="14980">
          <cell r="L14980" t="str">
            <v>ZB01</v>
          </cell>
        </row>
        <row r="14981">
          <cell r="L14981" t="str">
            <v>ZB05</v>
          </cell>
        </row>
        <row r="14982">
          <cell r="L14982" t="str">
            <v>ZB06</v>
          </cell>
        </row>
        <row r="14983">
          <cell r="L14983" t="str">
            <v>Z911</v>
          </cell>
        </row>
        <row r="14984">
          <cell r="L14984" t="str">
            <v>Z903</v>
          </cell>
        </row>
        <row r="14985">
          <cell r="L14985" t="str">
            <v>ZB04</v>
          </cell>
        </row>
        <row r="14986">
          <cell r="L14986" t="str">
            <v>ZA32</v>
          </cell>
        </row>
        <row r="14987">
          <cell r="L14987" t="str">
            <v>ZA18</v>
          </cell>
        </row>
        <row r="14988">
          <cell r="L14988" t="str">
            <v>Z914</v>
          </cell>
        </row>
        <row r="14989">
          <cell r="L14989" t="str">
            <v>ZB03</v>
          </cell>
        </row>
        <row r="14990">
          <cell r="L14990" t="str">
            <v>ZA21</v>
          </cell>
        </row>
        <row r="14991">
          <cell r="L14991" t="str">
            <v>Z827</v>
          </cell>
        </row>
        <row r="14992">
          <cell r="L14992" t="str">
            <v>ZA35</v>
          </cell>
        </row>
        <row r="14993">
          <cell r="L14993" t="str">
            <v>ZB00</v>
          </cell>
        </row>
        <row r="14994">
          <cell r="L14994" t="str">
            <v>ZA07</v>
          </cell>
        </row>
        <row r="14995">
          <cell r="L14995" t="str">
            <v>ZA12</v>
          </cell>
        </row>
        <row r="14996">
          <cell r="L14996" t="str">
            <v>ZA14</v>
          </cell>
        </row>
        <row r="14997">
          <cell r="L14997" t="str">
            <v>ZA31</v>
          </cell>
        </row>
        <row r="14998">
          <cell r="L14998" t="str">
            <v>ZB12</v>
          </cell>
        </row>
        <row r="14999">
          <cell r="L14999" t="str">
            <v>ZA15</v>
          </cell>
        </row>
        <row r="15000">
          <cell r="L15000" t="str">
            <v>ZB15</v>
          </cell>
        </row>
        <row r="15001">
          <cell r="L15001" t="str">
            <v>ZB08</v>
          </cell>
        </row>
        <row r="15002">
          <cell r="L15002" t="str">
            <v>ZB13</v>
          </cell>
        </row>
        <row r="15003">
          <cell r="L15003" t="str">
            <v>ZB18</v>
          </cell>
        </row>
        <row r="15004">
          <cell r="L15004" t="str">
            <v>ZB22</v>
          </cell>
        </row>
        <row r="15005">
          <cell r="L15005" t="str">
            <v>ZB07</v>
          </cell>
        </row>
        <row r="15006">
          <cell r="L15006" t="str">
            <v>Z740</v>
          </cell>
        </row>
        <row r="15007">
          <cell r="L15007" t="str">
            <v>Z641</v>
          </cell>
        </row>
        <row r="15008">
          <cell r="L15008" t="str">
            <v>Z820</v>
          </cell>
        </row>
        <row r="15009">
          <cell r="L15009" t="str">
            <v>Z562</v>
          </cell>
        </row>
        <row r="15010">
          <cell r="L15010" t="str">
            <v>Z644</v>
          </cell>
        </row>
        <row r="15011">
          <cell r="L15011" t="str">
            <v>Z905</v>
          </cell>
        </row>
        <row r="15012">
          <cell r="L15012" t="str">
            <v>Z719</v>
          </cell>
        </row>
        <row r="15013">
          <cell r="L15013" t="str">
            <v>Z705</v>
          </cell>
        </row>
        <row r="15014">
          <cell r="L15014" t="str">
            <v>Z741</v>
          </cell>
        </row>
        <row r="15015">
          <cell r="L15015" t="str">
            <v>Z708</v>
          </cell>
        </row>
        <row r="15016">
          <cell r="L15016" t="str">
            <v>Z925</v>
          </cell>
        </row>
        <row r="15017">
          <cell r="L15017" t="str">
            <v>Z902</v>
          </cell>
        </row>
        <row r="15018">
          <cell r="L15018" t="str">
            <v>Z608</v>
          </cell>
        </row>
        <row r="15019">
          <cell r="L15019" t="str">
            <v>Z920</v>
          </cell>
        </row>
        <row r="15020">
          <cell r="L15020" t="str">
            <v>Z546</v>
          </cell>
        </row>
        <row r="15021">
          <cell r="L15021" t="str">
            <v>Z513</v>
          </cell>
        </row>
        <row r="15022">
          <cell r="L15022" t="str">
            <v>Z714</v>
          </cell>
        </row>
        <row r="15023">
          <cell r="L15023" t="str">
            <v>Z739</v>
          </cell>
        </row>
        <row r="15024">
          <cell r="L15024" t="str">
            <v>Z728</v>
          </cell>
        </row>
        <row r="15025">
          <cell r="L15025" t="str">
            <v>Z706</v>
          </cell>
        </row>
        <row r="15026">
          <cell r="L15026" t="str">
            <v>Z713</v>
          </cell>
        </row>
        <row r="15027">
          <cell r="L15027" t="str">
            <v>Z810</v>
          </cell>
        </row>
        <row r="15028">
          <cell r="L15028" t="str">
            <v>Z816</v>
          </cell>
        </row>
        <row r="15029">
          <cell r="L15029" t="str">
            <v>Z819</v>
          </cell>
        </row>
        <row r="15030">
          <cell r="L15030" t="str">
            <v>Z919</v>
          </cell>
        </row>
        <row r="15031">
          <cell r="L15031" t="str">
            <v>ZA19</v>
          </cell>
        </row>
        <row r="15032">
          <cell r="L15032" t="str">
            <v>ZB10</v>
          </cell>
        </row>
        <row r="15033">
          <cell r="L15033" t="str">
            <v>Z736</v>
          </cell>
        </row>
        <row r="15034">
          <cell r="L15034" t="str">
            <v>Z818</v>
          </cell>
        </row>
        <row r="15035">
          <cell r="L15035" t="str">
            <v>Z540</v>
          </cell>
        </row>
        <row r="15036">
          <cell r="L15036" t="str">
            <v>Z722</v>
          </cell>
        </row>
        <row r="15037">
          <cell r="L15037" t="str">
            <v>Z715</v>
          </cell>
        </row>
        <row r="15038">
          <cell r="L15038" t="str">
            <v>Z734</v>
          </cell>
        </row>
        <row r="15039">
          <cell r="L15039" t="str">
            <v>Z568</v>
          </cell>
        </row>
        <row r="15040">
          <cell r="L15040" t="str">
            <v>Z918</v>
          </cell>
        </row>
        <row r="15041">
          <cell r="L15041" t="str">
            <v>Z800</v>
          </cell>
        </row>
        <row r="15042">
          <cell r="L15042" t="str">
            <v>Z915</v>
          </cell>
        </row>
        <row r="15043">
          <cell r="L15043" t="str">
            <v>ZA13</v>
          </cell>
        </row>
        <row r="15044">
          <cell r="L15044" t="str">
            <v>ZA28</v>
          </cell>
        </row>
        <row r="15045">
          <cell r="L15045" t="str">
            <v>ZB14</v>
          </cell>
        </row>
        <row r="15046">
          <cell r="L15046" t="str">
            <v>Z907</v>
          </cell>
        </row>
        <row r="15047">
          <cell r="L15047" t="str">
            <v>Z737</v>
          </cell>
        </row>
        <row r="15048">
          <cell r="L15048" t="str">
            <v>Z814</v>
          </cell>
        </row>
        <row r="15049">
          <cell r="L15049" t="str">
            <v>Z636</v>
          </cell>
        </row>
        <row r="15050">
          <cell r="L15050" t="str">
            <v>Z837</v>
          </cell>
        </row>
        <row r="15051">
          <cell r="L15051" t="str">
            <v>Z817</v>
          </cell>
        </row>
        <row r="15052">
          <cell r="L15052" t="str">
            <v>ZA20</v>
          </cell>
        </row>
        <row r="15053">
          <cell r="L15053" t="str">
            <v>ZA24</v>
          </cell>
        </row>
        <row r="15054">
          <cell r="L15054" t="str">
            <v>ZA30</v>
          </cell>
        </row>
        <row r="15055">
          <cell r="L15055" t="str">
            <v>Z727</v>
          </cell>
        </row>
        <row r="15056">
          <cell r="L15056" t="str">
            <v>Z922</v>
          </cell>
        </row>
        <row r="15057">
          <cell r="L15057" t="str">
            <v>Z923</v>
          </cell>
        </row>
        <row r="15058">
          <cell r="L15058" t="str">
            <v>Z906</v>
          </cell>
        </row>
        <row r="15059">
          <cell r="L15059" t="str">
            <v>ZA23</v>
          </cell>
        </row>
        <row r="15060">
          <cell r="L15060" t="str">
            <v>ZA08</v>
          </cell>
        </row>
        <row r="15061">
          <cell r="L15061" t="str">
            <v>ZA09</v>
          </cell>
        </row>
        <row r="15062">
          <cell r="L15062" t="str">
            <v>ZA11</v>
          </cell>
        </row>
        <row r="15063">
          <cell r="L15063" t="str">
            <v>Z508</v>
          </cell>
        </row>
        <row r="15064">
          <cell r="L15064" t="str">
            <v>ZA10</v>
          </cell>
        </row>
        <row r="15065">
          <cell r="L15065" t="str">
            <v>Z926</v>
          </cell>
        </row>
        <row r="15066">
          <cell r="L15066" t="str">
            <v>ZA25</v>
          </cell>
        </row>
        <row r="15067">
          <cell r="L15067" t="str">
            <v>Z815</v>
          </cell>
        </row>
        <row r="15068">
          <cell r="L15068" t="str">
            <v>Z825</v>
          </cell>
        </row>
        <row r="15069">
          <cell r="L15069" t="str">
            <v>Z447</v>
          </cell>
        </row>
        <row r="15070">
          <cell r="L15070" t="str">
            <v>Z823</v>
          </cell>
        </row>
        <row r="15071">
          <cell r="L15071" t="str">
            <v>ZA16</v>
          </cell>
        </row>
        <row r="15072">
          <cell r="L15072" t="str">
            <v>Z826</v>
          </cell>
        </row>
        <row r="15073">
          <cell r="L15073" t="str">
            <v>Z927</v>
          </cell>
        </row>
        <row r="15074">
          <cell r="L15074" t="str">
            <v>Z642</v>
          </cell>
        </row>
        <row r="15075">
          <cell r="L15075" t="str">
            <v>ZA05</v>
          </cell>
        </row>
        <row r="15076">
          <cell r="L15076" t="str">
            <v>ZB09</v>
          </cell>
        </row>
        <row r="15077">
          <cell r="L15077" t="str">
            <v>Z502</v>
          </cell>
        </row>
        <row r="15078">
          <cell r="L15078" t="str">
            <v>Z526</v>
          </cell>
        </row>
        <row r="15079">
          <cell r="L15079" t="str">
            <v>Z557</v>
          </cell>
        </row>
        <row r="15080">
          <cell r="L15080" t="str">
            <v>Z629</v>
          </cell>
        </row>
        <row r="15081">
          <cell r="L15081" t="str">
            <v>Z723</v>
          </cell>
        </row>
        <row r="15082">
          <cell r="L15082" t="str">
            <v>Z803</v>
          </cell>
        </row>
        <row r="15083">
          <cell r="L15083" t="str">
            <v>Z806</v>
          </cell>
        </row>
        <row r="15084">
          <cell r="L15084" t="str">
            <v>Z807</v>
          </cell>
        </row>
        <row r="15085">
          <cell r="L15085" t="str">
            <v>Z809</v>
          </cell>
        </row>
        <row r="15086">
          <cell r="L15086" t="str">
            <v>Z813</v>
          </cell>
        </row>
        <row r="15087">
          <cell r="L15087" t="str">
            <v>Z912</v>
          </cell>
        </row>
        <row r="15088">
          <cell r="L15088" t="str">
            <v>ZA17</v>
          </cell>
        </row>
        <row r="15089">
          <cell r="L15089" t="str">
            <v>Z543</v>
          </cell>
        </row>
        <row r="15090">
          <cell r="L15090" t="str">
            <v>Z545</v>
          </cell>
        </row>
        <row r="15091">
          <cell r="L15091" t="str">
            <v>Z533</v>
          </cell>
        </row>
        <row r="15092">
          <cell r="L15092" t="str">
            <v>Z554</v>
          </cell>
        </row>
        <row r="15093">
          <cell r="L15093" t="str">
            <v>Z802</v>
          </cell>
        </row>
        <row r="15094">
          <cell r="L15094" t="str">
            <v>Z531</v>
          </cell>
        </row>
        <row r="15095">
          <cell r="L15095" t="str">
            <v>Z454</v>
          </cell>
        </row>
        <row r="15096">
          <cell r="L15096" t="str">
            <v>Z539</v>
          </cell>
        </row>
        <row r="15097">
          <cell r="L15097" t="str">
            <v>Z453</v>
          </cell>
        </row>
        <row r="15098">
          <cell r="L15098" t="str">
            <v>Z321</v>
          </cell>
        </row>
        <row r="15099">
          <cell r="L15099" t="str">
            <v>Z913</v>
          </cell>
        </row>
        <row r="15100">
          <cell r="L15100" t="str">
            <v>Z726</v>
          </cell>
        </row>
        <row r="15101">
          <cell r="L15101" t="str">
            <v>Z563</v>
          </cell>
        </row>
        <row r="15102">
          <cell r="L15102" t="str">
            <v>Z633</v>
          </cell>
        </row>
        <row r="15103">
          <cell r="L15103" t="str">
            <v>Z704</v>
          </cell>
        </row>
        <row r="15104">
          <cell r="L15104" t="str">
            <v>Z917</v>
          </cell>
        </row>
        <row r="15105">
          <cell r="L15105" t="str">
            <v>Z908</v>
          </cell>
        </row>
        <row r="15106">
          <cell r="L15106" t="str">
            <v>Z612</v>
          </cell>
        </row>
        <row r="15107">
          <cell r="L15107" t="str">
            <v>Z835</v>
          </cell>
        </row>
        <row r="15108">
          <cell r="L15108" t="str">
            <v>Z709</v>
          </cell>
        </row>
        <row r="15109">
          <cell r="L15109" t="str">
            <v>74116813 - D608</v>
          </cell>
        </row>
        <row r="15110">
          <cell r="L15110">
            <v>4592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comes"/>
      <sheetName val="MAAR"/>
      <sheetName val="Price Limits"/>
      <sheetName val="Trans"/>
      <sheetName val="DUOS (t)"/>
      <sheetName val="TUOS (t)"/>
      <sheetName val="CPT (t)"/>
      <sheetName val="MSR (t)"/>
      <sheetName val="NUOS (t)"/>
      <sheetName val="DUOS (t-1)"/>
      <sheetName val="Q (ct-1) act"/>
      <sheetName val="RE (ct)"/>
      <sheetName val="RE (ct-1)"/>
      <sheetName val="Q (ct-1) adj (ct)"/>
      <sheetName val="Q (ct-1) adj (ct-1)"/>
      <sheetName val="ACS (t)"/>
    </sheetNames>
    <sheetDataSet>
      <sheetData sheetId="0"/>
      <sheetData sheetId="1">
        <row r="2">
          <cell r="B2" t="str">
            <v>ActewAGL</v>
          </cell>
        </row>
        <row r="3">
          <cell r="B3">
            <v>2011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R_Title"/>
      <sheetName val="Contents"/>
      <sheetName val="GAAR_IssuesLog"/>
      <sheetName val="GAAR_GenAssn"/>
      <sheetName val="GAAR_CapexForecast_010"/>
      <sheetName val="GAAR_CapexForecast_020"/>
      <sheetName val="GAAR_CapexForecast_025"/>
      <sheetName val="GAAR_CapexForecast_032"/>
      <sheetName val="GAAR_CapexForecast_034"/>
      <sheetName val="GAAR_CapexForecast_036"/>
      <sheetName val="GAAR_CapexForecast_038"/>
      <sheetName val="GAAR_CapexForecast_040"/>
      <sheetName val="GAAR_CapexForecast_055"/>
      <sheetName val="GAAR_CapexForecast_060"/>
      <sheetName val="GAAR_CapexForecast_065"/>
      <sheetName val="GAAR_CapexForecast_070"/>
      <sheetName val="GAAR_CapexForecast_075"/>
      <sheetName val="GAAR_CapexForecast_080"/>
      <sheetName val="GAAR_CapexForecast_090"/>
      <sheetName val="GAAR_CapexForecast_OtherNonIT"/>
      <sheetName val="GAAR_CapexForecast_OtherIT"/>
      <sheetName val="GAAR_CapexForecast_OtherAMI"/>
      <sheetName val="GAAR_Overheads"/>
      <sheetName val="GAAR_RelatedParties"/>
      <sheetName val="GAAR_BusinessCats"/>
      <sheetName val="GAAR_WorkCodes"/>
      <sheetName val="GAAR_RegulatoryCats"/>
      <sheetName val="GAAR_PTRMinputs"/>
      <sheetName val="GAAR_Comparisons"/>
      <sheetName val="GAAR_Dashboard"/>
      <sheetName val="GAAR_DashboardData"/>
      <sheetName val="GAAR_RegAlloc%"/>
      <sheetName val="GAAR_RegAlloc$_2011"/>
      <sheetName val="GAAR_RegAlloc$_2012"/>
      <sheetName val="GAAR_RegAlloc$_2013"/>
      <sheetName val="GAAR_RegAlloc$_2014"/>
      <sheetName val="GAAR_RegAlloc$_2015"/>
      <sheetName val="GAAR_RegAlloc$_2016"/>
      <sheetName val="GAAR_RegAlloc$_2017"/>
      <sheetName val="GAAR_RegAllocOHD$_2011"/>
      <sheetName val="GAAR_RegAllocOHD$_2012"/>
      <sheetName val="GAAR_RegAllocOHD$_2013"/>
      <sheetName val="GAAR_RegAllocOHD$_2014"/>
      <sheetName val="GAAR_RegAllocOHD$_2015"/>
      <sheetName val="GAAR_RegAllocOHD$_2016"/>
      <sheetName val="GAAR_RegAllocOHD$_2017"/>
      <sheetName val="GAAR_CapexForecast_010_NE"/>
      <sheetName val="GAAR_CapexForecast_020_NE"/>
      <sheetName val="GAAR_CapexForecast_025_NE"/>
      <sheetName val="GAAR_CapexForecast_032_NE"/>
      <sheetName val="GAAR_CapexForecast_034_NE"/>
      <sheetName val="GAAR_CapexForecast_036_NE"/>
      <sheetName val="GAAR_CapexForecast_038_NE"/>
      <sheetName val="GAAR_CapexForecast_040_NE"/>
      <sheetName val="GAAR_CapexForecast_055_NE"/>
      <sheetName val="GAAR_CapexForecast_060_NE"/>
      <sheetName val="GAAR_CapexForecast_065_NE"/>
      <sheetName val="GAAR_CapexForecast_070_NE"/>
      <sheetName val="GAAR_CapexForecast_075_NE"/>
      <sheetName val="GAAR_CapexForecast_080_NE"/>
      <sheetName val="GAAR_CapexForecast_090_NE"/>
      <sheetName val="GAAR_CapexForecast_OtherNon_NE"/>
      <sheetName val="GAAR_CapexForecast_OtherIT_NE"/>
      <sheetName val="GAAR_CapexForecast_OtherAMI_NE"/>
      <sheetName val="GAAR_Look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29">
          <cell r="B29" t="str">
            <v>Company</v>
          </cell>
        </row>
        <row r="30">
          <cell r="B30" t="str">
            <v>Customer</v>
          </cell>
        </row>
        <row r="31">
          <cell r="B31" t="str">
            <v>Asset Repl.</v>
          </cell>
        </row>
        <row r="32">
          <cell r="B32" t="str">
            <v>Gen IT</v>
          </cell>
        </row>
        <row r="33">
          <cell r="B33" t="str">
            <v>Gen Non-IT</v>
          </cell>
        </row>
        <row r="34">
          <cell r="B34" t="str">
            <v>AMI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Instructions_SC"/>
      <sheetName val="Fcast_Instructions_BO"/>
      <sheetName val="Assumptions_SC"/>
      <sheetName val="Date_BA"/>
      <sheetName val="Gen_Ass_BA"/>
      <sheetName val="WACC_Ass_BA"/>
      <sheetName val="WACC_BA"/>
      <sheetName val="Inflation_Fcast_FA"/>
      <sheetName val="Reg_Reset_Ass_SSC"/>
      <sheetName val="T_RRA_BA"/>
      <sheetName val="D_Elec_RRA_BA"/>
      <sheetName val="D_Gas_RRA_BA"/>
      <sheetName val="D_AMI_RRA_BA"/>
      <sheetName val="WC_SSC"/>
      <sheetName val="WC_BA"/>
      <sheetName val="Inputs_SC"/>
      <sheetName val="Actual_SSC"/>
      <sheetName val="T_Hist_FA"/>
      <sheetName val="D_Hist_FA"/>
      <sheetName val="SPFT_Hist_FA"/>
      <sheetName val="CFS_Adj_SSC"/>
      <sheetName val="T_CF_Adj_FA"/>
      <sheetName val="D_CF_Adj_FA"/>
      <sheetName val="FT_CF_Adj_FA"/>
      <sheetName val="AusNet_CF_Adj_FA"/>
      <sheetName val="Fcast_SSC"/>
      <sheetName val="Rev_Fcast_Detailed_BA"/>
      <sheetName val="T_Rev_Fcast_FA"/>
      <sheetName val="D_Rev_Fcast_FA"/>
      <sheetName val="SFactor_FA"/>
      <sheetName val="T_Opex_Fcast_FA"/>
      <sheetName val="D_Opex_Fcast_FA"/>
      <sheetName val="Capex_Fcast_BA"/>
      <sheetName val="Investments_BA"/>
      <sheetName val="Other_Inputs_SSC"/>
      <sheetName val="Stap_Adj_FA"/>
      <sheetName val="DB_Super_FA"/>
      <sheetName val="Reg_Rev_Calcs_SC"/>
      <sheetName val="T_Reg_Rev_SSC"/>
      <sheetName val="T_Reg_Opex_BA"/>
      <sheetName val="T_RAB_BA"/>
      <sheetName val="T_Reg_Capex_BA"/>
      <sheetName val="T_Reg_Rev_BA"/>
      <sheetName val="D_Reg_Rev_SSC"/>
      <sheetName val="D_Reg_Opex_BA"/>
      <sheetName val="Elec_RAB_BA"/>
      <sheetName val="Elec_Reg_Capex_BA"/>
      <sheetName val="Elec_Reg_Rev_BA"/>
      <sheetName val="Gas_RAB_BA"/>
      <sheetName val="Gas_Reg_Capex_BA"/>
      <sheetName val="Gas_Reg_Rev_BA"/>
      <sheetName val="AMI_RAB_BA"/>
      <sheetName val="AMI_Reg_Capex_BA"/>
      <sheetName val="AMI_Reg_Rev_BA"/>
      <sheetName val="Calcs_SC"/>
      <sheetName val="Capital_SSC"/>
      <sheetName val="Capital_BA"/>
      <sheetName val="Distributions_FO"/>
      <sheetName val="Dist_Scenarios_FA"/>
      <sheetName val="T_Distributions_FO"/>
      <sheetName val="D_Distributions_FO"/>
      <sheetName val="Debt_SSC"/>
      <sheetName val="T_Debt_FA"/>
      <sheetName val="D_Debt_FA"/>
      <sheetName val="D_Debt_Annual_BO"/>
      <sheetName val="CFV_FA"/>
      <sheetName val="IR_Fcast_FA"/>
      <sheetName val="T_Debt_Deals_SSC"/>
      <sheetName val="T_Debt_Floating_FA"/>
      <sheetName val="T_Debt_Swaps_Fix_FA"/>
      <sheetName val="T_Debt_Swaps_Float_FA"/>
      <sheetName val="D_Debt_Deals_SSC"/>
      <sheetName val="D_Debt_CP_FA"/>
      <sheetName val="D_Debt_Fixed_FA"/>
      <sheetName val="D_Debt_Swaps_Fix_FA"/>
      <sheetName val="D_Debt_Swaps_Float_FA"/>
      <sheetName val="D_Debt_RegSwaps_FA"/>
      <sheetName val="D_Debt_Floating_FA"/>
      <sheetName val="D_Debt_BF_FA"/>
      <sheetName val="D_Debt_Hybrid_FA"/>
      <sheetName val="Capex_Calcs_SSC"/>
      <sheetName val="WIP_BA"/>
      <sheetName val="T_PPE_FA"/>
      <sheetName val="D_PPE_FA"/>
      <sheetName val="BS_Items_SSC"/>
      <sheetName val="T_Var_Outputs_FO"/>
      <sheetName val="D_Var_Outputs_FO"/>
      <sheetName val="T_PL_Items_FO"/>
      <sheetName val="D_PL_Items_FO"/>
      <sheetName val="T_DB_FO"/>
      <sheetName val="D_DB_FO"/>
      <sheetName val="T_BS_Items_FO"/>
      <sheetName val="D_BS_Items_FO"/>
      <sheetName val="Tax_SSC"/>
      <sheetName val="T_Tax_FO"/>
      <sheetName val="D_Tax_FO"/>
      <sheetName val="SPIMS_Calcs_SSC"/>
      <sheetName val="SPIMS_Serv_Charge_FA"/>
      <sheetName val="SPIMS_Calcs_FA"/>
      <sheetName val="SPIMS_Summ_Mth_FO"/>
      <sheetName val="Outputs_SC"/>
      <sheetName val="T_Outputs_SSC"/>
      <sheetName val="T_PL_FO"/>
      <sheetName val="T_BS_FO"/>
      <sheetName val="T_CFS_Dir_FO"/>
      <sheetName val="T_CFS_Indir_FO"/>
      <sheetName val="D_Outputs_SSC"/>
      <sheetName val="D_PL_FO"/>
      <sheetName val="D_BS_FO"/>
      <sheetName val="D_CFS_Dir_FO"/>
      <sheetName val="D_CFS_Indir_FO"/>
      <sheetName val="FT_Outputs_SSC"/>
      <sheetName val="FT_PL_FO"/>
      <sheetName val="FT_BS_FO"/>
      <sheetName val="FT_CFS_Dir_FO"/>
      <sheetName val="FT_CFS_Indir_FO"/>
      <sheetName val="Elim_Outputs_SSC"/>
      <sheetName val="AGAAP_Elim_FO"/>
      <sheetName val="Elim_PL_FO"/>
      <sheetName val="Elim_BS_FO"/>
      <sheetName val="Elim_CFS_Dir_FO"/>
      <sheetName val="Elim_CFS_Indir_FO"/>
      <sheetName val="AusNet_Outputs_SSC"/>
      <sheetName val="AusNet_PL_FO"/>
      <sheetName val="AusNet_BS_FO"/>
      <sheetName val="AusNet_CFS_Dir_FO"/>
      <sheetName val="AusNet_CFS_Indir_FO"/>
      <sheetName val="AusNet_Capex_FO"/>
      <sheetName val="AusNet_Annual_Outputs_SSC"/>
      <sheetName val="AusNet_PL_An_FO"/>
      <sheetName val="AusNet_BS_An_FO"/>
      <sheetName val="AusNet_CFS_Dir_An_FO"/>
      <sheetName val="AusNet_CFS_Indir_An_FO"/>
      <sheetName val="AusNet_Capex_An_FO"/>
      <sheetName val="SGAAP_Adj_SSC"/>
      <sheetName val="SGAAP_Interco_Adj_FO"/>
      <sheetName val="SGAAP_Adjs_FO"/>
      <sheetName val="SGAAP_Adj_PL_FO"/>
      <sheetName val="SGAAP_Adj_BS_FO"/>
      <sheetName val="SGAAP_Outputs_SSC"/>
      <sheetName val="SGAAP_PL_FO"/>
      <sheetName val="SGAAP_BS_FO"/>
      <sheetName val="SGAAP_Outputs An_SSC"/>
      <sheetName val="SGAAP_PL_An_FO"/>
      <sheetName val="SGAAP_BS_An_FO"/>
      <sheetName val="Other_Outputs_SC"/>
      <sheetName val="Distributions_SSC"/>
      <sheetName val="Dist_Cash_BO"/>
      <sheetName val="Dist_Declared_BO"/>
      <sheetName val="Dist_Cash_An_BO"/>
      <sheetName val="Dist_Declared_An_BO"/>
      <sheetName val="Metrics_SSC"/>
      <sheetName val="Metrics_BO"/>
      <sheetName val="EVA_BO"/>
      <sheetName val="FVC_SSC"/>
      <sheetName val="T_FV_BA"/>
      <sheetName val="T_FV_Calcs_BO"/>
      <sheetName val="D_FV_BA"/>
      <sheetName val="D_FV_Calcs_BO"/>
      <sheetName val="FV_Net_Assets_BO"/>
      <sheetName val="FV_Summary_BO"/>
      <sheetName val="LOB_SSC"/>
      <sheetName val="LOB_PL_BO"/>
      <sheetName val="LOB_CF_BO"/>
      <sheetName val="LOB_Metrics_BO"/>
      <sheetName val="LOB_Opex_BO"/>
      <sheetName val="LOB_Dep_BO"/>
      <sheetName val="LOB_Interest_BO"/>
      <sheetName val="RAB_FO"/>
      <sheetName val="EPS_Analysis_BO"/>
      <sheetName val="NPAT_Analysis_BO"/>
      <sheetName val="Bus_Seg_SSC"/>
      <sheetName val="Bus_Seg_Opex_BO"/>
      <sheetName val="Bus_Seg_Capex_BO"/>
      <sheetName val="Bus_Seg_Detail_BO"/>
      <sheetName val="Val_Ass_SSC"/>
      <sheetName val="Val_WACC_BA"/>
      <sheetName val="Val_Ass_BA"/>
      <sheetName val="Val_DCF_SSC"/>
      <sheetName val="Val_CFS_BO"/>
      <sheetName val="Val_UDCF_BO"/>
      <sheetName val="Val_DDM_BO"/>
      <sheetName val="Val_EP_SSC"/>
      <sheetName val="Val_Eco_Profit_BO"/>
      <sheetName val="Val_DCF_BO"/>
      <sheetName val="Checks_SC"/>
      <sheetName val="Error_SSC"/>
      <sheetName val="Err_Chks_BO"/>
      <sheetName val="Alert_SSC"/>
      <sheetName val="Alt_Chks_BO"/>
      <sheetName val="Lookup_SC"/>
      <sheetName val="GL"/>
      <sheetName val="Date_BL"/>
      <sheetName val="Capex_BL"/>
      <sheetName val="Debt_LU_SSC"/>
      <sheetName val="Debt_BL"/>
      <sheetName val="BBSW3_BL"/>
      <sheetName val="BBSW6_BL"/>
      <sheetName val="RBAC_BL"/>
      <sheetName val="TL_BL"/>
      <sheetName val="Corporate Model"/>
    </sheetNames>
    <sheetDataSet>
      <sheetData sheetId="0"/>
      <sheetData sheetId="1"/>
      <sheetData sheetId="2"/>
      <sheetData sheetId="3"/>
      <sheetData sheetId="4"/>
      <sheetData sheetId="5">
        <row r="8">
          <cell r="I8">
            <v>3</v>
          </cell>
        </row>
        <row r="18">
          <cell r="I18">
            <v>2020</v>
          </cell>
        </row>
      </sheetData>
      <sheetData sheetId="6">
        <row r="9">
          <cell r="H9">
            <v>0.7</v>
          </cell>
        </row>
      </sheetData>
      <sheetData sheetId="7"/>
      <sheetData sheetId="8"/>
      <sheetData sheetId="9">
        <row r="7">
          <cell r="J7">
            <v>2004</v>
          </cell>
        </row>
        <row r="19">
          <cell r="J19">
            <v>77.599999999999994</v>
          </cell>
          <cell r="K19">
            <v>79.5</v>
          </cell>
          <cell r="L19">
            <v>81.5</v>
          </cell>
          <cell r="M19">
            <v>83.8</v>
          </cell>
          <cell r="N19">
            <v>86.6</v>
          </cell>
          <cell r="O19">
            <v>89.1</v>
          </cell>
          <cell r="P19">
            <v>92.4</v>
          </cell>
          <cell r="Q19">
            <v>94.3</v>
          </cell>
          <cell r="R19">
            <v>96.9</v>
          </cell>
          <cell r="S19">
            <v>99.8</v>
          </cell>
          <cell r="T19">
            <v>102</v>
          </cell>
          <cell r="U19">
            <v>104.67213629667317</v>
          </cell>
          <cell r="V19">
            <v>107.71944037407312</v>
          </cell>
          <cell r="W19">
            <v>110.52014582379897</v>
          </cell>
          <cell r="X19">
            <v>113.39366961521772</v>
          </cell>
          <cell r="Y19">
            <v>116.34190502521335</v>
          </cell>
          <cell r="Z19">
            <v>119.36679455586888</v>
          </cell>
          <cell r="AA19">
            <v>122.47033121432143</v>
          </cell>
          <cell r="AB19">
            <v>125.65455982589376</v>
          </cell>
          <cell r="AC19">
            <v>128.92157838136697</v>
          </cell>
          <cell r="AD19">
            <v>132.27353941928246</v>
          </cell>
          <cell r="AE19">
            <v>135.71265144418379</v>
          </cell>
          <cell r="AF19">
            <v>139.24118038173253</v>
          </cell>
          <cell r="AG19">
            <v>142.86145107165757</v>
          </cell>
          <cell r="AH19">
            <v>146.57584879952066</v>
          </cell>
          <cell r="AI19">
            <v>150.38682086830818</v>
          </cell>
          <cell r="AJ19">
            <v>154.29687821088416</v>
          </cell>
          <cell r="AK19">
            <v>158.30859704436713</v>
          </cell>
          <cell r="AL19">
            <v>162.42462056752066</v>
          </cell>
          <cell r="AM19">
            <v>166.64766070227617</v>
          </cell>
          <cell r="AN19">
            <v>170.98049988053532</v>
          </cell>
          <cell r="AO19">
            <v>175.4259928774292</v>
          </cell>
          <cell r="AP19">
            <v>179.9870686922423</v>
          </cell>
          <cell r="AQ19">
            <v>189.46806752267474</v>
          </cell>
          <cell r="AR19">
            <v>189.46806752267474</v>
          </cell>
          <cell r="AS19">
            <v>194.39423727826426</v>
          </cell>
          <cell r="AT19">
            <v>199.44848744749908</v>
          </cell>
          <cell r="AU19">
            <v>204.63414812113399</v>
          </cell>
          <cell r="AV19">
            <v>209.9546359722834</v>
          </cell>
          <cell r="AW19">
            <v>215.41345650756273</v>
          </cell>
          <cell r="AX19">
            <v>221.01420637675929</v>
          </cell>
          <cell r="AY19">
            <v>232.65635071186136</v>
          </cell>
          <cell r="AZ19">
            <v>238.7054158303697</v>
          </cell>
          <cell r="BA19">
            <v>244.91175664195927</v>
          </cell>
          <cell r="BB19">
            <v>244.91175664195927</v>
          </cell>
          <cell r="BC19">
            <v>251.27946231465012</v>
          </cell>
          <cell r="BD19">
            <v>257.81272833483098</v>
          </cell>
          <cell r="BE19">
            <v>264.5158592715365</v>
          </cell>
          <cell r="BF19">
            <v>271.39327161259638</v>
          </cell>
          <cell r="BG19">
            <v>285.68918358806144</v>
          </cell>
          <cell r="BH19">
            <v>293.11710236135099</v>
          </cell>
          <cell r="BI19">
            <v>300.73814702274609</v>
          </cell>
          <cell r="BJ19">
            <v>308.55733884533748</v>
          </cell>
          <cell r="BK19">
            <v>316.57982965531619</v>
          </cell>
          <cell r="BL19">
            <v>316.57982965531619</v>
          </cell>
          <cell r="BM19">
            <v>324.81090522635435</v>
          </cell>
          <cell r="BN19">
            <v>333.25598876223944</v>
          </cell>
        </row>
        <row r="39"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1</v>
          </cell>
          <cell r="U39">
            <v>1.0458333333333334</v>
          </cell>
          <cell r="V39">
            <v>1.0963819444444445</v>
          </cell>
          <cell r="W39">
            <v>1.1493737384259259</v>
          </cell>
          <cell r="X39">
            <v>1.2068424253472223</v>
          </cell>
          <cell r="Y39">
            <v>1.2671845466145835</v>
          </cell>
          <cell r="Z39">
            <v>1.3305437739453128</v>
          </cell>
          <cell r="AA39">
            <v>1.3970709626425784</v>
          </cell>
          <cell r="AB39">
            <v>1.4669245107747073</v>
          </cell>
          <cell r="AC39">
            <v>1.5402707363134427</v>
          </cell>
          <cell r="AD39">
            <v>1.6172842731291148</v>
          </cell>
          <cell r="AE39">
            <v>1.6981484867855707</v>
          </cell>
          <cell r="AF39">
            <v>1.7830559111248494</v>
          </cell>
          <cell r="AG39">
            <v>1.872208706681092</v>
          </cell>
          <cell r="AH39">
            <v>1.9658191420151467</v>
          </cell>
          <cell r="AI39">
            <v>2.0641100991159043</v>
          </cell>
          <cell r="AJ39">
            <v>2.1673156040716997</v>
          </cell>
          <cell r="AK39">
            <v>2.2756813842752845</v>
          </cell>
          <cell r="AL39">
            <v>2.3894654534890489</v>
          </cell>
          <cell r="AM39">
            <v>2.5089387261635014</v>
          </cell>
          <cell r="AN39">
            <v>2.6343856624716766</v>
          </cell>
          <cell r="AO39">
            <v>2.7661049455952607</v>
          </cell>
          <cell r="AP39">
            <v>2.9044101928750239</v>
          </cell>
          <cell r="AQ39">
            <v>3.0496307025187752</v>
          </cell>
          <cell r="AR39">
            <v>3.2021122376447142</v>
          </cell>
          <cell r="AS39">
            <v>3.3622178495269499</v>
          </cell>
          <cell r="AT39">
            <v>3.5303287420032974</v>
          </cell>
          <cell r="AU39">
            <v>3.7068451791034622</v>
          </cell>
          <cell r="AV39">
            <v>3.8921874380586354</v>
          </cell>
          <cell r="AW39">
            <v>4.0867968099615677</v>
          </cell>
          <cell r="AX39">
            <v>4.291136650459646</v>
          </cell>
          <cell r="AY39">
            <v>4.5056934829826281</v>
          </cell>
          <cell r="AZ39">
            <v>4.7309781571317595</v>
          </cell>
          <cell r="BA39">
            <v>4.9675270649883476</v>
          </cell>
          <cell r="BB39">
            <v>5.2159034182377653</v>
          </cell>
          <cell r="BC39">
            <v>5.4766985891496534</v>
          </cell>
          <cell r="BD39">
            <v>5.7505335186071367</v>
          </cell>
          <cell r="BE39">
            <v>6.0380601945374934</v>
          </cell>
          <cell r="BF39">
            <v>6.3399632042643681</v>
          </cell>
          <cell r="BG39">
            <v>6.6569613644775867</v>
          </cell>
          <cell r="BH39">
            <v>6.9898094327014659</v>
          </cell>
          <cell r="BI39">
            <v>7.3392999043365394</v>
          </cell>
          <cell r="BJ39">
            <v>7.7062648995533669</v>
          </cell>
          <cell r="BK39">
            <v>8.0915781445310362</v>
          </cell>
          <cell r="BL39">
            <v>8.4961570517575886</v>
          </cell>
          <cell r="BM39">
            <v>8.9209649043454693</v>
          </cell>
          <cell r="BN39">
            <v>9.3670131495627427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5">
          <cell r="E85" t="str">
            <v>Transmission Reg Opex Breakdown</v>
          </cell>
        </row>
        <row r="86">
          <cell r="E86" t="str">
            <v>Transmission Reg Opex to P&amp;L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>
        <row r="9">
          <cell r="J9">
            <v>2013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>
        <row r="9">
          <cell r="J9">
            <v>2013</v>
          </cell>
        </row>
      </sheetData>
      <sheetData sheetId="132"/>
      <sheetData sheetId="133"/>
      <sheetData sheetId="134"/>
      <sheetData sheetId="135">
        <row r="34">
          <cell r="N34">
            <v>104.96979338152025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>
        <row r="33">
          <cell r="L33">
            <v>3093.5330727921255</v>
          </cell>
        </row>
      </sheetData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>
        <row r="41">
          <cell r="D41" t="str">
            <v>LU_Opex_Cat</v>
          </cell>
        </row>
        <row r="42">
          <cell r="D42" t="str">
            <v>Labour</v>
          </cell>
        </row>
        <row r="43">
          <cell r="D43" t="str">
            <v>Maintenance</v>
          </cell>
        </row>
        <row r="44">
          <cell r="D44" t="str">
            <v>Administrative</v>
          </cell>
        </row>
        <row r="45">
          <cell r="D45" t="str">
            <v>Other Operating Expenses</v>
          </cell>
        </row>
        <row r="46">
          <cell r="D46" t="str">
            <v>MSA Service Charge</v>
          </cell>
        </row>
        <row r="47">
          <cell r="D47" t="str">
            <v>MSA Performance Fees</v>
          </cell>
        </row>
        <row r="48">
          <cell r="D48" t="str">
            <v>MSA Fees</v>
          </cell>
        </row>
      </sheetData>
      <sheetData sheetId="196"/>
      <sheetData sheetId="197"/>
      <sheetData sheetId="198"/>
      <sheetData sheetId="199"/>
      <sheetData sheetId="200"/>
      <sheetData sheetId="201"/>
      <sheetData sheetId="20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FY_14_Plan_Reco_BO"/>
      <sheetName val="Alt_Chks_BO"/>
      <sheetName val="FY_14_Plan_Reco_ex_SS_BO"/>
      <sheetName val="Ratios_BO"/>
      <sheetName val="Key_Movements_BO"/>
      <sheetName val="Chart1"/>
      <sheetName val="Metrics_BO"/>
      <sheetName val="Revenue_variance_BO"/>
      <sheetName val="Chart2"/>
      <sheetName val="Chart3"/>
      <sheetName val="Chart data"/>
      <sheetName val="Opex_recon_BO"/>
      <sheetName val="Chart4"/>
      <sheetName val="Capex"/>
      <sheetName val="Chart5"/>
      <sheetName val="P&amp;L_BO"/>
      <sheetName val="P&amp;L_No Select_BO"/>
      <sheetName val="Cashflow_BO"/>
      <sheetName val="Capex_BO"/>
      <sheetName val="Opex_Benchmark_BO"/>
      <sheetName val="Capex_Benchmark_BO"/>
      <sheetName val="Capex_Benchmark NW_BO"/>
      <sheetName val="Capex_Benchmark_IT_BO"/>
      <sheetName val="Capex_Benchmark_Gen_BO"/>
      <sheetName val="Select_BO"/>
      <sheetName val="Transmission_BO"/>
      <sheetName val="AMI_BO"/>
      <sheetName val="Err_Chks_BO"/>
      <sheetName val="Sheet1"/>
      <sheetName val="Chart-Key_Movements"/>
      <sheetName val="Chart - revenue"/>
      <sheetName val="Chart - Opex"/>
      <sheetName val="Capex_variance_BO"/>
      <sheetName val="Chart - Capex"/>
    </sheetNames>
    <sheetDataSet>
      <sheetData sheetId="0">
        <row r="10">
          <cell r="C10" t="e">
            <v>#REF!</v>
          </cell>
        </row>
      </sheetData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>
        <row r="6">
          <cell r="H6">
            <v>2014</v>
          </cell>
        </row>
      </sheetData>
      <sheetData sheetId="9">
        <row r="56">
          <cell r="W56">
            <v>14.453839414889444</v>
          </cell>
        </row>
      </sheetData>
      <sheetData sheetId="10" refreshError="1"/>
      <sheetData sheetId="11" refreshError="1"/>
      <sheetData sheetId="12" refreshError="1"/>
      <sheetData sheetId="13"/>
      <sheetData sheetId="14" refreshError="1"/>
      <sheetData sheetId="15">
        <row r="10">
          <cell r="E10" t="str">
            <v>AMI</v>
          </cell>
        </row>
        <row r="11">
          <cell r="E11" t="str">
            <v>ED AR</v>
          </cell>
        </row>
        <row r="12">
          <cell r="E12" t="str">
            <v>T Company</v>
          </cell>
        </row>
        <row r="13">
          <cell r="E13" t="str">
            <v>T Mortlake</v>
          </cell>
        </row>
        <row r="14">
          <cell r="E14" t="str">
            <v>T Customer</v>
          </cell>
        </row>
        <row r="15">
          <cell r="E15" t="str">
            <v>Select M&amp;A</v>
          </cell>
        </row>
        <row r="16">
          <cell r="E16" t="str">
            <v>Other</v>
          </cell>
        </row>
        <row r="20">
          <cell r="E20" t="str">
            <v>6+6 FY15 Forecast</v>
          </cell>
        </row>
      </sheetData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>
        <row r="9">
          <cell r="C9" t="b">
            <v>1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Definitions"/>
      <sheetName val="Business details (1.1)"/>
      <sheetName val="Operating Inc. RPM (2.1)"/>
      <sheetName val="Maintenance Inc. RPM (2.2)"/>
      <sheetName val="Operating Exc. RPM (2.3)"/>
      <sheetName val="Maintenance Exc. RPM (2.4)"/>
      <sheetName val="Allowance vs actual (2.5)"/>
      <sheetName val="Actual vs forecast (2.6)"/>
      <sheetName val="Provisions (2.7)"/>
      <sheetName val="Scale escalation (2.8)"/>
      <sheetName val="Opex Step Changes (2.9) "/>
      <sheetName val="Opex Reconciliation (2.10)"/>
      <sheetName val="Opex input to PTRM (2.11)"/>
      <sheetName val="Capex - spend (3.1)"/>
      <sheetName val="Capex - past allowances (3.2)"/>
      <sheetName val="Capex - past proposals (3.3)"/>
      <sheetName val="Capex - volumes (3.4)"/>
      <sheetName val="Capex - Inputs (3.5)"/>
      <sheetName val="Capex - RAB Allocation (3.6)"/>
      <sheetName val="Capex - TAB Allocation (3.7)"/>
      <sheetName val="Capex - disposals (3.8)"/>
      <sheetName val="Alt. Control Services (4.1)"/>
      <sheetName val="PL RAB (4.2)"/>
      <sheetName val="PL model Inputs Capex (4.3)"/>
      <sheetName val="PL O&amp;M (4.4)"/>
      <sheetName val="Metering RAB (4.5)"/>
      <sheetName val="Metering capex (4.6)"/>
      <sheetName val="Metering O&amp;M (4.7)"/>
      <sheetName val="Total Opex Inc. RPM (5.1)"/>
      <sheetName val="Total Opex Exc. RPM (5.2)"/>
      <sheetName val="Total Overheads (5.3)"/>
      <sheetName val="Outsourcing (5.4)"/>
      <sheetName val="Input cost escalation (5.5)"/>
      <sheetName val="Tax (5.6)"/>
      <sheetName val="Customers (6.1)"/>
      <sheetName val="Energy consumption (6.2)"/>
      <sheetName val="MD at network level (6.3)"/>
      <sheetName val="MD by connect point (6.4)"/>
      <sheetName val="MD by substation (6.5)"/>
      <sheetName val="MD by feeder (6.6)"/>
      <sheetName val="ACIL Tasman forecasts (6.7)"/>
      <sheetName val="Past Demand Forecasts (6.8)"/>
      <sheetName val="Asset age (6.9)"/>
      <sheetName val="Asset capacity (6.10)"/>
      <sheetName val="Projects (6.11)"/>
      <sheetName val="Contributions (6.12)"/>
      <sheetName val="Prices (6.13)"/>
      <sheetName val="Service standards (6.14)"/>
      <sheetName val="Daily performance data (6.15)"/>
      <sheetName val="Regulatory obligations (7.1)"/>
      <sheetName val="Policies (7.2)"/>
      <sheetName val="Key Assumptions (7.3)"/>
      <sheetName val="Assumptions Regi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6">
          <cell r="AA26" t="str">
            <v>Choose from the list if needed</v>
          </cell>
        </row>
        <row r="27">
          <cell r="AA27" t="str">
            <v>Customer numbers</v>
          </cell>
        </row>
        <row r="28">
          <cell r="AA28" t="str">
            <v>Distribution transformers</v>
          </cell>
        </row>
        <row r="29">
          <cell r="AA29" t="str">
            <v>Zone substation capacity</v>
          </cell>
        </row>
        <row r="30">
          <cell r="AA30" t="str">
            <v>Line length</v>
          </cell>
        </row>
        <row r="31">
          <cell r="AA31" t="str">
            <v>Other 1 (if applicable)</v>
          </cell>
        </row>
        <row r="32">
          <cell r="AA32" t="str">
            <v>Other 2 (if applicable)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Diagram"/>
      <sheetName val="Input|Escalators"/>
      <sheetName val="Input|Opex"/>
      <sheetName val="Calc|Opex Forecast"/>
      <sheetName val="Calc|Opex Summary"/>
      <sheetName val="Output|Models"/>
      <sheetName val="Output|Tables"/>
      <sheetName val="Output|Reg Analysis"/>
      <sheetName val="Lookup|Tables"/>
      <sheetName val="Check|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">
          <cell r="G12" t="str">
            <v>$millions</v>
          </cell>
        </row>
      </sheetData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2.Escalators"/>
      <sheetName val="3 - Capex summary"/>
      <sheetName val="Summary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31 - Pass throughs"/>
      <sheetName val="7.5 EBSS (AGN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6">
          <cell r="K16">
            <v>9.64E-2</v>
          </cell>
          <cell r="L16">
            <v>9.64E-2</v>
          </cell>
        </row>
      </sheetData>
      <sheetData sheetId="8">
        <row r="29">
          <cell r="N29">
            <v>0.28920000000000001</v>
          </cell>
        </row>
      </sheetData>
      <sheetData sheetId="9">
        <row r="25">
          <cell r="E25" t="str">
            <v>Pressure Increase</v>
          </cell>
        </row>
      </sheetData>
      <sheetData sheetId="10">
        <row r="22">
          <cell r="F22" t="str">
            <v>Direct costs (excl escalation)</v>
          </cell>
        </row>
      </sheetData>
      <sheetData sheetId="11"/>
      <sheetData sheetId="12">
        <row r="22">
          <cell r="O22">
            <v>76.061499999999995</v>
          </cell>
        </row>
      </sheetData>
      <sheetData sheetId="13">
        <row r="23">
          <cell r="E23" t="str">
            <v>General (CP)</v>
          </cell>
        </row>
      </sheetData>
      <sheetData sheetId="14">
        <row r="24">
          <cell r="O24">
            <v>264.96951201075905</v>
          </cell>
        </row>
      </sheetData>
      <sheetData sheetId="15">
        <row r="23">
          <cell r="P23">
            <v>79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GAS PA capex as values"/>
      <sheetName val="2011 Allocations - Check"/>
      <sheetName val="New Estates"/>
      <sheetName val="Sheet2"/>
      <sheetName val="2012 GAS PA capex"/>
      <sheetName val="Project Types"/>
      <sheetName val="PARPT41 Report Jan13"/>
      <sheetName val="Macro1"/>
      <sheetName val="EZYEST project list 2012- INS"/>
      <sheetName val="EZYEST Project List 2011"/>
      <sheetName val="EZYEST Project List 2010"/>
      <sheetName val="EZYEST Project List 2009"/>
      <sheetName val="SA 1112"/>
      <sheetName val="SA"/>
      <sheetName val="Cancelled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2">
          <cell r="A52" t="str">
            <v>Recover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quity Raising Costs"/>
      <sheetName val="Input"/>
      <sheetName val="WACC"/>
      <sheetName val="Assets"/>
      <sheetName val="Tax Depreciation"/>
      <sheetName val="Analysis"/>
      <sheetName val="Forecast revenues"/>
      <sheetName val="X factor"/>
      <sheetName val="Chart 1-revenues"/>
      <sheetName val="Chart 2-Price path"/>
      <sheetName val="Chart 3-Building blocks"/>
    </sheetNames>
    <sheetDataSet>
      <sheetData sheetId="0"/>
      <sheetData sheetId="1"/>
      <sheetData sheetId="2">
        <row r="187">
          <cell r="G187">
            <v>5.1377167650349866E-2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"/>
      <sheetName val="Control"/>
      <sheetName val="SUMMARY"/>
      <sheetName val="OUTPUT"/>
      <sheetName val="Scenario"/>
      <sheetName val="Inputs I"/>
      <sheetName val="Inputs II"/>
      <sheetName val="Cons PL"/>
      <sheetName val="PL Proof"/>
      <sheetName val="Cons CF"/>
      <sheetName val="CF Proof"/>
      <sheetName val="Cons BS"/>
      <sheetName val="BS Proof"/>
      <sheetName val="ANH Cons PL"/>
      <sheetName val="ANH PL Proof"/>
      <sheetName val="ANH Cons BS"/>
      <sheetName val="ANH Proof BS"/>
      <sheetName val="ANH Cons CF"/>
      <sheetName val="ANH CF Proof"/>
      <sheetName val="ALN"/>
      <sheetName val="AFI"/>
      <sheetName val="AGS"/>
      <sheetName val="AGN"/>
      <sheetName val="ANH"/>
      <sheetName val="ANS"/>
      <sheetName val="ACO"/>
      <sheetName val="UEC"/>
      <sheetName val="ALN BS"/>
      <sheetName val="AFI BS"/>
      <sheetName val="AGS BS"/>
      <sheetName val="AGN BS"/>
      <sheetName val="ANH BS"/>
      <sheetName val="ANW BS"/>
      <sheetName val="ANS BS"/>
      <sheetName val="ACO BS"/>
      <sheetName val="NPS"/>
      <sheetName val="NPSWA"/>
      <sheetName val="WAGH BS"/>
      <sheetName val="NPS BS"/>
      <sheetName val="NPSWA BS"/>
      <sheetName val="UEC BS"/>
      <sheetName val="Fees"/>
      <sheetName val="Allocation NDA"/>
      <sheetName val="Assumptions Book"/>
      <sheetName val="Sub PL"/>
      <sheetName val="Sub BS"/>
      <sheetName val="Sub CF"/>
      <sheetName val="Sub PL Proof"/>
      <sheetName val="Sub BS Proof"/>
      <sheetName val="Sub CF Proof"/>
      <sheetName val="Share Split"/>
      <sheetName val="ANSAGS"/>
      <sheetName val="Bank"/>
      <sheetName val="Payments Matrix"/>
      <sheetName val="Reported"/>
      <sheetName val="2.6 Non-network"/>
      <sheetName val="2.7 Vegetation management"/>
      <sheetName val="2.10 Overhe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D3" t="str">
            <v>Months</v>
          </cell>
        </row>
        <row r="4">
          <cell r="D4">
            <v>37622</v>
          </cell>
          <cell r="E4">
            <v>37653</v>
          </cell>
          <cell r="F4">
            <v>37681</v>
          </cell>
          <cell r="G4">
            <v>37712</v>
          </cell>
          <cell r="H4">
            <v>37742</v>
          </cell>
          <cell r="I4">
            <v>37773</v>
          </cell>
        </row>
        <row r="66">
          <cell r="D66">
            <v>0.19574522</v>
          </cell>
          <cell r="E66">
            <v>0.20021327999999999</v>
          </cell>
          <cell r="F66">
            <v>0.21542022</v>
          </cell>
          <cell r="G66">
            <v>0.22216348000000002</v>
          </cell>
          <cell r="H66">
            <v>0.20868173000000001</v>
          </cell>
          <cell r="I66">
            <v>0.24229541000000002</v>
          </cell>
        </row>
        <row r="67">
          <cell r="D67">
            <v>6.6526274999999986</v>
          </cell>
          <cell r="E67">
            <v>5.6483580200000008</v>
          </cell>
          <cell r="F67">
            <v>6.5873309299999994</v>
          </cell>
          <cell r="G67">
            <v>7.6297353499999989</v>
          </cell>
          <cell r="H67">
            <v>8.5977521999999986</v>
          </cell>
          <cell r="I67">
            <v>13.40591893</v>
          </cell>
        </row>
        <row r="68">
          <cell r="D68">
            <v>0.10084497000000001</v>
          </cell>
          <cell r="E68">
            <v>0.45071291999999996</v>
          </cell>
          <cell r="F68">
            <v>0.33245094999999997</v>
          </cell>
          <cell r="G68">
            <v>0.12253295</v>
          </cell>
          <cell r="H68">
            <v>0.43522712999999996</v>
          </cell>
          <cell r="I68">
            <v>0.34255707000000002</v>
          </cell>
        </row>
        <row r="69">
          <cell r="D69">
            <v>0.11761000000000001</v>
          </cell>
          <cell r="E69">
            <v>0.10989400000000001</v>
          </cell>
          <cell r="F69">
            <v>0.12453220000000001</v>
          </cell>
          <cell r="G69">
            <v>0.10846739999999999</v>
          </cell>
          <cell r="H69">
            <v>0.108533</v>
          </cell>
          <cell r="I69">
            <v>0.10716500000000001</v>
          </cell>
        </row>
        <row r="72">
          <cell r="D72">
            <v>1.45327703</v>
          </cell>
          <cell r="E72">
            <v>1.80779125</v>
          </cell>
          <cell r="F72">
            <v>1.4405014000000003</v>
          </cell>
          <cell r="G72">
            <v>1.65200587</v>
          </cell>
          <cell r="H72">
            <v>2.0616600699999998</v>
          </cell>
          <cell r="I72">
            <v>1.8285125200000005</v>
          </cell>
        </row>
        <row r="75">
          <cell r="D75">
            <v>0.16472487000000002</v>
          </cell>
          <cell r="E75">
            <v>0.15130452</v>
          </cell>
          <cell r="F75">
            <v>0.16847494000000002</v>
          </cell>
          <cell r="G75">
            <v>0.17660049999999999</v>
          </cell>
          <cell r="H75">
            <v>0.29827707000000003</v>
          </cell>
          <cell r="I75">
            <v>0.30686773000000001</v>
          </cell>
        </row>
        <row r="76">
          <cell r="D76">
            <v>0.76559107999999987</v>
          </cell>
          <cell r="E76">
            <v>0.76095891000000004</v>
          </cell>
          <cell r="F76">
            <v>0.76504378999999989</v>
          </cell>
          <cell r="G76">
            <v>0.76026196000000001</v>
          </cell>
          <cell r="H76">
            <v>0.76876995999999997</v>
          </cell>
          <cell r="I76">
            <v>0.8503343699999999</v>
          </cell>
        </row>
        <row r="78">
          <cell r="D78">
            <v>2.3835929799999995</v>
          </cell>
          <cell r="E78">
            <v>2.7200546800000001</v>
          </cell>
          <cell r="F78">
            <v>2.3740201300000003</v>
          </cell>
          <cell r="G78">
            <v>2.5888683299999999</v>
          </cell>
          <cell r="H78">
            <v>3.1287070999999997</v>
          </cell>
          <cell r="I78">
            <v>2.9857146200000004</v>
          </cell>
        </row>
        <row r="80">
          <cell r="D80">
            <v>1.4763949999999999</v>
          </cell>
          <cell r="E80">
            <v>1.4818950000000002</v>
          </cell>
          <cell r="F80">
            <v>1.4872270000000001</v>
          </cell>
          <cell r="G80">
            <v>1.4934500000000002</v>
          </cell>
          <cell r="H80">
            <v>1.4979420000000003</v>
          </cell>
          <cell r="I80">
            <v>1.5037787900000004</v>
          </cell>
        </row>
        <row r="81">
          <cell r="D81">
            <v>6.8099999999999994E-2</v>
          </cell>
          <cell r="E81">
            <v>6.8099999999999994E-2</v>
          </cell>
          <cell r="F81">
            <v>6.8099999999999994E-2</v>
          </cell>
          <cell r="G81">
            <v>6.8099999999999994E-2</v>
          </cell>
          <cell r="H81">
            <v>6.8099999999999994E-2</v>
          </cell>
          <cell r="I81">
            <v>6.8099999999999994E-2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D83">
            <v>2.5569472599999998</v>
          </cell>
          <cell r="E83">
            <v>2.30045156</v>
          </cell>
          <cell r="F83">
            <v>2.5469285199999998</v>
          </cell>
          <cell r="G83">
            <v>2.4114196400000001</v>
          </cell>
          <cell r="H83">
            <v>2.4762618700000001</v>
          </cell>
          <cell r="I83">
            <v>2.28719589</v>
          </cell>
        </row>
        <row r="84">
          <cell r="D84">
            <v>0.26204100000000002</v>
          </cell>
          <cell r="E84">
            <v>3.2655999999999998E-2</v>
          </cell>
          <cell r="F84">
            <v>0.32258600000000004</v>
          </cell>
          <cell r="G84">
            <v>0.54174500000000003</v>
          </cell>
          <cell r="H84">
            <v>0.74151300000000009</v>
          </cell>
          <cell r="I84">
            <v>2.41694349</v>
          </cell>
        </row>
        <row r="86">
          <cell r="D86">
            <v>0.31975144999999899</v>
          </cell>
          <cell r="E86">
            <v>-0.19397901999999936</v>
          </cell>
          <cell r="F86">
            <v>0.46087264999999911</v>
          </cell>
          <cell r="G86">
            <v>0.97931620999999891</v>
          </cell>
          <cell r="H86">
            <v>1.4376700899999979</v>
          </cell>
          <cell r="I86">
            <v>4.8362036199999983</v>
          </cell>
        </row>
        <row r="87">
          <cell r="D87">
            <v>0.3197514499999991</v>
          </cell>
          <cell r="E87">
            <v>-0.19397901999999975</v>
          </cell>
          <cell r="F87">
            <v>0.46087265000000044</v>
          </cell>
          <cell r="G87">
            <v>0.9793162099999978</v>
          </cell>
          <cell r="H87">
            <v>1.4376700899999977</v>
          </cell>
          <cell r="I87">
            <v>4.8362036200000009</v>
          </cell>
        </row>
        <row r="88">
          <cell r="D88">
            <v>0</v>
          </cell>
          <cell r="E88">
            <v>3.8857805861880479E-16</v>
          </cell>
          <cell r="F88">
            <v>-1.3322676295501878E-15</v>
          </cell>
          <cell r="G88">
            <v>1.1102230246251565E-15</v>
          </cell>
          <cell r="H88">
            <v>0</v>
          </cell>
          <cell r="I88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2">
          <cell r="E92">
            <v>2.6322251999999997</v>
          </cell>
        </row>
        <row r="95">
          <cell r="F95">
            <v>1.524</v>
          </cell>
          <cell r="G95">
            <v>0</v>
          </cell>
          <cell r="H95">
            <v>0</v>
          </cell>
          <cell r="I95">
            <v>1.8110029999999999</v>
          </cell>
        </row>
        <row r="96">
          <cell r="F96">
            <v>19.241</v>
          </cell>
          <cell r="G96">
            <v>0</v>
          </cell>
          <cell r="H96">
            <v>0</v>
          </cell>
          <cell r="I96">
            <v>29.960605000000001</v>
          </cell>
        </row>
        <row r="99">
          <cell r="F99">
            <v>-6.14</v>
          </cell>
          <cell r="G99">
            <v>0</v>
          </cell>
          <cell r="H99">
            <v>0</v>
          </cell>
          <cell r="I99">
            <v>-6.8271939999999995</v>
          </cell>
        </row>
        <row r="101">
          <cell r="F101">
            <v>-0.48499999999999999</v>
          </cell>
          <cell r="G101">
            <v>0</v>
          </cell>
          <cell r="H101">
            <v>0</v>
          </cell>
          <cell r="I101">
            <v>-0.83881300000000014</v>
          </cell>
        </row>
        <row r="102">
          <cell r="F102">
            <v>-2.2650000000000001</v>
          </cell>
          <cell r="G102">
            <v>0</v>
          </cell>
          <cell r="H102">
            <v>0</v>
          </cell>
          <cell r="I102">
            <v>-2.2985972600000024</v>
          </cell>
        </row>
        <row r="105">
          <cell r="F105">
            <v>-7.4039999999999999</v>
          </cell>
          <cell r="G105">
            <v>0</v>
          </cell>
          <cell r="H105">
            <v>0</v>
          </cell>
          <cell r="I105">
            <v>-7.1752047400000016</v>
          </cell>
        </row>
        <row r="107">
          <cell r="F107">
            <v>-1.9E-2</v>
          </cell>
          <cell r="G107">
            <v>0</v>
          </cell>
          <cell r="H107">
            <v>0</v>
          </cell>
          <cell r="I107">
            <v>-7.1293350000000002</v>
          </cell>
        </row>
        <row r="108">
          <cell r="F108">
            <v>1.1319999999999999</v>
          </cell>
          <cell r="G108">
            <v>0</v>
          </cell>
          <cell r="H108">
            <v>0</v>
          </cell>
          <cell r="I108">
            <v>0.8099320000000001</v>
          </cell>
        </row>
        <row r="109">
          <cell r="F109">
            <v>-6.13</v>
          </cell>
          <cell r="G109">
            <v>0</v>
          </cell>
          <cell r="H109">
            <v>0</v>
          </cell>
          <cell r="I109">
            <v>-5.9832560000000017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4.0016259999999999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F113">
            <v>0.03</v>
          </cell>
          <cell r="G113">
            <v>0</v>
          </cell>
          <cell r="H113">
            <v>0</v>
          </cell>
          <cell r="I113">
            <v>2.1567000000000003E-2</v>
          </cell>
        </row>
        <row r="118">
          <cell r="F118">
            <v>-0.51599599999999968</v>
          </cell>
          <cell r="G118">
            <v>0</v>
          </cell>
          <cell r="H118">
            <v>0</v>
          </cell>
          <cell r="I118">
            <v>6.3525889999999965</v>
          </cell>
        </row>
        <row r="119">
          <cell r="D119">
            <v>0</v>
          </cell>
          <cell r="E119">
            <v>0</v>
          </cell>
          <cell r="F119">
            <v>-0.51600000000000024</v>
          </cell>
          <cell r="G119">
            <v>0</v>
          </cell>
          <cell r="H119">
            <v>0</v>
          </cell>
          <cell r="I119">
            <v>6.3523329999999962</v>
          </cell>
        </row>
        <row r="120">
          <cell r="D120">
            <v>0</v>
          </cell>
          <cell r="E120">
            <v>0</v>
          </cell>
          <cell r="F120">
            <v>4.0000000005591119E-6</v>
          </cell>
          <cell r="G120">
            <v>0</v>
          </cell>
          <cell r="H120">
            <v>0</v>
          </cell>
          <cell r="I120">
            <v>2.5600000000025602E-4</v>
          </cell>
        </row>
        <row r="124">
          <cell r="D124">
            <v>2.8582734614946603E-2</v>
          </cell>
          <cell r="E124">
            <v>3.4232852731059291E-2</v>
          </cell>
          <cell r="F124">
            <v>3.1666632403568082E-2</v>
          </cell>
          <cell r="G124">
            <v>2.8294236185414531E-2</v>
          </cell>
          <cell r="H124">
            <v>2.3696507764522572E-2</v>
          </cell>
          <cell r="I124">
            <v>1.7752901878884182E-2</v>
          </cell>
        </row>
        <row r="215">
          <cell r="D215">
            <v>9.854281799999999</v>
          </cell>
          <cell r="E215">
            <v>8.9825889300000004</v>
          </cell>
          <cell r="F215">
            <v>9.8308480300000003</v>
          </cell>
          <cell r="G215">
            <v>10.177830830000001</v>
          </cell>
          <cell r="H215">
            <v>11.018244780000002</v>
          </cell>
          <cell r="I215">
            <v>9.4764652499999986</v>
          </cell>
        </row>
        <row r="216">
          <cell r="D216">
            <v>5.9971599000000007</v>
          </cell>
          <cell r="E216">
            <v>8.4497309999999999</v>
          </cell>
          <cell r="F216">
            <v>7.2008519100000008</v>
          </cell>
          <cell r="G216">
            <v>6.5356442999999995</v>
          </cell>
          <cell r="H216">
            <v>7.853317370000001</v>
          </cell>
          <cell r="I216">
            <v>7.3989395300000007</v>
          </cell>
        </row>
        <row r="217">
          <cell r="D217">
            <v>5.3051068497332965</v>
          </cell>
          <cell r="E217">
            <v>4.6650009692545984</v>
          </cell>
          <cell r="F217">
            <v>4.9094742415818136</v>
          </cell>
          <cell r="G217">
            <v>4.8225569312808965</v>
          </cell>
          <cell r="H217">
            <v>4.031710205642514</v>
          </cell>
          <cell r="I217">
            <v>4.6463238306589396</v>
          </cell>
        </row>
        <row r="218">
          <cell r="D218">
            <v>0.16472486999999997</v>
          </cell>
          <cell r="E218">
            <v>0.15130452</v>
          </cell>
          <cell r="F218">
            <v>0.16847494000000002</v>
          </cell>
          <cell r="G218">
            <v>0.17660050000000002</v>
          </cell>
          <cell r="H218">
            <v>0.29827706999999998</v>
          </cell>
          <cell r="I218">
            <v>0.30686773000000001</v>
          </cell>
        </row>
        <row r="219">
          <cell r="D219">
            <v>0.16472486999999997</v>
          </cell>
          <cell r="E219">
            <v>0.15130452</v>
          </cell>
          <cell r="F219">
            <v>0.16847494000000002</v>
          </cell>
          <cell r="G219">
            <v>0.17660050000000002</v>
          </cell>
          <cell r="H219">
            <v>0.29827706999999998</v>
          </cell>
          <cell r="I219">
            <v>0.30686773000000001</v>
          </cell>
        </row>
        <row r="220">
          <cell r="D220">
            <v>10.626437710000001</v>
          </cell>
          <cell r="E220">
            <v>8.8445519400000006</v>
          </cell>
          <cell r="F220">
            <v>10.040015199999999</v>
          </cell>
          <cell r="G220">
            <v>11.51082774</v>
          </cell>
          <cell r="H220">
            <v>14.343634590000001</v>
          </cell>
          <cell r="I220">
            <v>24.047649740000001</v>
          </cell>
        </row>
        <row r="221">
          <cell r="D221">
            <v>3.0374959999999999E-2</v>
          </cell>
          <cell r="E221">
            <v>5.8234379999999995E-2</v>
          </cell>
          <cell r="F221">
            <v>0.10089484</v>
          </cell>
          <cell r="G221">
            <v>0.11951416000000001</v>
          </cell>
          <cell r="H221">
            <v>5.4791379999999994E-2</v>
          </cell>
          <cell r="I221">
            <v>0.11821836000000001</v>
          </cell>
        </row>
        <row r="222">
          <cell r="D222">
            <v>11.757473156856772</v>
          </cell>
          <cell r="E222">
            <v>10.621675542931829</v>
          </cell>
          <cell r="F222">
            <v>8.0101553197087476</v>
          </cell>
          <cell r="G222">
            <v>8.4008517198620858</v>
          </cell>
          <cell r="H222">
            <v>11.451933140090585</v>
          </cell>
          <cell r="I222">
            <v>12.389795310404889</v>
          </cell>
        </row>
        <row r="223">
          <cell r="D223">
            <v>4.2779999999999996</v>
          </cell>
          <cell r="E223">
            <v>3.7509999999999999</v>
          </cell>
          <cell r="F223">
            <v>4.1820000000000004</v>
          </cell>
          <cell r="G223">
            <v>4.1415800000000003</v>
          </cell>
          <cell r="H223">
            <v>5.2730560000000004</v>
          </cell>
          <cell r="I223">
            <v>5.3670069999999992</v>
          </cell>
        </row>
        <row r="224">
          <cell r="D224">
            <v>6.7702375000000004</v>
          </cell>
          <cell r="E224">
            <v>5.7582520199999996</v>
          </cell>
          <cell r="F224">
            <v>6.7118631299999993</v>
          </cell>
          <cell r="G224">
            <v>7.7382027500000001</v>
          </cell>
          <cell r="H224">
            <v>8.7062851999999982</v>
          </cell>
          <cell r="I224">
            <v>13.513083929999999</v>
          </cell>
        </row>
        <row r="225">
          <cell r="D225">
            <v>6.7702375000000004</v>
          </cell>
          <cell r="E225">
            <v>5.7582520199999996</v>
          </cell>
          <cell r="F225">
            <v>6.7118631299999993</v>
          </cell>
          <cell r="G225">
            <v>7.7382027500000001</v>
          </cell>
          <cell r="H225">
            <v>8.7062851999999982</v>
          </cell>
          <cell r="I225">
            <v>13.513083929999999</v>
          </cell>
        </row>
        <row r="226">
          <cell r="D226">
            <v>0.38730850000000006</v>
          </cell>
          <cell r="E226">
            <v>0.37649360000000004</v>
          </cell>
          <cell r="F226">
            <v>0.39768987999999994</v>
          </cell>
          <cell r="G226">
            <v>0.34015878000000005</v>
          </cell>
          <cell r="H226">
            <v>0.37642578000000004</v>
          </cell>
          <cell r="I226">
            <v>0.39305464000000001</v>
          </cell>
        </row>
        <row r="227">
          <cell r="D227">
            <v>0.14559234000000001</v>
          </cell>
          <cell r="E227">
            <v>0.14559234000000001</v>
          </cell>
          <cell r="F227">
            <v>0.14559234000000001</v>
          </cell>
          <cell r="G227">
            <v>0.14559234000000001</v>
          </cell>
          <cell r="H227">
            <v>0.14559234000000001</v>
          </cell>
          <cell r="I227">
            <v>0.14559234000000001</v>
          </cell>
        </row>
        <row r="228">
          <cell r="D228">
            <v>0.53979997999999996</v>
          </cell>
          <cell r="E228">
            <v>0.48565089</v>
          </cell>
          <cell r="F228">
            <v>0.42448808999999998</v>
          </cell>
          <cell r="G228">
            <v>0.37510971999999998</v>
          </cell>
          <cell r="H228">
            <v>0.38519629</v>
          </cell>
          <cell r="I228">
            <v>0.35578603000000003</v>
          </cell>
        </row>
        <row r="229">
          <cell r="D229">
            <v>-1.8637500000000236E-3</v>
          </cell>
          <cell r="E229">
            <v>-0.11354050000000007</v>
          </cell>
          <cell r="F229">
            <v>-8.2957100000000238E-3</v>
          </cell>
          <cell r="G229">
            <v>4.0189699999999993E-3</v>
          </cell>
          <cell r="H229">
            <v>-3.896650000000008E-3</v>
          </cell>
          <cell r="I229">
            <v>-6.2350200000000373E-3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5.7563999999999997E-2</v>
          </cell>
        </row>
        <row r="232">
          <cell r="D232">
            <v>0.23880679000000002</v>
          </cell>
          <cell r="E232">
            <v>0.22840154000000001</v>
          </cell>
          <cell r="F232">
            <v>0.49530427999999993</v>
          </cell>
          <cell r="G232">
            <v>0.18176017000000005</v>
          </cell>
          <cell r="H232">
            <v>0.22227309000000006</v>
          </cell>
          <cell r="I232">
            <v>0.14132816000000001</v>
          </cell>
        </row>
        <row r="233">
          <cell r="D233">
            <v>0.60916539999999997</v>
          </cell>
          <cell r="E233">
            <v>0.8092743200000001</v>
          </cell>
          <cell r="F233">
            <v>0.56662335000000008</v>
          </cell>
          <cell r="G233">
            <v>0.82676479999999986</v>
          </cell>
          <cell r="H233">
            <v>0.78780936999999995</v>
          </cell>
          <cell r="I233">
            <v>0.90530736999999983</v>
          </cell>
        </row>
        <row r="234">
          <cell r="D234">
            <v>0.9627529199999999</v>
          </cell>
          <cell r="E234">
            <v>0.93647306000000008</v>
          </cell>
          <cell r="F234">
            <v>0.97488092000000004</v>
          </cell>
          <cell r="G234">
            <v>0.93767449000000003</v>
          </cell>
          <cell r="H234">
            <v>0.97674641999999989</v>
          </cell>
          <cell r="I234">
            <v>0.91344458000000006</v>
          </cell>
        </row>
        <row r="235">
          <cell r="D235">
            <v>1.1519999999999998E-3</v>
          </cell>
          <cell r="E235">
            <v>1.15E-3</v>
          </cell>
          <cell r="F235">
            <v>1.1510000000000001E-3</v>
          </cell>
          <cell r="G235">
            <v>1.15E-3</v>
          </cell>
          <cell r="H235">
            <v>8.7000000000000001E-4</v>
          </cell>
          <cell r="I235">
            <v>8.7199999999999995E-4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D237">
            <v>0.93833</v>
          </cell>
          <cell r="E237">
            <v>1.5826300000000002</v>
          </cell>
          <cell r="F237">
            <v>2.2081360000000001</v>
          </cell>
          <cell r="G237">
            <v>2.1488100000000001</v>
          </cell>
          <cell r="H237">
            <v>2.1172840000000002</v>
          </cell>
          <cell r="I237">
            <v>2.7228546200000001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41">
          <cell r="D241">
            <v>0</v>
          </cell>
          <cell r="E241">
            <v>0</v>
          </cell>
          <cell r="F241">
            <v>77.745999999999995</v>
          </cell>
          <cell r="G241">
            <v>0</v>
          </cell>
          <cell r="H241">
            <v>0</v>
          </cell>
          <cell r="I241">
            <v>81.060345999999996</v>
          </cell>
        </row>
        <row r="242">
          <cell r="D242">
            <v>0</v>
          </cell>
          <cell r="E242">
            <v>0</v>
          </cell>
          <cell r="F242">
            <v>0.48399999999999999</v>
          </cell>
          <cell r="G242">
            <v>0</v>
          </cell>
          <cell r="H242">
            <v>0</v>
          </cell>
          <cell r="I242">
            <v>0.83981300000000014</v>
          </cell>
        </row>
        <row r="243">
          <cell r="D243">
            <v>0</v>
          </cell>
          <cell r="E243">
            <v>0</v>
          </cell>
          <cell r="F243">
            <v>-52.593000000000004</v>
          </cell>
          <cell r="G243">
            <v>0</v>
          </cell>
          <cell r="H243">
            <v>0</v>
          </cell>
          <cell r="I243">
            <v>-45.805410999999992</v>
          </cell>
        </row>
        <row r="244">
          <cell r="D244">
            <v>0</v>
          </cell>
          <cell r="E244">
            <v>0</v>
          </cell>
          <cell r="F244">
            <v>-18.888000000000002</v>
          </cell>
          <cell r="G244">
            <v>0</v>
          </cell>
          <cell r="H244">
            <v>0</v>
          </cell>
          <cell r="I244">
            <v>-29.6337229999999</v>
          </cell>
        </row>
        <row r="245">
          <cell r="D245">
            <v>0</v>
          </cell>
          <cell r="E245">
            <v>0</v>
          </cell>
          <cell r="F245">
            <v>-3.2280000000000002</v>
          </cell>
          <cell r="G245">
            <v>0</v>
          </cell>
          <cell r="H245">
            <v>0</v>
          </cell>
          <cell r="I245">
            <v>-3.1539870000000954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D247">
            <v>0</v>
          </cell>
          <cell r="E247">
            <v>0</v>
          </cell>
          <cell r="F247">
            <v>1.45</v>
          </cell>
          <cell r="G247">
            <v>0</v>
          </cell>
          <cell r="H247">
            <v>0</v>
          </cell>
          <cell r="I247">
            <v>1.1160309999999998</v>
          </cell>
        </row>
        <row r="248">
          <cell r="D248">
            <v>0</v>
          </cell>
          <cell r="E248">
            <v>0</v>
          </cell>
          <cell r="F248">
            <v>-2.6560000000000001</v>
          </cell>
          <cell r="G248">
            <v>0</v>
          </cell>
          <cell r="H248">
            <v>0</v>
          </cell>
          <cell r="I248">
            <v>-3.3349259999999998</v>
          </cell>
        </row>
        <row r="249">
          <cell r="D249">
            <v>0</v>
          </cell>
          <cell r="E249">
            <v>0</v>
          </cell>
          <cell r="F249">
            <v>-4.8239999999999998</v>
          </cell>
          <cell r="G249">
            <v>0</v>
          </cell>
          <cell r="H249">
            <v>0</v>
          </cell>
          <cell r="I249">
            <v>-5.8389720000000001</v>
          </cell>
        </row>
        <row r="250">
          <cell r="D250">
            <v>0</v>
          </cell>
          <cell r="E250">
            <v>0</v>
          </cell>
          <cell r="F250">
            <v>1.9999999999999999E-6</v>
          </cell>
          <cell r="G250">
            <v>0</v>
          </cell>
          <cell r="H250">
            <v>0</v>
          </cell>
          <cell r="I250">
            <v>-1.9999999999999999E-6</v>
          </cell>
        </row>
        <row r="251">
          <cell r="D251">
            <v>0</v>
          </cell>
          <cell r="E251">
            <v>0</v>
          </cell>
          <cell r="F251">
            <v>4.0000000000000001E-3</v>
          </cell>
          <cell r="G251">
            <v>0</v>
          </cell>
          <cell r="H251">
            <v>0</v>
          </cell>
          <cell r="I251">
            <v>2.9273000000000004E-2</v>
          </cell>
        </row>
        <row r="252">
          <cell r="D252">
            <v>0</v>
          </cell>
          <cell r="E252">
            <v>0</v>
          </cell>
          <cell r="F252">
            <v>20</v>
          </cell>
          <cell r="G252">
            <v>0</v>
          </cell>
          <cell r="H252">
            <v>0</v>
          </cell>
          <cell r="I252">
            <v>5</v>
          </cell>
        </row>
        <row r="253">
          <cell r="D253">
            <v>0</v>
          </cell>
          <cell r="E253">
            <v>0</v>
          </cell>
          <cell r="F253">
            <v>1.9999999999999999E-6</v>
          </cell>
          <cell r="G253">
            <v>0</v>
          </cell>
          <cell r="H253">
            <v>0</v>
          </cell>
          <cell r="I253">
            <v>-1.9999999999999999E-6</v>
          </cell>
        </row>
        <row r="254">
          <cell r="D254">
            <v>0</v>
          </cell>
          <cell r="E254">
            <v>0</v>
          </cell>
          <cell r="F254">
            <v>-22.4</v>
          </cell>
          <cell r="G254">
            <v>0</v>
          </cell>
          <cell r="H254">
            <v>0</v>
          </cell>
          <cell r="I254">
            <v>0</v>
          </cell>
        </row>
        <row r="255">
          <cell r="D255">
            <v>0</v>
          </cell>
          <cell r="E255">
            <v>0</v>
          </cell>
          <cell r="F255">
            <v>-4.9049960000000148</v>
          </cell>
          <cell r="G255">
            <v>0</v>
          </cell>
          <cell r="H255">
            <v>0</v>
          </cell>
          <cell r="I255">
            <v>0.27844000000001429</v>
          </cell>
        </row>
        <row r="263">
          <cell r="D263">
            <v>0.1136421</v>
          </cell>
          <cell r="E263">
            <v>0.10224229</v>
          </cell>
          <cell r="F263">
            <v>0.11319682</v>
          </cell>
          <cell r="G263">
            <v>0.10717421000000001</v>
          </cell>
          <cell r="H263">
            <v>0.21230173000000002</v>
          </cell>
          <cell r="I263">
            <v>0.25413288000000001</v>
          </cell>
        </row>
        <row r="264">
          <cell r="D264">
            <v>1.7683440000000001</v>
          </cell>
          <cell r="E264">
            <v>1.73743197</v>
          </cell>
          <cell r="F264">
            <v>1.77992471</v>
          </cell>
          <cell r="G264">
            <v>1.7379364500000001</v>
          </cell>
          <cell r="H264">
            <v>1.78551638</v>
          </cell>
          <cell r="I264">
            <v>1.7462149500000002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D267">
            <v>0.37806241000000002</v>
          </cell>
          <cell r="E267">
            <v>0.387264</v>
          </cell>
          <cell r="F267">
            <v>0.38883475000000001</v>
          </cell>
          <cell r="G267">
            <v>0.38465199999999999</v>
          </cell>
          <cell r="H267">
            <v>0.38871909000000004</v>
          </cell>
          <cell r="I267">
            <v>0.51356221000000002</v>
          </cell>
        </row>
        <row r="268">
          <cell r="D268">
            <v>0.6375906699999998</v>
          </cell>
          <cell r="E268">
            <v>0.71307552999999979</v>
          </cell>
          <cell r="F268">
            <v>0.38082792999999998</v>
          </cell>
          <cell r="G268">
            <v>0.54555745999999983</v>
          </cell>
          <cell r="H268">
            <v>0.66379633000000005</v>
          </cell>
          <cell r="I268">
            <v>0.97709790000000019</v>
          </cell>
        </row>
        <row r="269">
          <cell r="D269">
            <v>1.54221031</v>
          </cell>
          <cell r="E269">
            <v>3.4342427100000004</v>
          </cell>
          <cell r="F269">
            <v>2.31216891</v>
          </cell>
          <cell r="G269">
            <v>3.2908031999999996</v>
          </cell>
          <cell r="H269">
            <v>3.2501553900000002</v>
          </cell>
          <cell r="I269">
            <v>-0.20899783999999971</v>
          </cell>
        </row>
        <row r="271">
          <cell r="D271">
            <v>0.32660400000000001</v>
          </cell>
          <cell r="E271">
            <v>0.32676100000000002</v>
          </cell>
          <cell r="F271">
            <v>0.32700699999999999</v>
          </cell>
          <cell r="G271">
            <v>0.327407</v>
          </cell>
          <cell r="H271">
            <v>0.32808499999999996</v>
          </cell>
          <cell r="I271">
            <v>0.32866073999999995</v>
          </cell>
        </row>
        <row r="272">
          <cell r="D272">
            <v>9.0783999999999993E-4</v>
          </cell>
          <cell r="E272">
            <v>8.6903999999999996E-4</v>
          </cell>
          <cell r="F272">
            <v>8.3001000000000006E-4</v>
          </cell>
          <cell r="G272">
            <v>8.5921999999999995E-4</v>
          </cell>
          <cell r="H272">
            <v>8.1632000000000004E-4</v>
          </cell>
          <cell r="I272">
            <v>7.7316999999999989E-4</v>
          </cell>
        </row>
        <row r="273">
          <cell r="D273">
            <v>0.14845</v>
          </cell>
          <cell r="E273">
            <v>7.0004000000000011E-2</v>
          </cell>
          <cell r="F273">
            <v>4.5050000000000003E-3</v>
          </cell>
          <cell r="G273">
            <v>0.229798</v>
          </cell>
          <cell r="H273">
            <v>4.9337000000000006E-2</v>
          </cell>
          <cell r="I273">
            <v>-0.27622079999999999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7">
          <cell r="F277">
            <v>1.389</v>
          </cell>
          <cell r="G277">
            <v>0</v>
          </cell>
          <cell r="H277">
            <v>0</v>
          </cell>
          <cell r="I277">
            <v>0.42813699999999999</v>
          </cell>
        </row>
        <row r="278">
          <cell r="F278">
            <v>5.2610000000000001</v>
          </cell>
          <cell r="G278">
            <v>0</v>
          </cell>
          <cell r="H278">
            <v>0</v>
          </cell>
          <cell r="I278">
            <v>5.245309999999999</v>
          </cell>
        </row>
        <row r="279">
          <cell r="F279">
            <v>-10.426</v>
          </cell>
          <cell r="G279">
            <v>0</v>
          </cell>
          <cell r="H279">
            <v>0</v>
          </cell>
          <cell r="I279">
            <v>0.4529999999999994</v>
          </cell>
        </row>
        <row r="280">
          <cell r="F280">
            <v>0.32900000000000001</v>
          </cell>
          <cell r="G280">
            <v>0</v>
          </cell>
          <cell r="H280">
            <v>0</v>
          </cell>
          <cell r="I280">
            <v>0.57369000000000003</v>
          </cell>
        </row>
        <row r="281">
          <cell r="F281">
            <v>-3.0000000000000001E-3</v>
          </cell>
          <cell r="G281">
            <v>0</v>
          </cell>
          <cell r="H281">
            <v>0</v>
          </cell>
          <cell r="I281">
            <v>-2E-3</v>
          </cell>
        </row>
        <row r="282">
          <cell r="F282">
            <v>0.309</v>
          </cell>
          <cell r="G282">
            <v>0</v>
          </cell>
          <cell r="H282">
            <v>0</v>
          </cell>
          <cell r="I282">
            <v>0.192</v>
          </cell>
        </row>
        <row r="283">
          <cell r="F283">
            <v>-8.0000000000000002E-3</v>
          </cell>
          <cell r="G283">
            <v>0</v>
          </cell>
          <cell r="H283">
            <v>0</v>
          </cell>
          <cell r="I283">
            <v>-3.1579999999999999</v>
          </cell>
        </row>
        <row r="284">
          <cell r="F284">
            <v>22.4</v>
          </cell>
          <cell r="G284">
            <v>0</v>
          </cell>
          <cell r="H284">
            <v>0</v>
          </cell>
          <cell r="I284">
            <v>0</v>
          </cell>
        </row>
        <row r="285">
          <cell r="F285">
            <v>-0.38300000000000001</v>
          </cell>
          <cell r="G285">
            <v>0</v>
          </cell>
          <cell r="H285">
            <v>0</v>
          </cell>
          <cell r="I285">
            <v>-0.51400000000000001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-34.001626000000002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36</v>
          </cell>
        </row>
        <row r="290">
          <cell r="F290">
            <v>-22.4</v>
          </cell>
          <cell r="G290">
            <v>0</v>
          </cell>
          <cell r="H290">
            <v>0</v>
          </cell>
          <cell r="I290">
            <v>0</v>
          </cell>
        </row>
        <row r="291">
          <cell r="E291">
            <v>0</v>
          </cell>
          <cell r="F291">
            <v>-3.532</v>
          </cell>
          <cell r="G291">
            <v>0</v>
          </cell>
          <cell r="H291">
            <v>0</v>
          </cell>
          <cell r="I291">
            <v>5.216510999999997</v>
          </cell>
        </row>
        <row r="293">
          <cell r="D293">
            <v>6.6130320000000005</v>
          </cell>
        </row>
        <row r="301">
          <cell r="D301">
            <v>5.7229260000000004E-2</v>
          </cell>
          <cell r="E301">
            <v>5.0932180000000001E-2</v>
          </cell>
          <cell r="F301">
            <v>3.5628550000000002E-2</v>
          </cell>
          <cell r="G301">
            <v>3.464851E-2</v>
          </cell>
          <cell r="H301">
            <v>8.5922149999999989E-2</v>
          </cell>
          <cell r="I301">
            <v>3.9065289999999996E-2</v>
          </cell>
        </row>
        <row r="302">
          <cell r="D302">
            <v>2.4433051600000004</v>
          </cell>
          <cell r="E302">
            <v>2.19820927</v>
          </cell>
          <cell r="F302">
            <v>2.4337317000000001</v>
          </cell>
          <cell r="G302">
            <v>2.3042454299999999</v>
          </cell>
          <cell r="H302">
            <v>2.36620579</v>
          </cell>
          <cell r="I302">
            <v>2.1855427400000003</v>
          </cell>
        </row>
        <row r="303">
          <cell r="D303">
            <v>1.37203E-3</v>
          </cell>
          <cell r="E303">
            <v>1.53268E-3</v>
          </cell>
          <cell r="F303">
            <v>1.4462100000000001E-3</v>
          </cell>
          <cell r="G303">
            <v>6.6048800000000005E-3</v>
          </cell>
          <cell r="H303">
            <v>1.8685000000000002E-3</v>
          </cell>
          <cell r="I303">
            <v>1.45772E-3</v>
          </cell>
        </row>
        <row r="304">
          <cell r="D304">
            <v>0.04</v>
          </cell>
          <cell r="E304">
            <v>0.04</v>
          </cell>
          <cell r="F304">
            <v>0.04</v>
          </cell>
          <cell r="G304">
            <v>0.04</v>
          </cell>
          <cell r="H304">
            <v>0.04</v>
          </cell>
          <cell r="I304">
            <v>0.04</v>
          </cell>
        </row>
        <row r="305">
          <cell r="D305">
            <v>1.9113914400000003</v>
          </cell>
          <cell r="E305">
            <v>1.7260774000000001</v>
          </cell>
          <cell r="F305">
            <v>1.9614394999999996</v>
          </cell>
          <cell r="G305">
            <v>1.9349308700000003</v>
          </cell>
          <cell r="H305">
            <v>1.8802489599999999</v>
          </cell>
          <cell r="I305">
            <v>3.9797834900000004</v>
          </cell>
        </row>
        <row r="306">
          <cell r="D306">
            <v>0.53979997999999996</v>
          </cell>
          <cell r="E306">
            <v>0.48565088999999989</v>
          </cell>
          <cell r="F306">
            <v>0.42448809000000004</v>
          </cell>
          <cell r="G306">
            <v>0.37510971999999998</v>
          </cell>
          <cell r="H306">
            <v>0.48744193999999996</v>
          </cell>
          <cell r="I306">
            <v>0.50826576000000001</v>
          </cell>
        </row>
        <row r="307">
          <cell r="D307">
            <v>2.3909999999999999E-3</v>
          </cell>
          <cell r="E307">
            <v>-1.2359999999999999E-3</v>
          </cell>
          <cell r="F307">
            <v>1.2596E-2</v>
          </cell>
          <cell r="G307">
            <v>-5.3249999999999999E-3</v>
          </cell>
          <cell r="H307">
            <v>1.2771000000000001E-2</v>
          </cell>
          <cell r="I307">
            <v>-0.69147000000000003</v>
          </cell>
        </row>
        <row r="308">
          <cell r="D308">
            <v>0.10481</v>
          </cell>
        </row>
        <row r="311">
          <cell r="F311">
            <v>0.21</v>
          </cell>
          <cell r="G311">
            <v>0</v>
          </cell>
          <cell r="H311">
            <v>0</v>
          </cell>
          <cell r="I311">
            <v>0.19050900000000001</v>
          </cell>
        </row>
        <row r="312">
          <cell r="F312">
            <v>-0.123</v>
          </cell>
          <cell r="G312">
            <v>0</v>
          </cell>
          <cell r="H312">
            <v>0</v>
          </cell>
          <cell r="I312">
            <v>-0.11699999999999999</v>
          </cell>
        </row>
        <row r="313">
          <cell r="F313">
            <v>0.14399999999999999</v>
          </cell>
          <cell r="G313">
            <v>0</v>
          </cell>
          <cell r="H313">
            <v>0</v>
          </cell>
          <cell r="I313">
            <v>0.15942599999999998</v>
          </cell>
        </row>
        <row r="314">
          <cell r="F314">
            <v>7.0750000000000002</v>
          </cell>
          <cell r="G314">
            <v>0</v>
          </cell>
          <cell r="H314">
            <v>0</v>
          </cell>
          <cell r="I314">
            <v>6.8562399999999988</v>
          </cell>
        </row>
        <row r="315">
          <cell r="F315">
            <v>-2.8959999999999999</v>
          </cell>
          <cell r="G315">
            <v>0</v>
          </cell>
          <cell r="H315">
            <v>0</v>
          </cell>
          <cell r="I315">
            <v>-10.132197999999999</v>
          </cell>
        </row>
        <row r="316">
          <cell r="F316">
            <v>-1.4470000000000001</v>
          </cell>
          <cell r="G316">
            <v>0</v>
          </cell>
          <cell r="H316">
            <v>0</v>
          </cell>
          <cell r="I316">
            <v>-1.3737559999999998</v>
          </cell>
        </row>
        <row r="317">
          <cell r="F317">
            <v>2.8000000000000001E-2</v>
          </cell>
          <cell r="G317">
            <v>0</v>
          </cell>
          <cell r="H317">
            <v>0</v>
          </cell>
          <cell r="I317">
            <v>2.1011999999999999E-2</v>
          </cell>
        </row>
        <row r="318">
          <cell r="F318">
            <v>-1.2E-2</v>
          </cell>
          <cell r="G318">
            <v>0</v>
          </cell>
          <cell r="H318">
            <v>0</v>
          </cell>
          <cell r="I318">
            <v>0.21314500000000003</v>
          </cell>
        </row>
        <row r="319">
          <cell r="F319">
            <v>20</v>
          </cell>
          <cell r="G319">
            <v>0</v>
          </cell>
          <cell r="H319">
            <v>0</v>
          </cell>
          <cell r="I319">
            <v>-25</v>
          </cell>
        </row>
        <row r="321">
          <cell r="F321">
            <v>-20</v>
          </cell>
          <cell r="G321">
            <v>0</v>
          </cell>
          <cell r="H321">
            <v>0</v>
          </cell>
          <cell r="I321">
            <v>25</v>
          </cell>
        </row>
        <row r="384">
          <cell r="G384">
            <v>0</v>
          </cell>
          <cell r="H384">
            <v>0</v>
          </cell>
          <cell r="I384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changes"/>
      <sheetName val="Cover page"/>
      <sheetName val="Contents"/>
      <sheetName val="PTRM &amp; RFM input"/>
      <sheetName val="Forecast summary"/>
      <sheetName val="General assumptions"/>
      <sheetName val="AMP inputs"/>
      <sheetName val="Capex forecast - 3001"/>
      <sheetName val="Capex forecast - 3002"/>
      <sheetName val="Capex forecast - 3003"/>
      <sheetName val="Capex forecast - 3004"/>
      <sheetName val="Capex forecast - 3005"/>
      <sheetName val="Capex forecast - 3006"/>
      <sheetName val="Capex forecast - 3007"/>
      <sheetName val="Capex forecast - 3008"/>
      <sheetName val="Capex forecast - 3009"/>
      <sheetName val="Capex forecast - 3010"/>
      <sheetName val="Capex forecast - 3011"/>
      <sheetName val="Capex forecast - 3012"/>
      <sheetName val="Capex forecast - 3013"/>
      <sheetName val="Capex forecast - 3014"/>
      <sheetName val="Capex forecast - 3015"/>
      <sheetName val="Capex forecast - 3016"/>
      <sheetName val="Capex forecast - 3017"/>
      <sheetName val="Capex forecast - 3018"/>
      <sheetName val="Capex forecast - 3019"/>
      <sheetName val="Capex forecast - 3020"/>
      <sheetName val="Capex forecast - 3021"/>
      <sheetName val="Capex forecast - 3022"/>
      <sheetName val="Capex forecast - 3023"/>
      <sheetName val="Capex forecast - 3024"/>
      <sheetName val="Capex forecast - 3025"/>
      <sheetName val="Capex forecast - IT"/>
      <sheetName val="Capex forecast - other non-IT"/>
      <sheetName val="Capex forecast - work code"/>
      <sheetName val="Capex forecast - RAB"/>
      <sheetName val="Capex forecast - driver"/>
      <sheetName val="Capex forecast - tax"/>
      <sheetName val="Capex forecast - input type"/>
      <sheetName val="Overheads forecast"/>
      <sheetName val="Labour price forecast"/>
    </sheetNames>
    <sheetDataSet>
      <sheetData sheetId="0"/>
      <sheetData sheetId="1"/>
      <sheetData sheetId="2"/>
      <sheetData sheetId="3"/>
      <sheetData sheetId="4"/>
      <sheetData sheetId="5"/>
      <sheetData sheetId="6">
        <row r="59">
          <cell r="U59">
            <v>2180510.2966763587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changes"/>
      <sheetName val="Index"/>
      <sheetName val="Model Diagram"/>
      <sheetName val="Input|RP changes"/>
      <sheetName val="Input|Assumptions"/>
      <sheetName val="Input|Escalators"/>
      <sheetName val="Input|Volume &amp; Rates ($2015)"/>
      <sheetName val="Input|Project Costs ($2015)"/>
      <sheetName val="Calc|Capex ($2015)"/>
      <sheetName val="Calc|Unesc'd Unit Rates ($2015)"/>
      <sheetName val="Calc|Inflation Indexes"/>
      <sheetName val="Output|Reg"/>
      <sheetName val="Lookup|Tables"/>
      <sheetName val="Check|List"/>
      <sheetName val="Calc|Volume &amp; Rates ($2016)"/>
      <sheetName val="Calc|Capex ($2016)"/>
    </sheetNames>
    <sheetDataSet>
      <sheetData sheetId="0"/>
      <sheetData sheetId="1"/>
      <sheetData sheetId="2"/>
      <sheetData sheetId="3"/>
      <sheetData sheetId="4">
        <row r="10">
          <cell r="G10">
            <v>2015</v>
          </cell>
        </row>
        <row r="11">
          <cell r="G11">
            <v>2015</v>
          </cell>
        </row>
        <row r="12">
          <cell r="G12">
            <v>2015</v>
          </cell>
        </row>
        <row r="135">
          <cell r="C135" t="str">
            <v>HP Mains</v>
          </cell>
        </row>
        <row r="136">
          <cell r="C136" t="str">
            <v>HP Services</v>
          </cell>
        </row>
        <row r="137">
          <cell r="C137" t="str">
            <v>MP Mains</v>
          </cell>
        </row>
        <row r="138">
          <cell r="C138" t="str">
            <v>MP Services</v>
          </cell>
        </row>
        <row r="139">
          <cell r="C139" t="str">
            <v>TRS &amp; DRS - Valves &amp; Regulators</v>
          </cell>
        </row>
        <row r="140">
          <cell r="C140" t="str">
            <v>Contract Meters</v>
          </cell>
        </row>
        <row r="141">
          <cell r="C141" t="str">
            <v>Tariff Meters</v>
          </cell>
        </row>
        <row r="142">
          <cell r="C142" t="str">
            <v>Regulatory Costs</v>
          </cell>
        </row>
        <row r="143">
          <cell r="C143" t="str">
            <v>IT System</v>
          </cell>
        </row>
        <row r="144">
          <cell r="C144" t="str">
            <v>Non network</v>
          </cell>
        </row>
        <row r="145">
          <cell r="C145" t="str">
            <v>Land</v>
          </cell>
        </row>
        <row r="146">
          <cell r="C146" t="str">
            <v>[spare]</v>
          </cell>
        </row>
        <row r="147">
          <cell r="C147" t="str">
            <v>[spare]</v>
          </cell>
        </row>
        <row r="148">
          <cell r="C148" t="str">
            <v>[spare]</v>
          </cell>
        </row>
        <row r="149">
          <cell r="C149" t="str">
            <v>[spare]</v>
          </cell>
        </row>
        <row r="150">
          <cell r="C150" t="str">
            <v>[spare]</v>
          </cell>
        </row>
        <row r="151">
          <cell r="C151" t="str">
            <v>[spare]</v>
          </cell>
        </row>
        <row r="152">
          <cell r="C152" t="str">
            <v>[spare]</v>
          </cell>
        </row>
        <row r="153">
          <cell r="C153" t="str">
            <v>[spare]</v>
          </cell>
        </row>
        <row r="154">
          <cell r="C154" t="str">
            <v>[spare]</v>
          </cell>
        </row>
        <row r="155">
          <cell r="C155" t="str">
            <v>[spare]</v>
          </cell>
        </row>
      </sheetData>
      <sheetData sheetId="5"/>
      <sheetData sheetId="6"/>
      <sheetData sheetId="7"/>
      <sheetData sheetId="8"/>
      <sheetData sheetId="9"/>
      <sheetData sheetId="10">
        <row r="24">
          <cell r="C24" t="str">
            <v>Real 2010</v>
          </cell>
        </row>
        <row r="25">
          <cell r="C25" t="str">
            <v>Real 2011</v>
          </cell>
        </row>
        <row r="26">
          <cell r="C26" t="str">
            <v>Real 2012</v>
          </cell>
        </row>
        <row r="27">
          <cell r="C27" t="str">
            <v>Real 2013</v>
          </cell>
        </row>
        <row r="28">
          <cell r="C28" t="str">
            <v>Real 2014</v>
          </cell>
        </row>
        <row r="29">
          <cell r="C29" t="str">
            <v>Real 2015</v>
          </cell>
        </row>
        <row r="30">
          <cell r="C30" t="str">
            <v>Real 2016</v>
          </cell>
        </row>
        <row r="31">
          <cell r="C31" t="str">
            <v>Real 2017</v>
          </cell>
        </row>
        <row r="32">
          <cell r="C32" t="str">
            <v>Real 2018</v>
          </cell>
        </row>
        <row r="33">
          <cell r="C33" t="str">
            <v>Real 2019</v>
          </cell>
        </row>
        <row r="34">
          <cell r="C34" t="str">
            <v>Real 2020</v>
          </cell>
        </row>
        <row r="35">
          <cell r="C35" t="str">
            <v>Nominal</v>
          </cell>
        </row>
        <row r="39">
          <cell r="C39" t="str">
            <v>Real 2010</v>
          </cell>
        </row>
        <row r="40">
          <cell r="C40" t="str">
            <v>Real 2011</v>
          </cell>
        </row>
        <row r="41">
          <cell r="C41" t="str">
            <v>Real 2012</v>
          </cell>
        </row>
        <row r="42">
          <cell r="C42" t="str">
            <v>Real 2013</v>
          </cell>
        </row>
        <row r="43">
          <cell r="C43" t="str">
            <v>Real 2014</v>
          </cell>
        </row>
        <row r="44">
          <cell r="C44" t="str">
            <v>Real 2015</v>
          </cell>
        </row>
        <row r="45">
          <cell r="C45" t="str">
            <v>Real 2016</v>
          </cell>
        </row>
        <row r="46">
          <cell r="C46" t="str">
            <v>Real 2017</v>
          </cell>
        </row>
        <row r="47">
          <cell r="C47" t="str">
            <v>Real 2018</v>
          </cell>
        </row>
        <row r="48">
          <cell r="C48" t="str">
            <v>Real 2019</v>
          </cell>
        </row>
        <row r="49">
          <cell r="C49" t="str">
            <v>Real 2020</v>
          </cell>
        </row>
        <row r="50">
          <cell r="C50" t="str">
            <v>Nominal</v>
          </cell>
        </row>
      </sheetData>
      <sheetData sheetId="11"/>
      <sheetData sheetId="12">
        <row r="10">
          <cell r="G10" t="str">
            <v>$dollars</v>
          </cell>
        </row>
        <row r="11">
          <cell r="G11" t="str">
            <v>$000</v>
          </cell>
        </row>
        <row r="29">
          <cell r="G29" t="str">
            <v>option</v>
          </cell>
        </row>
        <row r="37">
          <cell r="G37" t="str">
            <v>Real 2015</v>
          </cell>
        </row>
        <row r="44">
          <cell r="G44" t="str">
            <v>Mandatory</v>
          </cell>
        </row>
        <row r="45">
          <cell r="G45" t="str">
            <v>Prudent</v>
          </cell>
        </row>
        <row r="46">
          <cell r="G46" t="str">
            <v>Beneficial</v>
          </cell>
        </row>
        <row r="49">
          <cell r="G49" t="str">
            <v>EXP</v>
          </cell>
        </row>
        <row r="50">
          <cell r="G50" t="str">
            <v>CDP</v>
          </cell>
        </row>
        <row r="51">
          <cell r="G51" t="str">
            <v>SIB MTR</v>
          </cell>
        </row>
        <row r="52">
          <cell r="G52" t="str">
            <v>SIB FAC</v>
          </cell>
        </row>
        <row r="53">
          <cell r="G53" t="str">
            <v>NON</v>
          </cell>
        </row>
        <row r="54">
          <cell r="G54" t="str">
            <v>[Spare]</v>
          </cell>
        </row>
        <row r="57">
          <cell r="G57" t="str">
            <v>Ok</v>
          </cell>
        </row>
        <row r="58">
          <cell r="G58" t="str">
            <v>Check</v>
          </cell>
        </row>
      </sheetData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Diagram"/>
      <sheetName val="Input|Escalators"/>
      <sheetName val="Input|Opex (view 1)"/>
      <sheetName val="Input|Opex (view 2)"/>
      <sheetName val="Calc|Opex Forecast"/>
      <sheetName val="Calc|Opex Summary (view 1)"/>
      <sheetName val="Calc|Opex Summary (view 2)"/>
      <sheetName val="Output|Models"/>
      <sheetName val="Output|AAI Tables"/>
      <sheetName val="Output|Appendix"/>
      <sheetName val="Output|AA RIN"/>
      <sheetName val="Lookup|Tables"/>
      <sheetName val="Check|List"/>
      <sheetName val="Decomposition"/>
    </sheetNames>
    <sheetDataSet>
      <sheetData sheetId="0" refreshError="1"/>
      <sheetData sheetId="1" refreshError="1"/>
      <sheetData sheetId="2">
        <row r="19">
          <cell r="C19" t="str">
            <v>Real 2010</v>
          </cell>
        </row>
        <row r="20">
          <cell r="C20" t="str">
            <v>Real 2011</v>
          </cell>
        </row>
        <row r="21">
          <cell r="C21" t="str">
            <v>Real 2012</v>
          </cell>
        </row>
        <row r="22">
          <cell r="C22" t="str">
            <v>Real 2013</v>
          </cell>
        </row>
        <row r="23">
          <cell r="C23" t="str">
            <v>Real 2014</v>
          </cell>
        </row>
        <row r="24">
          <cell r="C24" t="str">
            <v>Real 2015</v>
          </cell>
        </row>
        <row r="25">
          <cell r="C25" t="str">
            <v>Nominal</v>
          </cell>
        </row>
        <row r="29">
          <cell r="C29" t="str">
            <v>Real 2010</v>
          </cell>
        </row>
        <row r="30">
          <cell r="C30" t="str">
            <v>Real 2011</v>
          </cell>
        </row>
        <row r="31">
          <cell r="C31" t="str">
            <v>Real 2012</v>
          </cell>
        </row>
        <row r="32">
          <cell r="C32" t="str">
            <v>Real 2013</v>
          </cell>
        </row>
        <row r="33">
          <cell r="C33" t="str">
            <v>Real 2014</v>
          </cell>
        </row>
        <row r="34">
          <cell r="C34" t="str">
            <v>Real 2015</v>
          </cell>
        </row>
        <row r="35">
          <cell r="C35" t="str">
            <v>Nominal</v>
          </cell>
        </row>
      </sheetData>
      <sheetData sheetId="3">
        <row r="290">
          <cell r="N290">
            <v>147.6128951271748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8">
          <cell r="D48">
            <v>166.3548944081551</v>
          </cell>
        </row>
      </sheetData>
      <sheetData sheetId="10">
        <row r="134">
          <cell r="D134">
            <v>166.35489440815508</v>
          </cell>
        </row>
      </sheetData>
      <sheetData sheetId="11" refreshError="1"/>
      <sheetData sheetId="12">
        <row r="10">
          <cell r="G10" t="str">
            <v>$dollars</v>
          </cell>
        </row>
        <row r="12">
          <cell r="G12" t="str">
            <v>$millions</v>
          </cell>
        </row>
        <row r="14">
          <cell r="G14" t="str">
            <v>Per cent</v>
          </cell>
        </row>
        <row r="16">
          <cell r="G16" t="str">
            <v>number</v>
          </cell>
        </row>
        <row r="17">
          <cell r="G17" t="str">
            <v>factor</v>
          </cell>
        </row>
        <row r="20">
          <cell r="G20" t="str">
            <v>TJ</v>
          </cell>
        </row>
        <row r="23">
          <cell r="G23" t="str">
            <v>kms</v>
          </cell>
        </row>
        <row r="26">
          <cell r="G26" t="str">
            <v>Actual</v>
          </cell>
        </row>
      </sheetData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Instructions_SC"/>
      <sheetName val="Fcast_Instructions_BO"/>
      <sheetName val="Assumptions_SC"/>
      <sheetName val="Date_BA"/>
      <sheetName val="Gen_Ass_BA"/>
      <sheetName val="WACC_Ass_BA"/>
      <sheetName val="WACC_BA"/>
      <sheetName val="Inflation_Fcast_FA"/>
      <sheetName val="Reg_Reset_Ass_SSC"/>
      <sheetName val="T_RRA_BA"/>
      <sheetName val="D_Elec_RRA_BA"/>
      <sheetName val="D_Gas_RRA_BA"/>
      <sheetName val="D_AMI_RRA_BA"/>
      <sheetName val="WC_SSC"/>
      <sheetName val="WC_BA"/>
      <sheetName val="Inputs_SC"/>
      <sheetName val="Scenarios_SSC"/>
      <sheetName val="Nucleus_BA"/>
      <sheetName val="Actual_SSC"/>
      <sheetName val="TB_Act_FA"/>
      <sheetName val="TB_Adj_FA"/>
      <sheetName val="Capex_Act_FA"/>
      <sheetName val="T_Hist_FA"/>
      <sheetName val="D_Hist_FA"/>
      <sheetName val="SPFT_Hist_FA"/>
      <sheetName val="CFS_Adj_SSC"/>
      <sheetName val="T_CF_Adj_FA"/>
      <sheetName val="D_CF_Adj_FA"/>
      <sheetName val="FT_CF_Adj_FA"/>
      <sheetName val="AusNet_CF_Adj_FA"/>
      <sheetName val="Fcast_SSC"/>
      <sheetName val="Rev_Fcast_Detailed_BA"/>
      <sheetName val="T_Unreg_Rev_Calcs_BA"/>
      <sheetName val="T_Rev_Fcast_FA"/>
      <sheetName val="D_Rev_Fcast_FA"/>
      <sheetName val="SFactor_FA"/>
      <sheetName val="T_Opex_Fcast_FA"/>
      <sheetName val="D_Opex_Fcast_FA"/>
      <sheetName val="Capex_Fcast_BA"/>
      <sheetName val="Other_Inputs_SSC"/>
      <sheetName val="Stap_Adj_FA"/>
      <sheetName val="DB_Super_FA"/>
      <sheetName val="Reg_Rev_Calcs_SC"/>
      <sheetName val="T_Reg_Rev_SSC"/>
      <sheetName val="T_Reg_Opex_BA"/>
      <sheetName val="T_RAB_BA"/>
      <sheetName val="T_Reg_Capex_BA"/>
      <sheetName val="T_Reg_Rev_BA"/>
      <sheetName val="D_Reg_Rev_SSC"/>
      <sheetName val="D_Reg_Opex_BA"/>
      <sheetName val="Elec_RAB_BA"/>
      <sheetName val="Elec_Reg_Capex_BA"/>
      <sheetName val="Elec_Reg_Rev_BA"/>
      <sheetName val="Gas_RAB_BA"/>
      <sheetName val="Gas_Reg_Capex_BA"/>
      <sheetName val="Gas_Reg_Rev_BA"/>
      <sheetName val="AMI_RAB_BA"/>
      <sheetName val="AMI_Reg_Capex_BA"/>
      <sheetName val="AMI_Reg_Rev_BA"/>
      <sheetName val="Calcs_SC"/>
      <sheetName val="Capital_SSC"/>
      <sheetName val="Capital_BA"/>
      <sheetName val="Distributions_FO"/>
      <sheetName val="Dist_Scenarios_FA"/>
      <sheetName val="T_Distributions_FO"/>
      <sheetName val="D_Distributions_FO"/>
      <sheetName val="Debt_SSC"/>
      <sheetName val="T_Debt_FA"/>
      <sheetName val="D_Debt_FA"/>
      <sheetName val="D_Debt_Annual_BO"/>
      <sheetName val="CFV_FA"/>
      <sheetName val="IR_Fcast_FA"/>
      <sheetName val="T_Debt_Deals_SSC"/>
      <sheetName val="T_Debt_Floating_FA"/>
      <sheetName val="T_Debt_Swaps_Fix_FA"/>
      <sheetName val="T_Debt_Swaps_Float_FA"/>
      <sheetName val="D_Debt_Deals_SSC"/>
      <sheetName val="D_Debt_CP_FA"/>
      <sheetName val="D_Debt_Fixed_FA"/>
      <sheetName val="D_Debt_Swaps_Fix_FA"/>
      <sheetName val="D_Debt_Swaps_Float_FA"/>
      <sheetName val="D_Debt_RegSwaps_FA"/>
      <sheetName val="D_Debt_Floating_FA"/>
      <sheetName val="D_Debt_BF_FA"/>
      <sheetName val="D_Debt_Hybrid_FA"/>
      <sheetName val="D_Debt_CPIBond_FA"/>
      <sheetName val="Capex_Calcs_SSC"/>
      <sheetName val="WIP_BA"/>
      <sheetName val="T_PPE_FA"/>
      <sheetName val="D_PPE_FA"/>
      <sheetName val="BS_Items_SSC"/>
      <sheetName val="T_Var_Outputs_FO"/>
      <sheetName val="D_Var_Outputs_FO"/>
      <sheetName val="T_PL_Items_FO"/>
      <sheetName val="D_PL_Items_FO"/>
      <sheetName val="T_DB_FO"/>
      <sheetName val="D_DB_FO"/>
      <sheetName val="T_BS_Items_FO"/>
      <sheetName val="D_BS_Items_FO"/>
      <sheetName val="Tax_SSC"/>
      <sheetName val="T_Tax_FO"/>
      <sheetName val="D_Tax_FO"/>
      <sheetName val="SPIMS_Calcs_SSC"/>
      <sheetName val="SPIMS_Serv_Charge_FA"/>
      <sheetName val="SPIMS_Calcs_FA"/>
      <sheetName val="SPIMS_Summ_Mth_FO"/>
      <sheetName val="Outputs_SC"/>
      <sheetName val="T_Outputs_SSC"/>
      <sheetName val="T_PL_FO"/>
      <sheetName val="T_BS_FO"/>
      <sheetName val="T_CFS_Dir_FO"/>
      <sheetName val="T_CFS_Indir_FO"/>
      <sheetName val="T_Capex_FO"/>
      <sheetName val="D_Outputs_SSC"/>
      <sheetName val="D_PL_FO"/>
      <sheetName val="D_BS_FO"/>
      <sheetName val="D_CFS_Dir_FO"/>
      <sheetName val="D_CFS_Indir_FO"/>
      <sheetName val="D_Capex_FO"/>
      <sheetName val="FT_Outputs_SSC"/>
      <sheetName val="FT_PL_FO"/>
      <sheetName val="FT_BS_FO"/>
      <sheetName val="FT_CFS_Dir_FO"/>
      <sheetName val="FT_CFS_Indir_FO"/>
      <sheetName val="Elim_Outputs_SSC"/>
      <sheetName val="AGAAP_Elim_FO"/>
      <sheetName val="Elim_PL_FO"/>
      <sheetName val="Elim_BS_FO"/>
      <sheetName val="Elim_CFS_Dir_FO"/>
      <sheetName val="Elim_CFS_Indir_FO"/>
      <sheetName val="AusNet_Outputs_SSC"/>
      <sheetName val="AusNet_PL_FO"/>
      <sheetName val="AusNet_BS_FO"/>
      <sheetName val="AusNet_CFS_Dir_FO"/>
      <sheetName val="AusNet_CFS_Indir_FO"/>
      <sheetName val="AusNet_Capex_FO"/>
      <sheetName val="AusNet_Annual_Outputs_SSC"/>
      <sheetName val="AusNet_PL_An_FO"/>
      <sheetName val="AusNet_BS_An_FO"/>
      <sheetName val="AusNet_CFS_Dir_An_FO"/>
      <sheetName val="AusNet_CFS_Indir_An_FO"/>
      <sheetName val="AusNet_Capex_An_FO"/>
      <sheetName val="SGAAP_Adj_SSC"/>
      <sheetName val="SGAAP_Interco_Adj_FO"/>
      <sheetName val="SGAAP_Calcs_BO"/>
      <sheetName val="SGAAP_Adjs_FO"/>
      <sheetName val="SGAAP_Adj_PL_FO"/>
      <sheetName val="SGAAP_Adj_BS_FO"/>
      <sheetName val="SGAAP_Outputs_SSC"/>
      <sheetName val="SGAAP_PL_FO"/>
      <sheetName val="SGAAP_BS_FO"/>
      <sheetName val="SGAAP_Outputs An_SSC"/>
      <sheetName val="SGAAP_PL_An_FO"/>
      <sheetName val="SGAAP_BS_An_FO"/>
      <sheetName val="Other_Outputs_SC"/>
      <sheetName val="Distributions_SSC"/>
      <sheetName val="Dist_Cash_BO"/>
      <sheetName val="Dist_Declared_BO"/>
      <sheetName val="Dist_Cash_An_BO"/>
      <sheetName val="Dist_Declared_An_BO"/>
      <sheetName val="Metrics_SSC"/>
      <sheetName val="Metrics_BO"/>
      <sheetName val="EVA_BO"/>
      <sheetName val="FVC_SSC"/>
      <sheetName val="T_FV_BA"/>
      <sheetName val="T_FV_Calcs_BO"/>
      <sheetName val="D_FV_BA"/>
      <sheetName val="D_FV_Calcs_BO"/>
      <sheetName val="FV_Net_Assets_BO"/>
      <sheetName val="FV_Summary_BO"/>
      <sheetName val="LOB_SSC"/>
      <sheetName val="LOB_PL_BO"/>
      <sheetName val="LOB_Opex_BO"/>
      <sheetName val="LOB_Dep_BO"/>
      <sheetName val="LOB_CF_BO"/>
      <sheetName val="RAB_FO"/>
      <sheetName val="EPS_Analysis_BO"/>
      <sheetName val="NPAT_Analysis_BO"/>
      <sheetName val="Bus_Seg_SSC"/>
      <sheetName val="Bus_Seg_Opex_BO"/>
      <sheetName val="Bus_Seg_Capex_BO"/>
      <sheetName val="Bus_Seg_Detail_BO"/>
      <sheetName val="Val_Ass_SSC"/>
      <sheetName val="Val_WACC_BA"/>
      <sheetName val="Val_Ass_BA"/>
      <sheetName val="Val_DCF_SSC"/>
      <sheetName val="Val_CFS_BO"/>
      <sheetName val="Val_UDCF_BO"/>
      <sheetName val="Val_DDM_BO"/>
      <sheetName val="Val_EP_SSC"/>
      <sheetName val="Val_Eco_Profit_BO"/>
      <sheetName val="Val_DCF_BO"/>
      <sheetName val="Checks_SC"/>
      <sheetName val="Error_SSC"/>
      <sheetName val="Err_Chks_BO"/>
      <sheetName val="Alert_SSC"/>
      <sheetName val="Alt_Chks_BO"/>
      <sheetName val="Lookup_SC"/>
      <sheetName val="GL"/>
      <sheetName val="Date_BL"/>
      <sheetName val="Gen_Ledger_BL"/>
      <sheetName val="Categories_BL"/>
      <sheetName val="Capex_BL"/>
      <sheetName val="Debt_LU_SSC"/>
      <sheetName val="Debt_BL"/>
      <sheetName val="BBSW3_BL"/>
      <sheetName val="BBSW6_BL"/>
      <sheetName val="RBAC_BL"/>
      <sheetName val="TL_B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re Notes for Alex!"/>
      <sheetName val="Capex input"/>
      <sheetName val="AMP-MASTER"/>
      <sheetName val="AMPmasterescalated"/>
      <sheetName val="Submission graphs"/>
      <sheetName val="CPI"/>
      <sheetName val="AER calc sheet"/>
      <sheetName val="AER Cost escalators"/>
      <sheetName val="AERCalculation of routine capex"/>
      <sheetName val="RIN Capex Detailed Info"/>
      <sheetName val="RIN Schedule "/>
    </sheetNames>
    <sheetDataSet>
      <sheetData sheetId="0" refreshError="1"/>
      <sheetData sheetId="1">
        <row r="36">
          <cell r="D36">
            <v>2321.7685900000001</v>
          </cell>
        </row>
        <row r="109">
          <cell r="W109">
            <v>69.828760499999987</v>
          </cell>
        </row>
        <row r="110">
          <cell r="W110">
            <v>1120.3068574999998</v>
          </cell>
        </row>
        <row r="111">
          <cell r="W111">
            <v>901.42250474999969</v>
          </cell>
        </row>
        <row r="112">
          <cell r="W112">
            <v>171.46286099999995</v>
          </cell>
        </row>
        <row r="113">
          <cell r="W113">
            <v>190.51428999999996</v>
          </cell>
        </row>
        <row r="115">
          <cell r="W11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B7">
            <v>4125.0180334167117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1. Classification"/>
      <sheetName val="2. Negotiation"/>
      <sheetName val="3. Control mechanisms"/>
      <sheetName val="4. RAB"/>
      <sheetName val="5. Demand"/>
      <sheetName val="6. Capex"/>
      <sheetName val="7. Opex"/>
      <sheetName val="8a. STPIS Reliability"/>
      <sheetName val="8b. STPIS feeder performance"/>
      <sheetName val="8c. STPIS Customer service"/>
      <sheetName val="8d. STPIS Unplanned outages"/>
      <sheetName val="8e. STPIS Exclusions"/>
      <sheetName val="8f.STPIS daily data"/>
      <sheetName val="9. EBSS"/>
      <sheetName val="10. DMIS - annual report"/>
      <sheetName val="11. Pass through events"/>
      <sheetName val="12. Self insurance"/>
      <sheetName val="13a. ACS - opex and capex"/>
      <sheetName val="13b. ACS - control mechanism "/>
      <sheetName val="14. Financial performance"/>
      <sheetName val="15. Financial position"/>
      <sheetName val="16. Cashflow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Assumptions_SC"/>
      <sheetName val="TS_BA"/>
      <sheetName val="Capex_SC"/>
      <sheetName val="General_SSC"/>
      <sheetName val="Gen_AM_TA"/>
      <sheetName val="Gen_SD_TA"/>
      <sheetName val="Gen_Corp_TA"/>
      <sheetName val="Gen_ICT_TA"/>
      <sheetName val="Gen_Select_TA"/>
      <sheetName val="Network_SSC"/>
      <sheetName val="Elec_D_TA"/>
      <sheetName val="Gas_D_TA"/>
      <sheetName val="Reg_Neg_T_TA"/>
      <sheetName val="Unreg_T_TA"/>
      <sheetName val="ICT_TA"/>
      <sheetName val="AMI_TA"/>
      <sheetName val="Workout_TA (2)"/>
      <sheetName val="Workout_B_TA"/>
      <sheetName val="Network_20_SSC"/>
      <sheetName val="Elec_D_20_TA"/>
      <sheetName val="Gas_D_20_TA"/>
      <sheetName val="AMI_20_TA"/>
      <sheetName val="Revenue_SC"/>
      <sheetName val="Rev_AM_TA"/>
      <sheetName val="Rev_SD_TA"/>
      <sheetName val="Rev_Corp_TA"/>
      <sheetName val="Rev_ICT_TA"/>
      <sheetName val="Rev_Gas_TA"/>
      <sheetName val="Other_SSC"/>
      <sheetName val="CFC_BA"/>
      <sheetName val="3OH_BA"/>
      <sheetName val="Outputs_SC"/>
      <sheetName val="Capex_SSC"/>
      <sheetName val="Gen_Capex_Summary_TO"/>
      <sheetName val="S_Capex_Recon_TO"/>
      <sheetName val="O_Rev_SSC"/>
      <sheetName val="S_Revenue_Summary_TO"/>
      <sheetName val="S_Rev_Recon_TO"/>
      <sheetName val="Appendices_SC"/>
      <sheetName val="Lookup_Tables_SSC"/>
      <sheetName val="TS_LU"/>
      <sheetName val="Economic_LU"/>
      <sheetName val="Checks_SSC"/>
      <sheetName val="Checks_B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2">
          <cell r="D12" t="str">
            <v>Benchmark</v>
          </cell>
        </row>
        <row r="13">
          <cell r="D13" t="str">
            <v>Not in Benchmark</v>
          </cell>
        </row>
        <row r="25">
          <cell r="D25" t="str">
            <v>Elec D</v>
          </cell>
        </row>
        <row r="26">
          <cell r="D26" t="str">
            <v>Gas D</v>
          </cell>
        </row>
        <row r="27">
          <cell r="D27" t="str">
            <v>Unregulated</v>
          </cell>
        </row>
        <row r="28">
          <cell r="D28" t="str">
            <v>Transmission</v>
          </cell>
        </row>
        <row r="33">
          <cell r="D33" t="str">
            <v>Customer</v>
          </cell>
        </row>
        <row r="34">
          <cell r="D34" t="str">
            <v>Company</v>
          </cell>
        </row>
        <row r="35">
          <cell r="D35" t="str">
            <v>AR</v>
          </cell>
        </row>
        <row r="36">
          <cell r="D36" t="str">
            <v>Excl</v>
          </cell>
        </row>
        <row r="37">
          <cell r="D37" t="str">
            <v>Cust Con</v>
          </cell>
        </row>
        <row r="38">
          <cell r="D38" t="str">
            <v>IT</v>
          </cell>
        </row>
        <row r="39">
          <cell r="D39" t="str">
            <v>Select_D</v>
          </cell>
        </row>
      </sheetData>
      <sheetData sheetId="44"/>
      <sheetData sheetId="4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Instructions_SC"/>
      <sheetName val="Fcast_Instructions_BO"/>
      <sheetName val="Assumptions_SC"/>
      <sheetName val="Date_BA"/>
      <sheetName val="Gen_Ass_BA"/>
      <sheetName val="WACC_Ass_BA"/>
      <sheetName val="WACC_BA"/>
      <sheetName val="Inflation_Fcast_FA"/>
      <sheetName val="Reg_Reset_Ass_SSC"/>
      <sheetName val="T_RRA_BA"/>
      <sheetName val="D_Elec_RRA_BA"/>
      <sheetName val="D_Gas_RRA_BA"/>
      <sheetName val="D_AMI_RRA_BA"/>
      <sheetName val="WC_SSC"/>
      <sheetName val="WC_BA"/>
      <sheetName val="Inputs_SC"/>
      <sheetName val="Scenarios_SSC"/>
      <sheetName val="Nucleus_BA"/>
      <sheetName val="Actual_SSC"/>
      <sheetName val="T_Hist_FA"/>
      <sheetName val="D_Hist_FA"/>
      <sheetName val="SPFT_Hist_FA"/>
      <sheetName val="CFS_Adj_SSC"/>
      <sheetName val="T_CF_Adj_FA"/>
      <sheetName val="D_CF_Adj_FA"/>
      <sheetName val="FT_CF_Adj_FA"/>
      <sheetName val="AusNet_CF_Adj_FA"/>
      <sheetName val="Fcast_SSC"/>
      <sheetName val="Rev_Fcast_Detailed_BA"/>
      <sheetName val="T_Unreg_Rev_Calcs_BA"/>
      <sheetName val="T_Rev_Fcast_FA"/>
      <sheetName val="D_Rev_Fcast_FA"/>
      <sheetName val="SFactor_FA"/>
      <sheetName val="T_Opex_Fcast_FA"/>
      <sheetName val="D_Opex_Fcast_FA"/>
      <sheetName val="Capex_Fcast_BA"/>
      <sheetName val="Investments_BA"/>
      <sheetName val="Other_Inputs_SSC"/>
      <sheetName val="Stap_Adj_FA"/>
      <sheetName val="DB_Super_FA"/>
      <sheetName val="Reg_Rev_Calcs_SC"/>
      <sheetName val="T_Reg_Rev_SSC"/>
      <sheetName val="T_Reg_Opex_BA"/>
      <sheetName val="T_RAB_BA"/>
      <sheetName val="T_Reg_Capex_BA"/>
      <sheetName val="T_Reg_Rev_BA"/>
      <sheetName val="D_Reg_Rev_SSC"/>
      <sheetName val="D_Reg_Opex_BA"/>
      <sheetName val="Elec_RAB_BA"/>
      <sheetName val="Elec_Reg_Capex_BA"/>
      <sheetName val="Elec_Reg_Rev_BA"/>
      <sheetName val="Gas_RAB_BA"/>
      <sheetName val="Gas_Reg_Capex_BA"/>
      <sheetName val="Gas_Reg_Rev_BA"/>
      <sheetName val="AMI_RAB_BA"/>
      <sheetName val="AMI_Reg_Capex_BA"/>
      <sheetName val="AMI_Reg_Rev_BA"/>
      <sheetName val="Calcs_SC"/>
      <sheetName val="Capital_SSC"/>
      <sheetName val="Capital_BA"/>
      <sheetName val="Distributions_FO"/>
      <sheetName val="Dist_Scenarios_FA"/>
      <sheetName val="T_Distributions_FO"/>
      <sheetName val="D_Distributions_FO"/>
      <sheetName val="Debt_SSC"/>
      <sheetName val="T_Debt_FA"/>
      <sheetName val="D_Debt_FA"/>
      <sheetName val="D_Debt_Annual_BO"/>
      <sheetName val="CFV_FA"/>
      <sheetName val="IR_Fcast_FA"/>
      <sheetName val="T_Debt_Deals_SSC"/>
      <sheetName val="T_Debt_Floating_FA"/>
      <sheetName val="T_Debt_Swaps_Fix_FA"/>
      <sheetName val="T_Debt_Swaps_Float_FA"/>
      <sheetName val="D_Debt_Deals_SSC"/>
      <sheetName val="D_Debt_CP_FA"/>
      <sheetName val="D_Debt_Fixed_FA"/>
      <sheetName val="D_Debt_Swaps_Fix_FA"/>
      <sheetName val="D_Debt_Swaps_Float_FA"/>
      <sheetName val="D_Debt_RegSwaps_FA"/>
      <sheetName val="D_Debt_Floating_FA"/>
      <sheetName val="D_Debt_BF_FA"/>
      <sheetName val="D_Debt_Hybrid_FA"/>
      <sheetName val="D_Debt_CPIBond_FA"/>
      <sheetName val="Capex_Calcs_SSC"/>
      <sheetName val="WIP_BA"/>
      <sheetName val="T_PPE_FA"/>
      <sheetName val="D_PPE_FA"/>
      <sheetName val="BS_Items_SSC"/>
      <sheetName val="T_Var_Outputs_FO"/>
      <sheetName val="D_Var_Outputs_FO"/>
      <sheetName val="T_PL_Items_FO"/>
      <sheetName val="D_PL_Items_FO"/>
      <sheetName val="T_DB_FO"/>
      <sheetName val="D_DB_FO"/>
      <sheetName val="T_BS_Items_FO"/>
      <sheetName val="D_BS_Items_FO"/>
      <sheetName val="Tax_SSC"/>
      <sheetName val="T_Tax_FO"/>
      <sheetName val="D_Tax_FO"/>
      <sheetName val="SPIMS_Calcs_SSC"/>
      <sheetName val="SPIMS_Serv_Charge_FA"/>
      <sheetName val="SPIMS_Calcs_FA"/>
      <sheetName val="SPIMS_Summ_Mth_FO"/>
      <sheetName val="Outputs_SC"/>
      <sheetName val="T_Outputs_SSC"/>
      <sheetName val="T_PL_FO"/>
      <sheetName val="T_BS_FO"/>
      <sheetName val="T_CFS_Dir_FO"/>
      <sheetName val="T_CFS_Indir_FO"/>
      <sheetName val="T_Capex_FO"/>
      <sheetName val="D_Outputs_SSC"/>
      <sheetName val="D_PL_FO"/>
      <sheetName val="D_BS_FO"/>
      <sheetName val="D_CFS_Dir_FO"/>
      <sheetName val="D_CFS_Indir_FO"/>
      <sheetName val="D_Capex_FO"/>
      <sheetName val="FT_Outputs_SSC"/>
      <sheetName val="FT_PL_FO"/>
      <sheetName val="FT_BS_FO"/>
      <sheetName val="FT_CFS_Dir_FO"/>
      <sheetName val="FT_CFS_Indir_FO"/>
      <sheetName val="Elim_Outputs_SSC"/>
      <sheetName val="AGAAP_Elim_FO"/>
      <sheetName val="Elim_PL_FO"/>
      <sheetName val="Elim_BS_FO"/>
      <sheetName val="Elim_CFS_Dir_FO"/>
      <sheetName val="Elim_CFS_Indir_FO"/>
      <sheetName val="AusNet_Outputs_SSC"/>
      <sheetName val="AusNet_PL_FO"/>
      <sheetName val="AusNet_BS_FO"/>
      <sheetName val="AusNet_CFS_Dir_FO"/>
      <sheetName val="AusNet_CFS_Indir_FO"/>
      <sheetName val="AusNet_Capex_FO"/>
      <sheetName val="AusNet_Annual_Outputs_SSC"/>
      <sheetName val="AusNet_PL_An_FO"/>
      <sheetName val="AusNet_BS_An_FO"/>
      <sheetName val="AusNet_CFS_Dir_An_FO"/>
      <sheetName val="AusNet_CFS_Indir_An_FO"/>
      <sheetName val="AusNet_Capex_An_FO"/>
      <sheetName val="SGAAP_Adj_SSC"/>
      <sheetName val="SGAAP_Interco_Adj_FO"/>
      <sheetName val="SGAAP_Adjs_FO"/>
      <sheetName val="SGAAP_Adj_PL_FO"/>
      <sheetName val="SGAAP_Adj_BS_FO"/>
      <sheetName val="SGAAP_Outputs_SSC"/>
      <sheetName val="SGAAP_PL_FO"/>
      <sheetName val="SGAAP_BS_FO"/>
      <sheetName val="SGAAP_Outputs An_SSC"/>
      <sheetName val="SGAAP_PL_An_FO"/>
      <sheetName val="SGAAP_BS_An_FO"/>
      <sheetName val="Other_Outputs_SC"/>
      <sheetName val="Distributions_SSC"/>
      <sheetName val="Dist_Cash_BO"/>
      <sheetName val="Dist_Declared_BO"/>
      <sheetName val="Dist_Cash_An_BO"/>
      <sheetName val="Dist_Declared_An_BO"/>
      <sheetName val="Metrics_SSC"/>
      <sheetName val="Metrics_BO"/>
      <sheetName val="EVA_BO"/>
      <sheetName val="FVC_SSC"/>
      <sheetName val="T_FV_BA"/>
      <sheetName val="T_FV_Calcs_BO"/>
      <sheetName val="D_FV_BA"/>
      <sheetName val="D_FV_Calcs_BO"/>
      <sheetName val="FV_Net_Assets_BO"/>
      <sheetName val="FV_Summary_BO"/>
      <sheetName val="LOB_SSC"/>
      <sheetName val="LOB_PL_BO"/>
      <sheetName val="LOB_Opex_BO"/>
      <sheetName val="LOB_Dep_BO"/>
      <sheetName val="LOB_CF_BO"/>
      <sheetName val="RAB_FO"/>
      <sheetName val="EPS_Analysis_BO"/>
      <sheetName val="NPAT_Analysis_BO"/>
      <sheetName val="Bus_Seg_SSC"/>
      <sheetName val="Bus_Seg_Opex_BO"/>
      <sheetName val="Bus_Seg_Capex_BO"/>
      <sheetName val="Bus_Seg_Detail_BO"/>
      <sheetName val="Val_Ass_SSC"/>
      <sheetName val="Val_WACC_BA"/>
      <sheetName val="Val_Ass_BA"/>
      <sheetName val="Val_DCF_SSC"/>
      <sheetName val="Val_CFS_BO"/>
      <sheetName val="Val_UDCF_BO"/>
      <sheetName val="Val_DDM_BO"/>
      <sheetName val="Val_EP_SSC"/>
      <sheetName val="Val_Eco_Profit_BO"/>
      <sheetName val="Val_DCF_BO"/>
      <sheetName val="Checks_SC"/>
      <sheetName val="Error_SSC"/>
      <sheetName val="Err_Chks_BO"/>
      <sheetName val="Alert_SSC"/>
      <sheetName val="Alt_Chks_BO"/>
      <sheetName val="Lookup_SC"/>
      <sheetName val="GL"/>
      <sheetName val="Date_BL"/>
      <sheetName val="Capex_BL"/>
      <sheetName val="Gen_Ledger_BL"/>
      <sheetName val="Debt_LU_SSC"/>
      <sheetName val="Debt_BL"/>
      <sheetName val="BBSW3_BL"/>
      <sheetName val="BBSW6_BL"/>
      <sheetName val="RBAC_BL"/>
      <sheetName val="TL_BL"/>
    </sheetNames>
    <sheetDataSet>
      <sheetData sheetId="0" refreshError="1"/>
      <sheetData sheetId="1"/>
      <sheetData sheetId="2"/>
      <sheetData sheetId="3"/>
      <sheetData sheetId="4"/>
      <sheetData sheetId="5" refreshError="1">
        <row r="8">
          <cell r="I8">
            <v>3</v>
          </cell>
        </row>
        <row r="13">
          <cell r="I13">
            <v>40482</v>
          </cell>
        </row>
        <row r="16">
          <cell r="I16">
            <v>2011</v>
          </cell>
        </row>
        <row r="18">
          <cell r="I18">
            <v>39539</v>
          </cell>
        </row>
        <row r="20">
          <cell r="I20">
            <v>40999</v>
          </cell>
        </row>
      </sheetData>
      <sheetData sheetId="6" refreshError="1">
        <row r="9">
          <cell r="H9">
            <v>0.7</v>
          </cell>
        </row>
        <row r="10">
          <cell r="H10">
            <v>0.30000000000000004</v>
          </cell>
        </row>
      </sheetData>
      <sheetData sheetId="7"/>
      <sheetData sheetId="8"/>
      <sheetData sheetId="9" refreshError="1">
        <row r="28">
          <cell r="J28">
            <v>2004</v>
          </cell>
          <cell r="K28">
            <v>2005</v>
          </cell>
          <cell r="L28">
            <v>2006</v>
          </cell>
          <cell r="M28">
            <v>2007</v>
          </cell>
          <cell r="N28">
            <v>2008</v>
          </cell>
          <cell r="O28">
            <v>2009</v>
          </cell>
          <cell r="P28">
            <v>2010</v>
          </cell>
          <cell r="Q28">
            <v>2011</v>
          </cell>
          <cell r="R28">
            <v>2012</v>
          </cell>
          <cell r="S28">
            <v>2013</v>
          </cell>
          <cell r="T28">
            <v>2014</v>
          </cell>
          <cell r="U28">
            <v>2015</v>
          </cell>
          <cell r="V28">
            <v>2016</v>
          </cell>
          <cell r="W28">
            <v>2017</v>
          </cell>
          <cell r="X28">
            <v>2018</v>
          </cell>
          <cell r="Y28">
            <v>2019</v>
          </cell>
          <cell r="Z28">
            <v>2020</v>
          </cell>
          <cell r="AA28">
            <v>2021</v>
          </cell>
          <cell r="AB28">
            <v>2022</v>
          </cell>
          <cell r="AC28">
            <v>2023</v>
          </cell>
          <cell r="AD28">
            <v>2024</v>
          </cell>
          <cell r="AE28">
            <v>2025</v>
          </cell>
          <cell r="AF28">
            <v>2026</v>
          </cell>
          <cell r="AG28">
            <v>2027</v>
          </cell>
          <cell r="AH28">
            <v>2028</v>
          </cell>
          <cell r="AI28">
            <v>2029</v>
          </cell>
          <cell r="AJ28">
            <v>2030</v>
          </cell>
          <cell r="AK28">
            <v>2031</v>
          </cell>
          <cell r="AL28">
            <v>2032</v>
          </cell>
          <cell r="AM28">
            <v>2033</v>
          </cell>
          <cell r="AN28">
            <v>2034</v>
          </cell>
          <cell r="AO28">
            <v>2035</v>
          </cell>
        </row>
        <row r="36">
          <cell r="J36">
            <v>139.5</v>
          </cell>
          <cell r="K36">
            <v>142.80000000000001</v>
          </cell>
          <cell r="L36">
            <v>146.5</v>
          </cell>
          <cell r="M36">
            <v>150.6</v>
          </cell>
          <cell r="N36">
            <v>155.5</v>
          </cell>
          <cell r="O36">
            <v>160.1</v>
          </cell>
          <cell r="P36">
            <v>166</v>
          </cell>
          <cell r="Q36">
            <v>169.5</v>
          </cell>
          <cell r="R36">
            <v>174.67006708134545</v>
          </cell>
          <cell r="S36">
            <v>179.9973134393793</v>
          </cell>
          <cell r="T36">
            <v>185.03688802602474</v>
          </cell>
          <cell r="U36">
            <v>189.84784711470135</v>
          </cell>
          <cell r="V36">
            <v>194.78389113968353</v>
          </cell>
          <cell r="W36">
            <v>199.84827230931526</v>
          </cell>
          <cell r="X36">
            <v>205.04432738935742</v>
          </cell>
          <cell r="Y36">
            <v>210.37547990148067</v>
          </cell>
          <cell r="Z36">
            <v>215.84524237891915</v>
          </cell>
          <cell r="AA36">
            <v>221.45721868077098</v>
          </cell>
          <cell r="AB36">
            <v>227.21510636647096</v>
          </cell>
          <cell r="AC36">
            <v>233.12269913199916</v>
          </cell>
          <cell r="AD36">
            <v>239.18388930943109</v>
          </cell>
          <cell r="AE36">
            <v>245.40267043147622</v>
          </cell>
          <cell r="AF36">
            <v>251.78313986269455</v>
          </cell>
          <cell r="AG36">
            <v>258.32950149912455</v>
          </cell>
          <cell r="AH36">
            <v>265.04606853810174</v>
          </cell>
          <cell r="AI36">
            <v>271.93726632009231</v>
          </cell>
          <cell r="AJ36">
            <v>279.00763524441464</v>
          </cell>
          <cell r="AK36">
            <v>286.26183376076932</v>
          </cell>
          <cell r="AL36">
            <v>293.70464143854923</v>
          </cell>
          <cell r="AM36">
            <v>301.34096211595147</v>
          </cell>
          <cell r="AN36">
            <v>309.17582713096613</v>
          </cell>
          <cell r="AO36">
            <v>317.21439863637113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 refreshError="1">
        <row r="9">
          <cell r="C9" t="str">
            <v>DENCU</v>
          </cell>
          <cell r="D9" t="str">
            <v>Electricity Distribution Customer Initiated</v>
          </cell>
          <cell r="E9" t="str">
            <v>Electricty Distribution</v>
          </cell>
          <cell r="F9" t="str">
            <v>Distribution</v>
          </cell>
          <cell r="G9" t="str">
            <v>Growth</v>
          </cell>
        </row>
        <row r="10">
          <cell r="C10" t="str">
            <v>DENAR</v>
          </cell>
          <cell r="D10" t="str">
            <v>Electricity Distribution Asset Replacement</v>
          </cell>
          <cell r="E10" t="str">
            <v>Electricty Distribution</v>
          </cell>
          <cell r="F10" t="str">
            <v>Distribution</v>
          </cell>
          <cell r="G10" t="str">
            <v>Replacement</v>
          </cell>
        </row>
        <row r="11">
          <cell r="C11" t="str">
            <v>DENCO</v>
          </cell>
          <cell r="D11" t="str">
            <v>Electricity Distribution Company Initiated</v>
          </cell>
          <cell r="E11" t="str">
            <v>Electricty Distribution</v>
          </cell>
          <cell r="F11" t="str">
            <v>Distribution</v>
          </cell>
          <cell r="G11" t="str">
            <v>Growth</v>
          </cell>
        </row>
        <row r="12">
          <cell r="C12" t="str">
            <v>DENCC</v>
          </cell>
          <cell r="D12" t="str">
            <v>Electricity Distribution Customer Contributions</v>
          </cell>
          <cell r="E12" t="str">
            <v>Electricty Distribution</v>
          </cell>
          <cell r="F12" t="str">
            <v>Distribution</v>
          </cell>
          <cell r="G12" t="str">
            <v>Growth</v>
          </cell>
        </row>
        <row r="13">
          <cell r="C13" t="str">
            <v>DENUR</v>
          </cell>
          <cell r="D13" t="str">
            <v>Unregulated</v>
          </cell>
          <cell r="E13" t="str">
            <v>Electricty Distribution</v>
          </cell>
          <cell r="F13" t="str">
            <v>Distribution</v>
          </cell>
          <cell r="G13" t="str">
            <v>Growth</v>
          </cell>
        </row>
        <row r="14">
          <cell r="C14" t="str">
            <v>DGNCI</v>
          </cell>
          <cell r="D14" t="str">
            <v>Gas Distribution Customer Initiated</v>
          </cell>
          <cell r="E14" t="str">
            <v>Gas Distribution</v>
          </cell>
          <cell r="F14" t="str">
            <v>Distribution</v>
          </cell>
          <cell r="G14" t="str">
            <v>Growth</v>
          </cell>
        </row>
        <row r="15">
          <cell r="C15" t="str">
            <v>DGNAR</v>
          </cell>
          <cell r="D15" t="str">
            <v>Gas Distribution Asset Replacement</v>
          </cell>
          <cell r="E15" t="str">
            <v>Gas Distribution</v>
          </cell>
          <cell r="F15" t="str">
            <v>Distribution</v>
          </cell>
          <cell r="G15" t="str">
            <v>Replacement</v>
          </cell>
        </row>
        <row r="16">
          <cell r="C16" t="str">
            <v>DGNMR</v>
          </cell>
          <cell r="D16" t="str">
            <v>Gas Distribution Company Initiated</v>
          </cell>
          <cell r="E16" t="str">
            <v>Gas Distribution</v>
          </cell>
          <cell r="F16" t="str">
            <v>Distribution</v>
          </cell>
          <cell r="G16" t="str">
            <v>Replacement</v>
          </cell>
        </row>
        <row r="17">
          <cell r="C17" t="str">
            <v>DGNOT</v>
          </cell>
          <cell r="D17" t="str">
            <v>Company Initiated - Other</v>
          </cell>
          <cell r="E17" t="str">
            <v>Gas Distribution</v>
          </cell>
          <cell r="F17" t="str">
            <v>Distribution</v>
          </cell>
          <cell r="G17" t="str">
            <v>Growth</v>
          </cell>
        </row>
        <row r="18">
          <cell r="C18" t="str">
            <v>DGNCC</v>
          </cell>
          <cell r="D18" t="str">
            <v>Gas Distribution Customer Contributions</v>
          </cell>
          <cell r="E18" t="str">
            <v>Gas Distribution</v>
          </cell>
          <cell r="F18" t="str">
            <v>Distribution</v>
          </cell>
          <cell r="G18" t="str">
            <v>Growth</v>
          </cell>
        </row>
        <row r="19">
          <cell r="C19" t="str">
            <v>DGNUR</v>
          </cell>
          <cell r="D19" t="str">
            <v>Unregulated</v>
          </cell>
          <cell r="E19" t="str">
            <v>Gas Distribution</v>
          </cell>
          <cell r="F19" t="str">
            <v>Distribution</v>
          </cell>
          <cell r="G19" t="str">
            <v>Growth</v>
          </cell>
        </row>
        <row r="20">
          <cell r="C20" t="str">
            <v>DGNNT</v>
          </cell>
          <cell r="D20" t="str">
            <v>Gas New Towns</v>
          </cell>
          <cell r="E20" t="str">
            <v>Gas Distribution</v>
          </cell>
          <cell r="F20" t="str">
            <v>Distribution</v>
          </cell>
          <cell r="G20" t="str">
            <v>Growth</v>
          </cell>
        </row>
        <row r="21">
          <cell r="C21" t="str">
            <v>DENAM</v>
          </cell>
          <cell r="D21" t="str">
            <v>AMI Asset Replacement</v>
          </cell>
          <cell r="E21" t="str">
            <v>AMI</v>
          </cell>
          <cell r="F21" t="str">
            <v>Distribution</v>
          </cell>
          <cell r="G21" t="str">
            <v>Growth</v>
          </cell>
        </row>
        <row r="22">
          <cell r="C22" t="str">
            <v>DGEAM</v>
          </cell>
          <cell r="D22" t="str">
            <v>AMI IT - Distribution</v>
          </cell>
          <cell r="E22" t="str">
            <v>AMI</v>
          </cell>
          <cell r="F22" t="str">
            <v>Distribution</v>
          </cell>
          <cell r="G22" t="str">
            <v>Growth</v>
          </cell>
        </row>
        <row r="23">
          <cell r="C23" t="str">
            <v>DGEIT</v>
          </cell>
          <cell r="D23" t="str">
            <v>IT Capital - Distribution</v>
          </cell>
          <cell r="E23" t="str">
            <v>Distribution General</v>
          </cell>
          <cell r="F23" t="str">
            <v>Distribution</v>
          </cell>
          <cell r="G23" t="str">
            <v>Replacement</v>
          </cell>
        </row>
        <row r="24">
          <cell r="C24" t="str">
            <v>DGEAR</v>
          </cell>
          <cell r="D24" t="str">
            <v>IT AMI Related</v>
          </cell>
          <cell r="E24" t="str">
            <v>Distribution General</v>
          </cell>
          <cell r="F24" t="str">
            <v>Distribution</v>
          </cell>
          <cell r="G24" t="str">
            <v>Growth</v>
          </cell>
        </row>
        <row r="25">
          <cell r="C25" t="str">
            <v>DGEGE</v>
          </cell>
          <cell r="D25" t="str">
            <v>General Capital - Distribution</v>
          </cell>
          <cell r="E25" t="str">
            <v>Distribution General</v>
          </cell>
          <cell r="F25" t="str">
            <v>Distribution</v>
          </cell>
          <cell r="G25" t="str">
            <v>Replacement</v>
          </cell>
        </row>
        <row r="26">
          <cell r="C26" t="str">
            <v>TRNCU</v>
          </cell>
          <cell r="D26" t="str">
            <v>Transmission Customer Initiated</v>
          </cell>
          <cell r="E26" t="str">
            <v>Transmission</v>
          </cell>
          <cell r="F26" t="str">
            <v>Transmission</v>
          </cell>
          <cell r="G26" t="str">
            <v>Growth</v>
          </cell>
        </row>
        <row r="27">
          <cell r="C27" t="str">
            <v>TRNCC</v>
          </cell>
          <cell r="D27" t="str">
            <v>Customer Contributions</v>
          </cell>
          <cell r="E27" t="str">
            <v>Transmission</v>
          </cell>
          <cell r="F27" t="str">
            <v>Transmission</v>
          </cell>
          <cell r="G27" t="str">
            <v>Growth</v>
          </cell>
        </row>
        <row r="28">
          <cell r="C28" t="str">
            <v>TRNCO</v>
          </cell>
          <cell r="D28" t="str">
            <v>Transmission Company Initiated</v>
          </cell>
          <cell r="E28" t="str">
            <v>Transmission</v>
          </cell>
          <cell r="F28" t="str">
            <v>Transmission</v>
          </cell>
          <cell r="G28" t="str">
            <v>Replacement</v>
          </cell>
        </row>
        <row r="29">
          <cell r="C29" t="str">
            <v>TRAMI</v>
          </cell>
          <cell r="D29" t="str">
            <v>AMI IT - Transmission</v>
          </cell>
          <cell r="E29" t="str">
            <v>Transmission</v>
          </cell>
          <cell r="F29" t="str">
            <v>Transmission</v>
          </cell>
          <cell r="G29" t="str">
            <v>Growth</v>
          </cell>
        </row>
        <row r="30">
          <cell r="C30" t="str">
            <v>TRGIT</v>
          </cell>
          <cell r="D30" t="str">
            <v>IT Capital - Transmission</v>
          </cell>
          <cell r="E30" t="str">
            <v>Transmission General</v>
          </cell>
          <cell r="F30" t="str">
            <v>Transmission</v>
          </cell>
          <cell r="G30" t="str">
            <v>Replacement</v>
          </cell>
        </row>
        <row r="31">
          <cell r="C31" t="str">
            <v>TRGGE</v>
          </cell>
          <cell r="D31" t="str">
            <v>General Capital - Transmission</v>
          </cell>
          <cell r="E31" t="str">
            <v>Transmission General</v>
          </cell>
          <cell r="F31" t="str">
            <v>Transmission</v>
          </cell>
          <cell r="G31" t="str">
            <v>Replacement</v>
          </cell>
        </row>
      </sheetData>
      <sheetData sheetId="200"/>
      <sheetData sheetId="201"/>
      <sheetData sheetId="202"/>
      <sheetData sheetId="203"/>
      <sheetData sheetId="204"/>
      <sheetData sheetId="205"/>
      <sheetData sheetId="206"/>
    </sheetDataSet>
  </externalBook>
</externalLink>
</file>

<file path=xl/theme/theme1.xml><?xml version="1.0" encoding="utf-8"?>
<a:theme xmlns:a="http://schemas.openxmlformats.org/drawingml/2006/main" name="AusNet Services Theme">
  <a:themeElements>
    <a:clrScheme name="AusNet Services Excel">
      <a:dk1>
        <a:sysClr val="windowText" lastClr="000000"/>
      </a:dk1>
      <a:lt1>
        <a:sysClr val="window" lastClr="FFFFFF"/>
      </a:lt1>
      <a:dk2>
        <a:srgbClr val="031F73"/>
      </a:dk2>
      <a:lt2>
        <a:srgbClr val="BCBEC0"/>
      </a:lt2>
      <a:accent1>
        <a:srgbClr val="363594"/>
      </a:accent1>
      <a:accent2>
        <a:srgbClr val="3EB08E"/>
      </a:accent2>
      <a:accent3>
        <a:srgbClr val="CDDC29"/>
      </a:accent3>
      <a:accent4>
        <a:srgbClr val="0864B0"/>
      </a:accent4>
      <a:accent5>
        <a:srgbClr val="8DC63F"/>
      </a:accent5>
      <a:accent6>
        <a:srgbClr val="188CCC"/>
      </a:accent6>
      <a:hlink>
        <a:srgbClr val="031F73"/>
      </a:hlink>
      <a:folHlink>
        <a:srgbClr val="646464"/>
      </a:folHlink>
    </a:clrScheme>
    <a:fontScheme name="CHC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Couture">
      <a:fillStyleLst>
        <a:solidFill>
          <a:schemeClr val="phClr"/>
        </a:solidFill>
        <a:solidFill>
          <a:schemeClr val="phClr">
            <a:tint val="65000"/>
          </a:schemeClr>
        </a:solidFill>
        <a:solidFill>
          <a:schemeClr val="phClr">
            <a:shade val="80000"/>
            <a:satMod val="180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0795" cap="flat" cmpd="sng" algn="ctr">
          <a:solidFill>
            <a:schemeClr val="phClr"/>
          </a:solidFill>
          <a:prstDash val="solid"/>
        </a:ln>
        <a:ln w="17145" cap="flat" cmpd="sng" algn="ctr">
          <a:solidFill>
            <a:schemeClr val="phClr">
              <a:shade val="95000"/>
              <a:alpha val="50000"/>
              <a:satMod val="150000"/>
            </a:schemeClr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44450" dist="13970" dir="5400000" algn="ctr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twoPt" dir="tl"/>
          </a:scene3d>
          <a:sp3d prstMaterial="flat">
            <a:bevelT w="19050" h="31750" prst="coolSlant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13"/>
  <sheetViews>
    <sheetView tabSelected="1" workbookViewId="0">
      <selection activeCell="B9" sqref="B9"/>
    </sheetView>
  </sheetViews>
  <sheetFormatPr defaultColWidth="9.140625" defaultRowHeight="12"/>
  <cols>
    <col min="1" max="16384" width="9.140625" style="4"/>
  </cols>
  <sheetData>
    <row r="1" spans="1:2" s="3" customFormat="1">
      <c r="A1" s="2" t="s">
        <v>2</v>
      </c>
    </row>
    <row r="2" spans="1:2" s="1" customFormat="1">
      <c r="A2" s="3"/>
    </row>
    <row r="3" spans="1:2" s="1" customFormat="1"/>
    <row r="7" spans="1:2" ht="15">
      <c r="B7" s="6" t="s">
        <v>0</v>
      </c>
    </row>
    <row r="9" spans="1:2">
      <c r="B9" s="4" t="s">
        <v>439</v>
      </c>
    </row>
    <row r="11" spans="1:2" ht="12.75">
      <c r="B11" s="73" t="s">
        <v>1</v>
      </c>
    </row>
    <row r="13" spans="1:2" s="1" customFormat="1">
      <c r="A13" s="2"/>
      <c r="B13" s="2" t="s">
        <v>42</v>
      </c>
    </row>
  </sheetData>
  <hyperlinks>
    <hyperlink ref="B12" location="Contents!A1" display="Go to contents page"/>
    <hyperlink ref="B11" location="Contents!A1" display="Go to contents page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I399"/>
  <sheetViews>
    <sheetView topLeftCell="H7" workbookViewId="0">
      <selection activeCell="T75" sqref="T75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2</v>
      </c>
    </row>
    <row r="2" spans="1:7" s="1" customFormat="1">
      <c r="A2" s="3" t="s">
        <v>151</v>
      </c>
    </row>
    <row r="3" spans="1:7" s="1" customFormat="1">
      <c r="A3" s="3" t="s">
        <v>95</v>
      </c>
    </row>
    <row r="4" spans="1:7" s="1" customFormat="1">
      <c r="A4" s="22" t="s">
        <v>43</v>
      </c>
    </row>
    <row r="6" spans="1:7" s="1" customFormat="1">
      <c r="A6" s="2">
        <v>2</v>
      </c>
      <c r="B6" s="2" t="s">
        <v>45</v>
      </c>
    </row>
    <row r="9" spans="1:7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</row>
    <row r="10" spans="1:7">
      <c r="B10" s="8" t="s">
        <v>145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 t="s">
        <v>146</v>
      </c>
      <c r="D11" s="10">
        <v>0.04</v>
      </c>
      <c r="E11" s="10">
        <v>0.76</v>
      </c>
      <c r="F11" s="26">
        <f t="shared" ref="F11:F13" si="0">D11+E11</f>
        <v>0.8</v>
      </c>
      <c r="G11" s="26">
        <f t="shared" ref="G11:G13" si="1">1-F11</f>
        <v>0.19999999999999996</v>
      </c>
    </row>
    <row r="12" spans="1:7">
      <c r="B12" s="8" t="s">
        <v>147</v>
      </c>
      <c r="D12" s="10">
        <v>0.04</v>
      </c>
      <c r="E12" s="10">
        <v>0.76</v>
      </c>
      <c r="F12" s="26">
        <f t="shared" si="0"/>
        <v>0.8</v>
      </c>
      <c r="G12" s="26">
        <f t="shared" si="1"/>
        <v>0.19999999999999996</v>
      </c>
    </row>
    <row r="13" spans="1:7">
      <c r="B13" s="8" t="s">
        <v>148</v>
      </c>
      <c r="D13" s="10">
        <v>0.04</v>
      </c>
      <c r="E13" s="10">
        <v>0.76</v>
      </c>
      <c r="F13" s="26">
        <f t="shared" si="0"/>
        <v>0.8</v>
      </c>
      <c r="G13" s="26">
        <f t="shared" si="1"/>
        <v>0.19999999999999996</v>
      </c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51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90" t="s">
        <v>52</v>
      </c>
      <c r="I28" s="190"/>
      <c r="J28" s="190"/>
      <c r="K28" s="190"/>
      <c r="L28" s="190"/>
      <c r="M28" s="190" t="s">
        <v>53</v>
      </c>
      <c r="N28" s="190"/>
      <c r="O28" s="190"/>
      <c r="P28" s="190"/>
      <c r="Q28" s="190"/>
      <c r="R28" s="190" t="s">
        <v>54</v>
      </c>
      <c r="S28" s="190"/>
      <c r="T28" s="190"/>
      <c r="U28" s="190"/>
      <c r="V28" s="190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>IF(B10&lt;&gt;"",B10,"[blank]")</f>
        <v>Minor Replacement - Mains Renewal &lt;20m)</v>
      </c>
      <c r="D31" s="31" t="s">
        <v>58</v>
      </c>
      <c r="E31" s="31"/>
      <c r="P31" s="184"/>
      <c r="Q31" s="184"/>
      <c r="R31" s="184"/>
      <c r="S31" s="184"/>
      <c r="T31" s="184"/>
      <c r="U31" s="184"/>
      <c r="V31" s="184"/>
      <c r="X31" s="20"/>
    </row>
    <row r="32" spans="1:24">
      <c r="B32" s="4" t="str">
        <f t="shared" ref="B32:B45" si="2">IF(B11&lt;&gt;"",B11,"[blank]")</f>
        <v>Minor Replacement - Alter / Lower Mains</v>
      </c>
      <c r="D32" s="31" t="s">
        <v>58</v>
      </c>
      <c r="E32" s="31"/>
      <c r="P32" s="184"/>
      <c r="Q32" s="184"/>
      <c r="R32" s="184"/>
      <c r="S32" s="184"/>
      <c r="T32" s="184"/>
      <c r="U32" s="184"/>
      <c r="V32" s="184"/>
      <c r="X32" s="20"/>
    </row>
    <row r="33" spans="1:24">
      <c r="B33" s="4" t="str">
        <f t="shared" si="2"/>
        <v>Minor Replacement - Service Renewals</v>
      </c>
      <c r="D33" s="31" t="s">
        <v>58</v>
      </c>
      <c r="P33" s="184"/>
      <c r="Q33" s="184"/>
      <c r="R33" s="184"/>
      <c r="S33" s="184"/>
      <c r="T33" s="184"/>
      <c r="U33" s="184"/>
      <c r="V33" s="184"/>
      <c r="X33" s="20"/>
    </row>
    <row r="34" spans="1:24">
      <c r="B34" s="4" t="str">
        <f t="shared" si="2"/>
        <v>Minor Replacement - Alter / Lower Services</v>
      </c>
      <c r="D34" s="31" t="s">
        <v>58</v>
      </c>
      <c r="P34" s="184"/>
      <c r="Q34" s="184"/>
      <c r="R34" s="184"/>
      <c r="S34" s="184"/>
      <c r="T34" s="184"/>
      <c r="U34" s="184"/>
      <c r="V34" s="184"/>
      <c r="X34" s="20"/>
    </row>
    <row r="35" spans="1:24">
      <c r="B35" s="4" t="str">
        <f t="shared" si="2"/>
        <v>[blank]</v>
      </c>
      <c r="D35" s="31"/>
    </row>
    <row r="36" spans="1:24">
      <c r="B36" s="4" t="str">
        <f t="shared" si="2"/>
        <v>[blank]</v>
      </c>
      <c r="D36" s="31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7" spans="1:24" s="1" customFormat="1">
      <c r="A47" s="2">
        <v>4</v>
      </c>
      <c r="B47" s="2" t="s">
        <v>56</v>
      </c>
    </row>
    <row r="49" spans="2:24">
      <c r="H49" s="190" t="s">
        <v>52</v>
      </c>
      <c r="I49" s="190"/>
      <c r="J49" s="190"/>
      <c r="K49" s="190"/>
      <c r="L49" s="190"/>
      <c r="M49" s="190" t="s">
        <v>53</v>
      </c>
      <c r="N49" s="190"/>
      <c r="O49" s="190"/>
      <c r="P49" s="190"/>
      <c r="Q49" s="190"/>
      <c r="R49" s="190" t="s">
        <v>54</v>
      </c>
      <c r="S49" s="190"/>
      <c r="T49" s="190"/>
      <c r="U49" s="190"/>
      <c r="V49" s="190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46</v>
      </c>
      <c r="D51" s="29" t="s">
        <v>55</v>
      </c>
      <c r="H51" s="16" t="s">
        <v>12</v>
      </c>
      <c r="I51" s="16" t="s">
        <v>12</v>
      </c>
      <c r="J51" s="16" t="s">
        <v>12</v>
      </c>
      <c r="K51" s="16" t="s">
        <v>12</v>
      </c>
      <c r="L51" s="16" t="s">
        <v>12</v>
      </c>
      <c r="M51" s="16" t="s">
        <v>12</v>
      </c>
      <c r="N51" s="16" t="s">
        <v>12</v>
      </c>
      <c r="O51" s="16" t="s">
        <v>12</v>
      </c>
      <c r="P51" s="16" t="s">
        <v>13</v>
      </c>
      <c r="Q51" s="16" t="s">
        <v>13</v>
      </c>
      <c r="R51" s="16" t="s">
        <v>13</v>
      </c>
      <c r="S51" s="16" t="s">
        <v>13</v>
      </c>
      <c r="T51" s="16" t="s">
        <v>13</v>
      </c>
      <c r="U51" s="16" t="s">
        <v>13</v>
      </c>
      <c r="V51" s="16" t="s">
        <v>13</v>
      </c>
    </row>
    <row r="52" spans="2:24">
      <c r="B52" s="4" t="str">
        <f>IF(B10&lt;&gt;"",B10,"[blank]")</f>
        <v>Minor Replacement - Mains Renewal &lt;20m)</v>
      </c>
      <c r="D52" s="31" t="s">
        <v>57</v>
      </c>
      <c r="P52" s="77"/>
      <c r="Q52" s="184"/>
      <c r="R52" s="184"/>
      <c r="S52" s="184"/>
      <c r="T52" s="184"/>
      <c r="U52" s="184"/>
      <c r="V52" s="184"/>
      <c r="X52" s="20"/>
    </row>
    <row r="53" spans="2:24">
      <c r="B53" s="4" t="str">
        <f t="shared" ref="B53:B66" si="3">IF(B11&lt;&gt;"",B11,"[blank]")</f>
        <v>Minor Replacement - Alter / Lower Mains</v>
      </c>
      <c r="D53" s="31" t="s">
        <v>57</v>
      </c>
      <c r="P53" s="77"/>
      <c r="Q53" s="184"/>
      <c r="R53" s="184"/>
      <c r="S53" s="184"/>
      <c r="T53" s="184"/>
      <c r="U53" s="184"/>
      <c r="V53" s="184"/>
      <c r="X53" s="20"/>
    </row>
    <row r="54" spans="2:24">
      <c r="B54" s="4" t="str">
        <f t="shared" si="3"/>
        <v>Minor Replacement - Service Renewals</v>
      </c>
      <c r="D54" s="31" t="s">
        <v>57</v>
      </c>
      <c r="P54" s="77"/>
      <c r="Q54" s="184"/>
      <c r="R54" s="184"/>
      <c r="S54" s="184"/>
      <c r="T54" s="184"/>
      <c r="U54" s="184"/>
      <c r="V54" s="184"/>
      <c r="X54" s="20"/>
    </row>
    <row r="55" spans="2:24">
      <c r="B55" s="4" t="str">
        <f t="shared" si="3"/>
        <v>Minor Replacement - Alter / Lower Services</v>
      </c>
      <c r="D55" s="31" t="s">
        <v>57</v>
      </c>
      <c r="P55" s="77"/>
      <c r="Q55" s="184"/>
      <c r="R55" s="184"/>
      <c r="S55" s="184"/>
      <c r="T55" s="184"/>
      <c r="U55" s="184"/>
      <c r="V55" s="184"/>
      <c r="X55" s="20"/>
    </row>
    <row r="56" spans="2:24">
      <c r="B56" s="4" t="str">
        <f t="shared" si="3"/>
        <v>[blank]</v>
      </c>
      <c r="D56" s="31"/>
    </row>
    <row r="57" spans="2:24">
      <c r="B57" s="4" t="str">
        <f t="shared" si="3"/>
        <v>[blank]</v>
      </c>
      <c r="D57" s="31"/>
    </row>
    <row r="58" spans="2:24">
      <c r="B58" s="4" t="str">
        <f t="shared" si="3"/>
        <v>[blank]</v>
      </c>
      <c r="D58" s="31"/>
    </row>
    <row r="59" spans="2:24">
      <c r="B59" s="4" t="str">
        <f t="shared" si="3"/>
        <v>[blank]</v>
      </c>
      <c r="D59" s="31"/>
    </row>
    <row r="60" spans="2:24">
      <c r="B60" s="4" t="str">
        <f t="shared" si="3"/>
        <v>[blank]</v>
      </c>
      <c r="D60" s="31"/>
    </row>
    <row r="61" spans="2:24">
      <c r="B61" s="4" t="str">
        <f t="shared" si="3"/>
        <v>[blank]</v>
      </c>
      <c r="D61" s="31"/>
    </row>
    <row r="62" spans="2:24">
      <c r="B62" s="4" t="str">
        <f t="shared" si="3"/>
        <v>[blank]</v>
      </c>
      <c r="D62" s="31"/>
    </row>
    <row r="63" spans="2:24">
      <c r="B63" s="4" t="str">
        <f t="shared" si="3"/>
        <v>[blank]</v>
      </c>
      <c r="D63" s="31"/>
    </row>
    <row r="64" spans="2:24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61</v>
      </c>
    </row>
    <row r="69" spans="1:61">
      <c r="Z69" s="5" t="s">
        <v>73</v>
      </c>
      <c r="AM69" s="5" t="s">
        <v>110</v>
      </c>
      <c r="BB69" s="5" t="s">
        <v>133</v>
      </c>
    </row>
    <row r="70" spans="1:61">
      <c r="H70" s="190" t="s">
        <v>52</v>
      </c>
      <c r="I70" s="190"/>
      <c r="J70" s="190"/>
      <c r="K70" s="190"/>
      <c r="L70" s="190"/>
      <c r="M70" s="190" t="s">
        <v>53</v>
      </c>
      <c r="N70" s="190"/>
      <c r="O70" s="190"/>
      <c r="P70" s="190"/>
      <c r="Q70" s="190"/>
      <c r="R70" s="190" t="s">
        <v>54</v>
      </c>
      <c r="S70" s="190"/>
      <c r="T70" s="190"/>
      <c r="U70" s="190"/>
      <c r="V70" s="190"/>
      <c r="X70" s="38"/>
      <c r="Z70" s="39" t="s">
        <v>69</v>
      </c>
      <c r="AA70" s="39" t="s">
        <v>70</v>
      </c>
      <c r="AB70" s="39" t="s">
        <v>71</v>
      </c>
      <c r="AC70" s="39" t="s">
        <v>72</v>
      </c>
      <c r="AD70" s="39" t="s">
        <v>64</v>
      </c>
      <c r="AE70" s="39" t="s">
        <v>65</v>
      </c>
      <c r="AF70" s="39" t="s">
        <v>66</v>
      </c>
      <c r="AG70" s="39" t="s">
        <v>107</v>
      </c>
      <c r="AH70" s="39" t="s">
        <v>67</v>
      </c>
      <c r="AI70" s="39" t="s">
        <v>68</v>
      </c>
      <c r="AJ70" s="39" t="s">
        <v>108</v>
      </c>
      <c r="AM70" s="39" t="s">
        <v>111</v>
      </c>
      <c r="AN70" s="39" t="s">
        <v>112</v>
      </c>
      <c r="AO70" s="39" t="s">
        <v>113</v>
      </c>
      <c r="AP70" s="39" t="s">
        <v>114</v>
      </c>
      <c r="AQ70" s="39" t="s">
        <v>115</v>
      </c>
      <c r="AR70" s="39" t="s">
        <v>36</v>
      </c>
      <c r="AS70" s="39" t="s">
        <v>116</v>
      </c>
      <c r="AT70" s="39" t="s">
        <v>35</v>
      </c>
      <c r="AU70" s="39" t="s">
        <v>117</v>
      </c>
      <c r="AV70" s="39" t="s">
        <v>118</v>
      </c>
      <c r="AW70" s="39" t="s">
        <v>119</v>
      </c>
      <c r="AX70" s="39" t="s">
        <v>74</v>
      </c>
      <c r="AY70" s="39" t="s">
        <v>75</v>
      </c>
      <c r="BB70" s="39" t="s">
        <v>134</v>
      </c>
      <c r="BC70" s="39" t="s">
        <v>135</v>
      </c>
      <c r="BD70" s="39" t="s">
        <v>136</v>
      </c>
      <c r="BE70" s="39" t="s">
        <v>107</v>
      </c>
      <c r="BF70" s="39" t="s">
        <v>137</v>
      </c>
      <c r="BG70" s="39" t="s">
        <v>138</v>
      </c>
      <c r="BH70" s="39" t="s">
        <v>108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63</v>
      </c>
    </row>
    <row r="72" spans="1:61">
      <c r="B72" s="5" t="s">
        <v>46</v>
      </c>
      <c r="D72" s="29" t="s">
        <v>55</v>
      </c>
      <c r="H72" s="16" t="s">
        <v>12</v>
      </c>
      <c r="I72" s="16" t="s">
        <v>12</v>
      </c>
      <c r="J72" s="16" t="s">
        <v>12</v>
      </c>
      <c r="K72" s="16" t="s">
        <v>12</v>
      </c>
      <c r="L72" s="16" t="s">
        <v>12</v>
      </c>
      <c r="M72" s="16" t="s">
        <v>12</v>
      </c>
      <c r="N72" s="16" t="s">
        <v>12</v>
      </c>
      <c r="O72" s="16" t="s">
        <v>12</v>
      </c>
      <c r="P72" s="16" t="s">
        <v>13</v>
      </c>
      <c r="Q72" s="16" t="s">
        <v>13</v>
      </c>
      <c r="R72" s="16" t="s">
        <v>13</v>
      </c>
      <c r="S72" s="16" t="s">
        <v>13</v>
      </c>
      <c r="T72" s="16" t="s">
        <v>13</v>
      </c>
      <c r="U72" s="16" t="s">
        <v>13</v>
      </c>
      <c r="V72" s="16" t="s">
        <v>13</v>
      </c>
      <c r="X72" s="34" t="s">
        <v>13</v>
      </c>
    </row>
    <row r="73" spans="1:61">
      <c r="B73" s="4" t="str">
        <f>IF(B10&lt;&gt;"",B10,"[blank]")</f>
        <v>Minor Replacement - Mains Renewal &lt;20m)</v>
      </c>
      <c r="D73" s="31" t="s">
        <v>60</v>
      </c>
      <c r="O73" s="35"/>
      <c r="P73" s="35">
        <v>0</v>
      </c>
      <c r="Q73" s="35">
        <v>42108.849571273335</v>
      </c>
      <c r="R73" s="35">
        <v>41073.538118948381</v>
      </c>
      <c r="S73" s="35">
        <v>41375.989727206092</v>
      </c>
      <c r="T73" s="35">
        <v>41766.46222461541</v>
      </c>
      <c r="U73" s="35">
        <v>42281.802014225941</v>
      </c>
      <c r="V73" s="35">
        <v>42842.077680382077</v>
      </c>
      <c r="X73" s="40">
        <f>SUM(R73:V73)</f>
        <v>209339.86976537789</v>
      </c>
      <c r="Z73" s="10"/>
      <c r="AA73" s="10">
        <v>1</v>
      </c>
      <c r="AB73" s="10"/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4">SUM(Z73:AI73)</f>
        <v>1</v>
      </c>
      <c r="AM73" s="10">
        <v>1</v>
      </c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5">SUM(AM73:AY73)</f>
        <v>1</v>
      </c>
      <c r="BB73" s="10">
        <v>1</v>
      </c>
      <c r="BC73" s="10"/>
      <c r="BD73" s="10"/>
      <c r="BE73" s="10"/>
      <c r="BF73" s="10"/>
      <c r="BG73" s="10"/>
      <c r="BH73" s="10"/>
      <c r="BI73" s="41">
        <f t="shared" ref="BI73:BI87" si="6">SUM(BB73:BH73)</f>
        <v>1</v>
      </c>
    </row>
    <row r="74" spans="1:61">
      <c r="B74" s="4" t="str">
        <f t="shared" ref="B74:B87" si="7">IF(B11&lt;&gt;"",B11,"[blank]")</f>
        <v>Minor Replacement - Alter / Lower Mains</v>
      </c>
      <c r="D74" s="31" t="s">
        <v>60</v>
      </c>
      <c r="O74" s="50"/>
      <c r="P74" s="35">
        <v>0</v>
      </c>
      <c r="Q74" s="35">
        <v>2245.8053104679111</v>
      </c>
      <c r="R74" s="35">
        <v>2259.0445965421609</v>
      </c>
      <c r="S74" s="35">
        <v>2275.6794349963347</v>
      </c>
      <c r="T74" s="35">
        <v>2297.1554223538474</v>
      </c>
      <c r="U74" s="35">
        <v>2325.4991107824267</v>
      </c>
      <c r="V74" s="35">
        <v>2356.3142724210138</v>
      </c>
      <c r="X74" s="40">
        <f t="shared" ref="X74:X89" si="8">SUM(R74:V74)</f>
        <v>11513.692837095783</v>
      </c>
      <c r="Z74" s="10"/>
      <c r="AA74" s="10">
        <v>1</v>
      </c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4"/>
        <v>1</v>
      </c>
      <c r="AM74" s="10">
        <v>1</v>
      </c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5"/>
        <v>1</v>
      </c>
      <c r="BB74" s="10">
        <v>1</v>
      </c>
      <c r="BC74" s="10"/>
      <c r="BD74" s="10"/>
      <c r="BE74" s="10"/>
      <c r="BF74" s="10"/>
      <c r="BG74" s="10"/>
      <c r="BH74" s="10"/>
      <c r="BI74" s="41">
        <f t="shared" si="6"/>
        <v>1</v>
      </c>
    </row>
    <row r="75" spans="1:61">
      <c r="B75" s="4" t="str">
        <f t="shared" si="7"/>
        <v>Minor Replacement - Service Renewals</v>
      </c>
      <c r="D75" s="31" t="s">
        <v>60</v>
      </c>
      <c r="P75" s="35">
        <v>0</v>
      </c>
      <c r="Q75" s="35">
        <v>95250.217730220276</v>
      </c>
      <c r="R75" s="35">
        <v>94541.016365289441</v>
      </c>
      <c r="S75" s="35">
        <v>95237.184354596611</v>
      </c>
      <c r="T75" s="35">
        <v>96135.95442550852</v>
      </c>
      <c r="U75" s="35">
        <v>97322.137786244566</v>
      </c>
      <c r="V75" s="35">
        <v>98611.752300819426</v>
      </c>
      <c r="X75" s="40">
        <f t="shared" si="8"/>
        <v>481848.04523245856</v>
      </c>
      <c r="Z75" s="10"/>
      <c r="AA75" s="10"/>
      <c r="AB75" s="10">
        <v>1</v>
      </c>
      <c r="AC75" s="10"/>
      <c r="AD75" s="10"/>
      <c r="AE75" s="10"/>
      <c r="AF75" s="10"/>
      <c r="AG75" s="10"/>
      <c r="AH75" s="10"/>
      <c r="AI75" s="10"/>
      <c r="AJ75" s="10"/>
      <c r="AK75" s="41">
        <f t="shared" si="4"/>
        <v>1</v>
      </c>
      <c r="AM75" s="10">
        <v>1</v>
      </c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5"/>
        <v>1</v>
      </c>
      <c r="BB75" s="10">
        <v>1</v>
      </c>
      <c r="BC75" s="10"/>
      <c r="BD75" s="10"/>
      <c r="BE75" s="10"/>
      <c r="BF75" s="10"/>
      <c r="BG75" s="10"/>
      <c r="BH75" s="10"/>
      <c r="BI75" s="41">
        <f t="shared" si="6"/>
        <v>1</v>
      </c>
    </row>
    <row r="76" spans="1:61">
      <c r="B76" s="4" t="str">
        <f t="shared" si="7"/>
        <v>Minor Replacement - Alter / Lower Services</v>
      </c>
      <c r="D76" s="31" t="s">
        <v>60</v>
      </c>
      <c r="P76" s="35">
        <v>0</v>
      </c>
      <c r="Q76" s="35">
        <v>6402.4591734504229</v>
      </c>
      <c r="R76" s="35">
        <v>6353.5629277748267</v>
      </c>
      <c r="S76" s="35">
        <v>6400.3484109271922</v>
      </c>
      <c r="T76" s="35">
        <v>6460.7496253701956</v>
      </c>
      <c r="U76" s="35">
        <v>6540.4662490755745</v>
      </c>
      <c r="V76" s="35">
        <v>6627.1338911841012</v>
      </c>
      <c r="X76" s="40">
        <f t="shared" si="8"/>
        <v>32382.26110433189</v>
      </c>
      <c r="Z76" s="10"/>
      <c r="AA76" s="10"/>
      <c r="AB76" s="10">
        <v>1</v>
      </c>
      <c r="AC76" s="10"/>
      <c r="AD76" s="10"/>
      <c r="AE76" s="10"/>
      <c r="AF76" s="10"/>
      <c r="AG76" s="10"/>
      <c r="AH76" s="10"/>
      <c r="AI76" s="10"/>
      <c r="AJ76" s="10"/>
      <c r="AK76" s="41">
        <f t="shared" si="4"/>
        <v>1</v>
      </c>
      <c r="AM76" s="10">
        <v>1</v>
      </c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5"/>
        <v>1</v>
      </c>
      <c r="BB76" s="10">
        <v>1</v>
      </c>
      <c r="BC76" s="10"/>
      <c r="BD76" s="10"/>
      <c r="BE76" s="10"/>
      <c r="BF76" s="10"/>
      <c r="BG76" s="10"/>
      <c r="BH76" s="10"/>
      <c r="BI76" s="41">
        <f t="shared" si="6"/>
        <v>1</v>
      </c>
    </row>
    <row r="77" spans="1:61">
      <c r="B77" s="4" t="str">
        <f t="shared" si="7"/>
        <v>[blank]</v>
      </c>
      <c r="P77" s="35"/>
      <c r="X77" s="40">
        <f t="shared" si="8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4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5"/>
        <v>0</v>
      </c>
      <c r="BB77" s="10"/>
      <c r="BC77" s="10"/>
      <c r="BD77" s="10"/>
      <c r="BE77" s="10"/>
      <c r="BF77" s="10"/>
      <c r="BG77" s="10"/>
      <c r="BH77" s="10"/>
      <c r="BI77" s="41">
        <f t="shared" si="6"/>
        <v>0</v>
      </c>
    </row>
    <row r="78" spans="1:61">
      <c r="B78" s="4" t="str">
        <f t="shared" si="7"/>
        <v>[blank]</v>
      </c>
      <c r="P78" s="35"/>
      <c r="X78" s="40">
        <f t="shared" si="8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4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5"/>
        <v>0</v>
      </c>
      <c r="BB78" s="10"/>
      <c r="BC78" s="10"/>
      <c r="BD78" s="10"/>
      <c r="BE78" s="10"/>
      <c r="BF78" s="10"/>
      <c r="BG78" s="10"/>
      <c r="BH78" s="10"/>
      <c r="BI78" s="41">
        <f t="shared" si="6"/>
        <v>0</v>
      </c>
    </row>
    <row r="79" spans="1:61">
      <c r="B79" s="4" t="str">
        <f t="shared" si="7"/>
        <v>[blank]</v>
      </c>
      <c r="P79" s="35"/>
      <c r="X79" s="40">
        <f t="shared" si="8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4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5"/>
        <v>0</v>
      </c>
      <c r="BB79" s="10"/>
      <c r="BC79" s="10"/>
      <c r="BD79" s="10"/>
      <c r="BE79" s="10"/>
      <c r="BF79" s="10"/>
      <c r="BG79" s="10"/>
      <c r="BH79" s="10"/>
      <c r="BI79" s="41">
        <f t="shared" si="6"/>
        <v>0</v>
      </c>
    </row>
    <row r="80" spans="1:61">
      <c r="B80" s="4" t="str">
        <f t="shared" si="7"/>
        <v>[blank]</v>
      </c>
      <c r="P80" s="35"/>
      <c r="X80" s="40">
        <f t="shared" si="8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4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5"/>
        <v>0</v>
      </c>
      <c r="BB80" s="10"/>
      <c r="BC80" s="10"/>
      <c r="BD80" s="10"/>
      <c r="BE80" s="10"/>
      <c r="BF80" s="10"/>
      <c r="BG80" s="10"/>
      <c r="BH80" s="10"/>
      <c r="BI80" s="41">
        <f t="shared" si="6"/>
        <v>0</v>
      </c>
    </row>
    <row r="81" spans="1:61">
      <c r="B81" s="4" t="str">
        <f t="shared" si="7"/>
        <v>[blank]</v>
      </c>
      <c r="P81" s="35"/>
      <c r="X81" s="40">
        <f t="shared" si="8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4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5"/>
        <v>0</v>
      </c>
      <c r="BB81" s="10"/>
      <c r="BC81" s="10"/>
      <c r="BD81" s="10"/>
      <c r="BE81" s="10"/>
      <c r="BF81" s="10"/>
      <c r="BG81" s="10"/>
      <c r="BH81" s="10"/>
      <c r="BI81" s="41">
        <f t="shared" si="6"/>
        <v>0</v>
      </c>
    </row>
    <row r="82" spans="1:61">
      <c r="B82" s="4" t="str">
        <f t="shared" si="7"/>
        <v>[blank]</v>
      </c>
      <c r="P82" s="35"/>
      <c r="X82" s="40">
        <f t="shared" si="8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4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5"/>
        <v>0</v>
      </c>
      <c r="BB82" s="10"/>
      <c r="BC82" s="10"/>
      <c r="BD82" s="10"/>
      <c r="BE82" s="10"/>
      <c r="BF82" s="10"/>
      <c r="BG82" s="10"/>
      <c r="BH82" s="10"/>
      <c r="BI82" s="41">
        <f t="shared" si="6"/>
        <v>0</v>
      </c>
    </row>
    <row r="83" spans="1:61">
      <c r="B83" s="4" t="str">
        <f t="shared" si="7"/>
        <v>[blank]</v>
      </c>
      <c r="P83" s="35"/>
      <c r="X83" s="40">
        <f t="shared" si="8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4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5"/>
        <v>0</v>
      </c>
      <c r="BB83" s="10"/>
      <c r="BC83" s="10"/>
      <c r="BD83" s="10"/>
      <c r="BE83" s="10"/>
      <c r="BF83" s="10"/>
      <c r="BG83" s="10"/>
      <c r="BH83" s="10"/>
      <c r="BI83" s="41">
        <f t="shared" si="6"/>
        <v>0</v>
      </c>
    </row>
    <row r="84" spans="1:61">
      <c r="B84" s="4" t="str">
        <f t="shared" si="7"/>
        <v>[blank]</v>
      </c>
      <c r="P84" s="35"/>
      <c r="X84" s="40">
        <f t="shared" si="8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4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5"/>
        <v>0</v>
      </c>
      <c r="BB84" s="10"/>
      <c r="BC84" s="10"/>
      <c r="BD84" s="10"/>
      <c r="BE84" s="10"/>
      <c r="BF84" s="10"/>
      <c r="BG84" s="10"/>
      <c r="BH84" s="10"/>
      <c r="BI84" s="41">
        <f t="shared" si="6"/>
        <v>0</v>
      </c>
    </row>
    <row r="85" spans="1:61">
      <c r="B85" s="4" t="str">
        <f t="shared" si="7"/>
        <v>[blank]</v>
      </c>
      <c r="P85" s="35"/>
      <c r="X85" s="40">
        <f t="shared" si="8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4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5"/>
        <v>0</v>
      </c>
      <c r="BB85" s="10"/>
      <c r="BC85" s="10"/>
      <c r="BD85" s="10"/>
      <c r="BE85" s="10"/>
      <c r="BF85" s="10"/>
      <c r="BG85" s="10"/>
      <c r="BH85" s="10"/>
      <c r="BI85" s="41">
        <f t="shared" si="6"/>
        <v>0</v>
      </c>
    </row>
    <row r="86" spans="1:61">
      <c r="B86" s="4" t="str">
        <f t="shared" si="7"/>
        <v>[blank]</v>
      </c>
      <c r="P86" s="35"/>
      <c r="X86" s="40">
        <f t="shared" si="8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4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5"/>
        <v>0</v>
      </c>
      <c r="BB86" s="10"/>
      <c r="BC86" s="10"/>
      <c r="BD86" s="10"/>
      <c r="BE86" s="10"/>
      <c r="BF86" s="10"/>
      <c r="BG86" s="10"/>
      <c r="BH86" s="10"/>
      <c r="BI86" s="41">
        <f t="shared" si="6"/>
        <v>0</v>
      </c>
    </row>
    <row r="87" spans="1:61">
      <c r="B87" s="4" t="str">
        <f t="shared" si="7"/>
        <v>[blank]</v>
      </c>
      <c r="P87" s="35"/>
      <c r="X87" s="40">
        <f t="shared" si="8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4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5"/>
        <v>0</v>
      </c>
      <c r="BB87" s="10"/>
      <c r="BC87" s="10"/>
      <c r="BD87" s="10"/>
      <c r="BE87" s="10"/>
      <c r="BF87" s="10"/>
      <c r="BG87" s="10"/>
      <c r="BH87" s="10"/>
      <c r="BI87" s="41">
        <f t="shared" si="6"/>
        <v>0</v>
      </c>
    </row>
    <row r="88" spans="1:61">
      <c r="P88" s="35"/>
    </row>
    <row r="89" spans="1:61" ht="12.75" thickBot="1">
      <c r="B89" s="5" t="s">
        <v>62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9">SUM(P73:P87)</f>
        <v>0</v>
      </c>
      <c r="Q89" s="37">
        <f t="shared" si="9"/>
        <v>146007.33178541195</v>
      </c>
      <c r="R89" s="37">
        <f t="shared" si="9"/>
        <v>144227.16200855482</v>
      </c>
      <c r="S89" s="37">
        <f t="shared" si="9"/>
        <v>145289.20192772624</v>
      </c>
      <c r="T89" s="37">
        <f t="shared" si="9"/>
        <v>146660.32169784798</v>
      </c>
      <c r="U89" s="37">
        <f t="shared" si="9"/>
        <v>148469.90516032852</v>
      </c>
      <c r="V89" s="37">
        <f t="shared" si="9"/>
        <v>150437.27814480662</v>
      </c>
      <c r="X89" s="37">
        <f t="shared" si="8"/>
        <v>735083.86893926421</v>
      </c>
    </row>
    <row r="91" spans="1:61">
      <c r="B91" s="5" t="s">
        <v>76</v>
      </c>
    </row>
    <row r="92" spans="1:61" s="1" customFormat="1">
      <c r="A92" s="4"/>
      <c r="B92" s="2" t="s">
        <v>77</v>
      </c>
    </row>
    <row r="94" spans="1:61">
      <c r="H94" s="190" t="s">
        <v>52</v>
      </c>
      <c r="I94" s="190"/>
      <c r="J94" s="190"/>
      <c r="K94" s="190"/>
      <c r="L94" s="190"/>
      <c r="M94" s="190" t="s">
        <v>53</v>
      </c>
      <c r="N94" s="190"/>
      <c r="O94" s="190"/>
      <c r="P94" s="190"/>
      <c r="Q94" s="190"/>
      <c r="R94" s="190" t="s">
        <v>54</v>
      </c>
      <c r="S94" s="190"/>
      <c r="T94" s="190"/>
      <c r="U94" s="190"/>
      <c r="V94" s="190"/>
      <c r="X94" s="38"/>
    </row>
    <row r="95" spans="1:61">
      <c r="B95" s="42" t="s">
        <v>79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63</v>
      </c>
    </row>
    <row r="96" spans="1:61">
      <c r="B96" s="5" t="s">
        <v>46</v>
      </c>
      <c r="D96" s="29" t="s">
        <v>55</v>
      </c>
      <c r="H96" s="16" t="s">
        <v>12</v>
      </c>
      <c r="I96" s="16" t="s">
        <v>12</v>
      </c>
      <c r="J96" s="16" t="s">
        <v>12</v>
      </c>
      <c r="K96" s="16" t="s">
        <v>12</v>
      </c>
      <c r="L96" s="16" t="s">
        <v>12</v>
      </c>
      <c r="M96" s="16" t="s">
        <v>12</v>
      </c>
      <c r="N96" s="16" t="s">
        <v>12</v>
      </c>
      <c r="O96" s="16" t="s">
        <v>12</v>
      </c>
      <c r="P96" s="16" t="s">
        <v>13</v>
      </c>
      <c r="Q96" s="16" t="s">
        <v>13</v>
      </c>
      <c r="R96" s="16" t="s">
        <v>13</v>
      </c>
      <c r="S96" s="16" t="s">
        <v>13</v>
      </c>
      <c r="T96" s="16" t="s">
        <v>13</v>
      </c>
      <c r="U96" s="16" t="s">
        <v>13</v>
      </c>
      <c r="V96" s="16" t="s">
        <v>13</v>
      </c>
      <c r="X96" s="34" t="s">
        <v>13</v>
      </c>
    </row>
    <row r="97" spans="2:24">
      <c r="B97" s="4" t="str">
        <f>IF(B10&lt;&gt;"",B10,"[blank]")</f>
        <v>Minor Replacement - Mains Renewal &lt;20m)</v>
      </c>
      <c r="D97" s="31" t="s">
        <v>60</v>
      </c>
      <c r="O97" s="35"/>
      <c r="P97" s="35">
        <f>$D10*P73</f>
        <v>0</v>
      </c>
      <c r="Q97" s="35">
        <f t="shared" ref="Q97:V97" si="10">$D10*Q73</f>
        <v>1684.3539828509333</v>
      </c>
      <c r="R97" s="35">
        <f t="shared" si="10"/>
        <v>1642.9415247579352</v>
      </c>
      <c r="S97" s="35">
        <f t="shared" si="10"/>
        <v>1655.0395890882437</v>
      </c>
      <c r="T97" s="35">
        <f t="shared" si="10"/>
        <v>1670.6584889846165</v>
      </c>
      <c r="U97" s="35">
        <f t="shared" si="10"/>
        <v>1691.2720805690376</v>
      </c>
      <c r="V97" s="35">
        <f t="shared" si="10"/>
        <v>1713.6831072152831</v>
      </c>
      <c r="X97" s="40">
        <f>SUM(R97:V97)</f>
        <v>8373.5947906151159</v>
      </c>
    </row>
    <row r="98" spans="2:24">
      <c r="B98" s="4" t="str">
        <f t="shared" ref="B98:B111" si="11">IF(B11&lt;&gt;"",B11,"[blank]")</f>
        <v>Minor Replacement - Alter / Lower Mains</v>
      </c>
      <c r="D98" s="31" t="s">
        <v>60</v>
      </c>
      <c r="O98" s="50"/>
      <c r="P98" s="35">
        <f t="shared" ref="P98:V98" si="12">$D11*P74</f>
        <v>0</v>
      </c>
      <c r="Q98" s="35">
        <f t="shared" si="12"/>
        <v>89.832212418716452</v>
      </c>
      <c r="R98" s="35">
        <f t="shared" si="12"/>
        <v>90.361783861686433</v>
      </c>
      <c r="S98" s="35">
        <f t="shared" si="12"/>
        <v>91.027177399853386</v>
      </c>
      <c r="T98" s="35">
        <f t="shared" si="12"/>
        <v>91.88621689415389</v>
      </c>
      <c r="U98" s="35">
        <f t="shared" si="12"/>
        <v>93.019964431297069</v>
      </c>
      <c r="V98" s="35">
        <f t="shared" si="12"/>
        <v>94.252570896840552</v>
      </c>
      <c r="X98" s="40">
        <f t="shared" ref="X98:X111" si="13">SUM(R98:V98)</f>
        <v>460.54771348383133</v>
      </c>
    </row>
    <row r="99" spans="2:24">
      <c r="B99" s="4" t="str">
        <f t="shared" si="11"/>
        <v>Minor Replacement - Service Renewals</v>
      </c>
      <c r="D99" s="31" t="s">
        <v>60</v>
      </c>
      <c r="P99" s="35">
        <f t="shared" ref="P99:V99" si="14">$D12*P75</f>
        <v>0</v>
      </c>
      <c r="Q99" s="35">
        <f t="shared" si="14"/>
        <v>3810.0087092088111</v>
      </c>
      <c r="R99" s="35">
        <f t="shared" si="14"/>
        <v>3781.6406546115777</v>
      </c>
      <c r="S99" s="35">
        <f t="shared" si="14"/>
        <v>3809.4873741838646</v>
      </c>
      <c r="T99" s="35">
        <f t="shared" si="14"/>
        <v>3845.4381770203408</v>
      </c>
      <c r="U99" s="35">
        <f t="shared" si="14"/>
        <v>3892.8855114497828</v>
      </c>
      <c r="V99" s="35">
        <f t="shared" si="14"/>
        <v>3944.4700920327773</v>
      </c>
      <c r="X99" s="40">
        <f t="shared" si="13"/>
        <v>19273.921809298343</v>
      </c>
    </row>
    <row r="100" spans="2:24">
      <c r="B100" s="4" t="str">
        <f t="shared" si="11"/>
        <v>Minor Replacement - Alter / Lower Services</v>
      </c>
      <c r="D100" s="31" t="s">
        <v>60</v>
      </c>
      <c r="P100" s="35">
        <f t="shared" ref="P100:V100" si="15">$D13*P76</f>
        <v>0</v>
      </c>
      <c r="Q100" s="35">
        <f t="shared" si="15"/>
        <v>256.09836693801691</v>
      </c>
      <c r="R100" s="35">
        <f t="shared" si="15"/>
        <v>254.14251711099308</v>
      </c>
      <c r="S100" s="35">
        <f t="shared" si="15"/>
        <v>256.01393643708769</v>
      </c>
      <c r="T100" s="35">
        <f t="shared" si="15"/>
        <v>258.42998501480781</v>
      </c>
      <c r="U100" s="35">
        <f t="shared" si="15"/>
        <v>261.61864996302296</v>
      </c>
      <c r="V100" s="35">
        <f t="shared" si="15"/>
        <v>265.08535564736405</v>
      </c>
      <c r="X100" s="40">
        <f t="shared" si="13"/>
        <v>1295.2904441732758</v>
      </c>
    </row>
    <row r="101" spans="2:24">
      <c r="B101" s="4" t="str">
        <f t="shared" si="11"/>
        <v>[blank]</v>
      </c>
      <c r="X101" s="40">
        <f t="shared" si="13"/>
        <v>0</v>
      </c>
    </row>
    <row r="102" spans="2:24">
      <c r="B102" s="4" t="str">
        <f t="shared" si="11"/>
        <v>[blank]</v>
      </c>
      <c r="X102" s="40">
        <f t="shared" si="13"/>
        <v>0</v>
      </c>
    </row>
    <row r="103" spans="2:24">
      <c r="B103" s="4" t="str">
        <f t="shared" si="11"/>
        <v>[blank]</v>
      </c>
      <c r="X103" s="40">
        <f t="shared" si="13"/>
        <v>0</v>
      </c>
    </row>
    <row r="104" spans="2:24">
      <c r="B104" s="4" t="str">
        <f t="shared" si="11"/>
        <v>[blank]</v>
      </c>
      <c r="X104" s="40">
        <f t="shared" si="13"/>
        <v>0</v>
      </c>
    </row>
    <row r="105" spans="2:24">
      <c r="B105" s="4" t="str">
        <f t="shared" si="11"/>
        <v>[blank]</v>
      </c>
      <c r="X105" s="40">
        <f t="shared" si="13"/>
        <v>0</v>
      </c>
    </row>
    <row r="106" spans="2:24">
      <c r="B106" s="4" t="str">
        <f t="shared" si="11"/>
        <v>[blank]</v>
      </c>
      <c r="X106" s="40">
        <f t="shared" si="13"/>
        <v>0</v>
      </c>
    </row>
    <row r="107" spans="2:24">
      <c r="B107" s="4" t="str">
        <f t="shared" si="11"/>
        <v>[blank]</v>
      </c>
      <c r="X107" s="40">
        <f t="shared" si="13"/>
        <v>0</v>
      </c>
    </row>
    <row r="108" spans="2:24">
      <c r="B108" s="4" t="str">
        <f t="shared" si="11"/>
        <v>[blank]</v>
      </c>
      <c r="X108" s="40">
        <f t="shared" si="13"/>
        <v>0</v>
      </c>
    </row>
    <row r="109" spans="2:24">
      <c r="B109" s="4" t="str">
        <f t="shared" si="11"/>
        <v>[blank]</v>
      </c>
      <c r="X109" s="40">
        <f t="shared" si="13"/>
        <v>0</v>
      </c>
    </row>
    <row r="110" spans="2:24">
      <c r="B110" s="4" t="str">
        <f t="shared" si="11"/>
        <v>[blank]</v>
      </c>
      <c r="X110" s="40">
        <f t="shared" si="13"/>
        <v>0</v>
      </c>
    </row>
    <row r="111" spans="2:24">
      <c r="B111" s="4" t="str">
        <f t="shared" si="11"/>
        <v>[blank]</v>
      </c>
      <c r="X111" s="40">
        <f t="shared" si="13"/>
        <v>0</v>
      </c>
    </row>
    <row r="113" spans="1:24" ht="12.75" thickBot="1">
      <c r="B113" s="5" t="s">
        <v>78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6">SUM(P97:P111)</f>
        <v>0</v>
      </c>
      <c r="Q113" s="37">
        <f t="shared" si="16"/>
        <v>5840.2932714164772</v>
      </c>
      <c r="R113" s="37">
        <f t="shared" si="16"/>
        <v>5769.0864803421928</v>
      </c>
      <c r="S113" s="37">
        <f t="shared" si="16"/>
        <v>5811.5680771090501</v>
      </c>
      <c r="T113" s="37">
        <f t="shared" si="16"/>
        <v>5866.4128679139194</v>
      </c>
      <c r="U113" s="37">
        <f t="shared" si="16"/>
        <v>5938.7962064131407</v>
      </c>
      <c r="V113" s="37">
        <f t="shared" si="16"/>
        <v>6017.4911257922649</v>
      </c>
      <c r="X113" s="37">
        <f t="shared" ref="X113" si="17">SUM(R113:V113)</f>
        <v>29403.354757570567</v>
      </c>
    </row>
    <row r="115" spans="1:24" s="1" customFormat="1">
      <c r="A115" s="4"/>
      <c r="B115" s="2" t="s">
        <v>80</v>
      </c>
    </row>
    <row r="117" spans="1:24">
      <c r="H117" s="190" t="s">
        <v>52</v>
      </c>
      <c r="I117" s="190"/>
      <c r="J117" s="190"/>
      <c r="K117" s="190"/>
      <c r="L117" s="190"/>
      <c r="M117" s="190" t="s">
        <v>53</v>
      </c>
      <c r="N117" s="190"/>
      <c r="O117" s="190"/>
      <c r="P117" s="190"/>
      <c r="Q117" s="190"/>
      <c r="R117" s="190" t="s">
        <v>54</v>
      </c>
      <c r="S117" s="190"/>
      <c r="T117" s="190"/>
      <c r="U117" s="190"/>
      <c r="V117" s="190"/>
      <c r="X117" s="38"/>
    </row>
    <row r="118" spans="1:24">
      <c r="B118" s="43" t="s">
        <v>81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63</v>
      </c>
    </row>
    <row r="119" spans="1:24">
      <c r="B119" s="5" t="s">
        <v>46</v>
      </c>
      <c r="D119" s="29" t="s">
        <v>55</v>
      </c>
      <c r="H119" s="16" t="s">
        <v>12</v>
      </c>
      <c r="I119" s="16" t="s">
        <v>12</v>
      </c>
      <c r="J119" s="16" t="s">
        <v>12</v>
      </c>
      <c r="K119" s="16" t="s">
        <v>12</v>
      </c>
      <c r="L119" s="16" t="s">
        <v>12</v>
      </c>
      <c r="M119" s="16" t="s">
        <v>12</v>
      </c>
      <c r="N119" s="16" t="s">
        <v>12</v>
      </c>
      <c r="O119" s="16" t="s">
        <v>12</v>
      </c>
      <c r="P119" s="16" t="s">
        <v>13</v>
      </c>
      <c r="Q119" s="16" t="s">
        <v>13</v>
      </c>
      <c r="R119" s="16" t="s">
        <v>13</v>
      </c>
      <c r="S119" s="16" t="s">
        <v>13</v>
      </c>
      <c r="T119" s="16" t="s">
        <v>13</v>
      </c>
      <c r="U119" s="16" t="s">
        <v>13</v>
      </c>
      <c r="V119" s="16" t="s">
        <v>13</v>
      </c>
      <c r="X119" s="34" t="s">
        <v>13</v>
      </c>
    </row>
    <row r="120" spans="1:24">
      <c r="B120" s="4" t="str">
        <f>IF(B10&lt;&gt;"",B10,"[blank]")</f>
        <v>Minor Replacement - Mains Renewal &lt;20m)</v>
      </c>
      <c r="D120" s="31" t="s">
        <v>60</v>
      </c>
      <c r="O120" s="35"/>
      <c r="P120" s="35">
        <f>$E10*P73</f>
        <v>0</v>
      </c>
      <c r="Q120" s="35">
        <f t="shared" ref="Q120:V120" si="18">$E10*Q73</f>
        <v>32002.725674167734</v>
      </c>
      <c r="R120" s="35">
        <f t="shared" si="18"/>
        <v>31215.888970400771</v>
      </c>
      <c r="S120" s="35">
        <f t="shared" si="18"/>
        <v>31445.752192676631</v>
      </c>
      <c r="T120" s="35">
        <f t="shared" si="18"/>
        <v>31742.511290707713</v>
      </c>
      <c r="U120" s="35">
        <f t="shared" si="18"/>
        <v>32134.169530811716</v>
      </c>
      <c r="V120" s="35">
        <f t="shared" si="18"/>
        <v>32559.979037090379</v>
      </c>
      <c r="X120" s="40">
        <f>SUM(R120:V120)</f>
        <v>159098.30102168722</v>
      </c>
    </row>
    <row r="121" spans="1:24">
      <c r="B121" s="4" t="str">
        <f t="shared" ref="B121:B134" si="19">IF(B11&lt;&gt;"",B11,"[blank]")</f>
        <v>Minor Replacement - Alter / Lower Mains</v>
      </c>
      <c r="D121" s="31" t="s">
        <v>60</v>
      </c>
      <c r="O121" s="50"/>
      <c r="P121" s="35">
        <f t="shared" ref="P121:V121" si="20">$E11*P74</f>
        <v>0</v>
      </c>
      <c r="Q121" s="35">
        <f t="shared" si="20"/>
        <v>1706.8120359556124</v>
      </c>
      <c r="R121" s="35">
        <f t="shared" si="20"/>
        <v>1716.8738933720424</v>
      </c>
      <c r="S121" s="35">
        <f t="shared" si="20"/>
        <v>1729.5163705972145</v>
      </c>
      <c r="T121" s="35">
        <f t="shared" si="20"/>
        <v>1745.8381209889239</v>
      </c>
      <c r="U121" s="35">
        <f t="shared" si="20"/>
        <v>1767.3793241946444</v>
      </c>
      <c r="V121" s="35">
        <f t="shared" si="20"/>
        <v>1790.7988470399705</v>
      </c>
      <c r="X121" s="40">
        <f t="shared" ref="X121:X134" si="21">SUM(R121:V121)</f>
        <v>8750.4065561927964</v>
      </c>
    </row>
    <row r="122" spans="1:24">
      <c r="B122" s="4" t="str">
        <f t="shared" si="19"/>
        <v>Minor Replacement - Service Renewals</v>
      </c>
      <c r="D122" s="31" t="s">
        <v>60</v>
      </c>
      <c r="P122" s="35">
        <f t="shared" ref="P122:V122" si="22">$E12*P75</f>
        <v>0</v>
      </c>
      <c r="Q122" s="35">
        <f t="shared" si="22"/>
        <v>72390.165474967405</v>
      </c>
      <c r="R122" s="35">
        <f t="shared" si="22"/>
        <v>71851.172437619971</v>
      </c>
      <c r="S122" s="35">
        <f t="shared" si="22"/>
        <v>72380.260109493422</v>
      </c>
      <c r="T122" s="35">
        <f t="shared" si="22"/>
        <v>73063.325363386481</v>
      </c>
      <c r="U122" s="35">
        <f t="shared" si="22"/>
        <v>73964.824717545867</v>
      </c>
      <c r="V122" s="35">
        <f t="shared" si="22"/>
        <v>74944.931748622766</v>
      </c>
      <c r="X122" s="40">
        <f t="shared" si="21"/>
        <v>366204.51437666849</v>
      </c>
    </row>
    <row r="123" spans="1:24">
      <c r="B123" s="4" t="str">
        <f t="shared" si="19"/>
        <v>Minor Replacement - Alter / Lower Services</v>
      </c>
      <c r="D123" s="31" t="s">
        <v>60</v>
      </c>
      <c r="P123" s="35">
        <f t="shared" ref="P123:V123" si="23">$E13*P76</f>
        <v>0</v>
      </c>
      <c r="Q123" s="35">
        <f t="shared" si="23"/>
        <v>4865.8689718223213</v>
      </c>
      <c r="R123" s="35">
        <f t="shared" si="23"/>
        <v>4828.7078251088687</v>
      </c>
      <c r="S123" s="35">
        <f t="shared" si="23"/>
        <v>4864.2647923046661</v>
      </c>
      <c r="T123" s="35">
        <f t="shared" si="23"/>
        <v>4910.1697152813485</v>
      </c>
      <c r="U123" s="35">
        <f t="shared" si="23"/>
        <v>4970.7543492974364</v>
      </c>
      <c r="V123" s="35">
        <f t="shared" si="23"/>
        <v>5036.6217572999167</v>
      </c>
      <c r="X123" s="40">
        <f t="shared" si="21"/>
        <v>24610.518439292238</v>
      </c>
    </row>
    <row r="124" spans="1:24">
      <c r="B124" s="4" t="str">
        <f t="shared" si="19"/>
        <v>[blank]</v>
      </c>
      <c r="X124" s="40">
        <f t="shared" si="21"/>
        <v>0</v>
      </c>
    </row>
    <row r="125" spans="1:24">
      <c r="B125" s="4" t="str">
        <f t="shared" si="19"/>
        <v>[blank]</v>
      </c>
      <c r="X125" s="40">
        <f t="shared" si="21"/>
        <v>0</v>
      </c>
    </row>
    <row r="126" spans="1:24">
      <c r="B126" s="4" t="str">
        <f t="shared" si="19"/>
        <v>[blank]</v>
      </c>
      <c r="X126" s="40">
        <f t="shared" si="21"/>
        <v>0</v>
      </c>
    </row>
    <row r="127" spans="1:24">
      <c r="B127" s="4" t="str">
        <f t="shared" si="19"/>
        <v>[blank]</v>
      </c>
      <c r="X127" s="40">
        <f t="shared" si="21"/>
        <v>0</v>
      </c>
    </row>
    <row r="128" spans="1:24">
      <c r="B128" s="4" t="str">
        <f t="shared" si="19"/>
        <v>[blank]</v>
      </c>
      <c r="X128" s="40">
        <f t="shared" si="21"/>
        <v>0</v>
      </c>
    </row>
    <row r="129" spans="1:24">
      <c r="B129" s="4" t="str">
        <f t="shared" si="19"/>
        <v>[blank]</v>
      </c>
      <c r="X129" s="40">
        <f t="shared" si="21"/>
        <v>0</v>
      </c>
    </row>
    <row r="130" spans="1:24">
      <c r="B130" s="4" t="str">
        <f t="shared" si="19"/>
        <v>[blank]</v>
      </c>
      <c r="X130" s="40">
        <f t="shared" si="21"/>
        <v>0</v>
      </c>
    </row>
    <row r="131" spans="1:24">
      <c r="B131" s="4" t="str">
        <f t="shared" si="19"/>
        <v>[blank]</v>
      </c>
      <c r="X131" s="40">
        <f t="shared" si="21"/>
        <v>0</v>
      </c>
    </row>
    <row r="132" spans="1:24">
      <c r="B132" s="4" t="str">
        <f t="shared" si="19"/>
        <v>[blank]</v>
      </c>
      <c r="X132" s="40">
        <f t="shared" si="21"/>
        <v>0</v>
      </c>
    </row>
    <row r="133" spans="1:24">
      <c r="B133" s="4" t="str">
        <f t="shared" si="19"/>
        <v>[blank]</v>
      </c>
      <c r="X133" s="40">
        <f t="shared" si="21"/>
        <v>0</v>
      </c>
    </row>
    <row r="134" spans="1:24">
      <c r="B134" s="4" t="str">
        <f t="shared" si="19"/>
        <v>[blank]</v>
      </c>
      <c r="X134" s="40">
        <f t="shared" si="21"/>
        <v>0</v>
      </c>
    </row>
    <row r="136" spans="1:24" ht="12.75" thickBot="1">
      <c r="B136" s="5" t="s">
        <v>82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4">SUM(P120:P134)</f>
        <v>0</v>
      </c>
      <c r="Q136" s="37">
        <f t="shared" si="24"/>
        <v>110965.57215691307</v>
      </c>
      <c r="R136" s="37">
        <f t="shared" si="24"/>
        <v>109612.64312650164</v>
      </c>
      <c r="S136" s="37">
        <f t="shared" si="24"/>
        <v>110419.79346507193</v>
      </c>
      <c r="T136" s="37">
        <f t="shared" si="24"/>
        <v>111461.84449036446</v>
      </c>
      <c r="U136" s="37">
        <f t="shared" si="24"/>
        <v>112837.12792184966</v>
      </c>
      <c r="V136" s="37">
        <f t="shared" si="24"/>
        <v>114332.33139005303</v>
      </c>
      <c r="X136" s="37">
        <f t="shared" ref="X136" si="25">SUM(R136:V136)</f>
        <v>558663.74039384071</v>
      </c>
    </row>
    <row r="138" spans="1:24" s="1" customFormat="1">
      <c r="A138" s="4"/>
      <c r="B138" s="2" t="s">
        <v>83</v>
      </c>
    </row>
    <row r="140" spans="1:24">
      <c r="H140" s="190" t="s">
        <v>52</v>
      </c>
      <c r="I140" s="190"/>
      <c r="J140" s="190"/>
      <c r="K140" s="190"/>
      <c r="L140" s="190"/>
      <c r="M140" s="190" t="s">
        <v>53</v>
      </c>
      <c r="N140" s="190"/>
      <c r="O140" s="190"/>
      <c r="P140" s="190"/>
      <c r="Q140" s="190"/>
      <c r="R140" s="190" t="s">
        <v>54</v>
      </c>
      <c r="S140" s="190"/>
      <c r="T140" s="190"/>
      <c r="U140" s="190"/>
      <c r="V140" s="190"/>
      <c r="X140" s="38"/>
    </row>
    <row r="141" spans="1:24">
      <c r="B141" s="43" t="s">
        <v>84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63</v>
      </c>
    </row>
    <row r="142" spans="1:24">
      <c r="B142" s="5" t="s">
        <v>46</v>
      </c>
      <c r="D142" s="29" t="s">
        <v>55</v>
      </c>
      <c r="H142" s="16" t="s">
        <v>12</v>
      </c>
      <c r="I142" s="16" t="s">
        <v>12</v>
      </c>
      <c r="J142" s="16" t="s">
        <v>12</v>
      </c>
      <c r="K142" s="16" t="s">
        <v>12</v>
      </c>
      <c r="L142" s="16" t="s">
        <v>12</v>
      </c>
      <c r="M142" s="16" t="s">
        <v>12</v>
      </c>
      <c r="N142" s="16" t="s">
        <v>12</v>
      </c>
      <c r="O142" s="16" t="s">
        <v>12</v>
      </c>
      <c r="P142" s="16" t="s">
        <v>13</v>
      </c>
      <c r="Q142" s="16" t="s">
        <v>13</v>
      </c>
      <c r="R142" s="16" t="s">
        <v>13</v>
      </c>
      <c r="S142" s="16" t="s">
        <v>13</v>
      </c>
      <c r="T142" s="16" t="s">
        <v>13</v>
      </c>
      <c r="U142" s="16" t="s">
        <v>13</v>
      </c>
      <c r="V142" s="16" t="s">
        <v>13</v>
      </c>
      <c r="X142" s="34" t="s">
        <v>13</v>
      </c>
    </row>
    <row r="143" spans="1:24">
      <c r="B143" s="4" t="str">
        <f>IF(B10&lt;&gt;"",B10,"[blank]")</f>
        <v>Minor Replacement - Mains Renewal &lt;20m)</v>
      </c>
      <c r="D143" s="31" t="s">
        <v>60</v>
      </c>
      <c r="O143" s="35"/>
      <c r="P143" s="35">
        <f>P97+P120</f>
        <v>0</v>
      </c>
      <c r="Q143" s="35">
        <f t="shared" ref="Q143:V143" si="26">Q97+Q120</f>
        <v>33687.079657018665</v>
      </c>
      <c r="R143" s="35">
        <f t="shared" si="26"/>
        <v>32858.830495158705</v>
      </c>
      <c r="S143" s="35">
        <f t="shared" si="26"/>
        <v>33100.791781764878</v>
      </c>
      <c r="T143" s="35">
        <f t="shared" si="26"/>
        <v>33413.169779692333</v>
      </c>
      <c r="U143" s="35">
        <f t="shared" si="26"/>
        <v>33825.441611380753</v>
      </c>
      <c r="V143" s="35">
        <f t="shared" si="26"/>
        <v>34273.662144305665</v>
      </c>
      <c r="X143" s="40">
        <f>SUM(R143:V143)</f>
        <v>167471.89581230236</v>
      </c>
    </row>
    <row r="144" spans="1:24">
      <c r="B144" s="4" t="str">
        <f t="shared" ref="B144:B157" si="27">IF(B11&lt;&gt;"",B11,"[blank]")</f>
        <v>Minor Replacement - Alter / Lower Mains</v>
      </c>
      <c r="D144" s="31" t="s">
        <v>60</v>
      </c>
      <c r="O144" s="50"/>
      <c r="P144" s="35">
        <f t="shared" ref="P144:V146" si="28">P98+P121</f>
        <v>0</v>
      </c>
      <c r="Q144" s="35">
        <f t="shared" si="28"/>
        <v>1796.6442483743288</v>
      </c>
      <c r="R144" s="35">
        <f t="shared" si="28"/>
        <v>1807.2356772337289</v>
      </c>
      <c r="S144" s="35">
        <f t="shared" si="28"/>
        <v>1820.5435479970679</v>
      </c>
      <c r="T144" s="35">
        <f t="shared" si="28"/>
        <v>1837.7243378830779</v>
      </c>
      <c r="U144" s="35">
        <f t="shared" si="28"/>
        <v>1860.3992886259414</v>
      </c>
      <c r="V144" s="35">
        <f t="shared" si="28"/>
        <v>1885.051417936811</v>
      </c>
      <c r="X144" s="40">
        <f t="shared" ref="X144:X157" si="29">SUM(R144:V144)</f>
        <v>9210.9542696766257</v>
      </c>
    </row>
    <row r="145" spans="2:24">
      <c r="B145" s="4" t="str">
        <f t="shared" si="27"/>
        <v>Minor Replacement - Service Renewals</v>
      </c>
      <c r="D145" s="31" t="s">
        <v>60</v>
      </c>
      <c r="P145" s="35">
        <f t="shared" si="28"/>
        <v>0</v>
      </c>
      <c r="Q145" s="35">
        <f t="shared" si="28"/>
        <v>76200.174184176212</v>
      </c>
      <c r="R145" s="35">
        <f t="shared" si="28"/>
        <v>75632.813092231547</v>
      </c>
      <c r="S145" s="35">
        <f t="shared" si="28"/>
        <v>76189.747483677289</v>
      </c>
      <c r="T145" s="35">
        <f t="shared" si="28"/>
        <v>76908.763540406828</v>
      </c>
      <c r="U145" s="35">
        <f t="shared" si="28"/>
        <v>77857.710228995653</v>
      </c>
      <c r="V145" s="35">
        <f t="shared" si="28"/>
        <v>78889.401840655541</v>
      </c>
      <c r="X145" s="40">
        <f t="shared" si="29"/>
        <v>385478.43618596689</v>
      </c>
    </row>
    <row r="146" spans="2:24">
      <c r="B146" s="4" t="str">
        <f t="shared" si="27"/>
        <v>Minor Replacement - Alter / Lower Services</v>
      </c>
      <c r="D146" s="31" t="s">
        <v>60</v>
      </c>
      <c r="P146" s="35">
        <f t="shared" si="28"/>
        <v>0</v>
      </c>
      <c r="Q146" s="35">
        <f t="shared" si="28"/>
        <v>5121.967338760338</v>
      </c>
      <c r="R146" s="35">
        <f t="shared" si="28"/>
        <v>5082.8503422198619</v>
      </c>
      <c r="S146" s="35">
        <f t="shared" si="28"/>
        <v>5120.2787287417541</v>
      </c>
      <c r="T146" s="35">
        <f t="shared" si="28"/>
        <v>5168.5997002961567</v>
      </c>
      <c r="U146" s="35">
        <f t="shared" si="28"/>
        <v>5232.3729992604594</v>
      </c>
      <c r="V146" s="35">
        <f t="shared" si="28"/>
        <v>5301.7071129472806</v>
      </c>
      <c r="X146" s="40">
        <f t="shared" si="29"/>
        <v>25905.808883465514</v>
      </c>
    </row>
    <row r="147" spans="2:24">
      <c r="B147" s="4" t="str">
        <f t="shared" si="27"/>
        <v>[blank]</v>
      </c>
      <c r="X147" s="40">
        <f t="shared" si="29"/>
        <v>0</v>
      </c>
    </row>
    <row r="148" spans="2:24">
      <c r="B148" s="4" t="str">
        <f t="shared" si="27"/>
        <v>[blank]</v>
      </c>
      <c r="X148" s="40">
        <f t="shared" si="29"/>
        <v>0</v>
      </c>
    </row>
    <row r="149" spans="2:24">
      <c r="B149" s="4" t="str">
        <f t="shared" si="27"/>
        <v>[blank]</v>
      </c>
      <c r="X149" s="40">
        <f t="shared" si="29"/>
        <v>0</v>
      </c>
    </row>
    <row r="150" spans="2:24">
      <c r="B150" s="4" t="str">
        <f t="shared" si="27"/>
        <v>[blank]</v>
      </c>
      <c r="X150" s="40">
        <f t="shared" si="29"/>
        <v>0</v>
      </c>
    </row>
    <row r="151" spans="2:24">
      <c r="B151" s="4" t="str">
        <f t="shared" si="27"/>
        <v>[blank]</v>
      </c>
      <c r="X151" s="40">
        <f t="shared" si="29"/>
        <v>0</v>
      </c>
    </row>
    <row r="152" spans="2:24">
      <c r="B152" s="4" t="str">
        <f t="shared" si="27"/>
        <v>[blank]</v>
      </c>
      <c r="X152" s="40">
        <f t="shared" si="29"/>
        <v>0</v>
      </c>
    </row>
    <row r="153" spans="2:24">
      <c r="B153" s="4" t="str">
        <f t="shared" si="27"/>
        <v>[blank]</v>
      </c>
      <c r="X153" s="40">
        <f t="shared" si="29"/>
        <v>0</v>
      </c>
    </row>
    <row r="154" spans="2:24">
      <c r="B154" s="4" t="str">
        <f t="shared" si="27"/>
        <v>[blank]</v>
      </c>
      <c r="X154" s="40">
        <f t="shared" si="29"/>
        <v>0</v>
      </c>
    </row>
    <row r="155" spans="2:24">
      <c r="B155" s="4" t="str">
        <f t="shared" si="27"/>
        <v>[blank]</v>
      </c>
      <c r="X155" s="40">
        <f t="shared" si="29"/>
        <v>0</v>
      </c>
    </row>
    <row r="156" spans="2:24">
      <c r="B156" s="4" t="str">
        <f t="shared" si="27"/>
        <v>[blank]</v>
      </c>
      <c r="X156" s="40">
        <f t="shared" si="29"/>
        <v>0</v>
      </c>
    </row>
    <row r="157" spans="2:24">
      <c r="B157" s="4" t="str">
        <f t="shared" si="27"/>
        <v>[blank]</v>
      </c>
      <c r="X157" s="40">
        <f t="shared" si="29"/>
        <v>0</v>
      </c>
    </row>
    <row r="159" spans="2:24" ht="12.75" thickBot="1">
      <c r="B159" s="5" t="s">
        <v>85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30">SUM(Q143:Q157)</f>
        <v>116805.86542832955</v>
      </c>
      <c r="R159" s="37">
        <f t="shared" si="30"/>
        <v>115381.72960684383</v>
      </c>
      <c r="S159" s="37">
        <f t="shared" si="30"/>
        <v>116231.361542181</v>
      </c>
      <c r="T159" s="37">
        <f t="shared" si="30"/>
        <v>117328.25735827838</v>
      </c>
      <c r="U159" s="37">
        <f t="shared" si="30"/>
        <v>118775.92412826282</v>
      </c>
      <c r="V159" s="37">
        <f t="shared" si="30"/>
        <v>120349.8225158453</v>
      </c>
      <c r="X159" s="37">
        <f t="shared" ref="X159" si="31">SUM(R159:V159)</f>
        <v>588067.09515141137</v>
      </c>
    </row>
    <row r="161" spans="1:24" s="1" customFormat="1">
      <c r="A161" s="4"/>
      <c r="B161" s="2" t="s">
        <v>86</v>
      </c>
    </row>
    <row r="163" spans="1:24">
      <c r="H163" s="190" t="s">
        <v>52</v>
      </c>
      <c r="I163" s="190"/>
      <c r="J163" s="190"/>
      <c r="K163" s="190"/>
      <c r="L163" s="190"/>
      <c r="M163" s="190" t="s">
        <v>53</v>
      </c>
      <c r="N163" s="190"/>
      <c r="O163" s="190"/>
      <c r="P163" s="190"/>
      <c r="Q163" s="190"/>
      <c r="R163" s="190" t="s">
        <v>54</v>
      </c>
      <c r="S163" s="190"/>
      <c r="T163" s="190"/>
      <c r="U163" s="190"/>
      <c r="V163" s="190"/>
      <c r="X163" s="38"/>
    </row>
    <row r="164" spans="1:24">
      <c r="B164" s="44" t="s">
        <v>50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63</v>
      </c>
    </row>
    <row r="165" spans="1:24">
      <c r="B165" s="5" t="s">
        <v>46</v>
      </c>
      <c r="D165" s="29" t="s">
        <v>55</v>
      </c>
      <c r="H165" s="16" t="s">
        <v>12</v>
      </c>
      <c r="I165" s="16" t="s">
        <v>12</v>
      </c>
      <c r="J165" s="16" t="s">
        <v>12</v>
      </c>
      <c r="K165" s="16" t="s">
        <v>12</v>
      </c>
      <c r="L165" s="16" t="s">
        <v>12</v>
      </c>
      <c r="M165" s="16" t="s">
        <v>12</v>
      </c>
      <c r="N165" s="16" t="s">
        <v>12</v>
      </c>
      <c r="O165" s="16" t="s">
        <v>12</v>
      </c>
      <c r="P165" s="16" t="s">
        <v>13</v>
      </c>
      <c r="Q165" s="16" t="s">
        <v>13</v>
      </c>
      <c r="R165" s="16" t="s">
        <v>13</v>
      </c>
      <c r="S165" s="16" t="s">
        <v>13</v>
      </c>
      <c r="T165" s="16" t="s">
        <v>13</v>
      </c>
      <c r="U165" s="16" t="s">
        <v>13</v>
      </c>
      <c r="V165" s="16" t="s">
        <v>13</v>
      </c>
      <c r="X165" s="34" t="s">
        <v>13</v>
      </c>
    </row>
    <row r="166" spans="1:24">
      <c r="B166" s="4" t="str">
        <f>IF(B10&lt;&gt;"",B10,"[blank]")</f>
        <v>Minor Replacement - Mains Renewal &lt;20m)</v>
      </c>
      <c r="D166" s="31" t="s">
        <v>60</v>
      </c>
      <c r="O166" s="35"/>
      <c r="P166" s="35">
        <f>$G10*P73</f>
        <v>0</v>
      </c>
      <c r="Q166" s="35">
        <f t="shared" ref="Q166:V166" si="32">$G10*Q73</f>
        <v>8421.7699142546644</v>
      </c>
      <c r="R166" s="35">
        <f t="shared" si="32"/>
        <v>8214.7076237896745</v>
      </c>
      <c r="S166" s="35">
        <f t="shared" si="32"/>
        <v>8275.1979454412158</v>
      </c>
      <c r="T166" s="35">
        <f t="shared" si="32"/>
        <v>8353.2924449230795</v>
      </c>
      <c r="U166" s="35">
        <f t="shared" si="32"/>
        <v>8456.3604028451864</v>
      </c>
      <c r="V166" s="35">
        <f t="shared" si="32"/>
        <v>8568.4155360764144</v>
      </c>
      <c r="X166" s="40">
        <f>SUM(R166:V166)</f>
        <v>41867.973953075569</v>
      </c>
    </row>
    <row r="167" spans="1:24">
      <c r="B167" s="4" t="str">
        <f t="shared" ref="B167:B180" si="33">IF(B11&lt;&gt;"",B11,"[blank]")</f>
        <v>Minor Replacement - Alter / Lower Mains</v>
      </c>
      <c r="D167" s="31" t="s">
        <v>60</v>
      </c>
      <c r="O167" s="50"/>
      <c r="P167" s="35">
        <f t="shared" ref="P167:V167" si="34">$G11*P74</f>
        <v>0</v>
      </c>
      <c r="Q167" s="35">
        <f t="shared" si="34"/>
        <v>449.16106209358213</v>
      </c>
      <c r="R167" s="35">
        <f t="shared" si="34"/>
        <v>451.80891930843205</v>
      </c>
      <c r="S167" s="35">
        <f t="shared" si="34"/>
        <v>455.13588699926686</v>
      </c>
      <c r="T167" s="35">
        <f t="shared" si="34"/>
        <v>459.43108447076935</v>
      </c>
      <c r="U167" s="35">
        <f t="shared" si="34"/>
        <v>465.09982215648523</v>
      </c>
      <c r="V167" s="35">
        <f t="shared" si="34"/>
        <v>471.26285448420265</v>
      </c>
      <c r="X167" s="40">
        <f t="shared" ref="X167:X180" si="35">SUM(R167:V167)</f>
        <v>2302.738567419156</v>
      </c>
    </row>
    <row r="168" spans="1:24">
      <c r="B168" s="4" t="str">
        <f t="shared" si="33"/>
        <v>Minor Replacement - Service Renewals</v>
      </c>
      <c r="D168" s="31" t="s">
        <v>60</v>
      </c>
      <c r="P168" s="35">
        <f t="shared" ref="P168:V168" si="36">$G12*P75</f>
        <v>0</v>
      </c>
      <c r="Q168" s="35">
        <f t="shared" si="36"/>
        <v>19050.043546044049</v>
      </c>
      <c r="R168" s="35">
        <f t="shared" si="36"/>
        <v>18908.203273057883</v>
      </c>
      <c r="S168" s="35">
        <f t="shared" si="36"/>
        <v>19047.436870919319</v>
      </c>
      <c r="T168" s="35">
        <f t="shared" si="36"/>
        <v>19227.1908851017</v>
      </c>
      <c r="U168" s="35">
        <f t="shared" si="36"/>
        <v>19464.42755724891</v>
      </c>
      <c r="V168" s="35">
        <f t="shared" si="36"/>
        <v>19722.350460163882</v>
      </c>
      <c r="X168" s="40">
        <f t="shared" si="35"/>
        <v>96369.609046491692</v>
      </c>
    </row>
    <row r="169" spans="1:24">
      <c r="B169" s="4" t="str">
        <f t="shared" si="33"/>
        <v>Minor Replacement - Alter / Lower Services</v>
      </c>
      <c r="D169" s="31" t="s">
        <v>60</v>
      </c>
      <c r="P169" s="35">
        <f t="shared" ref="P169:V169" si="37">$G13*P76</f>
        <v>0</v>
      </c>
      <c r="Q169" s="35">
        <f t="shared" si="37"/>
        <v>1280.4918346900843</v>
      </c>
      <c r="R169" s="35">
        <f t="shared" si="37"/>
        <v>1270.712585554965</v>
      </c>
      <c r="S169" s="35">
        <f t="shared" si="37"/>
        <v>1280.0696821854381</v>
      </c>
      <c r="T169" s="35">
        <f t="shared" si="37"/>
        <v>1292.1499250740389</v>
      </c>
      <c r="U169" s="35">
        <f t="shared" si="37"/>
        <v>1308.0932498151146</v>
      </c>
      <c r="V169" s="35">
        <f t="shared" si="37"/>
        <v>1325.4267782368199</v>
      </c>
      <c r="X169" s="40">
        <f t="shared" si="35"/>
        <v>6476.4522208663757</v>
      </c>
    </row>
    <row r="170" spans="1:24">
      <c r="B170" s="4" t="str">
        <f t="shared" si="33"/>
        <v>[blank]</v>
      </c>
      <c r="X170" s="40">
        <f t="shared" si="35"/>
        <v>0</v>
      </c>
    </row>
    <row r="171" spans="1:24">
      <c r="B171" s="4" t="str">
        <f t="shared" si="33"/>
        <v>[blank]</v>
      </c>
      <c r="X171" s="40">
        <f t="shared" si="35"/>
        <v>0</v>
      </c>
    </row>
    <row r="172" spans="1:24">
      <c r="B172" s="4" t="str">
        <f t="shared" si="33"/>
        <v>[blank]</v>
      </c>
      <c r="X172" s="40">
        <f t="shared" si="35"/>
        <v>0</v>
      </c>
    </row>
    <row r="173" spans="1:24">
      <c r="B173" s="4" t="str">
        <f t="shared" si="33"/>
        <v>[blank]</v>
      </c>
      <c r="X173" s="40">
        <f t="shared" si="35"/>
        <v>0</v>
      </c>
    </row>
    <row r="174" spans="1:24">
      <c r="B174" s="4" t="str">
        <f t="shared" si="33"/>
        <v>[blank]</v>
      </c>
      <c r="X174" s="40">
        <f t="shared" si="35"/>
        <v>0</v>
      </c>
    </row>
    <row r="175" spans="1:24">
      <c r="B175" s="4" t="str">
        <f t="shared" si="33"/>
        <v>[blank]</v>
      </c>
      <c r="X175" s="40">
        <f t="shared" si="35"/>
        <v>0</v>
      </c>
    </row>
    <row r="176" spans="1:24">
      <c r="B176" s="4" t="str">
        <f t="shared" si="33"/>
        <v>[blank]</v>
      </c>
      <c r="X176" s="40">
        <f t="shared" si="35"/>
        <v>0</v>
      </c>
    </row>
    <row r="177" spans="1:24">
      <c r="B177" s="4" t="str">
        <f t="shared" si="33"/>
        <v>[blank]</v>
      </c>
      <c r="X177" s="40">
        <f t="shared" si="35"/>
        <v>0</v>
      </c>
    </row>
    <row r="178" spans="1:24">
      <c r="B178" s="4" t="str">
        <f t="shared" si="33"/>
        <v>[blank]</v>
      </c>
      <c r="X178" s="40">
        <f t="shared" si="35"/>
        <v>0</v>
      </c>
    </row>
    <row r="179" spans="1:24">
      <c r="B179" s="4" t="str">
        <f t="shared" si="33"/>
        <v>[blank]</v>
      </c>
      <c r="X179" s="40">
        <f t="shared" si="35"/>
        <v>0</v>
      </c>
    </row>
    <row r="180" spans="1:24">
      <c r="B180" s="4" t="str">
        <f t="shared" si="33"/>
        <v>[blank]</v>
      </c>
      <c r="X180" s="40">
        <f t="shared" si="35"/>
        <v>0</v>
      </c>
    </row>
    <row r="182" spans="1:24" ht="12.75" thickBot="1">
      <c r="B182" s="5" t="s">
        <v>87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38">SUM(Q166:Q180)</f>
        <v>29201.46635708238</v>
      </c>
      <c r="R182" s="37">
        <f t="shared" si="38"/>
        <v>28845.432401710954</v>
      </c>
      <c r="S182" s="37">
        <f t="shared" si="38"/>
        <v>29057.840385545242</v>
      </c>
      <c r="T182" s="37">
        <f t="shared" si="38"/>
        <v>29332.064339569588</v>
      </c>
      <c r="U182" s="37">
        <f t="shared" si="38"/>
        <v>29693.981032065698</v>
      </c>
      <c r="V182" s="37">
        <f t="shared" si="38"/>
        <v>30087.455628961317</v>
      </c>
      <c r="X182" s="37">
        <f t="shared" ref="X182" si="39">SUM(R182:V182)</f>
        <v>147016.77378785281</v>
      </c>
    </row>
    <row r="184" spans="1:24" s="1" customFormat="1">
      <c r="A184" s="2">
        <v>6</v>
      </c>
      <c r="B184" s="2" t="s">
        <v>89</v>
      </c>
    </row>
    <row r="186" spans="1:24">
      <c r="H186" s="190" t="s">
        <v>52</v>
      </c>
      <c r="I186" s="190"/>
      <c r="J186" s="190"/>
      <c r="K186" s="190"/>
      <c r="L186" s="190"/>
      <c r="M186" s="190" t="s">
        <v>53</v>
      </c>
      <c r="N186" s="190"/>
      <c r="O186" s="190"/>
      <c r="P186" s="190"/>
      <c r="Q186" s="190"/>
      <c r="R186" s="190" t="s">
        <v>54</v>
      </c>
      <c r="S186" s="190"/>
      <c r="T186" s="190"/>
      <c r="U186" s="190"/>
      <c r="V186" s="190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63</v>
      </c>
    </row>
    <row r="188" spans="1:24">
      <c r="B188" s="5" t="s">
        <v>46</v>
      </c>
      <c r="D188" s="29" t="s">
        <v>55</v>
      </c>
      <c r="H188" s="16" t="s">
        <v>12</v>
      </c>
      <c r="I188" s="16" t="s">
        <v>12</v>
      </c>
      <c r="J188" s="16" t="s">
        <v>12</v>
      </c>
      <c r="K188" s="16" t="s">
        <v>12</v>
      </c>
      <c r="L188" s="16" t="s">
        <v>12</v>
      </c>
      <c r="M188" s="16" t="s">
        <v>12</v>
      </c>
      <c r="N188" s="16" t="s">
        <v>12</v>
      </c>
      <c r="O188" s="16" t="s">
        <v>12</v>
      </c>
      <c r="P188" s="16" t="s">
        <v>13</v>
      </c>
      <c r="Q188" s="16" t="s">
        <v>13</v>
      </c>
      <c r="R188" s="16" t="s">
        <v>13</v>
      </c>
      <c r="S188" s="16" t="s">
        <v>13</v>
      </c>
      <c r="T188" s="16" t="s">
        <v>13</v>
      </c>
      <c r="U188" s="16" t="s">
        <v>13</v>
      </c>
      <c r="V188" s="16" t="s">
        <v>13</v>
      </c>
      <c r="X188" s="34" t="s">
        <v>13</v>
      </c>
    </row>
    <row r="189" spans="1:24">
      <c r="B189" s="4" t="str">
        <f>IF(B10&lt;&gt;"",B10,"[blank]")</f>
        <v>Minor Replacement - Mains Renewal &lt;20m)</v>
      </c>
      <c r="D189" s="31" t="s">
        <v>60</v>
      </c>
      <c r="O189" s="35"/>
      <c r="P189" s="35">
        <f>P73*P$208</f>
        <v>0</v>
      </c>
      <c r="Q189" s="35">
        <f t="shared" ref="Q189:V189" si="40">Q73*Q$208</f>
        <v>3151.4977639051372</v>
      </c>
      <c r="R189" s="35">
        <f t="shared" si="40"/>
        <v>2964.3104846853444</v>
      </c>
      <c r="S189" s="35">
        <f t="shared" si="40"/>
        <v>3155.4610862340032</v>
      </c>
      <c r="T189" s="35">
        <f t="shared" si="40"/>
        <v>3233.8376164429524</v>
      </c>
      <c r="U189" s="35">
        <f t="shared" si="40"/>
        <v>3455.0863163021641</v>
      </c>
      <c r="V189" s="35">
        <f t="shared" si="40"/>
        <v>3615.5540655219052</v>
      </c>
      <c r="X189" s="40">
        <f>SUM(R189:V189)</f>
        <v>16424.24956918637</v>
      </c>
    </row>
    <row r="190" spans="1:24">
      <c r="B190" s="4" t="str">
        <f t="shared" ref="B190:B203" si="41">IF(B11&lt;&gt;"",B11,"[blank]")</f>
        <v>Minor Replacement - Alter / Lower Mains</v>
      </c>
      <c r="D190" s="31" t="s">
        <v>60</v>
      </c>
      <c r="O190" s="50"/>
      <c r="P190" s="35">
        <f t="shared" ref="P190:V192" si="42">P74*P$208</f>
        <v>0</v>
      </c>
      <c r="Q190" s="35">
        <f t="shared" si="42"/>
        <v>168.07988074160733</v>
      </c>
      <c r="R190" s="35">
        <f t="shared" si="42"/>
        <v>163.03707665769394</v>
      </c>
      <c r="S190" s="35">
        <f t="shared" si="42"/>
        <v>173.55035974287014</v>
      </c>
      <c r="T190" s="35">
        <f t="shared" si="42"/>
        <v>177.86106890436236</v>
      </c>
      <c r="U190" s="35">
        <f t="shared" si="42"/>
        <v>190.02974739661903</v>
      </c>
      <c r="V190" s="35">
        <f t="shared" si="42"/>
        <v>198.85547360370475</v>
      </c>
      <c r="X190" s="40">
        <f t="shared" ref="X190:X203" si="43">SUM(R190:V190)</f>
        <v>903.33372630525014</v>
      </c>
    </row>
    <row r="191" spans="1:24">
      <c r="B191" s="4" t="str">
        <f t="shared" si="41"/>
        <v>Minor Replacement - Service Renewals</v>
      </c>
      <c r="D191" s="31" t="s">
        <v>60</v>
      </c>
      <c r="P191" s="35">
        <f t="shared" si="42"/>
        <v>0</v>
      </c>
      <c r="Q191" s="35">
        <f t="shared" si="42"/>
        <v>7128.6879419534198</v>
      </c>
      <c r="R191" s="35">
        <f t="shared" si="42"/>
        <v>6823.1016581244921</v>
      </c>
      <c r="S191" s="35">
        <f t="shared" si="42"/>
        <v>7263.0825552391161</v>
      </c>
      <c r="T191" s="35">
        <f t="shared" si="42"/>
        <v>7443.4857336475652</v>
      </c>
      <c r="U191" s="35">
        <f t="shared" si="42"/>
        <v>7952.7449285485072</v>
      </c>
      <c r="V191" s="35">
        <f t="shared" si="42"/>
        <v>8322.1015703150424</v>
      </c>
      <c r="X191" s="40">
        <f t="shared" si="43"/>
        <v>37804.516445874724</v>
      </c>
    </row>
    <row r="192" spans="1:24">
      <c r="B192" s="4" t="str">
        <f t="shared" si="41"/>
        <v>Minor Replacement - Alter / Lower Services</v>
      </c>
      <c r="D192" s="31" t="s">
        <v>60</v>
      </c>
      <c r="P192" s="35">
        <f t="shared" si="42"/>
        <v>0</v>
      </c>
      <c r="Q192" s="35">
        <f t="shared" si="42"/>
        <v>479.17091001194018</v>
      </c>
      <c r="R192" s="35">
        <f t="shared" si="42"/>
        <v>458.54177809976414</v>
      </c>
      <c r="S192" s="35">
        <f t="shared" si="42"/>
        <v>488.11038677682234</v>
      </c>
      <c r="T192" s="35">
        <f t="shared" si="42"/>
        <v>500.23425629351914</v>
      </c>
      <c r="U192" s="35">
        <f t="shared" si="42"/>
        <v>534.45866455299097</v>
      </c>
      <c r="V192" s="35">
        <f t="shared" si="42"/>
        <v>559.28101951041958</v>
      </c>
      <c r="X192" s="40">
        <f t="shared" si="43"/>
        <v>2540.6261052335162</v>
      </c>
    </row>
    <row r="193" spans="2:24">
      <c r="B193" s="4" t="str">
        <f t="shared" si="41"/>
        <v>[blank]</v>
      </c>
      <c r="X193" s="40">
        <f t="shared" si="43"/>
        <v>0</v>
      </c>
    </row>
    <row r="194" spans="2:24">
      <c r="B194" s="4" t="str">
        <f t="shared" si="41"/>
        <v>[blank]</v>
      </c>
      <c r="X194" s="40">
        <f t="shared" si="43"/>
        <v>0</v>
      </c>
    </row>
    <row r="195" spans="2:24">
      <c r="B195" s="4" t="str">
        <f t="shared" si="41"/>
        <v>[blank]</v>
      </c>
      <c r="X195" s="40">
        <f t="shared" si="43"/>
        <v>0</v>
      </c>
    </row>
    <row r="196" spans="2:24">
      <c r="B196" s="4" t="str">
        <f t="shared" si="41"/>
        <v>[blank]</v>
      </c>
      <c r="X196" s="40">
        <f t="shared" si="43"/>
        <v>0</v>
      </c>
    </row>
    <row r="197" spans="2:24">
      <c r="B197" s="4" t="str">
        <f t="shared" si="41"/>
        <v>[blank]</v>
      </c>
      <c r="X197" s="40">
        <f t="shared" si="43"/>
        <v>0</v>
      </c>
    </row>
    <row r="198" spans="2:24">
      <c r="B198" s="4" t="str">
        <f t="shared" si="41"/>
        <v>[blank]</v>
      </c>
      <c r="X198" s="40">
        <f t="shared" si="43"/>
        <v>0</v>
      </c>
    </row>
    <row r="199" spans="2:24">
      <c r="B199" s="4" t="str">
        <f t="shared" si="41"/>
        <v>[blank]</v>
      </c>
      <c r="X199" s="40">
        <f t="shared" si="43"/>
        <v>0</v>
      </c>
    </row>
    <row r="200" spans="2:24">
      <c r="B200" s="4" t="str">
        <f t="shared" si="41"/>
        <v>[blank]</v>
      </c>
      <c r="X200" s="40">
        <f t="shared" si="43"/>
        <v>0</v>
      </c>
    </row>
    <row r="201" spans="2:24">
      <c r="B201" s="4" t="str">
        <f t="shared" si="41"/>
        <v>[blank]</v>
      </c>
      <c r="X201" s="40">
        <f t="shared" si="43"/>
        <v>0</v>
      </c>
    </row>
    <row r="202" spans="2:24">
      <c r="B202" s="4" t="str">
        <f t="shared" si="41"/>
        <v>[blank]</v>
      </c>
      <c r="X202" s="40">
        <f t="shared" si="43"/>
        <v>0</v>
      </c>
    </row>
    <row r="203" spans="2:24">
      <c r="B203" s="4" t="str">
        <f t="shared" si="41"/>
        <v>[blank]</v>
      </c>
      <c r="X203" s="40">
        <f t="shared" si="43"/>
        <v>0</v>
      </c>
    </row>
    <row r="205" spans="2:24" ht="12.75" thickBot="1">
      <c r="B205" s="5" t="s">
        <v>88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44">SUM(Q189:Q203)</f>
        <v>10927.436496612105</v>
      </c>
      <c r="R205" s="37">
        <f t="shared" si="44"/>
        <v>10408.990997567294</v>
      </c>
      <c r="S205" s="37">
        <f t="shared" si="44"/>
        <v>11080.204387992811</v>
      </c>
      <c r="T205" s="37">
        <f t="shared" si="44"/>
        <v>11355.418675288398</v>
      </c>
      <c r="U205" s="37">
        <f t="shared" si="44"/>
        <v>12132.31965680028</v>
      </c>
      <c r="V205" s="37">
        <f t="shared" si="44"/>
        <v>12695.792128951072</v>
      </c>
      <c r="X205" s="37">
        <f t="shared" ref="X205" si="45">SUM(R205:V205)</f>
        <v>57672.725846599853</v>
      </c>
    </row>
    <row r="207" spans="2:24">
      <c r="B207" s="4" t="s">
        <v>92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46">Q89</f>
        <v>146007.33178541195</v>
      </c>
      <c r="R207" s="45">
        <f t="shared" si="46"/>
        <v>144227.16200855482</v>
      </c>
      <c r="S207" s="45">
        <f t="shared" si="46"/>
        <v>145289.20192772624</v>
      </c>
      <c r="T207" s="45">
        <f t="shared" si="46"/>
        <v>146660.32169784798</v>
      </c>
      <c r="U207" s="45">
        <f t="shared" si="46"/>
        <v>148469.90516032852</v>
      </c>
      <c r="V207" s="45">
        <f t="shared" si="46"/>
        <v>150437.27814480662</v>
      </c>
      <c r="W207" s="45"/>
      <c r="X207" s="40">
        <f t="shared" si="46"/>
        <v>735083.86893926421</v>
      </c>
    </row>
    <row r="208" spans="2:24">
      <c r="B208" s="4" t="s">
        <v>90</v>
      </c>
      <c r="H208" s="21" t="str">
        <f>IFERROR(H212/H207,"")</f>
        <v/>
      </c>
      <c r="I208" s="21" t="str">
        <f t="shared" ref="I208:O208" si="47">IFERROR(I212/I207,"")</f>
        <v/>
      </c>
      <c r="J208" s="21" t="str">
        <f t="shared" si="47"/>
        <v/>
      </c>
      <c r="K208" s="21" t="str">
        <f t="shared" si="47"/>
        <v/>
      </c>
      <c r="L208" s="21" t="str">
        <f t="shared" si="47"/>
        <v/>
      </c>
      <c r="M208" s="21" t="str">
        <f t="shared" si="47"/>
        <v/>
      </c>
      <c r="N208" s="21" t="str">
        <f t="shared" si="47"/>
        <v/>
      </c>
      <c r="O208" s="21" t="str">
        <f t="shared" si="47"/>
        <v/>
      </c>
      <c r="P208" s="21">
        <f>'General assumptions'!S50</f>
        <v>0</v>
      </c>
      <c r="Q208" s="21">
        <f>'General assumptions'!T50</f>
        <v>7.4841697077734692E-2</v>
      </c>
      <c r="R208" s="21">
        <f>'General assumptions'!U50</f>
        <v>7.2170809247081261E-2</v>
      </c>
      <c r="S208" s="21">
        <f>'General assumptions'!V50</f>
        <v>7.6263096231367788E-2</v>
      </c>
      <c r="T208" s="21">
        <f>'General assumptions'!W50</f>
        <v>7.7426658716070601E-2</v>
      </c>
      <c r="U208" s="21">
        <f>'General assumptions'!X50</f>
        <v>8.1715682674538839E-2</v>
      </c>
      <c r="V208" s="21">
        <f>'General assumptions'!Y50</f>
        <v>8.4392593946897035E-2</v>
      </c>
      <c r="W208" s="21"/>
    </row>
    <row r="210" spans="1:22" ht="12.75" thickBot="1">
      <c r="B210" s="5" t="s">
        <v>91</v>
      </c>
      <c r="H210" s="37">
        <f t="shared" ref="H210:N210" si="48">IF(H188="forecast",H207*(1+H208),H207+H212)</f>
        <v>0</v>
      </c>
      <c r="I210" s="37">
        <f t="shared" si="48"/>
        <v>0</v>
      </c>
      <c r="J210" s="37">
        <f t="shared" si="48"/>
        <v>0</v>
      </c>
      <c r="K210" s="37">
        <f t="shared" si="48"/>
        <v>0</v>
      </c>
      <c r="L210" s="37">
        <f t="shared" si="48"/>
        <v>0</v>
      </c>
      <c r="M210" s="37">
        <f t="shared" si="48"/>
        <v>0</v>
      </c>
      <c r="N210" s="37">
        <f t="shared" si="48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9">IF(Q188="forecast",Q207*(1+Q208),Q207+Q212)</f>
        <v>156934.76828202407</v>
      </c>
      <c r="R210" s="37">
        <f t="shared" si="49"/>
        <v>154636.1530061221</v>
      </c>
      <c r="S210" s="37">
        <f t="shared" si="49"/>
        <v>156369.40631571904</v>
      </c>
      <c r="T210" s="37">
        <f t="shared" si="49"/>
        <v>158015.74037313636</v>
      </c>
      <c r="U210" s="37">
        <f t="shared" si="49"/>
        <v>160602.22481712879</v>
      </c>
      <c r="V210" s="37">
        <f t="shared" si="49"/>
        <v>163133.07027375771</v>
      </c>
    </row>
    <row r="212" spans="1:22">
      <c r="B212" s="4" t="s">
        <v>18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50">Q210-Q207</f>
        <v>10927.436496612121</v>
      </c>
      <c r="R212" s="45">
        <f t="shared" si="50"/>
        <v>10408.990997567278</v>
      </c>
      <c r="S212" s="45">
        <f t="shared" si="50"/>
        <v>11080.204387992795</v>
      </c>
      <c r="T212" s="45">
        <f t="shared" si="50"/>
        <v>11355.418675288383</v>
      </c>
      <c r="U212" s="45">
        <f t="shared" si="50"/>
        <v>12132.319656800275</v>
      </c>
      <c r="V212" s="45">
        <f t="shared" si="50"/>
        <v>12695.792128951085</v>
      </c>
    </row>
    <row r="214" spans="1:22" s="1" customFormat="1">
      <c r="A214" s="2">
        <v>7</v>
      </c>
      <c r="B214" s="2" t="s">
        <v>74</v>
      </c>
    </row>
    <row r="216" spans="1:22">
      <c r="H216" s="190" t="s">
        <v>52</v>
      </c>
      <c r="I216" s="190"/>
      <c r="J216" s="190"/>
      <c r="K216" s="190"/>
      <c r="L216" s="190"/>
      <c r="M216" s="190" t="s">
        <v>53</v>
      </c>
      <c r="N216" s="190"/>
      <c r="O216" s="190"/>
      <c r="P216" s="190"/>
      <c r="Q216" s="190"/>
      <c r="R216" s="190" t="s">
        <v>54</v>
      </c>
      <c r="S216" s="190"/>
      <c r="T216" s="190"/>
      <c r="U216" s="190"/>
      <c r="V216" s="190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55</v>
      </c>
      <c r="H218" s="16" t="s">
        <v>12</v>
      </c>
      <c r="I218" s="16" t="s">
        <v>12</v>
      </c>
      <c r="J218" s="16" t="s">
        <v>12</v>
      </c>
      <c r="K218" s="16" t="s">
        <v>12</v>
      </c>
      <c r="L218" s="16" t="s">
        <v>12</v>
      </c>
      <c r="M218" s="16" t="s">
        <v>12</v>
      </c>
      <c r="N218" s="16" t="s">
        <v>12</v>
      </c>
      <c r="O218" s="16" t="s">
        <v>12</v>
      </c>
      <c r="P218" s="16" t="s">
        <v>13</v>
      </c>
      <c r="Q218" s="16" t="s">
        <v>13</v>
      </c>
      <c r="R218" s="16" t="s">
        <v>13</v>
      </c>
      <c r="S218" s="16" t="s">
        <v>13</v>
      </c>
      <c r="T218" s="16" t="s">
        <v>13</v>
      </c>
      <c r="U218" s="16" t="s">
        <v>13</v>
      </c>
      <c r="V218" s="16" t="s">
        <v>13</v>
      </c>
    </row>
    <row r="219" spans="1:22">
      <c r="B219" s="5" t="s">
        <v>94</v>
      </c>
      <c r="D219" s="31" t="s">
        <v>105</v>
      </c>
      <c r="H219" s="4" t="str">
        <f t="shared" ref="H219:O219" si="51">IFERROR(-H238/H210,"")</f>
        <v/>
      </c>
      <c r="I219" s="4" t="str">
        <f t="shared" si="51"/>
        <v/>
      </c>
      <c r="J219" s="4" t="str">
        <f t="shared" si="51"/>
        <v/>
      </c>
      <c r="K219" s="4" t="str">
        <f t="shared" si="51"/>
        <v/>
      </c>
      <c r="L219" s="4" t="str">
        <f t="shared" si="51"/>
        <v/>
      </c>
      <c r="M219" s="4" t="str">
        <f t="shared" si="51"/>
        <v/>
      </c>
      <c r="N219" s="4" t="str">
        <f t="shared" si="51"/>
        <v/>
      </c>
      <c r="O219" s="4" t="str">
        <f t="shared" si="51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46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Minor Replacement - Mains Renewal &lt;20m)</v>
      </c>
      <c r="D222" s="31" t="s">
        <v>60</v>
      </c>
      <c r="P222" s="45">
        <f>(-P73*(1+P$208))*P$219</f>
        <v>0</v>
      </c>
      <c r="Q222" s="45">
        <f t="shared" ref="Q222:V222" si="52">(-Q73*(1+Q$208))*Q$219</f>
        <v>0</v>
      </c>
      <c r="R222" s="45">
        <f t="shared" si="52"/>
        <v>0</v>
      </c>
      <c r="S222" s="45">
        <f t="shared" si="52"/>
        <v>0</v>
      </c>
      <c r="T222" s="45">
        <f t="shared" si="52"/>
        <v>0</v>
      </c>
      <c r="U222" s="45">
        <f t="shared" si="52"/>
        <v>0</v>
      </c>
      <c r="V222" s="45">
        <f t="shared" si="52"/>
        <v>0</v>
      </c>
    </row>
    <row r="223" spans="1:22">
      <c r="B223" s="4" t="str">
        <f t="shared" ref="B223:B236" si="53">IF(B11&lt;&gt;"",B11,"[blank]")</f>
        <v>Minor Replacement - Alter / Lower Mains</v>
      </c>
      <c r="D223" s="31" t="s">
        <v>60</v>
      </c>
      <c r="P223" s="45">
        <f t="shared" ref="P223:V225" si="54">(-P74*(1+P$208))*P$219</f>
        <v>0</v>
      </c>
      <c r="Q223" s="45">
        <f t="shared" si="54"/>
        <v>0</v>
      </c>
      <c r="R223" s="45">
        <f t="shared" si="54"/>
        <v>0</v>
      </c>
      <c r="S223" s="45">
        <f t="shared" si="54"/>
        <v>0</v>
      </c>
      <c r="T223" s="45">
        <f t="shared" si="54"/>
        <v>0</v>
      </c>
      <c r="U223" s="45">
        <f t="shared" si="54"/>
        <v>0</v>
      </c>
      <c r="V223" s="45">
        <f t="shared" si="54"/>
        <v>0</v>
      </c>
    </row>
    <row r="224" spans="1:22">
      <c r="B224" s="4" t="str">
        <f t="shared" si="53"/>
        <v>Minor Replacement - Service Renewals</v>
      </c>
      <c r="D224" s="31" t="s">
        <v>60</v>
      </c>
      <c r="P224" s="45">
        <f t="shared" si="54"/>
        <v>0</v>
      </c>
      <c r="Q224" s="45">
        <f t="shared" si="54"/>
        <v>0</v>
      </c>
      <c r="R224" s="45">
        <f t="shared" si="54"/>
        <v>0</v>
      </c>
      <c r="S224" s="45">
        <f t="shared" si="54"/>
        <v>0</v>
      </c>
      <c r="T224" s="45">
        <f t="shared" si="54"/>
        <v>0</v>
      </c>
      <c r="U224" s="45">
        <f t="shared" si="54"/>
        <v>0</v>
      </c>
      <c r="V224" s="45">
        <f t="shared" si="54"/>
        <v>0</v>
      </c>
    </row>
    <row r="225" spans="1:22">
      <c r="B225" s="4" t="str">
        <f t="shared" si="53"/>
        <v>Minor Replacement - Alter / Lower Services</v>
      </c>
      <c r="D225" s="31" t="s">
        <v>60</v>
      </c>
      <c r="P225" s="45">
        <f t="shared" si="54"/>
        <v>0</v>
      </c>
      <c r="Q225" s="45">
        <f t="shared" si="54"/>
        <v>0</v>
      </c>
      <c r="R225" s="45">
        <f t="shared" si="54"/>
        <v>0</v>
      </c>
      <c r="S225" s="45">
        <f t="shared" si="54"/>
        <v>0</v>
      </c>
      <c r="T225" s="45">
        <f t="shared" si="54"/>
        <v>0</v>
      </c>
      <c r="U225" s="45">
        <f t="shared" si="54"/>
        <v>0</v>
      </c>
      <c r="V225" s="45">
        <f t="shared" si="54"/>
        <v>0</v>
      </c>
    </row>
    <row r="226" spans="1:22">
      <c r="B226" s="4" t="str">
        <f t="shared" si="53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53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53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53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53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53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53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53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53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53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53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93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55">-P219*P210</f>
        <v>0</v>
      </c>
      <c r="Q238" s="37">
        <f t="shared" si="55"/>
        <v>0</v>
      </c>
      <c r="R238" s="37">
        <f t="shared" si="55"/>
        <v>0</v>
      </c>
      <c r="S238" s="37">
        <f t="shared" si="55"/>
        <v>0</v>
      </c>
      <c r="T238" s="37">
        <f t="shared" si="55"/>
        <v>0</v>
      </c>
      <c r="U238" s="37">
        <f t="shared" si="55"/>
        <v>0</v>
      </c>
      <c r="V238" s="37">
        <f t="shared" si="55"/>
        <v>0</v>
      </c>
    </row>
    <row r="240" spans="1:22" s="1" customFormat="1">
      <c r="A240" s="2">
        <v>8</v>
      </c>
      <c r="B240" s="2" t="s">
        <v>75</v>
      </c>
    </row>
    <row r="242" spans="1:22">
      <c r="H242" s="190" t="s">
        <v>52</v>
      </c>
      <c r="I242" s="190"/>
      <c r="J242" s="190"/>
      <c r="K242" s="190"/>
      <c r="L242" s="190"/>
      <c r="M242" s="190" t="s">
        <v>53</v>
      </c>
      <c r="N242" s="190"/>
      <c r="O242" s="190"/>
      <c r="P242" s="190"/>
      <c r="Q242" s="190"/>
      <c r="R242" s="190" t="s">
        <v>54</v>
      </c>
      <c r="S242" s="190"/>
      <c r="T242" s="190"/>
      <c r="U242" s="190"/>
      <c r="V242" s="190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55</v>
      </c>
      <c r="H244" s="16" t="s">
        <v>12</v>
      </c>
      <c r="I244" s="16" t="s">
        <v>12</v>
      </c>
      <c r="J244" s="16" t="s">
        <v>12</v>
      </c>
      <c r="K244" s="16" t="s">
        <v>12</v>
      </c>
      <c r="L244" s="16" t="s">
        <v>12</v>
      </c>
      <c r="M244" s="16" t="s">
        <v>12</v>
      </c>
      <c r="N244" s="16" t="s">
        <v>12</v>
      </c>
      <c r="O244" s="16" t="s">
        <v>12</v>
      </c>
      <c r="P244" s="16" t="s">
        <v>13</v>
      </c>
      <c r="Q244" s="16" t="s">
        <v>13</v>
      </c>
      <c r="R244" s="16" t="s">
        <v>13</v>
      </c>
      <c r="S244" s="16" t="s">
        <v>13</v>
      </c>
      <c r="T244" s="16" t="s">
        <v>13</v>
      </c>
      <c r="U244" s="16" t="s">
        <v>13</v>
      </c>
      <c r="V244" s="16" t="s">
        <v>13</v>
      </c>
    </row>
    <row r="245" spans="1:22">
      <c r="B245" s="38" t="s">
        <v>96</v>
      </c>
      <c r="D245" s="31"/>
    </row>
    <row r="246" spans="1:22">
      <c r="B246" s="47" t="s">
        <v>97</v>
      </c>
      <c r="D246" s="31" t="s">
        <v>60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98</v>
      </c>
      <c r="D247" s="31" t="s">
        <v>60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99</v>
      </c>
      <c r="D248" s="31" t="s">
        <v>60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100</v>
      </c>
      <c r="D249" s="31" t="s">
        <v>60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101</v>
      </c>
      <c r="D250" s="31" t="s">
        <v>60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102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56">SUM(Q246:Q250)</f>
        <v>0</v>
      </c>
      <c r="R252" s="49">
        <f t="shared" si="56"/>
        <v>0</v>
      </c>
      <c r="S252" s="49">
        <f t="shared" si="56"/>
        <v>0</v>
      </c>
      <c r="T252" s="49">
        <f t="shared" si="56"/>
        <v>0</v>
      </c>
      <c r="U252" s="49">
        <f t="shared" si="56"/>
        <v>0</v>
      </c>
      <c r="V252" s="49">
        <f t="shared" si="56"/>
        <v>0</v>
      </c>
    </row>
    <row r="254" spans="1:22" s="1" customFormat="1">
      <c r="A254" s="2">
        <v>9</v>
      </c>
      <c r="B254" s="2" t="s">
        <v>103</v>
      </c>
    </row>
    <row r="256" spans="1:22">
      <c r="H256" s="190" t="s">
        <v>52</v>
      </c>
      <c r="I256" s="190"/>
      <c r="J256" s="190"/>
      <c r="K256" s="190"/>
      <c r="L256" s="190"/>
      <c r="M256" s="190" t="s">
        <v>53</v>
      </c>
      <c r="N256" s="190"/>
      <c r="O256" s="190"/>
      <c r="P256" s="190"/>
      <c r="Q256" s="190"/>
      <c r="R256" s="190" t="s">
        <v>54</v>
      </c>
      <c r="S256" s="190"/>
      <c r="T256" s="190"/>
      <c r="U256" s="190"/>
      <c r="V256" s="190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55</v>
      </c>
      <c r="H258" s="16" t="s">
        <v>12</v>
      </c>
      <c r="I258" s="16" t="s">
        <v>12</v>
      </c>
      <c r="J258" s="16" t="s">
        <v>12</v>
      </c>
      <c r="K258" s="16" t="s">
        <v>12</v>
      </c>
      <c r="L258" s="16" t="s">
        <v>12</v>
      </c>
      <c r="M258" s="16" t="s">
        <v>12</v>
      </c>
      <c r="N258" s="16" t="s">
        <v>12</v>
      </c>
      <c r="O258" s="16" t="s">
        <v>12</v>
      </c>
      <c r="P258" s="16" t="s">
        <v>13</v>
      </c>
      <c r="Q258" s="16" t="s">
        <v>13</v>
      </c>
      <c r="R258" s="16" t="s">
        <v>13</v>
      </c>
      <c r="S258" s="16" t="s">
        <v>13</v>
      </c>
      <c r="T258" s="16" t="s">
        <v>13</v>
      </c>
      <c r="U258" s="16" t="s">
        <v>13</v>
      </c>
      <c r="V258" s="16" t="s">
        <v>13</v>
      </c>
    </row>
    <row r="259" spans="1:22">
      <c r="B259" s="4" t="s">
        <v>104</v>
      </c>
      <c r="D259" s="31" t="s">
        <v>60</v>
      </c>
      <c r="H259" s="45">
        <f t="shared" ref="H259:V259" si="57">H210</f>
        <v>0</v>
      </c>
      <c r="I259" s="45">
        <f t="shared" si="57"/>
        <v>0</v>
      </c>
      <c r="J259" s="45">
        <f t="shared" si="57"/>
        <v>0</v>
      </c>
      <c r="K259" s="45">
        <f t="shared" si="57"/>
        <v>0</v>
      </c>
      <c r="L259" s="45">
        <f t="shared" si="57"/>
        <v>0</v>
      </c>
      <c r="M259" s="45">
        <f t="shared" si="57"/>
        <v>0</v>
      </c>
      <c r="N259" s="45">
        <f t="shared" si="57"/>
        <v>0</v>
      </c>
      <c r="O259" s="45">
        <f t="shared" si="57"/>
        <v>0</v>
      </c>
      <c r="P259" s="45">
        <f t="shared" si="57"/>
        <v>0</v>
      </c>
      <c r="Q259" s="45">
        <f t="shared" si="57"/>
        <v>156934.76828202407</v>
      </c>
      <c r="R259" s="45">
        <f t="shared" si="57"/>
        <v>154636.1530061221</v>
      </c>
      <c r="S259" s="45">
        <f t="shared" si="57"/>
        <v>156369.40631571904</v>
      </c>
      <c r="T259" s="45">
        <f t="shared" si="57"/>
        <v>158015.74037313636</v>
      </c>
      <c r="U259" s="45">
        <f t="shared" si="57"/>
        <v>160602.22481712879</v>
      </c>
      <c r="V259" s="45">
        <f t="shared" si="57"/>
        <v>163133.07027375771</v>
      </c>
    </row>
    <row r="260" spans="1:22">
      <c r="B260" s="4" t="s">
        <v>74</v>
      </c>
      <c r="D260" s="31" t="s">
        <v>60</v>
      </c>
      <c r="H260" s="45">
        <f>H238</f>
        <v>0</v>
      </c>
      <c r="I260" s="45">
        <f t="shared" ref="I260:V260" si="58">I238</f>
        <v>0</v>
      </c>
      <c r="J260" s="45">
        <f t="shared" si="58"/>
        <v>0</v>
      </c>
      <c r="K260" s="45">
        <f t="shared" si="58"/>
        <v>0</v>
      </c>
      <c r="L260" s="45">
        <f t="shared" si="58"/>
        <v>0</v>
      </c>
      <c r="M260" s="45">
        <f t="shared" si="58"/>
        <v>0</v>
      </c>
      <c r="N260" s="45">
        <f t="shared" si="58"/>
        <v>0</v>
      </c>
      <c r="O260" s="45">
        <f t="shared" si="58"/>
        <v>0</v>
      </c>
      <c r="P260" s="45">
        <f t="shared" si="58"/>
        <v>0</v>
      </c>
      <c r="Q260" s="45">
        <f t="shared" si="58"/>
        <v>0</v>
      </c>
      <c r="R260" s="45">
        <f t="shared" si="58"/>
        <v>0</v>
      </c>
      <c r="S260" s="45">
        <f t="shared" si="58"/>
        <v>0</v>
      </c>
      <c r="T260" s="45">
        <f t="shared" si="58"/>
        <v>0</v>
      </c>
      <c r="U260" s="45">
        <f t="shared" si="58"/>
        <v>0</v>
      </c>
      <c r="V260" s="45">
        <f t="shared" si="58"/>
        <v>0</v>
      </c>
    </row>
    <row r="261" spans="1:22">
      <c r="B261" s="4" t="s">
        <v>75</v>
      </c>
      <c r="D261" s="31" t="s">
        <v>60</v>
      </c>
      <c r="H261" s="45">
        <f>H252</f>
        <v>0</v>
      </c>
      <c r="I261" s="45">
        <f t="shared" ref="I261:V261" si="59">I252</f>
        <v>0</v>
      </c>
      <c r="J261" s="45">
        <f t="shared" si="59"/>
        <v>0</v>
      </c>
      <c r="K261" s="45">
        <f t="shared" si="59"/>
        <v>0</v>
      </c>
      <c r="L261" s="45">
        <f t="shared" si="59"/>
        <v>0</v>
      </c>
      <c r="M261" s="45">
        <f t="shared" si="59"/>
        <v>0</v>
      </c>
      <c r="N261" s="45">
        <f t="shared" si="59"/>
        <v>0</v>
      </c>
      <c r="O261" s="45">
        <f t="shared" si="59"/>
        <v>0</v>
      </c>
      <c r="P261" s="45">
        <f t="shared" si="59"/>
        <v>0</v>
      </c>
      <c r="Q261" s="45">
        <f t="shared" si="59"/>
        <v>0</v>
      </c>
      <c r="R261" s="45">
        <f t="shared" si="59"/>
        <v>0</v>
      </c>
      <c r="S261" s="45">
        <f t="shared" si="59"/>
        <v>0</v>
      </c>
      <c r="T261" s="45">
        <f t="shared" si="59"/>
        <v>0</v>
      </c>
      <c r="U261" s="45">
        <f t="shared" si="59"/>
        <v>0</v>
      </c>
      <c r="V261" s="45">
        <f t="shared" si="59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103</v>
      </c>
      <c r="D263" s="31" t="s">
        <v>60</v>
      </c>
      <c r="H263" s="37">
        <f>SUM(H259:H261)</f>
        <v>0</v>
      </c>
      <c r="I263" s="37">
        <f t="shared" ref="I263:V263" si="60">SUM(I259:I261)</f>
        <v>0</v>
      </c>
      <c r="J263" s="37">
        <f t="shared" si="60"/>
        <v>0</v>
      </c>
      <c r="K263" s="37">
        <f t="shared" si="60"/>
        <v>0</v>
      </c>
      <c r="L263" s="37">
        <f t="shared" si="60"/>
        <v>0</v>
      </c>
      <c r="M263" s="37">
        <f t="shared" si="60"/>
        <v>0</v>
      </c>
      <c r="N263" s="37">
        <f t="shared" si="60"/>
        <v>0</v>
      </c>
      <c r="O263" s="37">
        <f t="shared" si="60"/>
        <v>0</v>
      </c>
      <c r="P263" s="37">
        <f t="shared" si="60"/>
        <v>0</v>
      </c>
      <c r="Q263" s="37">
        <f t="shared" si="60"/>
        <v>156934.76828202407</v>
      </c>
      <c r="R263" s="37">
        <f t="shared" si="60"/>
        <v>154636.1530061221</v>
      </c>
      <c r="S263" s="37">
        <f t="shared" si="60"/>
        <v>156369.40631571904</v>
      </c>
      <c r="T263" s="37">
        <f t="shared" si="60"/>
        <v>158015.74037313636</v>
      </c>
      <c r="U263" s="37">
        <f t="shared" si="60"/>
        <v>160602.22481712879</v>
      </c>
      <c r="V263" s="37">
        <f t="shared" si="60"/>
        <v>163133.07027375771</v>
      </c>
    </row>
    <row r="264" spans="1:22">
      <c r="D264" s="31"/>
    </row>
    <row r="266" spans="1:22" s="66" customFormat="1">
      <c r="A266" s="65">
        <v>10</v>
      </c>
      <c r="B266" s="65" t="s">
        <v>121</v>
      </c>
    </row>
    <row r="268" spans="1:22">
      <c r="B268" s="69" t="s">
        <v>120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316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61">IFERROR(SUMPRODUCT($Z$73:$Z$87,Q$73:Q$87)/SUM(Q$73:Q$87)*Q$89,0)</f>
        <v>0</v>
      </c>
      <c r="R276" s="57">
        <f t="shared" si="61"/>
        <v>0</v>
      </c>
      <c r="S276" s="57">
        <f t="shared" si="61"/>
        <v>0</v>
      </c>
      <c r="T276" s="57">
        <f t="shared" si="61"/>
        <v>0</v>
      </c>
      <c r="U276" s="57">
        <f t="shared" si="61"/>
        <v>0</v>
      </c>
      <c r="V276" s="62">
        <f t="shared" si="61"/>
        <v>0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62">IFERROR(SUMPRODUCT($AA$73:$AA$87,Q$73:Q$87)/SUM(Q$73:Q$87)*Q$89,0)</f>
        <v>44354.654881741248</v>
      </c>
      <c r="R277" s="57">
        <f t="shared" si="62"/>
        <v>43332.582715490542</v>
      </c>
      <c r="S277" s="57">
        <f t="shared" si="62"/>
        <v>43651.669162202423</v>
      </c>
      <c r="T277" s="57">
        <f t="shared" si="62"/>
        <v>44063.617646969258</v>
      </c>
      <c r="U277" s="57">
        <f t="shared" si="62"/>
        <v>44607.301125008365</v>
      </c>
      <c r="V277" s="62">
        <f t="shared" si="62"/>
        <v>45198.391952803089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63">IFERROR(SUMPRODUCT($AB$73:$AB$87,Q$73:Q$87)/SUM(Q$73:Q$87)*Q$89,0)</f>
        <v>101652.6769036707</v>
      </c>
      <c r="R278" s="57">
        <f t="shared" si="63"/>
        <v>100894.57929306426</v>
      </c>
      <c r="S278" s="57">
        <f t="shared" si="63"/>
        <v>101637.53276552381</v>
      </c>
      <c r="T278" s="57">
        <f t="shared" si="63"/>
        <v>102596.70405087872</v>
      </c>
      <c r="U278" s="57">
        <f t="shared" si="63"/>
        <v>103862.60403532014</v>
      </c>
      <c r="V278" s="62">
        <f t="shared" si="63"/>
        <v>105238.88619200353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64">IFERROR(SUMPRODUCT($AC$73:$AC$87,Q$73:Q$87)/SUM(Q$73:Q$87)*Q$89,0)</f>
        <v>0</v>
      </c>
      <c r="R279" s="57">
        <f t="shared" si="64"/>
        <v>0</v>
      </c>
      <c r="S279" s="57">
        <f t="shared" si="64"/>
        <v>0</v>
      </c>
      <c r="T279" s="57">
        <f t="shared" si="64"/>
        <v>0</v>
      </c>
      <c r="U279" s="57">
        <f t="shared" si="64"/>
        <v>0</v>
      </c>
      <c r="V279" s="62">
        <f t="shared" si="64"/>
        <v>0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65">IFERROR(SUMPRODUCT($AD$73:$AD$87,Q$73:Q$87)/SUM(Q$73:Q$87)*Q$89,0)</f>
        <v>0</v>
      </c>
      <c r="R280" s="57">
        <f t="shared" si="65"/>
        <v>0</v>
      </c>
      <c r="S280" s="57">
        <f t="shared" si="65"/>
        <v>0</v>
      </c>
      <c r="T280" s="57">
        <f t="shared" si="65"/>
        <v>0</v>
      </c>
      <c r="U280" s="57">
        <f t="shared" si="65"/>
        <v>0</v>
      </c>
      <c r="V280" s="62">
        <f t="shared" si="65"/>
        <v>0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66">IFERROR(SUMPRODUCT($AE$73:$AE$87,Q$73:Q$87)/SUM(Q$73:Q$87)*Q$89,0)</f>
        <v>0</v>
      </c>
      <c r="R281" s="57">
        <f t="shared" si="66"/>
        <v>0</v>
      </c>
      <c r="S281" s="57">
        <f t="shared" si="66"/>
        <v>0</v>
      </c>
      <c r="T281" s="57">
        <f t="shared" si="66"/>
        <v>0</v>
      </c>
      <c r="U281" s="57">
        <f t="shared" si="66"/>
        <v>0</v>
      </c>
      <c r="V281" s="62">
        <f t="shared" si="66"/>
        <v>0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7">IFERROR(SUMPRODUCT($AF$73:$AF$87,Q$73:Q$87)/SUM(Q$73:Q$87)*Q$89,0)</f>
        <v>0</v>
      </c>
      <c r="R282" s="57">
        <f t="shared" si="67"/>
        <v>0</v>
      </c>
      <c r="S282" s="57">
        <f t="shared" si="67"/>
        <v>0</v>
      </c>
      <c r="T282" s="57">
        <f t="shared" si="67"/>
        <v>0</v>
      </c>
      <c r="U282" s="57">
        <f t="shared" si="67"/>
        <v>0</v>
      </c>
      <c r="V282" s="62">
        <f t="shared" si="67"/>
        <v>0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8">IFERROR(SUMPRODUCT($AG$73:$AG$87,Q$73:Q$87)/SUM(Q$73:Q$87)*Q$89,0)</f>
        <v>0</v>
      </c>
      <c r="R283" s="57">
        <f t="shared" si="68"/>
        <v>0</v>
      </c>
      <c r="S283" s="57">
        <f t="shared" si="68"/>
        <v>0</v>
      </c>
      <c r="T283" s="57">
        <f t="shared" si="68"/>
        <v>0</v>
      </c>
      <c r="U283" s="57">
        <f t="shared" si="68"/>
        <v>0</v>
      </c>
      <c r="V283" s="62">
        <f t="shared" si="68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9">IFERROR(SUMPRODUCT($AH$73:$AH$87,Q$73:Q$87)/SUM(Q$73:Q$87)*Q$89,0)</f>
        <v>0</v>
      </c>
      <c r="R284" s="57">
        <f t="shared" si="69"/>
        <v>0</v>
      </c>
      <c r="S284" s="57">
        <f t="shared" si="69"/>
        <v>0</v>
      </c>
      <c r="T284" s="57">
        <f t="shared" si="69"/>
        <v>0</v>
      </c>
      <c r="U284" s="57">
        <f t="shared" si="69"/>
        <v>0</v>
      </c>
      <c r="V284" s="62">
        <f t="shared" si="69"/>
        <v>0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70">IFERROR(SUMPRODUCT($AI$73:$AI$87,Q$73:Q$87)/SUM(Q$73:Q$87)*Q$89,0)</f>
        <v>0</v>
      </c>
      <c r="R285" s="57">
        <f t="shared" si="70"/>
        <v>0</v>
      </c>
      <c r="S285" s="57">
        <f t="shared" si="70"/>
        <v>0</v>
      </c>
      <c r="T285" s="57">
        <f t="shared" si="70"/>
        <v>0</v>
      </c>
      <c r="U285" s="57">
        <f t="shared" si="70"/>
        <v>0</v>
      </c>
      <c r="V285" s="62">
        <f t="shared" si="70"/>
        <v>0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71">IFERROR(SUMPRODUCT($AJ$73:$AJ$87,Q$73:Q$87)/SUM(Q$73:Q$87)*Q$89,0)</f>
        <v>0</v>
      </c>
      <c r="R286" s="57">
        <f t="shared" si="71"/>
        <v>0</v>
      </c>
      <c r="S286" s="57">
        <f t="shared" si="71"/>
        <v>0</v>
      </c>
      <c r="T286" s="57">
        <f t="shared" si="71"/>
        <v>0</v>
      </c>
      <c r="U286" s="57">
        <f t="shared" si="71"/>
        <v>0</v>
      </c>
      <c r="V286" s="62">
        <f t="shared" si="71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72">SUM(Q276:Q286)</f>
        <v>146007.33178541195</v>
      </c>
      <c r="R288" s="37">
        <f t="shared" si="72"/>
        <v>144227.16200855479</v>
      </c>
      <c r="S288" s="37">
        <f t="shared" si="72"/>
        <v>145289.20192772622</v>
      </c>
      <c r="T288" s="37">
        <f t="shared" si="72"/>
        <v>146660.32169784798</v>
      </c>
      <c r="U288" s="37">
        <f t="shared" si="72"/>
        <v>148469.90516032849</v>
      </c>
      <c r="V288" s="64">
        <f t="shared" si="72"/>
        <v>150437.27814480662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243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73">P276*(1+P$208)</f>
        <v>0</v>
      </c>
      <c r="Q297" s="57">
        <f t="shared" si="73"/>
        <v>0</v>
      </c>
      <c r="R297" s="57">
        <f t="shared" si="73"/>
        <v>0</v>
      </c>
      <c r="S297" s="57">
        <f t="shared" si="73"/>
        <v>0</v>
      </c>
      <c r="T297" s="57">
        <f t="shared" si="73"/>
        <v>0</v>
      </c>
      <c r="U297" s="57">
        <f t="shared" si="73"/>
        <v>0</v>
      </c>
      <c r="V297" s="62">
        <f t="shared" si="73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73"/>
        <v>0</v>
      </c>
      <c r="Q298" s="57">
        <f t="shared" si="73"/>
        <v>47674.232526387997</v>
      </c>
      <c r="R298" s="57">
        <f t="shared" si="73"/>
        <v>46459.930276833576</v>
      </c>
      <c r="S298" s="57">
        <f t="shared" si="73"/>
        <v>46980.680608179297</v>
      </c>
      <c r="T298" s="57">
        <f t="shared" si="73"/>
        <v>47475.316332316572</v>
      </c>
      <c r="U298" s="57">
        <f t="shared" si="73"/>
        <v>48252.41718870715</v>
      </c>
      <c r="V298" s="62">
        <f t="shared" si="73"/>
        <v>49012.801491928702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73"/>
        <v>0</v>
      </c>
      <c r="Q299" s="57">
        <f t="shared" si="73"/>
        <v>109260.53575563607</v>
      </c>
      <c r="R299" s="57">
        <f t="shared" si="73"/>
        <v>108176.22272928851</v>
      </c>
      <c r="S299" s="57">
        <f t="shared" si="73"/>
        <v>109388.72570753974</v>
      </c>
      <c r="T299" s="57">
        <f t="shared" si="73"/>
        <v>110540.42404081979</v>
      </c>
      <c r="U299" s="57">
        <f t="shared" si="73"/>
        <v>112349.80762842164</v>
      </c>
      <c r="V299" s="62">
        <f t="shared" si="73"/>
        <v>114120.26878182899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73"/>
        <v>0</v>
      </c>
      <c r="Q300" s="57">
        <f t="shared" si="73"/>
        <v>0</v>
      </c>
      <c r="R300" s="57">
        <f t="shared" si="73"/>
        <v>0</v>
      </c>
      <c r="S300" s="57">
        <f t="shared" si="73"/>
        <v>0</v>
      </c>
      <c r="T300" s="57">
        <f t="shared" si="73"/>
        <v>0</v>
      </c>
      <c r="U300" s="57">
        <f t="shared" si="73"/>
        <v>0</v>
      </c>
      <c r="V300" s="62">
        <f t="shared" si="73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73"/>
        <v>0</v>
      </c>
      <c r="Q301" s="57">
        <f t="shared" si="73"/>
        <v>0</v>
      </c>
      <c r="R301" s="57">
        <f t="shared" si="73"/>
        <v>0</v>
      </c>
      <c r="S301" s="57">
        <f t="shared" si="73"/>
        <v>0</v>
      </c>
      <c r="T301" s="57">
        <f t="shared" si="73"/>
        <v>0</v>
      </c>
      <c r="U301" s="57">
        <f t="shared" si="73"/>
        <v>0</v>
      </c>
      <c r="V301" s="62">
        <f t="shared" si="73"/>
        <v>0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73"/>
        <v>0</v>
      </c>
      <c r="Q302" s="57">
        <f t="shared" si="73"/>
        <v>0</v>
      </c>
      <c r="R302" s="57">
        <f t="shared" si="73"/>
        <v>0</v>
      </c>
      <c r="S302" s="57">
        <f t="shared" si="73"/>
        <v>0</v>
      </c>
      <c r="T302" s="57">
        <f t="shared" si="73"/>
        <v>0</v>
      </c>
      <c r="U302" s="57">
        <f t="shared" si="73"/>
        <v>0</v>
      </c>
      <c r="V302" s="62">
        <f t="shared" si="73"/>
        <v>0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73"/>
        <v>0</v>
      </c>
      <c r="Q303" s="57">
        <f t="shared" si="73"/>
        <v>0</v>
      </c>
      <c r="R303" s="57">
        <f t="shared" si="73"/>
        <v>0</v>
      </c>
      <c r="S303" s="57">
        <f t="shared" si="73"/>
        <v>0</v>
      </c>
      <c r="T303" s="57">
        <f t="shared" si="73"/>
        <v>0</v>
      </c>
      <c r="U303" s="57">
        <f t="shared" si="73"/>
        <v>0</v>
      </c>
      <c r="V303" s="62">
        <f t="shared" si="73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73"/>
        <v>0</v>
      </c>
      <c r="Q304" s="57">
        <f t="shared" si="73"/>
        <v>0</v>
      </c>
      <c r="R304" s="57">
        <f t="shared" si="73"/>
        <v>0</v>
      </c>
      <c r="S304" s="57">
        <f t="shared" si="73"/>
        <v>0</v>
      </c>
      <c r="T304" s="57">
        <f t="shared" si="73"/>
        <v>0</v>
      </c>
      <c r="U304" s="57">
        <f t="shared" si="73"/>
        <v>0</v>
      </c>
      <c r="V304" s="62">
        <f t="shared" si="73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73"/>
        <v>0</v>
      </c>
      <c r="Q305" s="57">
        <f t="shared" si="73"/>
        <v>0</v>
      </c>
      <c r="R305" s="57">
        <f t="shared" si="73"/>
        <v>0</v>
      </c>
      <c r="S305" s="57">
        <f t="shared" si="73"/>
        <v>0</v>
      </c>
      <c r="T305" s="57">
        <f t="shared" si="73"/>
        <v>0</v>
      </c>
      <c r="U305" s="57">
        <f t="shared" si="73"/>
        <v>0</v>
      </c>
      <c r="V305" s="62">
        <f t="shared" si="73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73"/>
        <v>0</v>
      </c>
      <c r="Q306" s="57">
        <f t="shared" si="73"/>
        <v>0</v>
      </c>
      <c r="R306" s="57">
        <f t="shared" si="73"/>
        <v>0</v>
      </c>
      <c r="S306" s="57">
        <f t="shared" si="73"/>
        <v>0</v>
      </c>
      <c r="T306" s="57">
        <f t="shared" si="73"/>
        <v>0</v>
      </c>
      <c r="U306" s="57">
        <f t="shared" si="73"/>
        <v>0</v>
      </c>
      <c r="V306" s="62">
        <f t="shared" si="73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73"/>
        <v>0</v>
      </c>
      <c r="Q307" s="57">
        <f t="shared" si="73"/>
        <v>0</v>
      </c>
      <c r="R307" s="57">
        <f t="shared" si="73"/>
        <v>0</v>
      </c>
      <c r="S307" s="57">
        <f t="shared" si="73"/>
        <v>0</v>
      </c>
      <c r="T307" s="57">
        <f t="shared" si="73"/>
        <v>0</v>
      </c>
      <c r="U307" s="57">
        <f t="shared" si="73"/>
        <v>0</v>
      </c>
      <c r="V307" s="62">
        <f t="shared" si="73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74">SUM(Q297:Q307)</f>
        <v>156934.76828202407</v>
      </c>
      <c r="R309" s="37">
        <f t="shared" si="74"/>
        <v>154636.1530061221</v>
      </c>
      <c r="S309" s="37">
        <f t="shared" si="74"/>
        <v>156369.40631571904</v>
      </c>
      <c r="T309" s="37">
        <f t="shared" si="74"/>
        <v>158015.74037313636</v>
      </c>
      <c r="U309" s="37">
        <f t="shared" si="74"/>
        <v>160602.22481712879</v>
      </c>
      <c r="V309" s="64">
        <f t="shared" si="74"/>
        <v>163133.07027375768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244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5">P297*(1-P$219)</f>
        <v>0</v>
      </c>
      <c r="Q318" s="57">
        <f t="shared" si="75"/>
        <v>0</v>
      </c>
      <c r="R318" s="57">
        <f t="shared" si="75"/>
        <v>0</v>
      </c>
      <c r="S318" s="57">
        <f t="shared" si="75"/>
        <v>0</v>
      </c>
      <c r="T318" s="57">
        <f t="shared" si="75"/>
        <v>0</v>
      </c>
      <c r="U318" s="57">
        <f t="shared" si="75"/>
        <v>0</v>
      </c>
      <c r="V318" s="62">
        <f t="shared" si="75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5"/>
        <v>0</v>
      </c>
      <c r="Q319" s="57">
        <f t="shared" si="75"/>
        <v>47674.232526387997</v>
      </c>
      <c r="R319" s="57">
        <f t="shared" si="75"/>
        <v>46459.930276833576</v>
      </c>
      <c r="S319" s="57">
        <f t="shared" si="75"/>
        <v>46980.680608179297</v>
      </c>
      <c r="T319" s="57">
        <f t="shared" si="75"/>
        <v>47475.316332316572</v>
      </c>
      <c r="U319" s="57">
        <f t="shared" si="75"/>
        <v>48252.41718870715</v>
      </c>
      <c r="V319" s="62">
        <f t="shared" si="75"/>
        <v>49012.801491928702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5"/>
        <v>0</v>
      </c>
      <c r="Q320" s="57">
        <f t="shared" si="75"/>
        <v>109260.53575563607</v>
      </c>
      <c r="R320" s="57">
        <f t="shared" si="75"/>
        <v>108176.22272928851</v>
      </c>
      <c r="S320" s="57">
        <f t="shared" si="75"/>
        <v>109388.72570753974</v>
      </c>
      <c r="T320" s="57">
        <f t="shared" si="75"/>
        <v>110540.42404081979</v>
      </c>
      <c r="U320" s="57">
        <f t="shared" si="75"/>
        <v>112349.80762842164</v>
      </c>
      <c r="V320" s="62">
        <f t="shared" si="75"/>
        <v>114120.26878182899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5"/>
        <v>0</v>
      </c>
      <c r="Q321" s="57">
        <f t="shared" si="75"/>
        <v>0</v>
      </c>
      <c r="R321" s="57">
        <f t="shared" si="75"/>
        <v>0</v>
      </c>
      <c r="S321" s="57">
        <f t="shared" si="75"/>
        <v>0</v>
      </c>
      <c r="T321" s="57">
        <f t="shared" si="75"/>
        <v>0</v>
      </c>
      <c r="U321" s="57">
        <f t="shared" si="75"/>
        <v>0</v>
      </c>
      <c r="V321" s="62">
        <f t="shared" si="75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5"/>
        <v>0</v>
      </c>
      <c r="Q322" s="57">
        <f t="shared" si="75"/>
        <v>0</v>
      </c>
      <c r="R322" s="57">
        <f t="shared" si="75"/>
        <v>0</v>
      </c>
      <c r="S322" s="57">
        <f t="shared" si="75"/>
        <v>0</v>
      </c>
      <c r="T322" s="57">
        <f t="shared" si="75"/>
        <v>0</v>
      </c>
      <c r="U322" s="57">
        <f t="shared" si="75"/>
        <v>0</v>
      </c>
      <c r="V322" s="62">
        <f t="shared" si="75"/>
        <v>0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5"/>
        <v>0</v>
      </c>
      <c r="Q323" s="57">
        <f t="shared" si="75"/>
        <v>0</v>
      </c>
      <c r="R323" s="57">
        <f t="shared" si="75"/>
        <v>0</v>
      </c>
      <c r="S323" s="57">
        <f t="shared" si="75"/>
        <v>0</v>
      </c>
      <c r="T323" s="57">
        <f t="shared" si="75"/>
        <v>0</v>
      </c>
      <c r="U323" s="57">
        <f t="shared" si="75"/>
        <v>0</v>
      </c>
      <c r="V323" s="62">
        <f t="shared" si="75"/>
        <v>0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5"/>
        <v>0</v>
      </c>
      <c r="Q324" s="57">
        <f t="shared" si="75"/>
        <v>0</v>
      </c>
      <c r="R324" s="57">
        <f t="shared" si="75"/>
        <v>0</v>
      </c>
      <c r="S324" s="57">
        <f t="shared" si="75"/>
        <v>0</v>
      </c>
      <c r="T324" s="57">
        <f t="shared" si="75"/>
        <v>0</v>
      </c>
      <c r="U324" s="57">
        <f t="shared" si="75"/>
        <v>0</v>
      </c>
      <c r="V324" s="62">
        <f t="shared" si="75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5"/>
        <v>0</v>
      </c>
      <c r="Q325" s="57">
        <f t="shared" si="75"/>
        <v>0</v>
      </c>
      <c r="R325" s="57">
        <f t="shared" si="75"/>
        <v>0</v>
      </c>
      <c r="S325" s="57">
        <f t="shared" si="75"/>
        <v>0</v>
      </c>
      <c r="T325" s="57">
        <f t="shared" si="75"/>
        <v>0</v>
      </c>
      <c r="U325" s="57">
        <f t="shared" si="75"/>
        <v>0</v>
      </c>
      <c r="V325" s="62">
        <f t="shared" si="75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5"/>
        <v>0</v>
      </c>
      <c r="Q326" s="57">
        <f t="shared" si="75"/>
        <v>0</v>
      </c>
      <c r="R326" s="57">
        <f t="shared" si="75"/>
        <v>0</v>
      </c>
      <c r="S326" s="57">
        <f t="shared" si="75"/>
        <v>0</v>
      </c>
      <c r="T326" s="57">
        <f t="shared" si="75"/>
        <v>0</v>
      </c>
      <c r="U326" s="57">
        <f t="shared" si="75"/>
        <v>0</v>
      </c>
      <c r="V326" s="62">
        <f t="shared" si="75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5"/>
        <v>0</v>
      </c>
      <c r="Q327" s="57">
        <f t="shared" si="75"/>
        <v>0</v>
      </c>
      <c r="R327" s="57">
        <f t="shared" si="75"/>
        <v>0</v>
      </c>
      <c r="S327" s="57">
        <f t="shared" si="75"/>
        <v>0</v>
      </c>
      <c r="T327" s="57">
        <f t="shared" si="75"/>
        <v>0</v>
      </c>
      <c r="U327" s="57">
        <f t="shared" si="75"/>
        <v>0</v>
      </c>
      <c r="V327" s="62">
        <f t="shared" si="75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5"/>
        <v>0</v>
      </c>
      <c r="Q328" s="57">
        <f t="shared" si="75"/>
        <v>0</v>
      </c>
      <c r="R328" s="57">
        <f t="shared" si="75"/>
        <v>0</v>
      </c>
      <c r="S328" s="57">
        <f t="shared" si="75"/>
        <v>0</v>
      </c>
      <c r="T328" s="57">
        <f t="shared" si="75"/>
        <v>0</v>
      </c>
      <c r="U328" s="57">
        <f t="shared" si="75"/>
        <v>0</v>
      </c>
      <c r="V328" s="62">
        <f t="shared" si="75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6">SUM(Q318:Q328)</f>
        <v>156934.76828202407</v>
      </c>
      <c r="R330" s="37">
        <f t="shared" si="76"/>
        <v>154636.1530061221</v>
      </c>
      <c r="S330" s="37">
        <f t="shared" si="76"/>
        <v>156369.40631571904</v>
      </c>
      <c r="T330" s="37">
        <f t="shared" si="76"/>
        <v>158015.74037313636</v>
      </c>
      <c r="U330" s="37">
        <f t="shared" si="76"/>
        <v>160602.22481712879</v>
      </c>
      <c r="V330" s="64">
        <f t="shared" si="76"/>
        <v>163133.07027375768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245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7">Q297*Q$219</f>
        <v>0</v>
      </c>
      <c r="R339" s="57">
        <f t="shared" si="77"/>
        <v>0</v>
      </c>
      <c r="S339" s="57">
        <f t="shared" si="77"/>
        <v>0</v>
      </c>
      <c r="T339" s="57">
        <f t="shared" si="77"/>
        <v>0</v>
      </c>
      <c r="U339" s="57">
        <f t="shared" si="77"/>
        <v>0</v>
      </c>
      <c r="V339" s="62">
        <f t="shared" si="77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8">P298*P$219</f>
        <v>0</v>
      </c>
      <c r="Q340" s="57">
        <f t="shared" si="77"/>
        <v>0</v>
      </c>
      <c r="R340" s="57">
        <f t="shared" si="77"/>
        <v>0</v>
      </c>
      <c r="S340" s="57">
        <f t="shared" si="77"/>
        <v>0</v>
      </c>
      <c r="T340" s="57">
        <f t="shared" si="77"/>
        <v>0</v>
      </c>
      <c r="U340" s="57">
        <f t="shared" si="77"/>
        <v>0</v>
      </c>
      <c r="V340" s="62">
        <f t="shared" si="77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8"/>
        <v>0</v>
      </c>
      <c r="Q341" s="57">
        <f t="shared" si="77"/>
        <v>0</v>
      </c>
      <c r="R341" s="57">
        <f t="shared" si="77"/>
        <v>0</v>
      </c>
      <c r="S341" s="57">
        <f t="shared" si="77"/>
        <v>0</v>
      </c>
      <c r="T341" s="57">
        <f t="shared" si="77"/>
        <v>0</v>
      </c>
      <c r="U341" s="57">
        <f t="shared" si="77"/>
        <v>0</v>
      </c>
      <c r="V341" s="62">
        <f t="shared" si="77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8"/>
        <v>0</v>
      </c>
      <c r="Q342" s="57">
        <f t="shared" si="77"/>
        <v>0</v>
      </c>
      <c r="R342" s="57">
        <f t="shared" si="77"/>
        <v>0</v>
      </c>
      <c r="S342" s="57">
        <f t="shared" si="77"/>
        <v>0</v>
      </c>
      <c r="T342" s="57">
        <f t="shared" si="77"/>
        <v>0</v>
      </c>
      <c r="U342" s="57">
        <f t="shared" si="77"/>
        <v>0</v>
      </c>
      <c r="V342" s="62">
        <f t="shared" si="77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8"/>
        <v>0</v>
      </c>
      <c r="Q343" s="57">
        <f t="shared" si="77"/>
        <v>0</v>
      </c>
      <c r="R343" s="57">
        <f t="shared" si="77"/>
        <v>0</v>
      </c>
      <c r="S343" s="57">
        <f t="shared" si="77"/>
        <v>0</v>
      </c>
      <c r="T343" s="57">
        <f t="shared" si="77"/>
        <v>0</v>
      </c>
      <c r="U343" s="57">
        <f t="shared" si="77"/>
        <v>0</v>
      </c>
      <c r="V343" s="62">
        <f t="shared" si="77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8"/>
        <v>0</v>
      </c>
      <c r="Q344" s="57">
        <f t="shared" si="77"/>
        <v>0</v>
      </c>
      <c r="R344" s="57">
        <f t="shared" si="77"/>
        <v>0</v>
      </c>
      <c r="S344" s="57">
        <f t="shared" si="77"/>
        <v>0</v>
      </c>
      <c r="T344" s="57">
        <f t="shared" si="77"/>
        <v>0</v>
      </c>
      <c r="U344" s="57">
        <f t="shared" si="77"/>
        <v>0</v>
      </c>
      <c r="V344" s="62">
        <f t="shared" si="77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8"/>
        <v>0</v>
      </c>
      <c r="Q345" s="57">
        <f t="shared" si="77"/>
        <v>0</v>
      </c>
      <c r="R345" s="57">
        <f t="shared" si="77"/>
        <v>0</v>
      </c>
      <c r="S345" s="57">
        <f t="shared" si="77"/>
        <v>0</v>
      </c>
      <c r="T345" s="57">
        <f t="shared" si="77"/>
        <v>0</v>
      </c>
      <c r="U345" s="57">
        <f t="shared" si="77"/>
        <v>0</v>
      </c>
      <c r="V345" s="62">
        <f t="shared" si="77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8"/>
        <v>0</v>
      </c>
      <c r="Q346" s="57">
        <f t="shared" si="77"/>
        <v>0</v>
      </c>
      <c r="R346" s="57">
        <f t="shared" si="77"/>
        <v>0</v>
      </c>
      <c r="S346" s="57">
        <f t="shared" si="77"/>
        <v>0</v>
      </c>
      <c r="T346" s="57">
        <f t="shared" si="77"/>
        <v>0</v>
      </c>
      <c r="U346" s="57">
        <f t="shared" si="77"/>
        <v>0</v>
      </c>
      <c r="V346" s="62">
        <f t="shared" si="77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8"/>
        <v>0</v>
      </c>
      <c r="Q347" s="57">
        <f t="shared" si="77"/>
        <v>0</v>
      </c>
      <c r="R347" s="57">
        <f t="shared" si="77"/>
        <v>0</v>
      </c>
      <c r="S347" s="57">
        <f t="shared" si="77"/>
        <v>0</v>
      </c>
      <c r="T347" s="57">
        <f t="shared" si="77"/>
        <v>0</v>
      </c>
      <c r="U347" s="57">
        <f t="shared" si="77"/>
        <v>0</v>
      </c>
      <c r="V347" s="62">
        <f t="shared" si="77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8"/>
        <v>0</v>
      </c>
      <c r="Q348" s="57">
        <f t="shared" si="77"/>
        <v>0</v>
      </c>
      <c r="R348" s="57">
        <f t="shared" si="77"/>
        <v>0</v>
      </c>
      <c r="S348" s="57">
        <f t="shared" si="77"/>
        <v>0</v>
      </c>
      <c r="T348" s="57">
        <f t="shared" si="77"/>
        <v>0</v>
      </c>
      <c r="U348" s="57">
        <f t="shared" si="77"/>
        <v>0</v>
      </c>
      <c r="V348" s="62">
        <f t="shared" si="77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8"/>
        <v>0</v>
      </c>
      <c r="Q349" s="57">
        <f t="shared" si="77"/>
        <v>0</v>
      </c>
      <c r="R349" s="57">
        <f t="shared" si="77"/>
        <v>0</v>
      </c>
      <c r="S349" s="57">
        <f t="shared" si="77"/>
        <v>0</v>
      </c>
      <c r="T349" s="57">
        <f t="shared" si="77"/>
        <v>0</v>
      </c>
      <c r="U349" s="57">
        <f t="shared" si="77"/>
        <v>0</v>
      </c>
      <c r="V349" s="62">
        <f t="shared" si="77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9">SUM(Q339:Q349)</f>
        <v>0</v>
      </c>
      <c r="R351" s="37">
        <f t="shared" si="79"/>
        <v>0</v>
      </c>
      <c r="S351" s="37">
        <f t="shared" si="79"/>
        <v>0</v>
      </c>
      <c r="T351" s="37">
        <f t="shared" si="79"/>
        <v>0</v>
      </c>
      <c r="U351" s="37">
        <f t="shared" si="79"/>
        <v>0</v>
      </c>
      <c r="V351" s="64">
        <f t="shared" si="79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243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0">IFERROR(SUMPRODUCT($AM$73:$AM$87,Q$73:Q$87)/SUM(Q$73:Q$87)*Q$89,0)</f>
        <v>146007.33178541195</v>
      </c>
      <c r="R362" s="57">
        <f t="shared" si="80"/>
        <v>144227.16200855482</v>
      </c>
      <c r="S362" s="57">
        <f t="shared" si="80"/>
        <v>145289.20192772624</v>
      </c>
      <c r="T362" s="57">
        <f t="shared" si="80"/>
        <v>146660.32169784798</v>
      </c>
      <c r="U362" s="57">
        <f t="shared" si="80"/>
        <v>148469.90516032852</v>
      </c>
      <c r="V362" s="62">
        <f t="shared" si="80"/>
        <v>150437.27814480662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81">IFERROR(SUMPRODUCT($AN$73:$AN$87,Q$73:Q$87)/SUM(Q$73:Q$87)*Q$89,0)</f>
        <v>0</v>
      </c>
      <c r="R363" s="57">
        <f t="shared" si="81"/>
        <v>0</v>
      </c>
      <c r="S363" s="57">
        <f t="shared" si="81"/>
        <v>0</v>
      </c>
      <c r="T363" s="57">
        <f t="shared" si="81"/>
        <v>0</v>
      </c>
      <c r="U363" s="57">
        <f t="shared" si="81"/>
        <v>0</v>
      </c>
      <c r="V363" s="62">
        <f t="shared" si="81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82">IFERROR(SUMPRODUCT($AO$73:$AO$87,Q$73:Q$87)/SUM(Q$73:Q$87)*Q$89,0)</f>
        <v>0</v>
      </c>
      <c r="R364" s="57">
        <f t="shared" si="82"/>
        <v>0</v>
      </c>
      <c r="S364" s="57">
        <f t="shared" si="82"/>
        <v>0</v>
      </c>
      <c r="T364" s="57">
        <f t="shared" si="82"/>
        <v>0</v>
      </c>
      <c r="U364" s="57">
        <f t="shared" si="82"/>
        <v>0</v>
      </c>
      <c r="V364" s="62">
        <f t="shared" si="82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83">IFERROR(SUMPRODUCT($AP$73:$AP$87,Q$73:Q$87)/SUM(Q$73:Q$87)*Q$89,0)</f>
        <v>0</v>
      </c>
      <c r="R365" s="57">
        <f t="shared" si="83"/>
        <v>0</v>
      </c>
      <c r="S365" s="57">
        <f t="shared" si="83"/>
        <v>0</v>
      </c>
      <c r="T365" s="57">
        <f t="shared" si="83"/>
        <v>0</v>
      </c>
      <c r="U365" s="57">
        <f t="shared" si="83"/>
        <v>0</v>
      </c>
      <c r="V365" s="62">
        <f t="shared" si="83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84">IFERROR(SUMPRODUCT($AQ$73:$AQ$87,Q$73:Q$87)/SUM(Q$73:Q$87)*Q$89,0)</f>
        <v>0</v>
      </c>
      <c r="R366" s="57">
        <f t="shared" si="84"/>
        <v>0</v>
      </c>
      <c r="S366" s="57">
        <f t="shared" si="84"/>
        <v>0</v>
      </c>
      <c r="T366" s="57">
        <f t="shared" si="84"/>
        <v>0</v>
      </c>
      <c r="U366" s="57">
        <f t="shared" si="84"/>
        <v>0</v>
      </c>
      <c r="V366" s="62">
        <f t="shared" si="84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85">IFERROR(SUMPRODUCT($AR$73:$AR$87,Q$73:Q$87)/SUM(Q$73:Q$87)*Q$89,0)</f>
        <v>0</v>
      </c>
      <c r="R367" s="57">
        <f t="shared" si="85"/>
        <v>0</v>
      </c>
      <c r="S367" s="57">
        <f t="shared" si="85"/>
        <v>0</v>
      </c>
      <c r="T367" s="57">
        <f t="shared" si="85"/>
        <v>0</v>
      </c>
      <c r="U367" s="57">
        <f t="shared" si="85"/>
        <v>0</v>
      </c>
      <c r="V367" s="62">
        <f t="shared" si="85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6">IFERROR(SUMPRODUCT($AS$73:$AS$87,Q$73:Q$87)/SUM(Q$73:Q$87)*Q$89,0)</f>
        <v>0</v>
      </c>
      <c r="R368" s="57">
        <f t="shared" si="86"/>
        <v>0</v>
      </c>
      <c r="S368" s="57">
        <f t="shared" si="86"/>
        <v>0</v>
      </c>
      <c r="T368" s="57">
        <f t="shared" si="86"/>
        <v>0</v>
      </c>
      <c r="U368" s="57">
        <f t="shared" si="86"/>
        <v>0</v>
      </c>
      <c r="V368" s="62">
        <f t="shared" si="86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7">IFERROR(SUMPRODUCT($AT$73:$AT$87,Q$73:Q$87)/SUM(Q$73:Q$87)*Q$89,0)</f>
        <v>0</v>
      </c>
      <c r="R369" s="57">
        <f t="shared" si="87"/>
        <v>0</v>
      </c>
      <c r="S369" s="57">
        <f t="shared" si="87"/>
        <v>0</v>
      </c>
      <c r="T369" s="57">
        <f t="shared" si="87"/>
        <v>0</v>
      </c>
      <c r="U369" s="57">
        <f t="shared" si="87"/>
        <v>0</v>
      </c>
      <c r="V369" s="62">
        <f t="shared" si="87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8">IFERROR(SUMPRODUCT($AU$73:$AU$87,Q$73:Q$87)/SUM(Q$73:Q$87)*Q$89,0)</f>
        <v>0</v>
      </c>
      <c r="R370" s="57">
        <f t="shared" si="88"/>
        <v>0</v>
      </c>
      <c r="S370" s="57">
        <f t="shared" si="88"/>
        <v>0</v>
      </c>
      <c r="T370" s="57">
        <f t="shared" si="88"/>
        <v>0</v>
      </c>
      <c r="U370" s="57">
        <f t="shared" si="88"/>
        <v>0</v>
      </c>
      <c r="V370" s="62">
        <f t="shared" si="88"/>
        <v>0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9">IFERROR(SUMPRODUCT($AV$73:$AV$87,Q$73:Q$87)/SUM(Q$73:Q$87)*Q$89,0)</f>
        <v>0</v>
      </c>
      <c r="R371" s="57">
        <f t="shared" si="89"/>
        <v>0</v>
      </c>
      <c r="S371" s="57">
        <f t="shared" si="89"/>
        <v>0</v>
      </c>
      <c r="T371" s="57">
        <f t="shared" si="89"/>
        <v>0</v>
      </c>
      <c r="U371" s="57">
        <f t="shared" si="89"/>
        <v>0</v>
      </c>
      <c r="V371" s="62">
        <f t="shared" si="89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0">IFERROR(SUMPRODUCT($AW$73:$AW$87,Q$73:Q$87)/SUM(Q$73:Q$87)*Q$89,0)</f>
        <v>0</v>
      </c>
      <c r="R372" s="57">
        <f t="shared" si="90"/>
        <v>0</v>
      </c>
      <c r="S372" s="57">
        <f t="shared" si="90"/>
        <v>0</v>
      </c>
      <c r="T372" s="57">
        <f t="shared" si="90"/>
        <v>0</v>
      </c>
      <c r="U372" s="57">
        <f t="shared" si="90"/>
        <v>0</v>
      </c>
      <c r="V372" s="62">
        <f t="shared" si="90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91">Q238</f>
        <v>0</v>
      </c>
      <c r="R373" s="57">
        <f t="shared" si="91"/>
        <v>0</v>
      </c>
      <c r="S373" s="57">
        <f t="shared" si="91"/>
        <v>0</v>
      </c>
      <c r="T373" s="57">
        <f t="shared" si="91"/>
        <v>0</v>
      </c>
      <c r="U373" s="57">
        <f t="shared" si="91"/>
        <v>0</v>
      </c>
      <c r="V373" s="62">
        <f t="shared" si="91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92">Q252</f>
        <v>0</v>
      </c>
      <c r="R374" s="57">
        <f t="shared" si="92"/>
        <v>0</v>
      </c>
      <c r="S374" s="57">
        <f t="shared" si="92"/>
        <v>0</v>
      </c>
      <c r="T374" s="57">
        <f t="shared" si="92"/>
        <v>0</v>
      </c>
      <c r="U374" s="57">
        <f t="shared" si="92"/>
        <v>0</v>
      </c>
      <c r="V374" s="62">
        <f t="shared" si="92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93">SUM(Q362:Q372)*Q208</f>
        <v>10927.436496612105</v>
      </c>
      <c r="R375" s="57">
        <f t="shared" si="93"/>
        <v>10408.990997567294</v>
      </c>
      <c r="S375" s="57">
        <f t="shared" si="93"/>
        <v>11080.204387992813</v>
      </c>
      <c r="T375" s="57">
        <f t="shared" si="93"/>
        <v>11355.4186752884</v>
      </c>
      <c r="U375" s="57">
        <f t="shared" si="93"/>
        <v>12132.319656800282</v>
      </c>
      <c r="V375" s="57">
        <f t="shared" si="93"/>
        <v>12695.792128951072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94">SUM(P362:P375)</f>
        <v>0</v>
      </c>
      <c r="Q377" s="37">
        <f t="shared" si="94"/>
        <v>156934.76828202404</v>
      </c>
      <c r="R377" s="37">
        <f t="shared" si="94"/>
        <v>154636.15300612213</v>
      </c>
      <c r="S377" s="37">
        <f t="shared" si="94"/>
        <v>156369.40631571907</v>
      </c>
      <c r="T377" s="37">
        <f t="shared" si="94"/>
        <v>158015.74037313639</v>
      </c>
      <c r="U377" s="37">
        <f t="shared" si="94"/>
        <v>160602.22481712879</v>
      </c>
      <c r="V377" s="64">
        <f t="shared" si="94"/>
        <v>163133.07027375771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243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95">IFERROR(SUMPRODUCT($BB$73:$BB$87,Q$73:Q$87)/SUM(Q$73:Q$87)*Q$89*(1+Q$208),0)</f>
        <v>156934.76828202407</v>
      </c>
      <c r="R388" s="57">
        <f t="shared" si="95"/>
        <v>154636.1530061221</v>
      </c>
      <c r="S388" s="57">
        <f t="shared" si="95"/>
        <v>156369.40631571904</v>
      </c>
      <c r="T388" s="57">
        <f t="shared" si="95"/>
        <v>158015.74037313636</v>
      </c>
      <c r="U388" s="57">
        <f t="shared" si="95"/>
        <v>160602.22481712879</v>
      </c>
      <c r="V388" s="62">
        <f t="shared" si="95"/>
        <v>163133.07027375771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96">IFERROR(SUMPRODUCT($BC$73:$BC$87,Q$73:Q$87)/SUM(Q$73:Q$87)*Q$89*(1+Q$208),0)</f>
        <v>0</v>
      </c>
      <c r="R389" s="57">
        <f t="shared" si="96"/>
        <v>0</v>
      </c>
      <c r="S389" s="57">
        <f t="shared" si="96"/>
        <v>0</v>
      </c>
      <c r="T389" s="57">
        <f t="shared" si="96"/>
        <v>0</v>
      </c>
      <c r="U389" s="57">
        <f t="shared" si="96"/>
        <v>0</v>
      </c>
      <c r="V389" s="62">
        <f t="shared" si="96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7">IFERROR(SUMPRODUCT($BD$73:$BD$87,Q$73:Q$87)/SUM(Q$73:Q$87)*Q$89*(1+Q$208),0)</f>
        <v>0</v>
      </c>
      <c r="R390" s="57">
        <f t="shared" si="97"/>
        <v>0</v>
      </c>
      <c r="S390" s="57">
        <f t="shared" si="97"/>
        <v>0</v>
      </c>
      <c r="T390" s="57">
        <f t="shared" si="97"/>
        <v>0</v>
      </c>
      <c r="U390" s="57">
        <f t="shared" si="97"/>
        <v>0</v>
      </c>
      <c r="V390" s="62">
        <f t="shared" si="97"/>
        <v>0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8">IFERROR(SUMPRODUCT($BE$73:$BE$87,Q$73:Q$87)/SUM(Q$73:Q$87)*Q$89*(1+Q$208),0)</f>
        <v>0</v>
      </c>
      <c r="R391" s="57">
        <f t="shared" si="98"/>
        <v>0</v>
      </c>
      <c r="S391" s="57">
        <f t="shared" si="98"/>
        <v>0</v>
      </c>
      <c r="T391" s="57">
        <f t="shared" si="98"/>
        <v>0</v>
      </c>
      <c r="U391" s="57">
        <f t="shared" si="98"/>
        <v>0</v>
      </c>
      <c r="V391" s="62">
        <f t="shared" si="98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9">IFERROR(SUMPRODUCT($BF$73:$BF$87,Q$73:Q$87)/SUM(Q$73:Q$87)*Q$89*(1+Q$208),0)</f>
        <v>0</v>
      </c>
      <c r="R392" s="57">
        <f t="shared" si="99"/>
        <v>0</v>
      </c>
      <c r="S392" s="57">
        <f t="shared" si="99"/>
        <v>0</v>
      </c>
      <c r="T392" s="57">
        <f t="shared" si="99"/>
        <v>0</v>
      </c>
      <c r="U392" s="57">
        <f t="shared" si="99"/>
        <v>0</v>
      </c>
      <c r="V392" s="62">
        <f t="shared" si="99"/>
        <v>0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0">IFERROR(SUMPRODUCT($BG$73:$BG$87,Q$73:Q$87)/SUM(Q$73:Q$87)*Q$89*(1+Q$208),0)</f>
        <v>0</v>
      </c>
      <c r="R393" s="57">
        <f t="shared" si="100"/>
        <v>0</v>
      </c>
      <c r="S393" s="57">
        <f t="shared" si="100"/>
        <v>0</v>
      </c>
      <c r="T393" s="57">
        <f t="shared" si="100"/>
        <v>0</v>
      </c>
      <c r="U393" s="57">
        <f t="shared" si="100"/>
        <v>0</v>
      </c>
      <c r="V393" s="62">
        <f t="shared" si="100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01">IFERROR(SUMPRODUCT($BH$73:$BH$87,Q$73:Q$87)/SUM(Q$73:Q$87)*Q$89*(1+Q$208),0)</f>
        <v>0</v>
      </c>
      <c r="R394" s="57">
        <f t="shared" si="101"/>
        <v>0</v>
      </c>
      <c r="S394" s="57">
        <f t="shared" si="101"/>
        <v>0</v>
      </c>
      <c r="T394" s="57">
        <f t="shared" si="101"/>
        <v>0</v>
      </c>
      <c r="U394" s="57">
        <f t="shared" si="101"/>
        <v>0</v>
      </c>
      <c r="V394" s="62">
        <f t="shared" si="101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2">SUM(P388:P394)</f>
        <v>0</v>
      </c>
      <c r="Q396" s="37">
        <f t="shared" si="102"/>
        <v>156934.76828202407</v>
      </c>
      <c r="R396" s="37">
        <f t="shared" si="102"/>
        <v>154636.1530061221</v>
      </c>
      <c r="S396" s="37">
        <f t="shared" si="102"/>
        <v>156369.40631571904</v>
      </c>
      <c r="T396" s="37">
        <f t="shared" si="102"/>
        <v>158015.74037313636</v>
      </c>
      <c r="U396" s="37">
        <f t="shared" si="102"/>
        <v>160602.22481712879</v>
      </c>
      <c r="V396" s="64">
        <f t="shared" si="102"/>
        <v>163133.07027375771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I399"/>
  <sheetViews>
    <sheetView workbookViewId="0"/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2</v>
      </c>
    </row>
    <row r="2" spans="1:7" s="1" customFormat="1">
      <c r="A2" s="3" t="s">
        <v>152</v>
      </c>
    </row>
    <row r="3" spans="1:7" s="1" customFormat="1">
      <c r="A3" s="3" t="s">
        <v>95</v>
      </c>
    </row>
    <row r="4" spans="1:7" s="1" customFormat="1">
      <c r="A4" s="22" t="s">
        <v>43</v>
      </c>
    </row>
    <row r="6" spans="1:7" s="1" customFormat="1">
      <c r="A6" s="2">
        <v>2</v>
      </c>
      <c r="B6" s="2" t="s">
        <v>45</v>
      </c>
    </row>
    <row r="9" spans="1:7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</row>
    <row r="10" spans="1:7">
      <c r="B10" s="8"/>
      <c r="D10" s="10"/>
      <c r="E10" s="10"/>
      <c r="F10" s="26">
        <f>D10+E10</f>
        <v>0</v>
      </c>
      <c r="G10" s="26">
        <f>1-F10</f>
        <v>1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7"/>
      <c r="G13" s="27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51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90" t="s">
        <v>52</v>
      </c>
      <c r="I28" s="190"/>
      <c r="J28" s="190"/>
      <c r="K28" s="190"/>
      <c r="L28" s="190"/>
      <c r="M28" s="190" t="s">
        <v>53</v>
      </c>
      <c r="N28" s="190"/>
      <c r="O28" s="190"/>
      <c r="P28" s="190"/>
      <c r="Q28" s="190"/>
      <c r="R28" s="190" t="s">
        <v>54</v>
      </c>
      <c r="S28" s="190"/>
      <c r="T28" s="190"/>
      <c r="U28" s="190"/>
      <c r="V28" s="190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>IF(B10&lt;&gt;"",B10,"[blank]")</f>
        <v>[blank]</v>
      </c>
      <c r="D31" s="31"/>
      <c r="E31" s="31"/>
      <c r="P31" s="94"/>
      <c r="Q31" s="67"/>
      <c r="R31" s="67"/>
      <c r="S31" s="67"/>
      <c r="T31" s="67"/>
      <c r="U31" s="67"/>
      <c r="V31" s="67"/>
      <c r="X31" s="20"/>
    </row>
    <row r="32" spans="1:24">
      <c r="B32" s="4" t="str">
        <f t="shared" ref="B32:B45" si="0">IF(B11&lt;&gt;"",B11,"[blank]")</f>
        <v>[blank]</v>
      </c>
      <c r="D32" s="31"/>
      <c r="E32" s="31"/>
    </row>
    <row r="33" spans="1:4">
      <c r="B33" s="4" t="str">
        <f t="shared" si="0"/>
        <v>[blank]</v>
      </c>
      <c r="D33" s="31"/>
    </row>
    <row r="34" spans="1:4">
      <c r="B34" s="4" t="str">
        <f t="shared" si="0"/>
        <v>[blank]</v>
      </c>
      <c r="D34" s="31"/>
    </row>
    <row r="35" spans="1:4">
      <c r="B35" s="4" t="str">
        <f t="shared" si="0"/>
        <v>[blank]</v>
      </c>
      <c r="D35" s="31"/>
    </row>
    <row r="36" spans="1:4">
      <c r="B36" s="4" t="str">
        <f t="shared" si="0"/>
        <v>[blank]</v>
      </c>
      <c r="D36" s="31"/>
    </row>
    <row r="37" spans="1:4">
      <c r="B37" s="4" t="str">
        <f t="shared" si="0"/>
        <v>[blank]</v>
      </c>
      <c r="D37" s="31"/>
    </row>
    <row r="38" spans="1:4">
      <c r="B38" s="4" t="str">
        <f t="shared" si="0"/>
        <v>[blank]</v>
      </c>
      <c r="D38" s="31"/>
    </row>
    <row r="39" spans="1:4">
      <c r="B39" s="4" t="str">
        <f t="shared" si="0"/>
        <v>[blank]</v>
      </c>
      <c r="D39" s="31"/>
    </row>
    <row r="40" spans="1:4">
      <c r="B40" s="4" t="str">
        <f t="shared" si="0"/>
        <v>[blank]</v>
      </c>
      <c r="D40" s="31"/>
    </row>
    <row r="41" spans="1:4">
      <c r="B41" s="4" t="str">
        <f t="shared" si="0"/>
        <v>[blank]</v>
      </c>
      <c r="D41" s="31"/>
    </row>
    <row r="42" spans="1:4">
      <c r="B42" s="4" t="str">
        <f t="shared" si="0"/>
        <v>[blank]</v>
      </c>
      <c r="D42" s="31"/>
    </row>
    <row r="43" spans="1:4">
      <c r="B43" s="4" t="str">
        <f t="shared" si="0"/>
        <v>[blank]</v>
      </c>
      <c r="D43" s="31"/>
    </row>
    <row r="44" spans="1:4">
      <c r="B44" s="4" t="str">
        <f t="shared" si="0"/>
        <v>[blank]</v>
      </c>
      <c r="D44" s="31"/>
    </row>
    <row r="45" spans="1:4">
      <c r="B45" s="4" t="str">
        <f t="shared" si="0"/>
        <v>[blank]</v>
      </c>
      <c r="D45" s="31"/>
    </row>
    <row r="47" spans="1:4" s="1" customFormat="1">
      <c r="A47" s="2">
        <v>4</v>
      </c>
      <c r="B47" s="2" t="s">
        <v>56</v>
      </c>
    </row>
    <row r="49" spans="2:24">
      <c r="H49" s="190" t="s">
        <v>52</v>
      </c>
      <c r="I49" s="190"/>
      <c r="J49" s="190"/>
      <c r="K49" s="190"/>
      <c r="L49" s="190"/>
      <c r="M49" s="190" t="s">
        <v>53</v>
      </c>
      <c r="N49" s="190"/>
      <c r="O49" s="190"/>
      <c r="P49" s="190"/>
      <c r="Q49" s="190"/>
      <c r="R49" s="190" t="s">
        <v>54</v>
      </c>
      <c r="S49" s="190"/>
      <c r="T49" s="190"/>
      <c r="U49" s="190"/>
      <c r="V49" s="190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46</v>
      </c>
      <c r="D51" s="29" t="s">
        <v>55</v>
      </c>
      <c r="H51" s="16" t="s">
        <v>12</v>
      </c>
      <c r="I51" s="16" t="s">
        <v>12</v>
      </c>
      <c r="J51" s="16" t="s">
        <v>12</v>
      </c>
      <c r="K51" s="16" t="s">
        <v>12</v>
      </c>
      <c r="L51" s="16" t="s">
        <v>12</v>
      </c>
      <c r="M51" s="16" t="s">
        <v>12</v>
      </c>
      <c r="N51" s="16" t="s">
        <v>12</v>
      </c>
      <c r="O51" s="16" t="s">
        <v>12</v>
      </c>
      <c r="P51" s="16" t="s">
        <v>13</v>
      </c>
      <c r="Q51" s="16" t="s">
        <v>13</v>
      </c>
      <c r="R51" s="16" t="s">
        <v>13</v>
      </c>
      <c r="S51" s="16" t="s">
        <v>13</v>
      </c>
      <c r="T51" s="16" t="s">
        <v>13</v>
      </c>
      <c r="U51" s="16" t="s">
        <v>13</v>
      </c>
      <c r="V51" s="16" t="s">
        <v>13</v>
      </c>
    </row>
    <row r="52" spans="2:24">
      <c r="B52" s="4" t="str">
        <f>IF(B10&lt;&gt;"",B10,"[blank]")</f>
        <v>[blank]</v>
      </c>
      <c r="D52" s="31"/>
      <c r="P52" s="77"/>
      <c r="Q52" s="77"/>
      <c r="R52" s="77"/>
      <c r="S52" s="77"/>
      <c r="T52" s="77"/>
      <c r="U52" s="77"/>
      <c r="V52" s="77"/>
      <c r="X52" s="20"/>
    </row>
    <row r="53" spans="2:24">
      <c r="B53" s="4" t="str">
        <f t="shared" ref="B53:B66" si="1">IF(B11&lt;&gt;"",B11,"[blank]")</f>
        <v>[blank]</v>
      </c>
      <c r="D53" s="31"/>
    </row>
    <row r="54" spans="2:24">
      <c r="B54" s="4" t="str">
        <f t="shared" si="1"/>
        <v>[blank]</v>
      </c>
      <c r="D54" s="31"/>
    </row>
    <row r="55" spans="2:24">
      <c r="B55" s="4" t="str">
        <f t="shared" si="1"/>
        <v>[blank]</v>
      </c>
      <c r="D55" s="31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61</v>
      </c>
    </row>
    <row r="69" spans="1:61">
      <c r="Z69" s="5" t="s">
        <v>73</v>
      </c>
      <c r="AM69" s="5" t="s">
        <v>110</v>
      </c>
      <c r="BB69" s="5" t="s">
        <v>133</v>
      </c>
    </row>
    <row r="70" spans="1:61">
      <c r="H70" s="190" t="s">
        <v>52</v>
      </c>
      <c r="I70" s="190"/>
      <c r="J70" s="190"/>
      <c r="K70" s="190"/>
      <c r="L70" s="190"/>
      <c r="M70" s="190" t="s">
        <v>53</v>
      </c>
      <c r="N70" s="190"/>
      <c r="O70" s="190"/>
      <c r="P70" s="190"/>
      <c r="Q70" s="190"/>
      <c r="R70" s="190" t="s">
        <v>54</v>
      </c>
      <c r="S70" s="190"/>
      <c r="T70" s="190"/>
      <c r="U70" s="190"/>
      <c r="V70" s="190"/>
      <c r="X70" s="38"/>
      <c r="Z70" s="39" t="s">
        <v>69</v>
      </c>
      <c r="AA70" s="39" t="s">
        <v>70</v>
      </c>
      <c r="AB70" s="39" t="s">
        <v>71</v>
      </c>
      <c r="AC70" s="39" t="s">
        <v>72</v>
      </c>
      <c r="AD70" s="39" t="s">
        <v>64</v>
      </c>
      <c r="AE70" s="39" t="s">
        <v>65</v>
      </c>
      <c r="AF70" s="39" t="s">
        <v>66</v>
      </c>
      <c r="AG70" s="39" t="s">
        <v>107</v>
      </c>
      <c r="AH70" s="39" t="s">
        <v>67</v>
      </c>
      <c r="AI70" s="39" t="s">
        <v>68</v>
      </c>
      <c r="AJ70" s="39" t="s">
        <v>108</v>
      </c>
      <c r="AM70" s="39" t="s">
        <v>111</v>
      </c>
      <c r="AN70" s="39" t="s">
        <v>112</v>
      </c>
      <c r="AO70" s="39" t="s">
        <v>113</v>
      </c>
      <c r="AP70" s="39" t="s">
        <v>114</v>
      </c>
      <c r="AQ70" s="39" t="s">
        <v>115</v>
      </c>
      <c r="AR70" s="39" t="s">
        <v>36</v>
      </c>
      <c r="AS70" s="39" t="s">
        <v>116</v>
      </c>
      <c r="AT70" s="39" t="s">
        <v>35</v>
      </c>
      <c r="AU70" s="39" t="s">
        <v>117</v>
      </c>
      <c r="AV70" s="39" t="s">
        <v>118</v>
      </c>
      <c r="AW70" s="39" t="s">
        <v>119</v>
      </c>
      <c r="AX70" s="39" t="s">
        <v>74</v>
      </c>
      <c r="AY70" s="39" t="s">
        <v>75</v>
      </c>
      <c r="BB70" s="39" t="s">
        <v>134</v>
      </c>
      <c r="BC70" s="39" t="s">
        <v>135</v>
      </c>
      <c r="BD70" s="39" t="s">
        <v>136</v>
      </c>
      <c r="BE70" s="39" t="s">
        <v>107</v>
      </c>
      <c r="BF70" s="39" t="s">
        <v>137</v>
      </c>
      <c r="BG70" s="39" t="s">
        <v>138</v>
      </c>
      <c r="BH70" s="39" t="s">
        <v>108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63</v>
      </c>
    </row>
    <row r="72" spans="1:61">
      <c r="B72" s="5" t="s">
        <v>46</v>
      </c>
      <c r="D72" s="29" t="s">
        <v>55</v>
      </c>
      <c r="H72" s="16" t="s">
        <v>12</v>
      </c>
      <c r="I72" s="16" t="s">
        <v>12</v>
      </c>
      <c r="J72" s="16" t="s">
        <v>12</v>
      </c>
      <c r="K72" s="16" t="s">
        <v>12</v>
      </c>
      <c r="L72" s="16" t="s">
        <v>12</v>
      </c>
      <c r="M72" s="16" t="s">
        <v>12</v>
      </c>
      <c r="N72" s="16" t="s">
        <v>12</v>
      </c>
      <c r="O72" s="16" t="s">
        <v>12</v>
      </c>
      <c r="P72" s="16" t="s">
        <v>13</v>
      </c>
      <c r="Q72" s="16" t="s">
        <v>13</v>
      </c>
      <c r="R72" s="16" t="s">
        <v>13</v>
      </c>
      <c r="S72" s="16" t="s">
        <v>13</v>
      </c>
      <c r="T72" s="16" t="s">
        <v>13</v>
      </c>
      <c r="U72" s="16" t="s">
        <v>13</v>
      </c>
      <c r="V72" s="16" t="s">
        <v>13</v>
      </c>
      <c r="X72" s="34" t="s">
        <v>13</v>
      </c>
    </row>
    <row r="73" spans="1:61">
      <c r="B73" s="4" t="str">
        <f>IF(B10&lt;&gt;"",B10,"[blank]")</f>
        <v>[blank]</v>
      </c>
      <c r="D73" s="31" t="s">
        <v>60</v>
      </c>
      <c r="O73" s="35"/>
      <c r="P73" s="35">
        <f t="shared" ref="P73:V73" si="2">P31*P52</f>
        <v>0</v>
      </c>
      <c r="Q73" s="35">
        <f t="shared" si="2"/>
        <v>0</v>
      </c>
      <c r="R73" s="35">
        <f t="shared" si="2"/>
        <v>0</v>
      </c>
      <c r="S73" s="35">
        <f t="shared" si="2"/>
        <v>0</v>
      </c>
      <c r="T73" s="35">
        <f t="shared" si="2"/>
        <v>0</v>
      </c>
      <c r="U73" s="35">
        <f t="shared" si="2"/>
        <v>0</v>
      </c>
      <c r="V73" s="35">
        <f t="shared" si="2"/>
        <v>0</v>
      </c>
      <c r="X73" s="40">
        <f>SUM(R73:V73)</f>
        <v>0</v>
      </c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3">SUM(Z73:AI73)</f>
        <v>0</v>
      </c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0</v>
      </c>
      <c r="BB73" s="10"/>
      <c r="BC73" s="10"/>
      <c r="BD73" s="10"/>
      <c r="BE73" s="10"/>
      <c r="BF73" s="10"/>
      <c r="BG73" s="10"/>
      <c r="BH73" s="10"/>
      <c r="BI73" s="41">
        <f t="shared" ref="BI73:BI87" si="5">SUM(BB73:BH73)</f>
        <v>0</v>
      </c>
    </row>
    <row r="74" spans="1:61">
      <c r="B74" s="4" t="str">
        <f t="shared" ref="B74:B87" si="6">IF(B11&lt;&gt;"",B11,"[blank]")</f>
        <v>[blank]</v>
      </c>
      <c r="D74" s="31"/>
      <c r="O74" s="50"/>
      <c r="P74" s="35"/>
      <c r="Q74" s="50"/>
      <c r="R74" s="50"/>
      <c r="S74" s="50"/>
      <c r="T74" s="50"/>
      <c r="U74" s="50"/>
      <c r="V74" s="50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P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P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P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62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0</v>
      </c>
      <c r="R89" s="37">
        <f t="shared" si="8"/>
        <v>0</v>
      </c>
      <c r="S89" s="37">
        <f t="shared" si="8"/>
        <v>0</v>
      </c>
      <c r="T89" s="37">
        <f t="shared" si="8"/>
        <v>0</v>
      </c>
      <c r="U89" s="37">
        <f t="shared" si="8"/>
        <v>0</v>
      </c>
      <c r="V89" s="37">
        <f t="shared" si="8"/>
        <v>0</v>
      </c>
      <c r="X89" s="37">
        <f t="shared" si="7"/>
        <v>0</v>
      </c>
    </row>
    <row r="91" spans="1:61">
      <c r="B91" s="5" t="s">
        <v>76</v>
      </c>
    </row>
    <row r="92" spans="1:61" s="1" customFormat="1">
      <c r="A92" s="4"/>
      <c r="B92" s="2" t="s">
        <v>77</v>
      </c>
    </row>
    <row r="94" spans="1:61">
      <c r="H94" s="190" t="s">
        <v>52</v>
      </c>
      <c r="I94" s="190"/>
      <c r="J94" s="190"/>
      <c r="K94" s="190"/>
      <c r="L94" s="190"/>
      <c r="M94" s="190" t="s">
        <v>53</v>
      </c>
      <c r="N94" s="190"/>
      <c r="O94" s="190"/>
      <c r="P94" s="190"/>
      <c r="Q94" s="190"/>
      <c r="R94" s="190" t="s">
        <v>54</v>
      </c>
      <c r="S94" s="190"/>
      <c r="T94" s="190"/>
      <c r="U94" s="190"/>
      <c r="V94" s="190"/>
      <c r="X94" s="38"/>
    </row>
    <row r="95" spans="1:61">
      <c r="B95" s="42" t="s">
        <v>79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63</v>
      </c>
    </row>
    <row r="96" spans="1:61">
      <c r="B96" s="5" t="s">
        <v>46</v>
      </c>
      <c r="D96" s="29" t="s">
        <v>55</v>
      </c>
      <c r="H96" s="16" t="s">
        <v>12</v>
      </c>
      <c r="I96" s="16" t="s">
        <v>12</v>
      </c>
      <c r="J96" s="16" t="s">
        <v>12</v>
      </c>
      <c r="K96" s="16" t="s">
        <v>12</v>
      </c>
      <c r="L96" s="16" t="s">
        <v>12</v>
      </c>
      <c r="M96" s="16" t="s">
        <v>12</v>
      </c>
      <c r="N96" s="16" t="s">
        <v>12</v>
      </c>
      <c r="O96" s="16" t="s">
        <v>12</v>
      </c>
      <c r="P96" s="16" t="s">
        <v>13</v>
      </c>
      <c r="Q96" s="16" t="s">
        <v>13</v>
      </c>
      <c r="R96" s="16" t="s">
        <v>13</v>
      </c>
      <c r="S96" s="16" t="s">
        <v>13</v>
      </c>
      <c r="T96" s="16" t="s">
        <v>13</v>
      </c>
      <c r="U96" s="16" t="s">
        <v>13</v>
      </c>
      <c r="V96" s="16" t="s">
        <v>13</v>
      </c>
      <c r="X96" s="34" t="s">
        <v>13</v>
      </c>
    </row>
    <row r="97" spans="2:24">
      <c r="B97" s="4" t="str">
        <f>IF(B10&lt;&gt;"",B10,"[blank]")</f>
        <v>[blank]</v>
      </c>
      <c r="D97" s="31" t="s">
        <v>60</v>
      </c>
      <c r="O97" s="35"/>
      <c r="P97" s="35">
        <f>$D10*P73</f>
        <v>0</v>
      </c>
      <c r="Q97" s="35">
        <f t="shared" ref="Q97:V97" si="9">$D10*Q73</f>
        <v>0</v>
      </c>
      <c r="R97" s="35">
        <f t="shared" si="9"/>
        <v>0</v>
      </c>
      <c r="S97" s="35">
        <f t="shared" si="9"/>
        <v>0</v>
      </c>
      <c r="T97" s="35">
        <f t="shared" si="9"/>
        <v>0</v>
      </c>
      <c r="U97" s="35">
        <f t="shared" si="9"/>
        <v>0</v>
      </c>
      <c r="V97" s="35">
        <f t="shared" si="9"/>
        <v>0</v>
      </c>
      <c r="X97" s="40">
        <f>SUM(R97:V97)</f>
        <v>0</v>
      </c>
    </row>
    <row r="98" spans="2:24">
      <c r="B98" s="4" t="str">
        <f t="shared" ref="B98:B111" si="10">IF(B11&lt;&gt;"",B11,"[blank]")</f>
        <v>[blank]</v>
      </c>
      <c r="D98" s="31"/>
      <c r="O98" s="50"/>
      <c r="P98" s="50"/>
      <c r="Q98" s="50"/>
      <c r="R98" s="50"/>
      <c r="S98" s="50"/>
      <c r="T98" s="50"/>
      <c r="U98" s="50"/>
      <c r="V98" s="50"/>
      <c r="X98" s="40">
        <f t="shared" ref="X98:X111" si="11">SUM(R98:V98)</f>
        <v>0</v>
      </c>
    </row>
    <row r="99" spans="2:24">
      <c r="B99" s="4" t="str">
        <f t="shared" si="10"/>
        <v>[blank]</v>
      </c>
      <c r="X99" s="40">
        <f t="shared" si="11"/>
        <v>0</v>
      </c>
    </row>
    <row r="100" spans="2:24">
      <c r="B100" s="4" t="str">
        <f t="shared" si="10"/>
        <v>[blank]</v>
      </c>
      <c r="X100" s="40">
        <f t="shared" si="11"/>
        <v>0</v>
      </c>
    </row>
    <row r="101" spans="2:24">
      <c r="B101" s="4" t="str">
        <f t="shared" si="10"/>
        <v>[blank]</v>
      </c>
      <c r="X101" s="40">
        <f t="shared" si="11"/>
        <v>0</v>
      </c>
    </row>
    <row r="102" spans="2:24">
      <c r="B102" s="4" t="str">
        <f t="shared" si="10"/>
        <v>[blank]</v>
      </c>
      <c r="X102" s="40">
        <f t="shared" si="11"/>
        <v>0</v>
      </c>
    </row>
    <row r="103" spans="2:24">
      <c r="B103" s="4" t="str">
        <f t="shared" si="10"/>
        <v>[blank]</v>
      </c>
      <c r="X103" s="40">
        <f t="shared" si="11"/>
        <v>0</v>
      </c>
    </row>
    <row r="104" spans="2:24">
      <c r="B104" s="4" t="str">
        <f t="shared" si="10"/>
        <v>[blank]</v>
      </c>
      <c r="X104" s="40">
        <f t="shared" si="11"/>
        <v>0</v>
      </c>
    </row>
    <row r="105" spans="2:24">
      <c r="B105" s="4" t="str">
        <f t="shared" si="10"/>
        <v>[blank]</v>
      </c>
      <c r="X105" s="40">
        <f t="shared" si="11"/>
        <v>0</v>
      </c>
    </row>
    <row r="106" spans="2:24">
      <c r="B106" s="4" t="str">
        <f t="shared" si="10"/>
        <v>[blank]</v>
      </c>
      <c r="X106" s="40">
        <f t="shared" si="11"/>
        <v>0</v>
      </c>
    </row>
    <row r="107" spans="2:24">
      <c r="B107" s="4" t="str">
        <f t="shared" si="10"/>
        <v>[blank]</v>
      </c>
      <c r="X107" s="40">
        <f t="shared" si="11"/>
        <v>0</v>
      </c>
    </row>
    <row r="108" spans="2:24">
      <c r="B108" s="4" t="str">
        <f t="shared" si="10"/>
        <v>[blank]</v>
      </c>
      <c r="X108" s="40">
        <f t="shared" si="11"/>
        <v>0</v>
      </c>
    </row>
    <row r="109" spans="2:24">
      <c r="B109" s="4" t="str">
        <f t="shared" si="10"/>
        <v>[blank]</v>
      </c>
      <c r="X109" s="40">
        <f t="shared" si="11"/>
        <v>0</v>
      </c>
    </row>
    <row r="110" spans="2:24">
      <c r="B110" s="4" t="str">
        <f t="shared" si="10"/>
        <v>[blank]</v>
      </c>
      <c r="X110" s="40">
        <f t="shared" si="11"/>
        <v>0</v>
      </c>
    </row>
    <row r="111" spans="2:24">
      <c r="B111" s="4" t="str">
        <f t="shared" si="10"/>
        <v>[blank]</v>
      </c>
      <c r="X111" s="40">
        <f t="shared" si="11"/>
        <v>0</v>
      </c>
    </row>
    <row r="113" spans="1:24" ht="12.75" thickBot="1">
      <c r="B113" s="5" t="s">
        <v>78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2">SUM(P97:P111)</f>
        <v>0</v>
      </c>
      <c r="Q113" s="37">
        <f t="shared" si="12"/>
        <v>0</v>
      </c>
      <c r="R113" s="37">
        <f t="shared" si="12"/>
        <v>0</v>
      </c>
      <c r="S113" s="37">
        <f t="shared" si="12"/>
        <v>0</v>
      </c>
      <c r="T113" s="37">
        <f t="shared" si="12"/>
        <v>0</v>
      </c>
      <c r="U113" s="37">
        <f t="shared" si="12"/>
        <v>0</v>
      </c>
      <c r="V113" s="37">
        <f t="shared" si="12"/>
        <v>0</v>
      </c>
      <c r="X113" s="37">
        <f t="shared" ref="X113" si="13">SUM(R113:V113)</f>
        <v>0</v>
      </c>
    </row>
    <row r="115" spans="1:24" s="1" customFormat="1">
      <c r="A115" s="4"/>
      <c r="B115" s="2" t="s">
        <v>80</v>
      </c>
    </row>
    <row r="117" spans="1:24">
      <c r="H117" s="190" t="s">
        <v>52</v>
      </c>
      <c r="I117" s="190"/>
      <c r="J117" s="190"/>
      <c r="K117" s="190"/>
      <c r="L117" s="190"/>
      <c r="M117" s="190" t="s">
        <v>53</v>
      </c>
      <c r="N117" s="190"/>
      <c r="O117" s="190"/>
      <c r="P117" s="190"/>
      <c r="Q117" s="190"/>
      <c r="R117" s="190" t="s">
        <v>54</v>
      </c>
      <c r="S117" s="190"/>
      <c r="T117" s="190"/>
      <c r="U117" s="190"/>
      <c r="V117" s="190"/>
      <c r="X117" s="38"/>
    </row>
    <row r="118" spans="1:24">
      <c r="B118" s="43" t="s">
        <v>81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63</v>
      </c>
    </row>
    <row r="119" spans="1:24">
      <c r="B119" s="5" t="s">
        <v>46</v>
      </c>
      <c r="D119" s="29" t="s">
        <v>55</v>
      </c>
      <c r="H119" s="16" t="s">
        <v>12</v>
      </c>
      <c r="I119" s="16" t="s">
        <v>12</v>
      </c>
      <c r="J119" s="16" t="s">
        <v>12</v>
      </c>
      <c r="K119" s="16" t="s">
        <v>12</v>
      </c>
      <c r="L119" s="16" t="s">
        <v>12</v>
      </c>
      <c r="M119" s="16" t="s">
        <v>12</v>
      </c>
      <c r="N119" s="16" t="s">
        <v>12</v>
      </c>
      <c r="O119" s="16" t="s">
        <v>12</v>
      </c>
      <c r="P119" s="16" t="s">
        <v>13</v>
      </c>
      <c r="Q119" s="16" t="s">
        <v>13</v>
      </c>
      <c r="R119" s="16" t="s">
        <v>13</v>
      </c>
      <c r="S119" s="16" t="s">
        <v>13</v>
      </c>
      <c r="T119" s="16" t="s">
        <v>13</v>
      </c>
      <c r="U119" s="16" t="s">
        <v>13</v>
      </c>
      <c r="V119" s="16" t="s">
        <v>13</v>
      </c>
      <c r="X119" s="34" t="s">
        <v>13</v>
      </c>
    </row>
    <row r="120" spans="1:24">
      <c r="B120" s="4" t="str">
        <f>IF(B10&lt;&gt;"",B10,"[blank]")</f>
        <v>[blank]</v>
      </c>
      <c r="D120" s="31" t="s">
        <v>60</v>
      </c>
      <c r="O120" s="35"/>
      <c r="P120" s="35">
        <f>$E10*P73</f>
        <v>0</v>
      </c>
      <c r="Q120" s="35">
        <f t="shared" ref="Q120:V120" si="14">$E10*Q73</f>
        <v>0</v>
      </c>
      <c r="R120" s="35">
        <f t="shared" si="14"/>
        <v>0</v>
      </c>
      <c r="S120" s="35">
        <f t="shared" si="14"/>
        <v>0</v>
      </c>
      <c r="T120" s="35">
        <f t="shared" si="14"/>
        <v>0</v>
      </c>
      <c r="U120" s="35">
        <f t="shared" si="14"/>
        <v>0</v>
      </c>
      <c r="V120" s="35">
        <f t="shared" si="14"/>
        <v>0</v>
      </c>
      <c r="X120" s="40">
        <f>SUM(R120:V120)</f>
        <v>0</v>
      </c>
    </row>
    <row r="121" spans="1:24">
      <c r="B121" s="4" t="str">
        <f t="shared" ref="B121:B134" si="15">IF(B11&lt;&gt;"",B11,"[blank]")</f>
        <v>[blank]</v>
      </c>
      <c r="D121" s="31"/>
      <c r="O121" s="50"/>
      <c r="P121" s="50"/>
      <c r="Q121" s="50"/>
      <c r="R121" s="50"/>
      <c r="S121" s="50"/>
      <c r="T121" s="50"/>
      <c r="U121" s="50"/>
      <c r="V121" s="50"/>
      <c r="X121" s="40">
        <f t="shared" ref="X121:X134" si="16">SUM(R121:V121)</f>
        <v>0</v>
      </c>
    </row>
    <row r="122" spans="1:24">
      <c r="B122" s="4" t="str">
        <f t="shared" si="15"/>
        <v>[blank]</v>
      </c>
      <c r="X122" s="40">
        <f t="shared" si="16"/>
        <v>0</v>
      </c>
    </row>
    <row r="123" spans="1:24">
      <c r="B123" s="4" t="str">
        <f t="shared" si="15"/>
        <v>[blank]</v>
      </c>
      <c r="X123" s="40">
        <f t="shared" si="16"/>
        <v>0</v>
      </c>
    </row>
    <row r="124" spans="1:24">
      <c r="B124" s="4" t="str">
        <f t="shared" si="15"/>
        <v>[blank]</v>
      </c>
      <c r="X124" s="40">
        <f t="shared" si="16"/>
        <v>0</v>
      </c>
    </row>
    <row r="125" spans="1:24">
      <c r="B125" s="4" t="str">
        <f t="shared" si="15"/>
        <v>[blank]</v>
      </c>
      <c r="X125" s="40">
        <f t="shared" si="16"/>
        <v>0</v>
      </c>
    </row>
    <row r="126" spans="1:24">
      <c r="B126" s="4" t="str">
        <f t="shared" si="15"/>
        <v>[blank]</v>
      </c>
      <c r="X126" s="40">
        <f t="shared" si="16"/>
        <v>0</v>
      </c>
    </row>
    <row r="127" spans="1:24">
      <c r="B127" s="4" t="str">
        <f t="shared" si="15"/>
        <v>[blank]</v>
      </c>
      <c r="X127" s="40">
        <f t="shared" si="16"/>
        <v>0</v>
      </c>
    </row>
    <row r="128" spans="1:24">
      <c r="B128" s="4" t="str">
        <f t="shared" si="15"/>
        <v>[blank]</v>
      </c>
      <c r="X128" s="40">
        <f t="shared" si="16"/>
        <v>0</v>
      </c>
    </row>
    <row r="129" spans="1:24">
      <c r="B129" s="4" t="str">
        <f t="shared" si="15"/>
        <v>[blank]</v>
      </c>
      <c r="X129" s="40">
        <f t="shared" si="16"/>
        <v>0</v>
      </c>
    </row>
    <row r="130" spans="1:24">
      <c r="B130" s="4" t="str">
        <f t="shared" si="15"/>
        <v>[blank]</v>
      </c>
      <c r="X130" s="40">
        <f t="shared" si="16"/>
        <v>0</v>
      </c>
    </row>
    <row r="131" spans="1:24">
      <c r="B131" s="4" t="str">
        <f t="shared" si="15"/>
        <v>[blank]</v>
      </c>
      <c r="X131" s="40">
        <f t="shared" si="16"/>
        <v>0</v>
      </c>
    </row>
    <row r="132" spans="1:24">
      <c r="B132" s="4" t="str">
        <f t="shared" si="15"/>
        <v>[blank]</v>
      </c>
      <c r="X132" s="40">
        <f t="shared" si="16"/>
        <v>0</v>
      </c>
    </row>
    <row r="133" spans="1:24">
      <c r="B133" s="4" t="str">
        <f t="shared" si="15"/>
        <v>[blank]</v>
      </c>
      <c r="X133" s="40">
        <f t="shared" si="16"/>
        <v>0</v>
      </c>
    </row>
    <row r="134" spans="1:24">
      <c r="B134" s="4" t="str">
        <f t="shared" si="15"/>
        <v>[blank]</v>
      </c>
      <c r="X134" s="40">
        <f t="shared" si="16"/>
        <v>0</v>
      </c>
    </row>
    <row r="136" spans="1:24" ht="12.75" thickBot="1">
      <c r="B136" s="5" t="s">
        <v>82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0</v>
      </c>
      <c r="R136" s="37">
        <f t="shared" si="17"/>
        <v>0</v>
      </c>
      <c r="S136" s="37">
        <f t="shared" si="17"/>
        <v>0</v>
      </c>
      <c r="T136" s="37">
        <f t="shared" si="17"/>
        <v>0</v>
      </c>
      <c r="U136" s="37">
        <f t="shared" si="17"/>
        <v>0</v>
      </c>
      <c r="V136" s="37">
        <f t="shared" si="17"/>
        <v>0</v>
      </c>
      <c r="X136" s="37">
        <f t="shared" ref="X136" si="18">SUM(R136:V136)</f>
        <v>0</v>
      </c>
    </row>
    <row r="138" spans="1:24" s="1" customFormat="1">
      <c r="A138" s="4"/>
      <c r="B138" s="2" t="s">
        <v>83</v>
      </c>
    </row>
    <row r="140" spans="1:24">
      <c r="H140" s="190" t="s">
        <v>52</v>
      </c>
      <c r="I140" s="190"/>
      <c r="J140" s="190"/>
      <c r="K140" s="190"/>
      <c r="L140" s="190"/>
      <c r="M140" s="190" t="s">
        <v>53</v>
      </c>
      <c r="N140" s="190"/>
      <c r="O140" s="190"/>
      <c r="P140" s="190"/>
      <c r="Q140" s="190"/>
      <c r="R140" s="190" t="s">
        <v>54</v>
      </c>
      <c r="S140" s="190"/>
      <c r="T140" s="190"/>
      <c r="U140" s="190"/>
      <c r="V140" s="190"/>
      <c r="X140" s="38"/>
    </row>
    <row r="141" spans="1:24">
      <c r="B141" s="43" t="s">
        <v>84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63</v>
      </c>
    </row>
    <row r="142" spans="1:24">
      <c r="B142" s="5" t="s">
        <v>46</v>
      </c>
      <c r="D142" s="29" t="s">
        <v>55</v>
      </c>
      <c r="H142" s="16" t="s">
        <v>12</v>
      </c>
      <c r="I142" s="16" t="s">
        <v>12</v>
      </c>
      <c r="J142" s="16" t="s">
        <v>12</v>
      </c>
      <c r="K142" s="16" t="s">
        <v>12</v>
      </c>
      <c r="L142" s="16" t="s">
        <v>12</v>
      </c>
      <c r="M142" s="16" t="s">
        <v>12</v>
      </c>
      <c r="N142" s="16" t="s">
        <v>12</v>
      </c>
      <c r="O142" s="16" t="s">
        <v>12</v>
      </c>
      <c r="P142" s="16" t="s">
        <v>13</v>
      </c>
      <c r="Q142" s="16" t="s">
        <v>13</v>
      </c>
      <c r="R142" s="16" t="s">
        <v>13</v>
      </c>
      <c r="S142" s="16" t="s">
        <v>13</v>
      </c>
      <c r="T142" s="16" t="s">
        <v>13</v>
      </c>
      <c r="U142" s="16" t="s">
        <v>13</v>
      </c>
      <c r="V142" s="16" t="s">
        <v>13</v>
      </c>
      <c r="X142" s="34" t="s">
        <v>13</v>
      </c>
    </row>
    <row r="143" spans="1:24">
      <c r="B143" s="4" t="str">
        <f>IF(B10&lt;&gt;"",B10,"[blank]")</f>
        <v>[blank]</v>
      </c>
      <c r="D143" s="31" t="s">
        <v>60</v>
      </c>
      <c r="O143" s="35"/>
      <c r="P143" s="35">
        <f>P97+P120</f>
        <v>0</v>
      </c>
      <c r="Q143" s="35">
        <f t="shared" ref="Q143:V143" si="19">Q97+Q120</f>
        <v>0</v>
      </c>
      <c r="R143" s="35">
        <f t="shared" si="19"/>
        <v>0</v>
      </c>
      <c r="S143" s="35">
        <f t="shared" si="19"/>
        <v>0</v>
      </c>
      <c r="T143" s="35">
        <f t="shared" si="19"/>
        <v>0</v>
      </c>
      <c r="U143" s="35">
        <f t="shared" si="19"/>
        <v>0</v>
      </c>
      <c r="V143" s="35">
        <f t="shared" si="19"/>
        <v>0</v>
      </c>
      <c r="X143" s="40">
        <f>SUM(R143:V143)</f>
        <v>0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50"/>
      <c r="Q144" s="50"/>
      <c r="R144" s="50"/>
      <c r="S144" s="50"/>
      <c r="T144" s="50"/>
      <c r="U144" s="50"/>
      <c r="V144" s="50"/>
      <c r="X144" s="40">
        <f t="shared" ref="X144:X157" si="21">SUM(R144:V144)</f>
        <v>0</v>
      </c>
    </row>
    <row r="145" spans="2:24">
      <c r="B145" s="4" t="str">
        <f t="shared" si="20"/>
        <v>[blank]</v>
      </c>
      <c r="X145" s="40">
        <f t="shared" si="21"/>
        <v>0</v>
      </c>
    </row>
    <row r="146" spans="2:24">
      <c r="B146" s="4" t="str">
        <f t="shared" si="20"/>
        <v>[blank]</v>
      </c>
      <c r="X146" s="40">
        <f t="shared" si="21"/>
        <v>0</v>
      </c>
    </row>
    <row r="147" spans="2:24">
      <c r="B147" s="4" t="str">
        <f t="shared" si="20"/>
        <v>[blank]</v>
      </c>
      <c r="X147" s="40">
        <f t="shared" si="21"/>
        <v>0</v>
      </c>
    </row>
    <row r="148" spans="2:24">
      <c r="B148" s="4" t="str">
        <f t="shared" si="20"/>
        <v>[blank]</v>
      </c>
      <c r="X148" s="40">
        <f t="shared" si="21"/>
        <v>0</v>
      </c>
    </row>
    <row r="149" spans="2:24">
      <c r="B149" s="4" t="str">
        <f t="shared" si="20"/>
        <v>[blank]</v>
      </c>
      <c r="X149" s="40">
        <f t="shared" si="21"/>
        <v>0</v>
      </c>
    </row>
    <row r="150" spans="2:24">
      <c r="B150" s="4" t="str">
        <f t="shared" si="20"/>
        <v>[blank]</v>
      </c>
      <c r="X150" s="40">
        <f t="shared" si="21"/>
        <v>0</v>
      </c>
    </row>
    <row r="151" spans="2:24">
      <c r="B151" s="4" t="str">
        <f t="shared" si="20"/>
        <v>[blank]</v>
      </c>
      <c r="X151" s="40">
        <f t="shared" si="21"/>
        <v>0</v>
      </c>
    </row>
    <row r="152" spans="2:24">
      <c r="B152" s="4" t="str">
        <f t="shared" si="20"/>
        <v>[blank]</v>
      </c>
      <c r="X152" s="40">
        <f t="shared" si="21"/>
        <v>0</v>
      </c>
    </row>
    <row r="153" spans="2:24">
      <c r="B153" s="4" t="str">
        <f t="shared" si="20"/>
        <v>[blank]</v>
      </c>
      <c r="X153" s="40">
        <f t="shared" si="21"/>
        <v>0</v>
      </c>
    </row>
    <row r="154" spans="2:24">
      <c r="B154" s="4" t="str">
        <f t="shared" si="20"/>
        <v>[blank]</v>
      </c>
      <c r="X154" s="40">
        <f t="shared" si="21"/>
        <v>0</v>
      </c>
    </row>
    <row r="155" spans="2:24">
      <c r="B155" s="4" t="str">
        <f t="shared" si="20"/>
        <v>[blank]</v>
      </c>
      <c r="X155" s="40">
        <f t="shared" si="21"/>
        <v>0</v>
      </c>
    </row>
    <row r="156" spans="2:24">
      <c r="B156" s="4" t="str">
        <f t="shared" si="20"/>
        <v>[blank]</v>
      </c>
      <c r="X156" s="40">
        <f t="shared" si="21"/>
        <v>0</v>
      </c>
    </row>
    <row r="157" spans="2:24">
      <c r="B157" s="4" t="str">
        <f t="shared" si="20"/>
        <v>[blank]</v>
      </c>
      <c r="X157" s="40">
        <f t="shared" si="21"/>
        <v>0</v>
      </c>
    </row>
    <row r="159" spans="2:24" ht="12.75" thickBot="1">
      <c r="B159" s="5" t="s">
        <v>85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2">SUM(Q143:Q157)</f>
        <v>0</v>
      </c>
      <c r="R159" s="37">
        <f t="shared" si="22"/>
        <v>0</v>
      </c>
      <c r="S159" s="37">
        <f t="shared" si="22"/>
        <v>0</v>
      </c>
      <c r="T159" s="37">
        <f t="shared" si="22"/>
        <v>0</v>
      </c>
      <c r="U159" s="37">
        <f t="shared" si="22"/>
        <v>0</v>
      </c>
      <c r="V159" s="37">
        <f t="shared" si="22"/>
        <v>0</v>
      </c>
      <c r="X159" s="37">
        <f t="shared" ref="X159" si="23">SUM(R159:V159)</f>
        <v>0</v>
      </c>
    </row>
    <row r="161" spans="1:24" s="1" customFormat="1">
      <c r="A161" s="4"/>
      <c r="B161" s="2" t="s">
        <v>86</v>
      </c>
    </row>
    <row r="163" spans="1:24">
      <c r="H163" s="190" t="s">
        <v>52</v>
      </c>
      <c r="I163" s="190"/>
      <c r="J163" s="190"/>
      <c r="K163" s="190"/>
      <c r="L163" s="190"/>
      <c r="M163" s="190" t="s">
        <v>53</v>
      </c>
      <c r="N163" s="190"/>
      <c r="O163" s="190"/>
      <c r="P163" s="190"/>
      <c r="Q163" s="190"/>
      <c r="R163" s="190" t="s">
        <v>54</v>
      </c>
      <c r="S163" s="190"/>
      <c r="T163" s="190"/>
      <c r="U163" s="190"/>
      <c r="V163" s="190"/>
      <c r="X163" s="38"/>
    </row>
    <row r="164" spans="1:24">
      <c r="B164" s="44" t="s">
        <v>50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63</v>
      </c>
    </row>
    <row r="165" spans="1:24">
      <c r="B165" s="5" t="s">
        <v>46</v>
      </c>
      <c r="D165" s="29" t="s">
        <v>55</v>
      </c>
      <c r="H165" s="16" t="s">
        <v>12</v>
      </c>
      <c r="I165" s="16" t="s">
        <v>12</v>
      </c>
      <c r="J165" s="16" t="s">
        <v>12</v>
      </c>
      <c r="K165" s="16" t="s">
        <v>12</v>
      </c>
      <c r="L165" s="16" t="s">
        <v>12</v>
      </c>
      <c r="M165" s="16" t="s">
        <v>12</v>
      </c>
      <c r="N165" s="16" t="s">
        <v>12</v>
      </c>
      <c r="O165" s="16" t="s">
        <v>12</v>
      </c>
      <c r="P165" s="16" t="s">
        <v>13</v>
      </c>
      <c r="Q165" s="16" t="s">
        <v>13</v>
      </c>
      <c r="R165" s="16" t="s">
        <v>13</v>
      </c>
      <c r="S165" s="16" t="s">
        <v>13</v>
      </c>
      <c r="T165" s="16" t="s">
        <v>13</v>
      </c>
      <c r="U165" s="16" t="s">
        <v>13</v>
      </c>
      <c r="V165" s="16" t="s">
        <v>13</v>
      </c>
      <c r="X165" s="34" t="s">
        <v>13</v>
      </c>
    </row>
    <row r="166" spans="1:24">
      <c r="B166" s="4" t="str">
        <f>IF(B10&lt;&gt;"",B10,"[blank]")</f>
        <v>[blank]</v>
      </c>
      <c r="D166" s="31" t="s">
        <v>60</v>
      </c>
      <c r="O166" s="35"/>
      <c r="P166" s="35">
        <f>$G10*P73</f>
        <v>0</v>
      </c>
      <c r="Q166" s="35">
        <f t="shared" ref="Q166:V166" si="24">$G10*Q73</f>
        <v>0</v>
      </c>
      <c r="R166" s="35">
        <f t="shared" si="24"/>
        <v>0</v>
      </c>
      <c r="S166" s="35">
        <f t="shared" si="24"/>
        <v>0</v>
      </c>
      <c r="T166" s="35">
        <f t="shared" si="24"/>
        <v>0</v>
      </c>
      <c r="U166" s="35">
        <f t="shared" si="24"/>
        <v>0</v>
      </c>
      <c r="V166" s="35">
        <f t="shared" si="24"/>
        <v>0</v>
      </c>
      <c r="X166" s="40">
        <f>SUM(R166:V166)</f>
        <v>0</v>
      </c>
    </row>
    <row r="167" spans="1:24">
      <c r="B167" s="4" t="str">
        <f t="shared" ref="B167:B180" si="25">IF(B11&lt;&gt;"",B11,"[blank]")</f>
        <v>[blank]</v>
      </c>
      <c r="D167" s="31"/>
      <c r="O167" s="50"/>
      <c r="P167" s="50"/>
      <c r="Q167" s="50"/>
      <c r="R167" s="50"/>
      <c r="S167" s="50"/>
      <c r="T167" s="50"/>
      <c r="U167" s="50"/>
      <c r="V167" s="50"/>
      <c r="X167" s="40">
        <f t="shared" ref="X167:X180" si="26">SUM(R167:V167)</f>
        <v>0</v>
      </c>
    </row>
    <row r="168" spans="1:24">
      <c r="B168" s="4" t="str">
        <f t="shared" si="25"/>
        <v>[blank]</v>
      </c>
      <c r="X168" s="40">
        <f t="shared" si="26"/>
        <v>0</v>
      </c>
    </row>
    <row r="169" spans="1:24">
      <c r="B169" s="4" t="str">
        <f t="shared" si="25"/>
        <v>[blank]</v>
      </c>
      <c r="X169" s="40">
        <f t="shared" si="26"/>
        <v>0</v>
      </c>
    </row>
    <row r="170" spans="1:24">
      <c r="B170" s="4" t="str">
        <f t="shared" si="25"/>
        <v>[blank]</v>
      </c>
      <c r="X170" s="40">
        <f t="shared" si="26"/>
        <v>0</v>
      </c>
    </row>
    <row r="171" spans="1:24">
      <c r="B171" s="4" t="str">
        <f t="shared" si="25"/>
        <v>[blank]</v>
      </c>
      <c r="X171" s="40">
        <f t="shared" si="26"/>
        <v>0</v>
      </c>
    </row>
    <row r="172" spans="1:24">
      <c r="B172" s="4" t="str">
        <f t="shared" si="25"/>
        <v>[blank]</v>
      </c>
      <c r="X172" s="40">
        <f t="shared" si="26"/>
        <v>0</v>
      </c>
    </row>
    <row r="173" spans="1:24">
      <c r="B173" s="4" t="str">
        <f t="shared" si="25"/>
        <v>[blank]</v>
      </c>
      <c r="X173" s="40">
        <f t="shared" si="26"/>
        <v>0</v>
      </c>
    </row>
    <row r="174" spans="1:24">
      <c r="B174" s="4" t="str">
        <f t="shared" si="25"/>
        <v>[blank]</v>
      </c>
      <c r="X174" s="40">
        <f t="shared" si="26"/>
        <v>0</v>
      </c>
    </row>
    <row r="175" spans="1:24">
      <c r="B175" s="4" t="str">
        <f t="shared" si="25"/>
        <v>[blank]</v>
      </c>
      <c r="X175" s="40">
        <f t="shared" si="26"/>
        <v>0</v>
      </c>
    </row>
    <row r="176" spans="1:24">
      <c r="B176" s="4" t="str">
        <f t="shared" si="25"/>
        <v>[blank]</v>
      </c>
      <c r="X176" s="40">
        <f t="shared" si="26"/>
        <v>0</v>
      </c>
    </row>
    <row r="177" spans="1:24">
      <c r="B177" s="4" t="str">
        <f t="shared" si="25"/>
        <v>[blank]</v>
      </c>
      <c r="X177" s="40">
        <f t="shared" si="26"/>
        <v>0</v>
      </c>
    </row>
    <row r="178" spans="1:24">
      <c r="B178" s="4" t="str">
        <f t="shared" si="25"/>
        <v>[blank]</v>
      </c>
      <c r="X178" s="40">
        <f t="shared" si="26"/>
        <v>0</v>
      </c>
    </row>
    <row r="179" spans="1:24">
      <c r="B179" s="4" t="str">
        <f t="shared" si="25"/>
        <v>[blank]</v>
      </c>
      <c r="X179" s="40">
        <f t="shared" si="26"/>
        <v>0</v>
      </c>
    </row>
    <row r="180" spans="1:24">
      <c r="B180" s="4" t="str">
        <f t="shared" si="25"/>
        <v>[blank]</v>
      </c>
      <c r="X180" s="40">
        <f t="shared" si="26"/>
        <v>0</v>
      </c>
    </row>
    <row r="182" spans="1:24" ht="12.75" thickBot="1">
      <c r="B182" s="5" t="s">
        <v>87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7">SUM(Q166:Q180)</f>
        <v>0</v>
      </c>
      <c r="R182" s="37">
        <f t="shared" si="27"/>
        <v>0</v>
      </c>
      <c r="S182" s="37">
        <f t="shared" si="27"/>
        <v>0</v>
      </c>
      <c r="T182" s="37">
        <f t="shared" si="27"/>
        <v>0</v>
      </c>
      <c r="U182" s="37">
        <f t="shared" si="27"/>
        <v>0</v>
      </c>
      <c r="V182" s="37">
        <f t="shared" si="27"/>
        <v>0</v>
      </c>
      <c r="X182" s="37">
        <f t="shared" ref="X182" si="28">SUM(R182:V182)</f>
        <v>0</v>
      </c>
    </row>
    <row r="184" spans="1:24" s="1" customFormat="1">
      <c r="A184" s="2">
        <v>6</v>
      </c>
      <c r="B184" s="2" t="s">
        <v>89</v>
      </c>
    </row>
    <row r="186" spans="1:24">
      <c r="H186" s="190" t="s">
        <v>52</v>
      </c>
      <c r="I186" s="190"/>
      <c r="J186" s="190"/>
      <c r="K186" s="190"/>
      <c r="L186" s="190"/>
      <c r="M186" s="190" t="s">
        <v>53</v>
      </c>
      <c r="N186" s="190"/>
      <c r="O186" s="190"/>
      <c r="P186" s="190"/>
      <c r="Q186" s="190"/>
      <c r="R186" s="190" t="s">
        <v>54</v>
      </c>
      <c r="S186" s="190"/>
      <c r="T186" s="190"/>
      <c r="U186" s="190"/>
      <c r="V186" s="190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63</v>
      </c>
    </row>
    <row r="188" spans="1:24">
      <c r="B188" s="5" t="s">
        <v>46</v>
      </c>
      <c r="D188" s="29" t="s">
        <v>55</v>
      </c>
      <c r="H188" s="16" t="s">
        <v>12</v>
      </c>
      <c r="I188" s="16" t="s">
        <v>12</v>
      </c>
      <c r="J188" s="16" t="s">
        <v>12</v>
      </c>
      <c r="K188" s="16" t="s">
        <v>12</v>
      </c>
      <c r="L188" s="16" t="s">
        <v>12</v>
      </c>
      <c r="M188" s="16" t="s">
        <v>12</v>
      </c>
      <c r="N188" s="16" t="s">
        <v>12</v>
      </c>
      <c r="O188" s="16" t="s">
        <v>12</v>
      </c>
      <c r="P188" s="16" t="s">
        <v>13</v>
      </c>
      <c r="Q188" s="16" t="s">
        <v>13</v>
      </c>
      <c r="R188" s="16" t="s">
        <v>13</v>
      </c>
      <c r="S188" s="16" t="s">
        <v>13</v>
      </c>
      <c r="T188" s="16" t="s">
        <v>13</v>
      </c>
      <c r="U188" s="16" t="s">
        <v>13</v>
      </c>
      <c r="V188" s="16" t="s">
        <v>13</v>
      </c>
      <c r="X188" s="34" t="s">
        <v>13</v>
      </c>
    </row>
    <row r="189" spans="1:24">
      <c r="B189" s="4" t="str">
        <f>IF(B10&lt;&gt;"",B10,"[blank]")</f>
        <v>[blank]</v>
      </c>
      <c r="D189" s="31" t="s">
        <v>60</v>
      </c>
      <c r="O189" s="35"/>
      <c r="P189" s="35">
        <f>P73*P$208</f>
        <v>0</v>
      </c>
      <c r="Q189" s="35">
        <f t="shared" ref="Q189:V189" si="29">Q73*Q$208</f>
        <v>0</v>
      </c>
      <c r="R189" s="35">
        <f t="shared" si="29"/>
        <v>0</v>
      </c>
      <c r="S189" s="35">
        <f t="shared" si="29"/>
        <v>0</v>
      </c>
      <c r="T189" s="35">
        <f t="shared" si="29"/>
        <v>0</v>
      </c>
      <c r="U189" s="35">
        <f t="shared" si="29"/>
        <v>0</v>
      </c>
      <c r="V189" s="35">
        <f t="shared" si="29"/>
        <v>0</v>
      </c>
      <c r="X189" s="40">
        <f>SUM(R189:V189)</f>
        <v>0</v>
      </c>
    </row>
    <row r="190" spans="1:24">
      <c r="B190" s="4" t="str">
        <f t="shared" ref="B190:B203" si="30">IF(B11&lt;&gt;"",B11,"[blank]")</f>
        <v>[blank]</v>
      </c>
      <c r="D190" s="31"/>
      <c r="O190" s="50"/>
      <c r="P190" s="50"/>
      <c r="Q190" s="50"/>
      <c r="R190" s="50"/>
      <c r="S190" s="50"/>
      <c r="T190" s="50"/>
      <c r="U190" s="50"/>
      <c r="V190" s="50"/>
      <c r="X190" s="40">
        <f t="shared" ref="X190:X203" si="31">SUM(R190:V190)</f>
        <v>0</v>
      </c>
    </row>
    <row r="191" spans="1:24">
      <c r="B191" s="4" t="str">
        <f t="shared" si="30"/>
        <v>[blank]</v>
      </c>
      <c r="X191" s="40">
        <f t="shared" si="31"/>
        <v>0</v>
      </c>
    </row>
    <row r="192" spans="1:24">
      <c r="B192" s="4" t="str">
        <f t="shared" si="30"/>
        <v>[blank]</v>
      </c>
      <c r="X192" s="40">
        <f t="shared" si="31"/>
        <v>0</v>
      </c>
    </row>
    <row r="193" spans="2:24">
      <c r="B193" s="4" t="str">
        <f t="shared" si="30"/>
        <v>[blank]</v>
      </c>
      <c r="X193" s="40">
        <f t="shared" si="31"/>
        <v>0</v>
      </c>
    </row>
    <row r="194" spans="2:24">
      <c r="B194" s="4" t="str">
        <f t="shared" si="30"/>
        <v>[blank]</v>
      </c>
      <c r="X194" s="40">
        <f t="shared" si="31"/>
        <v>0</v>
      </c>
    </row>
    <row r="195" spans="2:24">
      <c r="B195" s="4" t="str">
        <f t="shared" si="30"/>
        <v>[blank]</v>
      </c>
      <c r="X195" s="40">
        <f t="shared" si="31"/>
        <v>0</v>
      </c>
    </row>
    <row r="196" spans="2:24">
      <c r="B196" s="4" t="str">
        <f t="shared" si="30"/>
        <v>[blank]</v>
      </c>
      <c r="X196" s="40">
        <f t="shared" si="31"/>
        <v>0</v>
      </c>
    </row>
    <row r="197" spans="2:24">
      <c r="B197" s="4" t="str">
        <f t="shared" si="30"/>
        <v>[blank]</v>
      </c>
      <c r="X197" s="40">
        <f t="shared" si="31"/>
        <v>0</v>
      </c>
    </row>
    <row r="198" spans="2:24">
      <c r="B198" s="4" t="str">
        <f t="shared" si="30"/>
        <v>[blank]</v>
      </c>
      <c r="X198" s="40">
        <f t="shared" si="31"/>
        <v>0</v>
      </c>
    </row>
    <row r="199" spans="2:24">
      <c r="B199" s="4" t="str">
        <f t="shared" si="30"/>
        <v>[blank]</v>
      </c>
      <c r="X199" s="40">
        <f t="shared" si="31"/>
        <v>0</v>
      </c>
    </row>
    <row r="200" spans="2:24">
      <c r="B200" s="4" t="str">
        <f t="shared" si="30"/>
        <v>[blank]</v>
      </c>
      <c r="X200" s="40">
        <f t="shared" si="31"/>
        <v>0</v>
      </c>
    </row>
    <row r="201" spans="2:24">
      <c r="B201" s="4" t="str">
        <f t="shared" si="30"/>
        <v>[blank]</v>
      </c>
      <c r="X201" s="40">
        <f t="shared" si="31"/>
        <v>0</v>
      </c>
    </row>
    <row r="202" spans="2:24">
      <c r="B202" s="4" t="str">
        <f t="shared" si="30"/>
        <v>[blank]</v>
      </c>
      <c r="X202" s="40">
        <f t="shared" si="31"/>
        <v>0</v>
      </c>
    </row>
    <row r="203" spans="2:24">
      <c r="B203" s="4" t="str">
        <f t="shared" si="30"/>
        <v>[blank]</v>
      </c>
      <c r="X203" s="40">
        <f t="shared" si="31"/>
        <v>0</v>
      </c>
    </row>
    <row r="205" spans="2:24" ht="12.75" thickBot="1">
      <c r="B205" s="5" t="s">
        <v>88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2">SUM(Q189:Q203)</f>
        <v>0</v>
      </c>
      <c r="R205" s="37">
        <f t="shared" si="32"/>
        <v>0</v>
      </c>
      <c r="S205" s="37">
        <f t="shared" si="32"/>
        <v>0</v>
      </c>
      <c r="T205" s="37">
        <f t="shared" si="32"/>
        <v>0</v>
      </c>
      <c r="U205" s="37">
        <f t="shared" si="32"/>
        <v>0</v>
      </c>
      <c r="V205" s="37">
        <f t="shared" si="32"/>
        <v>0</v>
      </c>
      <c r="X205" s="37">
        <f t="shared" ref="X205" si="33">SUM(R205:V205)</f>
        <v>0</v>
      </c>
    </row>
    <row r="207" spans="2:24">
      <c r="B207" s="4" t="s">
        <v>92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4">Q89</f>
        <v>0</v>
      </c>
      <c r="R207" s="45">
        <f t="shared" si="34"/>
        <v>0</v>
      </c>
      <c r="S207" s="45">
        <f t="shared" si="34"/>
        <v>0</v>
      </c>
      <c r="T207" s="45">
        <f t="shared" si="34"/>
        <v>0</v>
      </c>
      <c r="U207" s="45">
        <f t="shared" si="34"/>
        <v>0</v>
      </c>
      <c r="V207" s="45">
        <f t="shared" si="34"/>
        <v>0</v>
      </c>
      <c r="W207" s="45"/>
      <c r="X207" s="40">
        <f t="shared" si="34"/>
        <v>0</v>
      </c>
    </row>
    <row r="208" spans="2:24">
      <c r="B208" s="4" t="s">
        <v>90</v>
      </c>
      <c r="H208" s="21" t="str">
        <f>IFERROR(H212/H207,"")</f>
        <v/>
      </c>
      <c r="I208" s="21" t="str">
        <f t="shared" ref="I208:O208" si="35">IFERROR(I212/I207,"")</f>
        <v/>
      </c>
      <c r="J208" s="21" t="str">
        <f t="shared" si="35"/>
        <v/>
      </c>
      <c r="K208" s="21" t="str">
        <f t="shared" si="35"/>
        <v/>
      </c>
      <c r="L208" s="21" t="str">
        <f t="shared" si="35"/>
        <v/>
      </c>
      <c r="M208" s="21" t="str">
        <f t="shared" si="35"/>
        <v/>
      </c>
      <c r="N208" s="21" t="str">
        <f t="shared" si="35"/>
        <v/>
      </c>
      <c r="O208" s="21" t="str">
        <f t="shared" si="35"/>
        <v/>
      </c>
      <c r="P208" s="21">
        <f>'General assumptions'!S51</f>
        <v>0</v>
      </c>
      <c r="Q208" s="21">
        <f>'General assumptions'!T51</f>
        <v>7.4841697077734692E-2</v>
      </c>
      <c r="R208" s="21">
        <f>'General assumptions'!U51</f>
        <v>7.2170809247081261E-2</v>
      </c>
      <c r="S208" s="21">
        <f>'General assumptions'!V51</f>
        <v>7.6263096231367788E-2</v>
      </c>
      <c r="T208" s="21">
        <f>'General assumptions'!W51</f>
        <v>7.7426658716070601E-2</v>
      </c>
      <c r="U208" s="21">
        <f>'General assumptions'!X51</f>
        <v>8.1715682674538839E-2</v>
      </c>
      <c r="V208" s="21">
        <f>'General assumptions'!Y51</f>
        <v>8.4392593946897035E-2</v>
      </c>
      <c r="W208" s="21"/>
    </row>
    <row r="210" spans="1:22" ht="12.75" thickBot="1">
      <c r="B210" s="5" t="s">
        <v>91</v>
      </c>
      <c r="H210" s="37">
        <f t="shared" ref="H210:N210" si="36">IF(H188="forecast",H207*(1+H208),H207+H212)</f>
        <v>0</v>
      </c>
      <c r="I210" s="37">
        <f t="shared" si="36"/>
        <v>0</v>
      </c>
      <c r="J210" s="37">
        <f t="shared" si="36"/>
        <v>0</v>
      </c>
      <c r="K210" s="37">
        <f t="shared" si="36"/>
        <v>0</v>
      </c>
      <c r="L210" s="37">
        <f t="shared" si="36"/>
        <v>0</v>
      </c>
      <c r="M210" s="37">
        <f t="shared" si="36"/>
        <v>0</v>
      </c>
      <c r="N210" s="37">
        <f t="shared" si="36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37">IF(Q188="forecast",Q207*(1+Q208),Q207+Q212)</f>
        <v>0</v>
      </c>
      <c r="R210" s="37">
        <f t="shared" si="37"/>
        <v>0</v>
      </c>
      <c r="S210" s="37">
        <f t="shared" si="37"/>
        <v>0</v>
      </c>
      <c r="T210" s="37">
        <f t="shared" si="37"/>
        <v>0</v>
      </c>
      <c r="U210" s="37">
        <f t="shared" si="37"/>
        <v>0</v>
      </c>
      <c r="V210" s="37">
        <f t="shared" si="37"/>
        <v>0</v>
      </c>
    </row>
    <row r="212" spans="1:22">
      <c r="B212" s="4" t="s">
        <v>18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38">Q210-Q207</f>
        <v>0</v>
      </c>
      <c r="R212" s="45">
        <f t="shared" si="38"/>
        <v>0</v>
      </c>
      <c r="S212" s="45">
        <f t="shared" si="38"/>
        <v>0</v>
      </c>
      <c r="T212" s="45">
        <f t="shared" si="38"/>
        <v>0</v>
      </c>
      <c r="U212" s="45">
        <f t="shared" si="38"/>
        <v>0</v>
      </c>
      <c r="V212" s="45">
        <f t="shared" si="38"/>
        <v>0</v>
      </c>
    </row>
    <row r="214" spans="1:22" s="1" customFormat="1">
      <c r="A214" s="2">
        <v>7</v>
      </c>
      <c r="B214" s="2" t="s">
        <v>74</v>
      </c>
    </row>
    <row r="216" spans="1:22">
      <c r="H216" s="190" t="s">
        <v>52</v>
      </c>
      <c r="I216" s="190"/>
      <c r="J216" s="190"/>
      <c r="K216" s="190"/>
      <c r="L216" s="190"/>
      <c r="M216" s="190" t="s">
        <v>53</v>
      </c>
      <c r="N216" s="190"/>
      <c r="O216" s="190"/>
      <c r="P216" s="190"/>
      <c r="Q216" s="190"/>
      <c r="R216" s="190" t="s">
        <v>54</v>
      </c>
      <c r="S216" s="190"/>
      <c r="T216" s="190"/>
      <c r="U216" s="190"/>
      <c r="V216" s="190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55</v>
      </c>
      <c r="H218" s="16" t="s">
        <v>12</v>
      </c>
      <c r="I218" s="16" t="s">
        <v>12</v>
      </c>
      <c r="J218" s="16" t="s">
        <v>12</v>
      </c>
      <c r="K218" s="16" t="s">
        <v>12</v>
      </c>
      <c r="L218" s="16" t="s">
        <v>12</v>
      </c>
      <c r="M218" s="16" t="s">
        <v>12</v>
      </c>
      <c r="N218" s="16" t="s">
        <v>12</v>
      </c>
      <c r="O218" s="16" t="s">
        <v>12</v>
      </c>
      <c r="P218" s="16" t="s">
        <v>13</v>
      </c>
      <c r="Q218" s="16" t="s">
        <v>13</v>
      </c>
      <c r="R218" s="16" t="s">
        <v>13</v>
      </c>
      <c r="S218" s="16" t="s">
        <v>13</v>
      </c>
      <c r="T218" s="16" t="s">
        <v>13</v>
      </c>
      <c r="U218" s="16" t="s">
        <v>13</v>
      </c>
      <c r="V218" s="16" t="s">
        <v>13</v>
      </c>
    </row>
    <row r="219" spans="1:22">
      <c r="B219" s="5" t="s">
        <v>94</v>
      </c>
      <c r="D219" s="31" t="s">
        <v>105</v>
      </c>
      <c r="H219" s="4" t="str">
        <f t="shared" ref="H219:O219" si="39">IFERROR(-H238/H210,"")</f>
        <v/>
      </c>
      <c r="I219" s="4" t="str">
        <f t="shared" si="39"/>
        <v/>
      </c>
      <c r="J219" s="4" t="str">
        <f t="shared" si="39"/>
        <v/>
      </c>
      <c r="K219" s="4" t="str">
        <f t="shared" si="39"/>
        <v/>
      </c>
      <c r="L219" s="4" t="str">
        <f t="shared" si="39"/>
        <v/>
      </c>
      <c r="M219" s="4" t="str">
        <f t="shared" si="39"/>
        <v/>
      </c>
      <c r="N219" s="4" t="str">
        <f t="shared" si="39"/>
        <v/>
      </c>
      <c r="O219" s="4" t="str">
        <f t="shared" si="39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46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[blank]</v>
      </c>
      <c r="D222" s="31" t="s">
        <v>60</v>
      </c>
      <c r="P222" s="45">
        <f>(-P73*(1+P$208))*P$219</f>
        <v>0</v>
      </c>
      <c r="Q222" s="45">
        <f t="shared" ref="Q222:V222" si="40">(-Q73*(1+Q$208))*Q$219</f>
        <v>0</v>
      </c>
      <c r="R222" s="45">
        <f t="shared" si="40"/>
        <v>0</v>
      </c>
      <c r="S222" s="45">
        <f t="shared" si="40"/>
        <v>0</v>
      </c>
      <c r="T222" s="45">
        <f t="shared" si="40"/>
        <v>0</v>
      </c>
      <c r="U222" s="45">
        <f t="shared" si="40"/>
        <v>0</v>
      </c>
      <c r="V222" s="45">
        <f t="shared" si="40"/>
        <v>0</v>
      </c>
    </row>
    <row r="223" spans="1:22">
      <c r="B223" s="4" t="str">
        <f t="shared" ref="B223:B236" si="41">IF(B11&lt;&gt;"",B11,"[blank]")</f>
        <v>[blank]</v>
      </c>
      <c r="D223" s="31"/>
      <c r="P223" s="45"/>
      <c r="Q223" s="45"/>
      <c r="R223" s="45"/>
      <c r="S223" s="45"/>
      <c r="T223" s="45"/>
      <c r="U223" s="45"/>
      <c r="V223" s="45"/>
    </row>
    <row r="224" spans="1:22">
      <c r="B224" s="4" t="str">
        <f t="shared" si="41"/>
        <v>[blank]</v>
      </c>
      <c r="P224" s="45"/>
      <c r="Q224" s="45"/>
      <c r="R224" s="45"/>
      <c r="S224" s="45"/>
      <c r="T224" s="45"/>
      <c r="U224" s="45"/>
      <c r="V224" s="45"/>
    </row>
    <row r="225" spans="1:22">
      <c r="B225" s="4" t="str">
        <f t="shared" si="41"/>
        <v>[blank]</v>
      </c>
      <c r="P225" s="45"/>
      <c r="Q225" s="45"/>
      <c r="R225" s="45"/>
      <c r="S225" s="45"/>
      <c r="T225" s="45"/>
      <c r="U225" s="45"/>
      <c r="V225" s="45"/>
    </row>
    <row r="226" spans="1:22">
      <c r="B226" s="4" t="str">
        <f t="shared" si="41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41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41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41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41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41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41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41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41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41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41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93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2">-P219*P210</f>
        <v>0</v>
      </c>
      <c r="Q238" s="37">
        <f t="shared" si="42"/>
        <v>0</v>
      </c>
      <c r="R238" s="37">
        <f t="shared" si="42"/>
        <v>0</v>
      </c>
      <c r="S238" s="37">
        <f t="shared" si="42"/>
        <v>0</v>
      </c>
      <c r="T238" s="37">
        <f t="shared" si="42"/>
        <v>0</v>
      </c>
      <c r="U238" s="37">
        <f t="shared" si="42"/>
        <v>0</v>
      </c>
      <c r="V238" s="37">
        <f t="shared" si="42"/>
        <v>0</v>
      </c>
    </row>
    <row r="240" spans="1:22" s="1" customFormat="1">
      <c r="A240" s="2">
        <v>8</v>
      </c>
      <c r="B240" s="2" t="s">
        <v>75</v>
      </c>
    </row>
    <row r="242" spans="1:22">
      <c r="H242" s="190" t="s">
        <v>52</v>
      </c>
      <c r="I242" s="190"/>
      <c r="J242" s="190"/>
      <c r="K242" s="190"/>
      <c r="L242" s="190"/>
      <c r="M242" s="190" t="s">
        <v>53</v>
      </c>
      <c r="N242" s="190"/>
      <c r="O242" s="190"/>
      <c r="P242" s="190"/>
      <c r="Q242" s="190"/>
      <c r="R242" s="190" t="s">
        <v>54</v>
      </c>
      <c r="S242" s="190"/>
      <c r="T242" s="190"/>
      <c r="U242" s="190"/>
      <c r="V242" s="190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55</v>
      </c>
      <c r="H244" s="16" t="s">
        <v>12</v>
      </c>
      <c r="I244" s="16" t="s">
        <v>12</v>
      </c>
      <c r="J244" s="16" t="s">
        <v>12</v>
      </c>
      <c r="K244" s="16" t="s">
        <v>12</v>
      </c>
      <c r="L244" s="16" t="s">
        <v>12</v>
      </c>
      <c r="M244" s="16" t="s">
        <v>12</v>
      </c>
      <c r="N244" s="16" t="s">
        <v>12</v>
      </c>
      <c r="O244" s="16" t="s">
        <v>12</v>
      </c>
      <c r="P244" s="16" t="s">
        <v>13</v>
      </c>
      <c r="Q244" s="16" t="s">
        <v>13</v>
      </c>
      <c r="R244" s="16" t="s">
        <v>13</v>
      </c>
      <c r="S244" s="16" t="s">
        <v>13</v>
      </c>
      <c r="T244" s="16" t="s">
        <v>13</v>
      </c>
      <c r="U244" s="16" t="s">
        <v>13</v>
      </c>
      <c r="V244" s="16" t="s">
        <v>13</v>
      </c>
    </row>
    <row r="245" spans="1:22">
      <c r="B245" s="38" t="s">
        <v>96</v>
      </c>
      <c r="D245" s="31"/>
    </row>
    <row r="246" spans="1:22">
      <c r="B246" s="47" t="s">
        <v>97</v>
      </c>
      <c r="D246" s="31" t="s">
        <v>60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98</v>
      </c>
      <c r="D247" s="31" t="s">
        <v>60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99</v>
      </c>
      <c r="D248" s="31" t="s">
        <v>60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100</v>
      </c>
      <c r="D249" s="31" t="s">
        <v>60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101</v>
      </c>
      <c r="D250" s="31" t="s">
        <v>60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102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3">SUM(Q246:Q250)</f>
        <v>0</v>
      </c>
      <c r="R252" s="49">
        <f t="shared" si="43"/>
        <v>0</v>
      </c>
      <c r="S252" s="49">
        <f t="shared" si="43"/>
        <v>0</v>
      </c>
      <c r="T252" s="49">
        <f t="shared" si="43"/>
        <v>0</v>
      </c>
      <c r="U252" s="49">
        <f t="shared" si="43"/>
        <v>0</v>
      </c>
      <c r="V252" s="49">
        <f t="shared" si="43"/>
        <v>0</v>
      </c>
    </row>
    <row r="254" spans="1:22" s="1" customFormat="1">
      <c r="A254" s="2">
        <v>9</v>
      </c>
      <c r="B254" s="2" t="s">
        <v>103</v>
      </c>
    </row>
    <row r="256" spans="1:22">
      <c r="H256" s="190" t="s">
        <v>52</v>
      </c>
      <c r="I256" s="190"/>
      <c r="J256" s="190"/>
      <c r="K256" s="190"/>
      <c r="L256" s="190"/>
      <c r="M256" s="190" t="s">
        <v>53</v>
      </c>
      <c r="N256" s="190"/>
      <c r="O256" s="190"/>
      <c r="P256" s="190"/>
      <c r="Q256" s="190"/>
      <c r="R256" s="190" t="s">
        <v>54</v>
      </c>
      <c r="S256" s="190"/>
      <c r="T256" s="190"/>
      <c r="U256" s="190"/>
      <c r="V256" s="190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55</v>
      </c>
      <c r="H258" s="16" t="s">
        <v>12</v>
      </c>
      <c r="I258" s="16" t="s">
        <v>12</v>
      </c>
      <c r="J258" s="16" t="s">
        <v>12</v>
      </c>
      <c r="K258" s="16" t="s">
        <v>12</v>
      </c>
      <c r="L258" s="16" t="s">
        <v>12</v>
      </c>
      <c r="M258" s="16" t="s">
        <v>12</v>
      </c>
      <c r="N258" s="16" t="s">
        <v>12</v>
      </c>
      <c r="O258" s="16" t="s">
        <v>12</v>
      </c>
      <c r="P258" s="16" t="s">
        <v>13</v>
      </c>
      <c r="Q258" s="16" t="s">
        <v>13</v>
      </c>
      <c r="R258" s="16" t="s">
        <v>13</v>
      </c>
      <c r="S258" s="16" t="s">
        <v>13</v>
      </c>
      <c r="T258" s="16" t="s">
        <v>13</v>
      </c>
      <c r="U258" s="16" t="s">
        <v>13</v>
      </c>
      <c r="V258" s="16" t="s">
        <v>13</v>
      </c>
    </row>
    <row r="259" spans="1:22">
      <c r="B259" s="4" t="s">
        <v>104</v>
      </c>
      <c r="D259" s="31" t="s">
        <v>60</v>
      </c>
      <c r="H259" s="45">
        <f t="shared" ref="H259:V259" si="44">H210</f>
        <v>0</v>
      </c>
      <c r="I259" s="45">
        <f t="shared" si="44"/>
        <v>0</v>
      </c>
      <c r="J259" s="45">
        <f t="shared" si="44"/>
        <v>0</v>
      </c>
      <c r="K259" s="45">
        <f t="shared" si="44"/>
        <v>0</v>
      </c>
      <c r="L259" s="45">
        <f t="shared" si="44"/>
        <v>0</v>
      </c>
      <c r="M259" s="45">
        <f t="shared" si="44"/>
        <v>0</v>
      </c>
      <c r="N259" s="45">
        <f t="shared" si="44"/>
        <v>0</v>
      </c>
      <c r="O259" s="45">
        <f t="shared" si="44"/>
        <v>0</v>
      </c>
      <c r="P259" s="45">
        <f t="shared" si="44"/>
        <v>0</v>
      </c>
      <c r="Q259" s="45">
        <f t="shared" si="44"/>
        <v>0</v>
      </c>
      <c r="R259" s="45">
        <f t="shared" si="44"/>
        <v>0</v>
      </c>
      <c r="S259" s="45">
        <f t="shared" si="44"/>
        <v>0</v>
      </c>
      <c r="T259" s="45">
        <f t="shared" si="44"/>
        <v>0</v>
      </c>
      <c r="U259" s="45">
        <f t="shared" si="44"/>
        <v>0</v>
      </c>
      <c r="V259" s="45">
        <f t="shared" si="44"/>
        <v>0</v>
      </c>
    </row>
    <row r="260" spans="1:22">
      <c r="B260" s="4" t="s">
        <v>74</v>
      </c>
      <c r="D260" s="31" t="s">
        <v>60</v>
      </c>
      <c r="H260" s="45">
        <f>H238</f>
        <v>0</v>
      </c>
      <c r="I260" s="45">
        <f t="shared" ref="I260:V260" si="45">I238</f>
        <v>0</v>
      </c>
      <c r="J260" s="45">
        <f t="shared" si="45"/>
        <v>0</v>
      </c>
      <c r="K260" s="45">
        <f t="shared" si="45"/>
        <v>0</v>
      </c>
      <c r="L260" s="45">
        <f t="shared" si="45"/>
        <v>0</v>
      </c>
      <c r="M260" s="45">
        <f t="shared" si="45"/>
        <v>0</v>
      </c>
      <c r="N260" s="45">
        <f t="shared" si="45"/>
        <v>0</v>
      </c>
      <c r="O260" s="45">
        <f t="shared" si="45"/>
        <v>0</v>
      </c>
      <c r="P260" s="45">
        <f t="shared" si="45"/>
        <v>0</v>
      </c>
      <c r="Q260" s="45">
        <f t="shared" si="45"/>
        <v>0</v>
      </c>
      <c r="R260" s="45">
        <f t="shared" si="45"/>
        <v>0</v>
      </c>
      <c r="S260" s="45">
        <f t="shared" si="45"/>
        <v>0</v>
      </c>
      <c r="T260" s="45">
        <f t="shared" si="45"/>
        <v>0</v>
      </c>
      <c r="U260" s="45">
        <f t="shared" si="45"/>
        <v>0</v>
      </c>
      <c r="V260" s="45">
        <f t="shared" si="45"/>
        <v>0</v>
      </c>
    </row>
    <row r="261" spans="1:22">
      <c r="B261" s="4" t="s">
        <v>75</v>
      </c>
      <c r="D261" s="31" t="s">
        <v>60</v>
      </c>
      <c r="H261" s="45">
        <f>H252</f>
        <v>0</v>
      </c>
      <c r="I261" s="45">
        <f t="shared" ref="I261:V261" si="46">I252</f>
        <v>0</v>
      </c>
      <c r="J261" s="45">
        <f t="shared" si="46"/>
        <v>0</v>
      </c>
      <c r="K261" s="45">
        <f t="shared" si="46"/>
        <v>0</v>
      </c>
      <c r="L261" s="45">
        <f t="shared" si="46"/>
        <v>0</v>
      </c>
      <c r="M261" s="45">
        <f t="shared" si="46"/>
        <v>0</v>
      </c>
      <c r="N261" s="45">
        <f t="shared" si="46"/>
        <v>0</v>
      </c>
      <c r="O261" s="45">
        <f t="shared" si="46"/>
        <v>0</v>
      </c>
      <c r="P261" s="45">
        <f t="shared" si="46"/>
        <v>0</v>
      </c>
      <c r="Q261" s="45">
        <f t="shared" si="46"/>
        <v>0</v>
      </c>
      <c r="R261" s="45">
        <f t="shared" si="46"/>
        <v>0</v>
      </c>
      <c r="S261" s="45">
        <f t="shared" si="46"/>
        <v>0</v>
      </c>
      <c r="T261" s="45">
        <f t="shared" si="46"/>
        <v>0</v>
      </c>
      <c r="U261" s="45">
        <f t="shared" si="46"/>
        <v>0</v>
      </c>
      <c r="V261" s="45">
        <f t="shared" si="46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103</v>
      </c>
      <c r="D263" s="31" t="s">
        <v>60</v>
      </c>
      <c r="H263" s="37">
        <f>SUM(H259:H261)</f>
        <v>0</v>
      </c>
      <c r="I263" s="37">
        <f t="shared" ref="I263:V263" si="47">SUM(I259:I261)</f>
        <v>0</v>
      </c>
      <c r="J263" s="37">
        <f t="shared" si="47"/>
        <v>0</v>
      </c>
      <c r="K263" s="37">
        <f t="shared" si="47"/>
        <v>0</v>
      </c>
      <c r="L263" s="37">
        <f t="shared" si="47"/>
        <v>0</v>
      </c>
      <c r="M263" s="37">
        <f t="shared" si="47"/>
        <v>0</v>
      </c>
      <c r="N263" s="37">
        <f t="shared" si="47"/>
        <v>0</v>
      </c>
      <c r="O263" s="37">
        <f t="shared" si="47"/>
        <v>0</v>
      </c>
      <c r="P263" s="37">
        <f t="shared" si="47"/>
        <v>0</v>
      </c>
      <c r="Q263" s="37">
        <f t="shared" si="47"/>
        <v>0</v>
      </c>
      <c r="R263" s="37">
        <f t="shared" si="47"/>
        <v>0</v>
      </c>
      <c r="S263" s="37">
        <f t="shared" si="47"/>
        <v>0</v>
      </c>
      <c r="T263" s="37">
        <f t="shared" si="47"/>
        <v>0</v>
      </c>
      <c r="U263" s="37">
        <f t="shared" si="47"/>
        <v>0</v>
      </c>
      <c r="V263" s="37">
        <f t="shared" si="47"/>
        <v>0</v>
      </c>
    </row>
    <row r="264" spans="1:22">
      <c r="D264" s="31"/>
    </row>
    <row r="266" spans="1:22" s="66" customFormat="1">
      <c r="A266" s="65">
        <v>10</v>
      </c>
      <c r="B266" s="65" t="s">
        <v>121</v>
      </c>
    </row>
    <row r="268" spans="1:22">
      <c r="B268" s="69" t="s">
        <v>120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317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48">IFERROR(SUMPRODUCT($Z$73:$Z$87,Q$73:Q$87)/SUM(Q$73:Q$87)*Q$89,0)</f>
        <v>0</v>
      </c>
      <c r="R276" s="57">
        <f t="shared" si="48"/>
        <v>0</v>
      </c>
      <c r="S276" s="57">
        <f t="shared" si="48"/>
        <v>0</v>
      </c>
      <c r="T276" s="57">
        <f t="shared" si="48"/>
        <v>0</v>
      </c>
      <c r="U276" s="57">
        <f t="shared" si="48"/>
        <v>0</v>
      </c>
      <c r="V276" s="62">
        <f t="shared" si="48"/>
        <v>0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49">IFERROR(SUMPRODUCT($AA$73:$AA$87,Q$73:Q$87)/SUM(Q$73:Q$87)*Q$89,0)</f>
        <v>0</v>
      </c>
      <c r="R277" s="57">
        <f t="shared" si="49"/>
        <v>0</v>
      </c>
      <c r="S277" s="57">
        <f t="shared" si="49"/>
        <v>0</v>
      </c>
      <c r="T277" s="57">
        <f t="shared" si="49"/>
        <v>0</v>
      </c>
      <c r="U277" s="57">
        <f t="shared" si="49"/>
        <v>0</v>
      </c>
      <c r="V277" s="62">
        <f t="shared" si="49"/>
        <v>0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0">IFERROR(SUMPRODUCT($AB$73:$AB$87,Q$73:Q$87)/SUM(Q$73:Q$87)*Q$89,0)</f>
        <v>0</v>
      </c>
      <c r="R278" s="57">
        <f t="shared" si="50"/>
        <v>0</v>
      </c>
      <c r="S278" s="57">
        <f t="shared" si="50"/>
        <v>0</v>
      </c>
      <c r="T278" s="57">
        <f t="shared" si="50"/>
        <v>0</v>
      </c>
      <c r="U278" s="57">
        <f t="shared" si="50"/>
        <v>0</v>
      </c>
      <c r="V278" s="62">
        <f t="shared" si="50"/>
        <v>0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1">IFERROR(SUMPRODUCT($AC$73:$AC$87,Q$73:Q$87)/SUM(Q$73:Q$87)*Q$89,0)</f>
        <v>0</v>
      </c>
      <c r="R279" s="57">
        <f t="shared" si="51"/>
        <v>0</v>
      </c>
      <c r="S279" s="57">
        <f t="shared" si="51"/>
        <v>0</v>
      </c>
      <c r="T279" s="57">
        <f t="shared" si="51"/>
        <v>0</v>
      </c>
      <c r="U279" s="57">
        <f t="shared" si="51"/>
        <v>0</v>
      </c>
      <c r="V279" s="62">
        <f t="shared" si="51"/>
        <v>0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2">IFERROR(SUMPRODUCT($AD$73:$AD$87,Q$73:Q$87)/SUM(Q$73:Q$87)*Q$89,0)</f>
        <v>0</v>
      </c>
      <c r="R280" s="57">
        <f t="shared" si="52"/>
        <v>0</v>
      </c>
      <c r="S280" s="57">
        <f t="shared" si="52"/>
        <v>0</v>
      </c>
      <c r="T280" s="57">
        <f t="shared" si="52"/>
        <v>0</v>
      </c>
      <c r="U280" s="57">
        <f t="shared" si="52"/>
        <v>0</v>
      </c>
      <c r="V280" s="62">
        <f t="shared" si="52"/>
        <v>0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53">IFERROR(SUMPRODUCT($AE$73:$AE$87,Q$73:Q$87)/SUM(Q$73:Q$87)*Q$89,0)</f>
        <v>0</v>
      </c>
      <c r="R281" s="57">
        <f t="shared" si="53"/>
        <v>0</v>
      </c>
      <c r="S281" s="57">
        <f t="shared" si="53"/>
        <v>0</v>
      </c>
      <c r="T281" s="57">
        <f t="shared" si="53"/>
        <v>0</v>
      </c>
      <c r="U281" s="57">
        <f t="shared" si="53"/>
        <v>0</v>
      </c>
      <c r="V281" s="62">
        <f t="shared" si="53"/>
        <v>0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54">IFERROR(SUMPRODUCT($AF$73:$AF$87,Q$73:Q$87)/SUM(Q$73:Q$87)*Q$89,0)</f>
        <v>0</v>
      </c>
      <c r="R282" s="57">
        <f t="shared" si="54"/>
        <v>0</v>
      </c>
      <c r="S282" s="57">
        <f t="shared" si="54"/>
        <v>0</v>
      </c>
      <c r="T282" s="57">
        <f t="shared" si="54"/>
        <v>0</v>
      </c>
      <c r="U282" s="57">
        <f t="shared" si="54"/>
        <v>0</v>
      </c>
      <c r="V282" s="62">
        <f t="shared" si="54"/>
        <v>0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55">IFERROR(SUMPRODUCT($AG$73:$AG$87,Q$73:Q$87)/SUM(Q$73:Q$87)*Q$89,0)</f>
        <v>0</v>
      </c>
      <c r="R283" s="57">
        <f t="shared" si="55"/>
        <v>0</v>
      </c>
      <c r="S283" s="57">
        <f t="shared" si="55"/>
        <v>0</v>
      </c>
      <c r="T283" s="57">
        <f t="shared" si="55"/>
        <v>0</v>
      </c>
      <c r="U283" s="57">
        <f t="shared" si="55"/>
        <v>0</v>
      </c>
      <c r="V283" s="62">
        <f t="shared" si="55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56">IFERROR(SUMPRODUCT($AH$73:$AH$87,Q$73:Q$87)/SUM(Q$73:Q$87)*Q$89,0)</f>
        <v>0</v>
      </c>
      <c r="R284" s="57">
        <f t="shared" si="56"/>
        <v>0</v>
      </c>
      <c r="S284" s="57">
        <f t="shared" si="56"/>
        <v>0</v>
      </c>
      <c r="T284" s="57">
        <f t="shared" si="56"/>
        <v>0</v>
      </c>
      <c r="U284" s="57">
        <f t="shared" si="56"/>
        <v>0</v>
      </c>
      <c r="V284" s="62">
        <f t="shared" si="56"/>
        <v>0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57">IFERROR(SUMPRODUCT($AI$73:$AI$87,Q$73:Q$87)/SUM(Q$73:Q$87)*Q$89,0)</f>
        <v>0</v>
      </c>
      <c r="R285" s="57">
        <f t="shared" si="57"/>
        <v>0</v>
      </c>
      <c r="S285" s="57">
        <f t="shared" si="57"/>
        <v>0</v>
      </c>
      <c r="T285" s="57">
        <f t="shared" si="57"/>
        <v>0</v>
      </c>
      <c r="U285" s="57">
        <f t="shared" si="57"/>
        <v>0</v>
      </c>
      <c r="V285" s="62">
        <f t="shared" si="57"/>
        <v>0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58">IFERROR(SUMPRODUCT($AJ$73:$AJ$87,Q$73:Q$87)/SUM(Q$73:Q$87)*Q$89,0)</f>
        <v>0</v>
      </c>
      <c r="R286" s="57">
        <f t="shared" si="58"/>
        <v>0</v>
      </c>
      <c r="S286" s="57">
        <f t="shared" si="58"/>
        <v>0</v>
      </c>
      <c r="T286" s="57">
        <f t="shared" si="58"/>
        <v>0</v>
      </c>
      <c r="U286" s="57">
        <f t="shared" si="58"/>
        <v>0</v>
      </c>
      <c r="V286" s="62">
        <f t="shared" si="58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59">SUM(Q276:Q286)</f>
        <v>0</v>
      </c>
      <c r="R288" s="37">
        <f t="shared" si="59"/>
        <v>0</v>
      </c>
      <c r="S288" s="37">
        <f t="shared" si="59"/>
        <v>0</v>
      </c>
      <c r="T288" s="37">
        <f t="shared" si="59"/>
        <v>0</v>
      </c>
      <c r="U288" s="37">
        <f t="shared" si="59"/>
        <v>0</v>
      </c>
      <c r="V288" s="64">
        <f t="shared" si="59"/>
        <v>0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246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0">P276*(1+P$208)</f>
        <v>0</v>
      </c>
      <c r="Q297" s="57">
        <f t="shared" si="60"/>
        <v>0</v>
      </c>
      <c r="R297" s="57">
        <f t="shared" si="60"/>
        <v>0</v>
      </c>
      <c r="S297" s="57">
        <f t="shared" si="60"/>
        <v>0</v>
      </c>
      <c r="T297" s="57">
        <f t="shared" si="60"/>
        <v>0</v>
      </c>
      <c r="U297" s="57">
        <f t="shared" si="60"/>
        <v>0</v>
      </c>
      <c r="V297" s="62">
        <f t="shared" si="60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0"/>
        <v>0</v>
      </c>
      <c r="Q298" s="57">
        <f t="shared" si="60"/>
        <v>0</v>
      </c>
      <c r="R298" s="57">
        <f t="shared" si="60"/>
        <v>0</v>
      </c>
      <c r="S298" s="57">
        <f t="shared" si="60"/>
        <v>0</v>
      </c>
      <c r="T298" s="57">
        <f t="shared" si="60"/>
        <v>0</v>
      </c>
      <c r="U298" s="57">
        <f t="shared" si="60"/>
        <v>0</v>
      </c>
      <c r="V298" s="62">
        <f t="shared" si="60"/>
        <v>0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0"/>
        <v>0</v>
      </c>
      <c r="Q299" s="57">
        <f t="shared" si="60"/>
        <v>0</v>
      </c>
      <c r="R299" s="57">
        <f t="shared" si="60"/>
        <v>0</v>
      </c>
      <c r="S299" s="57">
        <f t="shared" si="60"/>
        <v>0</v>
      </c>
      <c r="T299" s="57">
        <f t="shared" si="60"/>
        <v>0</v>
      </c>
      <c r="U299" s="57">
        <f t="shared" si="60"/>
        <v>0</v>
      </c>
      <c r="V299" s="62">
        <f t="shared" si="60"/>
        <v>0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0"/>
        <v>0</v>
      </c>
      <c r="Q300" s="57">
        <f t="shared" si="60"/>
        <v>0</v>
      </c>
      <c r="R300" s="57">
        <f t="shared" si="60"/>
        <v>0</v>
      </c>
      <c r="S300" s="57">
        <f t="shared" si="60"/>
        <v>0</v>
      </c>
      <c r="T300" s="57">
        <f t="shared" si="60"/>
        <v>0</v>
      </c>
      <c r="U300" s="57">
        <f t="shared" si="60"/>
        <v>0</v>
      </c>
      <c r="V300" s="62">
        <f t="shared" si="60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0"/>
        <v>0</v>
      </c>
      <c r="Q301" s="57">
        <f t="shared" si="60"/>
        <v>0</v>
      </c>
      <c r="R301" s="57">
        <f t="shared" si="60"/>
        <v>0</v>
      </c>
      <c r="S301" s="57">
        <f t="shared" si="60"/>
        <v>0</v>
      </c>
      <c r="T301" s="57">
        <f t="shared" si="60"/>
        <v>0</v>
      </c>
      <c r="U301" s="57">
        <f t="shared" si="60"/>
        <v>0</v>
      </c>
      <c r="V301" s="62">
        <f t="shared" si="60"/>
        <v>0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0"/>
        <v>0</v>
      </c>
      <c r="Q302" s="57">
        <f t="shared" si="60"/>
        <v>0</v>
      </c>
      <c r="R302" s="57">
        <f t="shared" si="60"/>
        <v>0</v>
      </c>
      <c r="S302" s="57">
        <f t="shared" si="60"/>
        <v>0</v>
      </c>
      <c r="T302" s="57">
        <f t="shared" si="60"/>
        <v>0</v>
      </c>
      <c r="U302" s="57">
        <f t="shared" si="60"/>
        <v>0</v>
      </c>
      <c r="V302" s="62">
        <f t="shared" si="60"/>
        <v>0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0"/>
        <v>0</v>
      </c>
      <c r="Q303" s="57">
        <f t="shared" si="60"/>
        <v>0</v>
      </c>
      <c r="R303" s="57">
        <f t="shared" si="60"/>
        <v>0</v>
      </c>
      <c r="S303" s="57">
        <f t="shared" si="60"/>
        <v>0</v>
      </c>
      <c r="T303" s="57">
        <f t="shared" si="60"/>
        <v>0</v>
      </c>
      <c r="U303" s="57">
        <f t="shared" si="60"/>
        <v>0</v>
      </c>
      <c r="V303" s="62">
        <f t="shared" si="60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0"/>
        <v>0</v>
      </c>
      <c r="Q304" s="57">
        <f t="shared" si="60"/>
        <v>0</v>
      </c>
      <c r="R304" s="57">
        <f t="shared" si="60"/>
        <v>0</v>
      </c>
      <c r="S304" s="57">
        <f t="shared" si="60"/>
        <v>0</v>
      </c>
      <c r="T304" s="57">
        <f t="shared" si="60"/>
        <v>0</v>
      </c>
      <c r="U304" s="57">
        <f t="shared" si="60"/>
        <v>0</v>
      </c>
      <c r="V304" s="62">
        <f t="shared" si="60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0"/>
        <v>0</v>
      </c>
      <c r="Q305" s="57">
        <f t="shared" si="60"/>
        <v>0</v>
      </c>
      <c r="R305" s="57">
        <f t="shared" si="60"/>
        <v>0</v>
      </c>
      <c r="S305" s="57">
        <f t="shared" si="60"/>
        <v>0</v>
      </c>
      <c r="T305" s="57">
        <f t="shared" si="60"/>
        <v>0</v>
      </c>
      <c r="U305" s="57">
        <f t="shared" si="60"/>
        <v>0</v>
      </c>
      <c r="V305" s="62">
        <f t="shared" si="60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0"/>
        <v>0</v>
      </c>
      <c r="Q306" s="57">
        <f t="shared" si="60"/>
        <v>0</v>
      </c>
      <c r="R306" s="57">
        <f t="shared" si="60"/>
        <v>0</v>
      </c>
      <c r="S306" s="57">
        <f t="shared" si="60"/>
        <v>0</v>
      </c>
      <c r="T306" s="57">
        <f t="shared" si="60"/>
        <v>0</v>
      </c>
      <c r="U306" s="57">
        <f t="shared" si="60"/>
        <v>0</v>
      </c>
      <c r="V306" s="62">
        <f t="shared" si="60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0"/>
        <v>0</v>
      </c>
      <c r="Q307" s="57">
        <f t="shared" si="60"/>
        <v>0</v>
      </c>
      <c r="R307" s="57">
        <f t="shared" si="60"/>
        <v>0</v>
      </c>
      <c r="S307" s="57">
        <f t="shared" si="60"/>
        <v>0</v>
      </c>
      <c r="T307" s="57">
        <f t="shared" si="60"/>
        <v>0</v>
      </c>
      <c r="U307" s="57">
        <f t="shared" si="60"/>
        <v>0</v>
      </c>
      <c r="V307" s="62">
        <f t="shared" si="60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1">SUM(Q297:Q307)</f>
        <v>0</v>
      </c>
      <c r="R309" s="37">
        <f t="shared" si="61"/>
        <v>0</v>
      </c>
      <c r="S309" s="37">
        <f t="shared" si="61"/>
        <v>0</v>
      </c>
      <c r="T309" s="37">
        <f t="shared" si="61"/>
        <v>0</v>
      </c>
      <c r="U309" s="37">
        <f t="shared" si="61"/>
        <v>0</v>
      </c>
      <c r="V309" s="64">
        <f t="shared" si="61"/>
        <v>0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247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2">P297*(1-P$219)</f>
        <v>0</v>
      </c>
      <c r="Q318" s="57">
        <f t="shared" si="62"/>
        <v>0</v>
      </c>
      <c r="R318" s="57">
        <f t="shared" si="62"/>
        <v>0</v>
      </c>
      <c r="S318" s="57">
        <f t="shared" si="62"/>
        <v>0</v>
      </c>
      <c r="T318" s="57">
        <f t="shared" si="62"/>
        <v>0</v>
      </c>
      <c r="U318" s="57">
        <f t="shared" si="62"/>
        <v>0</v>
      </c>
      <c r="V318" s="62">
        <f t="shared" si="62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2"/>
        <v>0</v>
      </c>
      <c r="Q319" s="57">
        <f t="shared" si="62"/>
        <v>0</v>
      </c>
      <c r="R319" s="57">
        <f t="shared" si="62"/>
        <v>0</v>
      </c>
      <c r="S319" s="57">
        <f t="shared" si="62"/>
        <v>0</v>
      </c>
      <c r="T319" s="57">
        <f t="shared" si="62"/>
        <v>0</v>
      </c>
      <c r="U319" s="57">
        <f t="shared" si="62"/>
        <v>0</v>
      </c>
      <c r="V319" s="62">
        <f t="shared" si="62"/>
        <v>0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2"/>
        <v>0</v>
      </c>
      <c r="Q320" s="57">
        <f t="shared" si="62"/>
        <v>0</v>
      </c>
      <c r="R320" s="57">
        <f t="shared" si="62"/>
        <v>0</v>
      </c>
      <c r="S320" s="57">
        <f t="shared" si="62"/>
        <v>0</v>
      </c>
      <c r="T320" s="57">
        <f t="shared" si="62"/>
        <v>0</v>
      </c>
      <c r="U320" s="57">
        <f t="shared" si="62"/>
        <v>0</v>
      </c>
      <c r="V320" s="62">
        <f t="shared" si="62"/>
        <v>0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2"/>
        <v>0</v>
      </c>
      <c r="Q321" s="57">
        <f t="shared" si="62"/>
        <v>0</v>
      </c>
      <c r="R321" s="57">
        <f t="shared" si="62"/>
        <v>0</v>
      </c>
      <c r="S321" s="57">
        <f t="shared" si="62"/>
        <v>0</v>
      </c>
      <c r="T321" s="57">
        <f t="shared" si="62"/>
        <v>0</v>
      </c>
      <c r="U321" s="57">
        <f t="shared" si="62"/>
        <v>0</v>
      </c>
      <c r="V321" s="62">
        <f t="shared" si="62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2"/>
        <v>0</v>
      </c>
      <c r="Q322" s="57">
        <f t="shared" si="62"/>
        <v>0</v>
      </c>
      <c r="R322" s="57">
        <f t="shared" si="62"/>
        <v>0</v>
      </c>
      <c r="S322" s="57">
        <f t="shared" si="62"/>
        <v>0</v>
      </c>
      <c r="T322" s="57">
        <f t="shared" si="62"/>
        <v>0</v>
      </c>
      <c r="U322" s="57">
        <f t="shared" si="62"/>
        <v>0</v>
      </c>
      <c r="V322" s="62">
        <f t="shared" si="62"/>
        <v>0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2"/>
        <v>0</v>
      </c>
      <c r="Q323" s="57">
        <f t="shared" si="62"/>
        <v>0</v>
      </c>
      <c r="R323" s="57">
        <f t="shared" si="62"/>
        <v>0</v>
      </c>
      <c r="S323" s="57">
        <f t="shared" si="62"/>
        <v>0</v>
      </c>
      <c r="T323" s="57">
        <f t="shared" si="62"/>
        <v>0</v>
      </c>
      <c r="U323" s="57">
        <f t="shared" si="62"/>
        <v>0</v>
      </c>
      <c r="V323" s="62">
        <f t="shared" si="62"/>
        <v>0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2"/>
        <v>0</v>
      </c>
      <c r="Q324" s="57">
        <f t="shared" si="62"/>
        <v>0</v>
      </c>
      <c r="R324" s="57">
        <f t="shared" si="62"/>
        <v>0</v>
      </c>
      <c r="S324" s="57">
        <f t="shared" si="62"/>
        <v>0</v>
      </c>
      <c r="T324" s="57">
        <f t="shared" si="62"/>
        <v>0</v>
      </c>
      <c r="U324" s="57">
        <f t="shared" si="62"/>
        <v>0</v>
      </c>
      <c r="V324" s="62">
        <f t="shared" si="62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2"/>
        <v>0</v>
      </c>
      <c r="Q325" s="57">
        <f t="shared" si="62"/>
        <v>0</v>
      </c>
      <c r="R325" s="57">
        <f t="shared" si="62"/>
        <v>0</v>
      </c>
      <c r="S325" s="57">
        <f t="shared" si="62"/>
        <v>0</v>
      </c>
      <c r="T325" s="57">
        <f t="shared" si="62"/>
        <v>0</v>
      </c>
      <c r="U325" s="57">
        <f t="shared" si="62"/>
        <v>0</v>
      </c>
      <c r="V325" s="62">
        <f t="shared" si="62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2"/>
        <v>0</v>
      </c>
      <c r="Q326" s="57">
        <f t="shared" si="62"/>
        <v>0</v>
      </c>
      <c r="R326" s="57">
        <f t="shared" si="62"/>
        <v>0</v>
      </c>
      <c r="S326" s="57">
        <f t="shared" si="62"/>
        <v>0</v>
      </c>
      <c r="T326" s="57">
        <f t="shared" si="62"/>
        <v>0</v>
      </c>
      <c r="U326" s="57">
        <f t="shared" si="62"/>
        <v>0</v>
      </c>
      <c r="V326" s="62">
        <f t="shared" si="62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2"/>
        <v>0</v>
      </c>
      <c r="Q327" s="57">
        <f t="shared" si="62"/>
        <v>0</v>
      </c>
      <c r="R327" s="57">
        <f t="shared" si="62"/>
        <v>0</v>
      </c>
      <c r="S327" s="57">
        <f t="shared" si="62"/>
        <v>0</v>
      </c>
      <c r="T327" s="57">
        <f t="shared" si="62"/>
        <v>0</v>
      </c>
      <c r="U327" s="57">
        <f t="shared" si="62"/>
        <v>0</v>
      </c>
      <c r="V327" s="62">
        <f t="shared" si="62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2"/>
        <v>0</v>
      </c>
      <c r="Q328" s="57">
        <f t="shared" si="62"/>
        <v>0</v>
      </c>
      <c r="R328" s="57">
        <f t="shared" si="62"/>
        <v>0</v>
      </c>
      <c r="S328" s="57">
        <f t="shared" si="62"/>
        <v>0</v>
      </c>
      <c r="T328" s="57">
        <f t="shared" si="62"/>
        <v>0</v>
      </c>
      <c r="U328" s="57">
        <f t="shared" si="62"/>
        <v>0</v>
      </c>
      <c r="V328" s="62">
        <f t="shared" si="62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3">SUM(Q318:Q328)</f>
        <v>0</v>
      </c>
      <c r="R330" s="37">
        <f t="shared" si="63"/>
        <v>0</v>
      </c>
      <c r="S330" s="37">
        <f t="shared" si="63"/>
        <v>0</v>
      </c>
      <c r="T330" s="37">
        <f t="shared" si="63"/>
        <v>0</v>
      </c>
      <c r="U330" s="37">
        <f t="shared" si="63"/>
        <v>0</v>
      </c>
      <c r="V330" s="64">
        <f t="shared" si="63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248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64">Q297*Q$219</f>
        <v>0</v>
      </c>
      <c r="R339" s="57">
        <f t="shared" si="64"/>
        <v>0</v>
      </c>
      <c r="S339" s="57">
        <f t="shared" si="64"/>
        <v>0</v>
      </c>
      <c r="T339" s="57">
        <f t="shared" si="64"/>
        <v>0</v>
      </c>
      <c r="U339" s="57">
        <f t="shared" si="64"/>
        <v>0</v>
      </c>
      <c r="V339" s="62">
        <f t="shared" si="64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65">P298*P$219</f>
        <v>0</v>
      </c>
      <c r="Q340" s="57">
        <f t="shared" si="64"/>
        <v>0</v>
      </c>
      <c r="R340" s="57">
        <f t="shared" si="64"/>
        <v>0</v>
      </c>
      <c r="S340" s="57">
        <f t="shared" si="64"/>
        <v>0</v>
      </c>
      <c r="T340" s="57">
        <f t="shared" si="64"/>
        <v>0</v>
      </c>
      <c r="U340" s="57">
        <f t="shared" si="64"/>
        <v>0</v>
      </c>
      <c r="V340" s="62">
        <f t="shared" si="64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65"/>
        <v>0</v>
      </c>
      <c r="Q341" s="57">
        <f t="shared" si="64"/>
        <v>0</v>
      </c>
      <c r="R341" s="57">
        <f t="shared" si="64"/>
        <v>0</v>
      </c>
      <c r="S341" s="57">
        <f t="shared" si="64"/>
        <v>0</v>
      </c>
      <c r="T341" s="57">
        <f t="shared" si="64"/>
        <v>0</v>
      </c>
      <c r="U341" s="57">
        <f t="shared" si="64"/>
        <v>0</v>
      </c>
      <c r="V341" s="62">
        <f t="shared" si="64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65"/>
        <v>0</v>
      </c>
      <c r="Q342" s="57">
        <f t="shared" si="64"/>
        <v>0</v>
      </c>
      <c r="R342" s="57">
        <f t="shared" si="64"/>
        <v>0</v>
      </c>
      <c r="S342" s="57">
        <f t="shared" si="64"/>
        <v>0</v>
      </c>
      <c r="T342" s="57">
        <f t="shared" si="64"/>
        <v>0</v>
      </c>
      <c r="U342" s="57">
        <f t="shared" si="64"/>
        <v>0</v>
      </c>
      <c r="V342" s="62">
        <f t="shared" si="64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65"/>
        <v>0</v>
      </c>
      <c r="Q343" s="57">
        <f t="shared" si="64"/>
        <v>0</v>
      </c>
      <c r="R343" s="57">
        <f t="shared" si="64"/>
        <v>0</v>
      </c>
      <c r="S343" s="57">
        <f t="shared" si="64"/>
        <v>0</v>
      </c>
      <c r="T343" s="57">
        <f t="shared" si="64"/>
        <v>0</v>
      </c>
      <c r="U343" s="57">
        <f t="shared" si="64"/>
        <v>0</v>
      </c>
      <c r="V343" s="62">
        <f t="shared" si="64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65"/>
        <v>0</v>
      </c>
      <c r="Q344" s="57">
        <f t="shared" si="64"/>
        <v>0</v>
      </c>
      <c r="R344" s="57">
        <f t="shared" si="64"/>
        <v>0</v>
      </c>
      <c r="S344" s="57">
        <f t="shared" si="64"/>
        <v>0</v>
      </c>
      <c r="T344" s="57">
        <f t="shared" si="64"/>
        <v>0</v>
      </c>
      <c r="U344" s="57">
        <f t="shared" si="64"/>
        <v>0</v>
      </c>
      <c r="V344" s="62">
        <f t="shared" si="64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65"/>
        <v>0</v>
      </c>
      <c r="Q345" s="57">
        <f t="shared" si="64"/>
        <v>0</v>
      </c>
      <c r="R345" s="57">
        <f t="shared" si="64"/>
        <v>0</v>
      </c>
      <c r="S345" s="57">
        <f t="shared" si="64"/>
        <v>0</v>
      </c>
      <c r="T345" s="57">
        <f t="shared" si="64"/>
        <v>0</v>
      </c>
      <c r="U345" s="57">
        <f t="shared" si="64"/>
        <v>0</v>
      </c>
      <c r="V345" s="62">
        <f t="shared" si="64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65"/>
        <v>0</v>
      </c>
      <c r="Q346" s="57">
        <f t="shared" si="64"/>
        <v>0</v>
      </c>
      <c r="R346" s="57">
        <f t="shared" si="64"/>
        <v>0</v>
      </c>
      <c r="S346" s="57">
        <f t="shared" si="64"/>
        <v>0</v>
      </c>
      <c r="T346" s="57">
        <f t="shared" si="64"/>
        <v>0</v>
      </c>
      <c r="U346" s="57">
        <f t="shared" si="64"/>
        <v>0</v>
      </c>
      <c r="V346" s="62">
        <f t="shared" si="64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65"/>
        <v>0</v>
      </c>
      <c r="Q347" s="57">
        <f t="shared" si="64"/>
        <v>0</v>
      </c>
      <c r="R347" s="57">
        <f t="shared" si="64"/>
        <v>0</v>
      </c>
      <c r="S347" s="57">
        <f t="shared" si="64"/>
        <v>0</v>
      </c>
      <c r="T347" s="57">
        <f t="shared" si="64"/>
        <v>0</v>
      </c>
      <c r="U347" s="57">
        <f t="shared" si="64"/>
        <v>0</v>
      </c>
      <c r="V347" s="62">
        <f t="shared" si="64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65"/>
        <v>0</v>
      </c>
      <c r="Q348" s="57">
        <f t="shared" si="64"/>
        <v>0</v>
      </c>
      <c r="R348" s="57">
        <f t="shared" si="64"/>
        <v>0</v>
      </c>
      <c r="S348" s="57">
        <f t="shared" si="64"/>
        <v>0</v>
      </c>
      <c r="T348" s="57">
        <f t="shared" si="64"/>
        <v>0</v>
      </c>
      <c r="U348" s="57">
        <f t="shared" si="64"/>
        <v>0</v>
      </c>
      <c r="V348" s="62">
        <f t="shared" si="64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65"/>
        <v>0</v>
      </c>
      <c r="Q349" s="57">
        <f t="shared" si="64"/>
        <v>0</v>
      </c>
      <c r="R349" s="57">
        <f t="shared" si="64"/>
        <v>0</v>
      </c>
      <c r="S349" s="57">
        <f t="shared" si="64"/>
        <v>0</v>
      </c>
      <c r="T349" s="57">
        <f t="shared" si="64"/>
        <v>0</v>
      </c>
      <c r="U349" s="57">
        <f t="shared" si="64"/>
        <v>0</v>
      </c>
      <c r="V349" s="62">
        <f t="shared" si="64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66">SUM(Q339:Q349)</f>
        <v>0</v>
      </c>
      <c r="R351" s="37">
        <f t="shared" si="66"/>
        <v>0</v>
      </c>
      <c r="S351" s="37">
        <f t="shared" si="66"/>
        <v>0</v>
      </c>
      <c r="T351" s="37">
        <f t="shared" si="66"/>
        <v>0</v>
      </c>
      <c r="U351" s="37">
        <f t="shared" si="66"/>
        <v>0</v>
      </c>
      <c r="V351" s="64">
        <f t="shared" si="66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246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67">IFERROR(SUMPRODUCT($AM$73:$AM$87,Q$73:Q$87)/SUM(Q$73:Q$87)*Q$89,0)</f>
        <v>0</v>
      </c>
      <c r="R362" s="57">
        <f t="shared" si="67"/>
        <v>0</v>
      </c>
      <c r="S362" s="57">
        <f t="shared" si="67"/>
        <v>0</v>
      </c>
      <c r="T362" s="57">
        <f t="shared" si="67"/>
        <v>0</v>
      </c>
      <c r="U362" s="57">
        <f t="shared" si="67"/>
        <v>0</v>
      </c>
      <c r="V362" s="62">
        <f t="shared" si="67"/>
        <v>0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68">IFERROR(SUMPRODUCT($AN$73:$AN$87,Q$73:Q$87)/SUM(Q$73:Q$87)*Q$89,0)</f>
        <v>0</v>
      </c>
      <c r="R363" s="57">
        <f t="shared" si="68"/>
        <v>0</v>
      </c>
      <c r="S363" s="57">
        <f t="shared" si="68"/>
        <v>0</v>
      </c>
      <c r="T363" s="57">
        <f t="shared" si="68"/>
        <v>0</v>
      </c>
      <c r="U363" s="57">
        <f t="shared" si="68"/>
        <v>0</v>
      </c>
      <c r="V363" s="62">
        <f t="shared" si="68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69">IFERROR(SUMPRODUCT($AO$73:$AO$87,Q$73:Q$87)/SUM(Q$73:Q$87)*Q$89,0)</f>
        <v>0</v>
      </c>
      <c r="R364" s="57">
        <f t="shared" si="69"/>
        <v>0</v>
      </c>
      <c r="S364" s="57">
        <f t="shared" si="69"/>
        <v>0</v>
      </c>
      <c r="T364" s="57">
        <f t="shared" si="69"/>
        <v>0</v>
      </c>
      <c r="U364" s="57">
        <f t="shared" si="69"/>
        <v>0</v>
      </c>
      <c r="V364" s="62">
        <f t="shared" si="69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0">IFERROR(SUMPRODUCT($AP$73:$AP$87,Q$73:Q$87)/SUM(Q$73:Q$87)*Q$89,0)</f>
        <v>0</v>
      </c>
      <c r="R365" s="57">
        <f t="shared" si="70"/>
        <v>0</v>
      </c>
      <c r="S365" s="57">
        <f t="shared" si="70"/>
        <v>0</v>
      </c>
      <c r="T365" s="57">
        <f t="shared" si="70"/>
        <v>0</v>
      </c>
      <c r="U365" s="57">
        <f t="shared" si="70"/>
        <v>0</v>
      </c>
      <c r="V365" s="62">
        <f t="shared" si="70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1">IFERROR(SUMPRODUCT($AQ$73:$AQ$87,Q$73:Q$87)/SUM(Q$73:Q$87)*Q$89,0)</f>
        <v>0</v>
      </c>
      <c r="R366" s="57">
        <f t="shared" si="71"/>
        <v>0</v>
      </c>
      <c r="S366" s="57">
        <f t="shared" si="71"/>
        <v>0</v>
      </c>
      <c r="T366" s="57">
        <f t="shared" si="71"/>
        <v>0</v>
      </c>
      <c r="U366" s="57">
        <f t="shared" si="71"/>
        <v>0</v>
      </c>
      <c r="V366" s="62">
        <f t="shared" si="71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2">IFERROR(SUMPRODUCT($AR$73:$AR$87,Q$73:Q$87)/SUM(Q$73:Q$87)*Q$89,0)</f>
        <v>0</v>
      </c>
      <c r="R367" s="57">
        <f t="shared" si="72"/>
        <v>0</v>
      </c>
      <c r="S367" s="57">
        <f t="shared" si="72"/>
        <v>0</v>
      </c>
      <c r="T367" s="57">
        <f t="shared" si="72"/>
        <v>0</v>
      </c>
      <c r="U367" s="57">
        <f t="shared" si="72"/>
        <v>0</v>
      </c>
      <c r="V367" s="62">
        <f t="shared" si="72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73">IFERROR(SUMPRODUCT($AS$73:$AS$87,Q$73:Q$87)/SUM(Q$73:Q$87)*Q$89,0)</f>
        <v>0</v>
      </c>
      <c r="R368" s="57">
        <f t="shared" si="73"/>
        <v>0</v>
      </c>
      <c r="S368" s="57">
        <f t="shared" si="73"/>
        <v>0</v>
      </c>
      <c r="T368" s="57">
        <f t="shared" si="73"/>
        <v>0</v>
      </c>
      <c r="U368" s="57">
        <f t="shared" si="73"/>
        <v>0</v>
      </c>
      <c r="V368" s="62">
        <f t="shared" si="73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74">IFERROR(SUMPRODUCT($AT$73:$AT$87,Q$73:Q$87)/SUM(Q$73:Q$87)*Q$89,0)</f>
        <v>0</v>
      </c>
      <c r="R369" s="57">
        <f t="shared" si="74"/>
        <v>0</v>
      </c>
      <c r="S369" s="57">
        <f t="shared" si="74"/>
        <v>0</v>
      </c>
      <c r="T369" s="57">
        <f t="shared" si="74"/>
        <v>0</v>
      </c>
      <c r="U369" s="57">
        <f t="shared" si="74"/>
        <v>0</v>
      </c>
      <c r="V369" s="62">
        <f t="shared" si="74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75">IFERROR(SUMPRODUCT($AU$73:$AU$87,Q$73:Q$87)/SUM(Q$73:Q$87)*Q$89,0)</f>
        <v>0</v>
      </c>
      <c r="R370" s="57">
        <f t="shared" si="75"/>
        <v>0</v>
      </c>
      <c r="S370" s="57">
        <f t="shared" si="75"/>
        <v>0</v>
      </c>
      <c r="T370" s="57">
        <f t="shared" si="75"/>
        <v>0</v>
      </c>
      <c r="U370" s="57">
        <f t="shared" si="75"/>
        <v>0</v>
      </c>
      <c r="V370" s="62">
        <f t="shared" si="75"/>
        <v>0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76">IFERROR(SUMPRODUCT($AV$73:$AV$87,Q$73:Q$87)/SUM(Q$73:Q$87)*Q$89,0)</f>
        <v>0</v>
      </c>
      <c r="R371" s="57">
        <f t="shared" si="76"/>
        <v>0</v>
      </c>
      <c r="S371" s="57">
        <f t="shared" si="76"/>
        <v>0</v>
      </c>
      <c r="T371" s="57">
        <f t="shared" si="76"/>
        <v>0</v>
      </c>
      <c r="U371" s="57">
        <f t="shared" si="76"/>
        <v>0</v>
      </c>
      <c r="V371" s="62">
        <f t="shared" si="76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77">IFERROR(SUMPRODUCT($AW$73:$AW$87,Q$73:Q$87)/SUM(Q$73:Q$87)*Q$89,0)</f>
        <v>0</v>
      </c>
      <c r="R372" s="57">
        <f t="shared" si="77"/>
        <v>0</v>
      </c>
      <c r="S372" s="57">
        <f t="shared" si="77"/>
        <v>0</v>
      </c>
      <c r="T372" s="57">
        <f t="shared" si="77"/>
        <v>0</v>
      </c>
      <c r="U372" s="57">
        <f t="shared" si="77"/>
        <v>0</v>
      </c>
      <c r="V372" s="62">
        <f t="shared" si="77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78">Q238</f>
        <v>0</v>
      </c>
      <c r="R373" s="57">
        <f t="shared" si="78"/>
        <v>0</v>
      </c>
      <c r="S373" s="57">
        <f t="shared" si="78"/>
        <v>0</v>
      </c>
      <c r="T373" s="57">
        <f t="shared" si="78"/>
        <v>0</v>
      </c>
      <c r="U373" s="57">
        <f t="shared" si="78"/>
        <v>0</v>
      </c>
      <c r="V373" s="62">
        <f t="shared" si="78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79">Q252</f>
        <v>0</v>
      </c>
      <c r="R374" s="57">
        <f t="shared" si="79"/>
        <v>0</v>
      </c>
      <c r="S374" s="57">
        <f t="shared" si="79"/>
        <v>0</v>
      </c>
      <c r="T374" s="57">
        <f t="shared" si="79"/>
        <v>0</v>
      </c>
      <c r="U374" s="57">
        <f t="shared" si="79"/>
        <v>0</v>
      </c>
      <c r="V374" s="62">
        <f t="shared" si="79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80">SUM(Q362:Q372)*Q208</f>
        <v>0</v>
      </c>
      <c r="R375" s="57">
        <f t="shared" si="80"/>
        <v>0</v>
      </c>
      <c r="S375" s="57">
        <f t="shared" si="80"/>
        <v>0</v>
      </c>
      <c r="T375" s="57">
        <f t="shared" si="80"/>
        <v>0</v>
      </c>
      <c r="U375" s="57">
        <f t="shared" si="80"/>
        <v>0</v>
      </c>
      <c r="V375" s="57">
        <f t="shared" si="80"/>
        <v>0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1">SUM(P362:P375)</f>
        <v>0</v>
      </c>
      <c r="Q377" s="37">
        <f t="shared" si="81"/>
        <v>0</v>
      </c>
      <c r="R377" s="37">
        <f t="shared" si="81"/>
        <v>0</v>
      </c>
      <c r="S377" s="37">
        <f t="shared" si="81"/>
        <v>0</v>
      </c>
      <c r="T377" s="37">
        <f t="shared" si="81"/>
        <v>0</v>
      </c>
      <c r="U377" s="37">
        <f t="shared" si="81"/>
        <v>0</v>
      </c>
      <c r="V377" s="64">
        <f t="shared" si="81"/>
        <v>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246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2">IFERROR(SUMPRODUCT($BB$73:$BB$87,Q$73:Q$87)/SUM(Q$73:Q$87)*Q$89*(1+Q$208),0)</f>
        <v>0</v>
      </c>
      <c r="R388" s="57">
        <f t="shared" si="82"/>
        <v>0</v>
      </c>
      <c r="S388" s="57">
        <f t="shared" si="82"/>
        <v>0</v>
      </c>
      <c r="T388" s="57">
        <f t="shared" si="82"/>
        <v>0</v>
      </c>
      <c r="U388" s="57">
        <f t="shared" si="82"/>
        <v>0</v>
      </c>
      <c r="V388" s="62">
        <f t="shared" si="82"/>
        <v>0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83">IFERROR(SUMPRODUCT($BC$73:$BC$87,Q$73:Q$87)/SUM(Q$73:Q$87)*Q$89*(1+Q$208),0)</f>
        <v>0</v>
      </c>
      <c r="R389" s="57">
        <f t="shared" si="83"/>
        <v>0</v>
      </c>
      <c r="S389" s="57">
        <f t="shared" si="83"/>
        <v>0</v>
      </c>
      <c r="T389" s="57">
        <f t="shared" si="83"/>
        <v>0</v>
      </c>
      <c r="U389" s="57">
        <f t="shared" si="83"/>
        <v>0</v>
      </c>
      <c r="V389" s="62">
        <f t="shared" si="83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84">IFERROR(SUMPRODUCT($BD$73:$BD$87,Q$73:Q$87)/SUM(Q$73:Q$87)*Q$89*(1+Q$208),0)</f>
        <v>0</v>
      </c>
      <c r="R390" s="57">
        <f t="shared" si="84"/>
        <v>0</v>
      </c>
      <c r="S390" s="57">
        <f t="shared" si="84"/>
        <v>0</v>
      </c>
      <c r="T390" s="57">
        <f t="shared" si="84"/>
        <v>0</v>
      </c>
      <c r="U390" s="57">
        <f t="shared" si="84"/>
        <v>0</v>
      </c>
      <c r="V390" s="62">
        <f t="shared" si="84"/>
        <v>0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85">IFERROR(SUMPRODUCT($BE$73:$BE$87,Q$73:Q$87)/SUM(Q$73:Q$87)*Q$89*(1+Q$208),0)</f>
        <v>0</v>
      </c>
      <c r="R391" s="57">
        <f t="shared" si="85"/>
        <v>0</v>
      </c>
      <c r="S391" s="57">
        <f t="shared" si="85"/>
        <v>0</v>
      </c>
      <c r="T391" s="57">
        <f t="shared" si="85"/>
        <v>0</v>
      </c>
      <c r="U391" s="57">
        <f t="shared" si="85"/>
        <v>0</v>
      </c>
      <c r="V391" s="62">
        <f t="shared" si="85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86">IFERROR(SUMPRODUCT($BF$73:$BF$87,Q$73:Q$87)/SUM(Q$73:Q$87)*Q$89*(1+Q$208),0)</f>
        <v>0</v>
      </c>
      <c r="R392" s="57">
        <f t="shared" si="86"/>
        <v>0</v>
      </c>
      <c r="S392" s="57">
        <f t="shared" si="86"/>
        <v>0</v>
      </c>
      <c r="T392" s="57">
        <f t="shared" si="86"/>
        <v>0</v>
      </c>
      <c r="U392" s="57">
        <f t="shared" si="86"/>
        <v>0</v>
      </c>
      <c r="V392" s="62">
        <f t="shared" si="86"/>
        <v>0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87">IFERROR(SUMPRODUCT($BG$73:$BG$87,Q$73:Q$87)/SUM(Q$73:Q$87)*Q$89*(1+Q$208),0)</f>
        <v>0</v>
      </c>
      <c r="R393" s="57">
        <f t="shared" si="87"/>
        <v>0</v>
      </c>
      <c r="S393" s="57">
        <f t="shared" si="87"/>
        <v>0</v>
      </c>
      <c r="T393" s="57">
        <f t="shared" si="87"/>
        <v>0</v>
      </c>
      <c r="U393" s="57">
        <f t="shared" si="87"/>
        <v>0</v>
      </c>
      <c r="V393" s="62">
        <f t="shared" si="87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88">IFERROR(SUMPRODUCT($BH$73:$BH$87,Q$73:Q$87)/SUM(Q$73:Q$87)*Q$89*(1+Q$208),0)</f>
        <v>0</v>
      </c>
      <c r="R394" s="57">
        <f t="shared" si="88"/>
        <v>0</v>
      </c>
      <c r="S394" s="57">
        <f t="shared" si="88"/>
        <v>0</v>
      </c>
      <c r="T394" s="57">
        <f t="shared" si="88"/>
        <v>0</v>
      </c>
      <c r="U394" s="57">
        <f t="shared" si="88"/>
        <v>0</v>
      </c>
      <c r="V394" s="62">
        <f t="shared" si="88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89">SUM(P388:P394)</f>
        <v>0</v>
      </c>
      <c r="Q396" s="37">
        <f t="shared" si="89"/>
        <v>0</v>
      </c>
      <c r="R396" s="37">
        <f t="shared" si="89"/>
        <v>0</v>
      </c>
      <c r="S396" s="37">
        <f t="shared" si="89"/>
        <v>0</v>
      </c>
      <c r="T396" s="37">
        <f t="shared" si="89"/>
        <v>0</v>
      </c>
      <c r="U396" s="37">
        <f t="shared" si="89"/>
        <v>0</v>
      </c>
      <c r="V396" s="64">
        <f t="shared" si="89"/>
        <v>0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</sheetPr>
  <dimension ref="A1:BI399"/>
  <sheetViews>
    <sheetView topLeftCell="F21" workbookViewId="0">
      <selection activeCell="V37" sqref="V37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2</v>
      </c>
    </row>
    <row r="2" spans="1:7" s="1" customFormat="1">
      <c r="A2" s="3" t="s">
        <v>153</v>
      </c>
    </row>
    <row r="3" spans="1:7" s="1" customFormat="1">
      <c r="A3" s="3" t="s">
        <v>95</v>
      </c>
    </row>
    <row r="4" spans="1:7" s="1" customFormat="1">
      <c r="A4" s="22" t="s">
        <v>43</v>
      </c>
    </row>
    <row r="6" spans="1:7" s="1" customFormat="1">
      <c r="A6" s="2">
        <v>2</v>
      </c>
      <c r="B6" s="2" t="s">
        <v>45</v>
      </c>
    </row>
    <row r="9" spans="1:7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</row>
    <row r="10" spans="1:7">
      <c r="B10" s="8" t="s">
        <v>145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 t="s">
        <v>146</v>
      </c>
      <c r="D11" s="10">
        <v>0.04</v>
      </c>
      <c r="E11" s="10">
        <v>0.76</v>
      </c>
      <c r="F11" s="26">
        <f t="shared" ref="F11:F13" si="0">D11+E11</f>
        <v>0.8</v>
      </c>
      <c r="G11" s="26">
        <f t="shared" ref="G11:G13" si="1">1-F11</f>
        <v>0.19999999999999996</v>
      </c>
    </row>
    <row r="12" spans="1:7">
      <c r="B12" s="8" t="s">
        <v>147</v>
      </c>
      <c r="D12" s="10">
        <v>0.04</v>
      </c>
      <c r="E12" s="10">
        <v>0.76</v>
      </c>
      <c r="F12" s="26">
        <f t="shared" si="0"/>
        <v>0.8</v>
      </c>
      <c r="G12" s="26">
        <f t="shared" si="1"/>
        <v>0.19999999999999996</v>
      </c>
    </row>
    <row r="13" spans="1:7">
      <c r="B13" s="8" t="s">
        <v>148</v>
      </c>
      <c r="D13" s="10">
        <v>0.04</v>
      </c>
      <c r="E13" s="10">
        <v>0.76</v>
      </c>
      <c r="F13" s="26">
        <f t="shared" si="0"/>
        <v>0.8</v>
      </c>
      <c r="G13" s="26">
        <f t="shared" si="1"/>
        <v>0.19999999999999996</v>
      </c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51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90" t="s">
        <v>52</v>
      </c>
      <c r="I28" s="190"/>
      <c r="J28" s="190"/>
      <c r="K28" s="190"/>
      <c r="L28" s="190"/>
      <c r="M28" s="190" t="s">
        <v>53</v>
      </c>
      <c r="N28" s="190"/>
      <c r="O28" s="190"/>
      <c r="P28" s="190"/>
      <c r="Q28" s="190"/>
      <c r="R28" s="190" t="s">
        <v>54</v>
      </c>
      <c r="S28" s="190"/>
      <c r="T28" s="190"/>
      <c r="U28" s="190"/>
      <c r="V28" s="190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>IF(B10&lt;&gt;"",B10,"[blank]")</f>
        <v>Minor Replacement - Mains Renewal &lt;20m)</v>
      </c>
      <c r="D31" s="31" t="s">
        <v>58</v>
      </c>
      <c r="E31" s="31"/>
      <c r="P31" s="184"/>
      <c r="Q31" s="184"/>
      <c r="R31" s="184"/>
      <c r="S31" s="184"/>
      <c r="T31" s="184"/>
      <c r="U31" s="184"/>
      <c r="V31" s="184"/>
      <c r="X31" s="20"/>
    </row>
    <row r="32" spans="1:24">
      <c r="B32" s="4" t="str">
        <f t="shared" ref="B32:B45" si="2">IF(B11&lt;&gt;"",B11,"[blank]")</f>
        <v>Minor Replacement - Alter / Lower Mains</v>
      </c>
      <c r="D32" s="31" t="s">
        <v>58</v>
      </c>
      <c r="E32" s="31"/>
      <c r="P32" s="184"/>
      <c r="Q32" s="184"/>
      <c r="R32" s="184"/>
      <c r="S32" s="184"/>
      <c r="T32" s="184"/>
      <c r="U32" s="184"/>
      <c r="V32" s="184"/>
      <c r="X32" s="20"/>
    </row>
    <row r="33" spans="1:24">
      <c r="B33" s="4" t="str">
        <f t="shared" si="2"/>
        <v>Minor Replacement - Service Renewals</v>
      </c>
      <c r="D33" s="31" t="s">
        <v>58</v>
      </c>
      <c r="P33" s="184"/>
      <c r="Q33" s="184"/>
      <c r="R33" s="184"/>
      <c r="S33" s="184"/>
      <c r="T33" s="184"/>
      <c r="U33" s="184"/>
      <c r="V33" s="184"/>
      <c r="X33" s="20"/>
    </row>
    <row r="34" spans="1:24">
      <c r="B34" s="4" t="str">
        <f t="shared" si="2"/>
        <v>Minor Replacement - Alter / Lower Services</v>
      </c>
      <c r="D34" s="31" t="s">
        <v>58</v>
      </c>
      <c r="P34" s="184"/>
      <c r="Q34" s="184"/>
      <c r="R34" s="184"/>
      <c r="S34" s="184"/>
      <c r="T34" s="184"/>
      <c r="U34" s="184"/>
      <c r="V34" s="184"/>
      <c r="X34" s="20"/>
    </row>
    <row r="35" spans="1:24">
      <c r="B35" s="4" t="str">
        <f t="shared" si="2"/>
        <v>[blank]</v>
      </c>
      <c r="D35" s="31"/>
    </row>
    <row r="36" spans="1:24">
      <c r="B36" s="4" t="str">
        <f t="shared" si="2"/>
        <v>[blank]</v>
      </c>
      <c r="D36" s="31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7" spans="1:24" s="1" customFormat="1">
      <c r="A47" s="2">
        <v>4</v>
      </c>
      <c r="B47" s="2" t="s">
        <v>56</v>
      </c>
    </row>
    <row r="49" spans="2:24">
      <c r="H49" s="190" t="s">
        <v>52</v>
      </c>
      <c r="I49" s="190"/>
      <c r="J49" s="190"/>
      <c r="K49" s="190"/>
      <c r="L49" s="190"/>
      <c r="M49" s="190" t="s">
        <v>53</v>
      </c>
      <c r="N49" s="190"/>
      <c r="O49" s="190"/>
      <c r="P49" s="190"/>
      <c r="Q49" s="190"/>
      <c r="R49" s="190" t="s">
        <v>54</v>
      </c>
      <c r="S49" s="190"/>
      <c r="T49" s="190"/>
      <c r="U49" s="190"/>
      <c r="V49" s="190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46</v>
      </c>
      <c r="D51" s="29" t="s">
        <v>55</v>
      </c>
      <c r="H51" s="16" t="s">
        <v>12</v>
      </c>
      <c r="I51" s="16" t="s">
        <v>12</v>
      </c>
      <c r="J51" s="16" t="s">
        <v>12</v>
      </c>
      <c r="K51" s="16" t="s">
        <v>12</v>
      </c>
      <c r="L51" s="16" t="s">
        <v>12</v>
      </c>
      <c r="M51" s="16" t="s">
        <v>12</v>
      </c>
      <c r="N51" s="16" t="s">
        <v>12</v>
      </c>
      <c r="O51" s="16" t="s">
        <v>12</v>
      </c>
      <c r="P51" s="16" t="s">
        <v>13</v>
      </c>
      <c r="Q51" s="16" t="s">
        <v>13</v>
      </c>
      <c r="R51" s="16" t="s">
        <v>13</v>
      </c>
      <c r="S51" s="16" t="s">
        <v>13</v>
      </c>
      <c r="T51" s="16" t="s">
        <v>13</v>
      </c>
      <c r="U51" s="16" t="s">
        <v>13</v>
      </c>
      <c r="V51" s="16" t="s">
        <v>13</v>
      </c>
    </row>
    <row r="52" spans="2:24">
      <c r="B52" s="4" t="str">
        <f>IF(B10&lt;&gt;"",B10,"[blank]")</f>
        <v>Minor Replacement - Mains Renewal &lt;20m)</v>
      </c>
      <c r="D52" s="31" t="s">
        <v>57</v>
      </c>
      <c r="P52" s="77"/>
      <c r="Q52" s="184"/>
      <c r="R52" s="184"/>
      <c r="S52" s="184"/>
      <c r="T52" s="184"/>
      <c r="U52" s="184"/>
      <c r="V52" s="184"/>
      <c r="X52" s="20"/>
    </row>
    <row r="53" spans="2:24">
      <c r="B53" s="4" t="str">
        <f t="shared" ref="B53:B66" si="3">IF(B11&lt;&gt;"",B11,"[blank]")</f>
        <v>Minor Replacement - Alter / Lower Mains</v>
      </c>
      <c r="D53" s="31" t="s">
        <v>57</v>
      </c>
      <c r="P53" s="77"/>
      <c r="Q53" s="184"/>
      <c r="R53" s="184"/>
      <c r="S53" s="184"/>
      <c r="T53" s="184"/>
      <c r="U53" s="184"/>
      <c r="V53" s="184"/>
      <c r="X53" s="20"/>
    </row>
    <row r="54" spans="2:24">
      <c r="B54" s="4" t="str">
        <f t="shared" si="3"/>
        <v>Minor Replacement - Service Renewals</v>
      </c>
      <c r="D54" s="31" t="s">
        <v>57</v>
      </c>
      <c r="P54" s="77"/>
      <c r="Q54" s="184"/>
      <c r="R54" s="184"/>
      <c r="S54" s="184"/>
      <c r="T54" s="184"/>
      <c r="U54" s="184"/>
      <c r="V54" s="184"/>
      <c r="X54" s="20"/>
    </row>
    <row r="55" spans="2:24">
      <c r="B55" s="4" t="str">
        <f t="shared" si="3"/>
        <v>Minor Replacement - Alter / Lower Services</v>
      </c>
      <c r="D55" s="31" t="s">
        <v>57</v>
      </c>
      <c r="P55" s="77"/>
      <c r="Q55" s="184"/>
      <c r="R55" s="184"/>
      <c r="S55" s="184"/>
      <c r="T55" s="184"/>
      <c r="U55" s="184"/>
      <c r="V55" s="184"/>
      <c r="X55" s="20"/>
    </row>
    <row r="56" spans="2:24">
      <c r="B56" s="4" t="str">
        <f t="shared" si="3"/>
        <v>[blank]</v>
      </c>
      <c r="D56" s="31"/>
    </row>
    <row r="57" spans="2:24">
      <c r="B57" s="4" t="str">
        <f t="shared" si="3"/>
        <v>[blank]</v>
      </c>
      <c r="D57" s="31"/>
    </row>
    <row r="58" spans="2:24">
      <c r="B58" s="4" t="str">
        <f t="shared" si="3"/>
        <v>[blank]</v>
      </c>
      <c r="D58" s="31"/>
    </row>
    <row r="59" spans="2:24">
      <c r="B59" s="4" t="str">
        <f t="shared" si="3"/>
        <v>[blank]</v>
      </c>
      <c r="D59" s="31"/>
    </row>
    <row r="60" spans="2:24">
      <c r="B60" s="4" t="str">
        <f t="shared" si="3"/>
        <v>[blank]</v>
      </c>
      <c r="D60" s="31"/>
    </row>
    <row r="61" spans="2:24">
      <c r="B61" s="4" t="str">
        <f t="shared" si="3"/>
        <v>[blank]</v>
      </c>
      <c r="D61" s="31"/>
    </row>
    <row r="62" spans="2:24">
      <c r="B62" s="4" t="str">
        <f t="shared" si="3"/>
        <v>[blank]</v>
      </c>
      <c r="D62" s="31"/>
    </row>
    <row r="63" spans="2:24">
      <c r="B63" s="4" t="str">
        <f t="shared" si="3"/>
        <v>[blank]</v>
      </c>
      <c r="D63" s="31"/>
    </row>
    <row r="64" spans="2:24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61</v>
      </c>
    </row>
    <row r="69" spans="1:61">
      <c r="Z69" s="5" t="s">
        <v>73</v>
      </c>
      <c r="AM69" s="5" t="s">
        <v>110</v>
      </c>
      <c r="BB69" s="5" t="s">
        <v>133</v>
      </c>
    </row>
    <row r="70" spans="1:61">
      <c r="H70" s="190" t="s">
        <v>52</v>
      </c>
      <c r="I70" s="190"/>
      <c r="J70" s="190"/>
      <c r="K70" s="190"/>
      <c r="L70" s="190"/>
      <c r="M70" s="190" t="s">
        <v>53</v>
      </c>
      <c r="N70" s="190"/>
      <c r="O70" s="190"/>
      <c r="P70" s="190"/>
      <c r="Q70" s="190"/>
      <c r="R70" s="190" t="s">
        <v>54</v>
      </c>
      <c r="S70" s="190"/>
      <c r="T70" s="190"/>
      <c r="U70" s="190"/>
      <c r="V70" s="190"/>
      <c r="X70" s="38"/>
      <c r="Z70" s="39" t="s">
        <v>69</v>
      </c>
      <c r="AA70" s="39" t="s">
        <v>70</v>
      </c>
      <c r="AB70" s="39" t="s">
        <v>71</v>
      </c>
      <c r="AC70" s="39" t="s">
        <v>72</v>
      </c>
      <c r="AD70" s="39" t="s">
        <v>64</v>
      </c>
      <c r="AE70" s="39" t="s">
        <v>65</v>
      </c>
      <c r="AF70" s="39" t="s">
        <v>66</v>
      </c>
      <c r="AG70" s="39" t="s">
        <v>107</v>
      </c>
      <c r="AH70" s="39" t="s">
        <v>67</v>
      </c>
      <c r="AI70" s="39" t="s">
        <v>68</v>
      </c>
      <c r="AJ70" s="39" t="s">
        <v>108</v>
      </c>
      <c r="AM70" s="39" t="s">
        <v>111</v>
      </c>
      <c r="AN70" s="39" t="s">
        <v>112</v>
      </c>
      <c r="AO70" s="39" t="s">
        <v>113</v>
      </c>
      <c r="AP70" s="39" t="s">
        <v>114</v>
      </c>
      <c r="AQ70" s="39" t="s">
        <v>115</v>
      </c>
      <c r="AR70" s="39" t="s">
        <v>36</v>
      </c>
      <c r="AS70" s="39" t="s">
        <v>116</v>
      </c>
      <c r="AT70" s="39" t="s">
        <v>35</v>
      </c>
      <c r="AU70" s="39" t="s">
        <v>117</v>
      </c>
      <c r="AV70" s="39" t="s">
        <v>118</v>
      </c>
      <c r="AW70" s="39" t="s">
        <v>119</v>
      </c>
      <c r="AX70" s="39" t="s">
        <v>74</v>
      </c>
      <c r="AY70" s="39" t="s">
        <v>75</v>
      </c>
      <c r="BB70" s="39" t="s">
        <v>134</v>
      </c>
      <c r="BC70" s="39" t="s">
        <v>135</v>
      </c>
      <c r="BD70" s="39" t="s">
        <v>136</v>
      </c>
      <c r="BE70" s="39" t="s">
        <v>107</v>
      </c>
      <c r="BF70" s="39" t="s">
        <v>137</v>
      </c>
      <c r="BG70" s="39" t="s">
        <v>138</v>
      </c>
      <c r="BH70" s="39" t="s">
        <v>108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63</v>
      </c>
    </row>
    <row r="72" spans="1:61">
      <c r="B72" s="5" t="s">
        <v>46</v>
      </c>
      <c r="D72" s="29" t="s">
        <v>55</v>
      </c>
      <c r="H72" s="16" t="s">
        <v>12</v>
      </c>
      <c r="I72" s="16" t="s">
        <v>12</v>
      </c>
      <c r="J72" s="16" t="s">
        <v>12</v>
      </c>
      <c r="K72" s="16" t="s">
        <v>12</v>
      </c>
      <c r="L72" s="16" t="s">
        <v>12</v>
      </c>
      <c r="M72" s="16" t="s">
        <v>12</v>
      </c>
      <c r="N72" s="16" t="s">
        <v>12</v>
      </c>
      <c r="O72" s="16" t="s">
        <v>12</v>
      </c>
      <c r="P72" s="16" t="s">
        <v>13</v>
      </c>
      <c r="Q72" s="16" t="s">
        <v>13</v>
      </c>
      <c r="R72" s="16" t="s">
        <v>13</v>
      </c>
      <c r="S72" s="16" t="s">
        <v>13</v>
      </c>
      <c r="T72" s="16" t="s">
        <v>13</v>
      </c>
      <c r="U72" s="16" t="s">
        <v>13</v>
      </c>
      <c r="V72" s="16" t="s">
        <v>13</v>
      </c>
      <c r="X72" s="34" t="s">
        <v>13</v>
      </c>
    </row>
    <row r="73" spans="1:61">
      <c r="B73" s="4" t="str">
        <f>IF(B10&lt;&gt;"",B10,"[blank]")</f>
        <v>Minor Replacement - Mains Renewal &lt;20m)</v>
      </c>
      <c r="D73" s="31" t="s">
        <v>60</v>
      </c>
      <c r="O73" s="35"/>
      <c r="P73" s="35">
        <v>0</v>
      </c>
      <c r="Q73" s="175">
        <v>65312.308935008485</v>
      </c>
      <c r="R73" s="35">
        <v>15402.576794605644</v>
      </c>
      <c r="S73" s="35">
        <v>15515.996147702284</v>
      </c>
      <c r="T73" s="35">
        <v>15662.423334230778</v>
      </c>
      <c r="U73" s="35">
        <v>15855.675755334727</v>
      </c>
      <c r="V73" s="35">
        <v>16065.779130143279</v>
      </c>
      <c r="X73" s="40">
        <f>SUM(R73:V73)</f>
        <v>78502.451162016703</v>
      </c>
      <c r="Z73" s="10"/>
      <c r="AA73" s="10">
        <v>1</v>
      </c>
      <c r="AB73" s="10"/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4">SUM(Z73:AI73)</f>
        <v>1</v>
      </c>
      <c r="AM73" s="10">
        <v>1</v>
      </c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5">SUM(AM73:AY73)</f>
        <v>1</v>
      </c>
      <c r="BB73" s="10">
        <v>1</v>
      </c>
      <c r="BC73" s="10"/>
      <c r="BD73" s="10"/>
      <c r="BE73" s="10"/>
      <c r="BF73" s="10"/>
      <c r="BG73" s="10"/>
      <c r="BH73" s="10"/>
      <c r="BI73" s="41">
        <f t="shared" ref="BI73:BI87" si="6">SUM(BB73:BH73)</f>
        <v>1</v>
      </c>
    </row>
    <row r="74" spans="1:61">
      <c r="B74" s="4" t="str">
        <f t="shared" ref="B74:B87" si="7">IF(B11&lt;&gt;"",B11,"[blank]")</f>
        <v>Minor Replacement - Alter / Lower Mains</v>
      </c>
      <c r="D74" s="31" t="s">
        <v>60</v>
      </c>
      <c r="O74" s="50"/>
      <c r="P74" s="35">
        <v>0</v>
      </c>
      <c r="Q74" s="175">
        <v>100000</v>
      </c>
      <c r="R74" s="35">
        <v>24849.490561963768</v>
      </c>
      <c r="S74" s="35">
        <v>25032.473784959682</v>
      </c>
      <c r="T74" s="35">
        <v>25268.709645892322</v>
      </c>
      <c r="U74" s="35">
        <v>25580.490218606694</v>
      </c>
      <c r="V74" s="35">
        <v>25919.456996631154</v>
      </c>
      <c r="X74" s="40">
        <f t="shared" ref="X74:X89" si="8">SUM(R74:V74)</f>
        <v>126650.62120805362</v>
      </c>
      <c r="Z74" s="10"/>
      <c r="AA74" s="10">
        <v>1</v>
      </c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4"/>
        <v>1</v>
      </c>
      <c r="AM74" s="10">
        <v>1</v>
      </c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5"/>
        <v>1</v>
      </c>
      <c r="BB74" s="10">
        <v>1</v>
      </c>
      <c r="BC74" s="10"/>
      <c r="BD74" s="10"/>
      <c r="BE74" s="10"/>
      <c r="BF74" s="10"/>
      <c r="BG74" s="10"/>
      <c r="BH74" s="10"/>
      <c r="BI74" s="41">
        <f t="shared" si="6"/>
        <v>1</v>
      </c>
    </row>
    <row r="75" spans="1:61">
      <c r="B75" s="4" t="str">
        <f t="shared" si="7"/>
        <v>Minor Replacement - Service Renewals</v>
      </c>
      <c r="D75" s="31" t="s">
        <v>60</v>
      </c>
      <c r="P75" s="35">
        <v>0</v>
      </c>
      <c r="Q75" s="35">
        <v>31750.072576740095</v>
      </c>
      <c r="R75" s="35">
        <v>31513.672121763146</v>
      </c>
      <c r="S75" s="35">
        <v>31745.728118198873</v>
      </c>
      <c r="T75" s="35">
        <v>32045.318141836175</v>
      </c>
      <c r="U75" s="35">
        <v>32440.712595414854</v>
      </c>
      <c r="V75" s="35">
        <v>32870.584100273147</v>
      </c>
      <c r="X75" s="40">
        <f t="shared" si="8"/>
        <v>160616.0150774862</v>
      </c>
      <c r="Z75" s="10"/>
      <c r="AA75" s="10"/>
      <c r="AB75" s="10">
        <v>1</v>
      </c>
      <c r="AC75" s="10"/>
      <c r="AD75" s="10"/>
      <c r="AE75" s="10"/>
      <c r="AF75" s="10"/>
      <c r="AG75" s="10"/>
      <c r="AH75" s="10"/>
      <c r="AI75" s="10"/>
      <c r="AJ75" s="10"/>
      <c r="AK75" s="41">
        <f t="shared" si="4"/>
        <v>1</v>
      </c>
      <c r="AM75" s="10">
        <v>1</v>
      </c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5"/>
        <v>1</v>
      </c>
      <c r="BB75" s="10">
        <v>1</v>
      </c>
      <c r="BC75" s="10"/>
      <c r="BD75" s="10"/>
      <c r="BE75" s="10"/>
      <c r="BF75" s="10"/>
      <c r="BG75" s="10"/>
      <c r="BH75" s="10"/>
      <c r="BI75" s="41">
        <f t="shared" si="6"/>
        <v>1</v>
      </c>
    </row>
    <row r="76" spans="1:61">
      <c r="B76" s="4" t="str">
        <f t="shared" si="7"/>
        <v>Minor Replacement - Alter / Lower Services</v>
      </c>
      <c r="D76" s="31" t="s">
        <v>60</v>
      </c>
      <c r="P76" s="35">
        <v>0</v>
      </c>
      <c r="Q76" s="175">
        <v>150000</v>
      </c>
      <c r="R76" s="35">
        <v>72007.046514781367</v>
      </c>
      <c r="S76" s="35">
        <v>72537.281990508171</v>
      </c>
      <c r="T76" s="35">
        <v>73221.82908752888</v>
      </c>
      <c r="U76" s="35">
        <v>74125.284156189839</v>
      </c>
      <c r="V76" s="35">
        <v>75107.517433419809</v>
      </c>
      <c r="X76" s="40">
        <f t="shared" si="8"/>
        <v>366998.95918242808</v>
      </c>
      <c r="Z76" s="10"/>
      <c r="AA76" s="10"/>
      <c r="AB76" s="10">
        <v>1</v>
      </c>
      <c r="AC76" s="10"/>
      <c r="AD76" s="10"/>
      <c r="AE76" s="10"/>
      <c r="AF76" s="10"/>
      <c r="AG76" s="10"/>
      <c r="AH76" s="10"/>
      <c r="AI76" s="10"/>
      <c r="AJ76" s="10"/>
      <c r="AK76" s="41">
        <f t="shared" si="4"/>
        <v>1</v>
      </c>
      <c r="AM76" s="10">
        <v>1</v>
      </c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5"/>
        <v>1</v>
      </c>
      <c r="BB76" s="10">
        <v>1</v>
      </c>
      <c r="BC76" s="10"/>
      <c r="BD76" s="10"/>
      <c r="BE76" s="10"/>
      <c r="BF76" s="10"/>
      <c r="BG76" s="10"/>
      <c r="BH76" s="10"/>
      <c r="BI76" s="41">
        <f t="shared" si="6"/>
        <v>1</v>
      </c>
    </row>
    <row r="77" spans="1:61">
      <c r="B77" s="4" t="str">
        <f t="shared" si="7"/>
        <v>[blank]</v>
      </c>
      <c r="P77" s="35"/>
      <c r="X77" s="40">
        <f t="shared" si="8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4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5"/>
        <v>0</v>
      </c>
      <c r="BB77" s="10"/>
      <c r="BC77" s="10"/>
      <c r="BD77" s="10"/>
      <c r="BE77" s="10"/>
      <c r="BF77" s="10"/>
      <c r="BG77" s="10"/>
      <c r="BH77" s="10"/>
      <c r="BI77" s="41">
        <f t="shared" si="6"/>
        <v>0</v>
      </c>
    </row>
    <row r="78" spans="1:61">
      <c r="B78" s="4" t="str">
        <f t="shared" si="7"/>
        <v>[blank]</v>
      </c>
      <c r="P78" s="35"/>
      <c r="X78" s="40">
        <f t="shared" si="8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4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5"/>
        <v>0</v>
      </c>
      <c r="BB78" s="10"/>
      <c r="BC78" s="10"/>
      <c r="BD78" s="10"/>
      <c r="BE78" s="10"/>
      <c r="BF78" s="10"/>
      <c r="BG78" s="10"/>
      <c r="BH78" s="10"/>
      <c r="BI78" s="41">
        <f t="shared" si="6"/>
        <v>0</v>
      </c>
    </row>
    <row r="79" spans="1:61">
      <c r="B79" s="4" t="str">
        <f t="shared" si="7"/>
        <v>[blank]</v>
      </c>
      <c r="P79" s="35"/>
      <c r="X79" s="40">
        <f t="shared" si="8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4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5"/>
        <v>0</v>
      </c>
      <c r="BB79" s="10"/>
      <c r="BC79" s="10"/>
      <c r="BD79" s="10"/>
      <c r="BE79" s="10"/>
      <c r="BF79" s="10"/>
      <c r="BG79" s="10"/>
      <c r="BH79" s="10"/>
      <c r="BI79" s="41">
        <f t="shared" si="6"/>
        <v>0</v>
      </c>
    </row>
    <row r="80" spans="1:61">
      <c r="B80" s="4" t="str">
        <f t="shared" si="7"/>
        <v>[blank]</v>
      </c>
      <c r="P80" s="35"/>
      <c r="X80" s="40">
        <f t="shared" si="8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4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5"/>
        <v>0</v>
      </c>
      <c r="BB80" s="10"/>
      <c r="BC80" s="10"/>
      <c r="BD80" s="10"/>
      <c r="BE80" s="10"/>
      <c r="BF80" s="10"/>
      <c r="BG80" s="10"/>
      <c r="BH80" s="10"/>
      <c r="BI80" s="41">
        <f t="shared" si="6"/>
        <v>0</v>
      </c>
    </row>
    <row r="81" spans="1:61">
      <c r="B81" s="4" t="str">
        <f t="shared" si="7"/>
        <v>[blank]</v>
      </c>
      <c r="P81" s="35"/>
      <c r="X81" s="40">
        <f t="shared" si="8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4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5"/>
        <v>0</v>
      </c>
      <c r="BB81" s="10"/>
      <c r="BC81" s="10"/>
      <c r="BD81" s="10"/>
      <c r="BE81" s="10"/>
      <c r="BF81" s="10"/>
      <c r="BG81" s="10"/>
      <c r="BH81" s="10"/>
      <c r="BI81" s="41">
        <f t="shared" si="6"/>
        <v>0</v>
      </c>
    </row>
    <row r="82" spans="1:61">
      <c r="B82" s="4" t="str">
        <f t="shared" si="7"/>
        <v>[blank]</v>
      </c>
      <c r="P82" s="35"/>
      <c r="X82" s="40">
        <f t="shared" si="8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4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5"/>
        <v>0</v>
      </c>
      <c r="BB82" s="10"/>
      <c r="BC82" s="10"/>
      <c r="BD82" s="10"/>
      <c r="BE82" s="10"/>
      <c r="BF82" s="10"/>
      <c r="BG82" s="10"/>
      <c r="BH82" s="10"/>
      <c r="BI82" s="41">
        <f t="shared" si="6"/>
        <v>0</v>
      </c>
    </row>
    <row r="83" spans="1:61">
      <c r="B83" s="4" t="str">
        <f t="shared" si="7"/>
        <v>[blank]</v>
      </c>
      <c r="P83" s="35"/>
      <c r="X83" s="40">
        <f t="shared" si="8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4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5"/>
        <v>0</v>
      </c>
      <c r="BB83" s="10"/>
      <c r="BC83" s="10"/>
      <c r="BD83" s="10"/>
      <c r="BE83" s="10"/>
      <c r="BF83" s="10"/>
      <c r="BG83" s="10"/>
      <c r="BH83" s="10"/>
      <c r="BI83" s="41">
        <f t="shared" si="6"/>
        <v>0</v>
      </c>
    </row>
    <row r="84" spans="1:61">
      <c r="B84" s="4" t="str">
        <f t="shared" si="7"/>
        <v>[blank]</v>
      </c>
      <c r="P84" s="35"/>
      <c r="X84" s="40">
        <f t="shared" si="8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4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5"/>
        <v>0</v>
      </c>
      <c r="BB84" s="10"/>
      <c r="BC84" s="10"/>
      <c r="BD84" s="10"/>
      <c r="BE84" s="10"/>
      <c r="BF84" s="10"/>
      <c r="BG84" s="10"/>
      <c r="BH84" s="10"/>
      <c r="BI84" s="41">
        <f t="shared" si="6"/>
        <v>0</v>
      </c>
    </row>
    <row r="85" spans="1:61">
      <c r="B85" s="4" t="str">
        <f t="shared" si="7"/>
        <v>[blank]</v>
      </c>
      <c r="P85" s="35"/>
      <c r="X85" s="40">
        <f t="shared" si="8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4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5"/>
        <v>0</v>
      </c>
      <c r="BB85" s="10"/>
      <c r="BC85" s="10"/>
      <c r="BD85" s="10"/>
      <c r="BE85" s="10"/>
      <c r="BF85" s="10"/>
      <c r="BG85" s="10"/>
      <c r="BH85" s="10"/>
      <c r="BI85" s="41">
        <f t="shared" si="6"/>
        <v>0</v>
      </c>
    </row>
    <row r="86" spans="1:61">
      <c r="B86" s="4" t="str">
        <f t="shared" si="7"/>
        <v>[blank]</v>
      </c>
      <c r="P86" s="35"/>
      <c r="X86" s="40">
        <f t="shared" si="8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4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5"/>
        <v>0</v>
      </c>
      <c r="BB86" s="10"/>
      <c r="BC86" s="10"/>
      <c r="BD86" s="10"/>
      <c r="BE86" s="10"/>
      <c r="BF86" s="10"/>
      <c r="BG86" s="10"/>
      <c r="BH86" s="10"/>
      <c r="BI86" s="41">
        <f t="shared" si="6"/>
        <v>0</v>
      </c>
    </row>
    <row r="87" spans="1:61">
      <c r="B87" s="4" t="str">
        <f t="shared" si="7"/>
        <v>[blank]</v>
      </c>
      <c r="P87" s="35"/>
      <c r="X87" s="40">
        <f t="shared" si="8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4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5"/>
        <v>0</v>
      </c>
      <c r="BB87" s="10"/>
      <c r="BC87" s="10"/>
      <c r="BD87" s="10"/>
      <c r="BE87" s="10"/>
      <c r="BF87" s="10"/>
      <c r="BG87" s="10"/>
      <c r="BH87" s="10"/>
      <c r="BI87" s="41">
        <f t="shared" si="6"/>
        <v>0</v>
      </c>
    </row>
    <row r="88" spans="1:61">
      <c r="P88" s="35"/>
    </row>
    <row r="89" spans="1:61" ht="12.75" thickBot="1">
      <c r="B89" s="5" t="s">
        <v>62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9">SUM(P73:P87)</f>
        <v>0</v>
      </c>
      <c r="Q89" s="37">
        <f t="shared" si="9"/>
        <v>347062.38151174854</v>
      </c>
      <c r="R89" s="37">
        <f t="shared" si="9"/>
        <v>143772.78599311394</v>
      </c>
      <c r="S89" s="37">
        <f t="shared" si="9"/>
        <v>144831.48004136901</v>
      </c>
      <c r="T89" s="37">
        <f t="shared" si="9"/>
        <v>146198.28020948818</v>
      </c>
      <c r="U89" s="37">
        <f t="shared" si="9"/>
        <v>148002.16272554611</v>
      </c>
      <c r="V89" s="37">
        <f t="shared" si="9"/>
        <v>149963.33766046737</v>
      </c>
      <c r="X89" s="37">
        <f t="shared" si="8"/>
        <v>732768.04662998463</v>
      </c>
    </row>
    <row r="91" spans="1:61">
      <c r="B91" s="5" t="s">
        <v>76</v>
      </c>
    </row>
    <row r="92" spans="1:61" s="1" customFormat="1">
      <c r="A92" s="4"/>
      <c r="B92" s="2" t="s">
        <v>77</v>
      </c>
    </row>
    <row r="94" spans="1:61">
      <c r="H94" s="190" t="s">
        <v>52</v>
      </c>
      <c r="I94" s="190"/>
      <c r="J94" s="190"/>
      <c r="K94" s="190"/>
      <c r="L94" s="190"/>
      <c r="M94" s="190" t="s">
        <v>53</v>
      </c>
      <c r="N94" s="190"/>
      <c r="O94" s="190"/>
      <c r="P94" s="190"/>
      <c r="Q94" s="190"/>
      <c r="R94" s="190" t="s">
        <v>54</v>
      </c>
      <c r="S94" s="190"/>
      <c r="T94" s="190"/>
      <c r="U94" s="190"/>
      <c r="V94" s="190"/>
      <c r="X94" s="38"/>
    </row>
    <row r="95" spans="1:61">
      <c r="B95" s="42" t="s">
        <v>79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63</v>
      </c>
    </row>
    <row r="96" spans="1:61">
      <c r="B96" s="5" t="s">
        <v>46</v>
      </c>
      <c r="D96" s="29" t="s">
        <v>55</v>
      </c>
      <c r="H96" s="16" t="s">
        <v>12</v>
      </c>
      <c r="I96" s="16" t="s">
        <v>12</v>
      </c>
      <c r="J96" s="16" t="s">
        <v>12</v>
      </c>
      <c r="K96" s="16" t="s">
        <v>12</v>
      </c>
      <c r="L96" s="16" t="s">
        <v>12</v>
      </c>
      <c r="M96" s="16" t="s">
        <v>12</v>
      </c>
      <c r="N96" s="16" t="s">
        <v>12</v>
      </c>
      <c r="O96" s="16" t="s">
        <v>12</v>
      </c>
      <c r="P96" s="16" t="s">
        <v>13</v>
      </c>
      <c r="Q96" s="16" t="s">
        <v>13</v>
      </c>
      <c r="R96" s="16" t="s">
        <v>13</v>
      </c>
      <c r="S96" s="16" t="s">
        <v>13</v>
      </c>
      <c r="T96" s="16" t="s">
        <v>13</v>
      </c>
      <c r="U96" s="16" t="s">
        <v>13</v>
      </c>
      <c r="V96" s="16" t="s">
        <v>13</v>
      </c>
      <c r="X96" s="34" t="s">
        <v>13</v>
      </c>
    </row>
    <row r="97" spans="2:24">
      <c r="B97" s="4" t="str">
        <f>IF(B10&lt;&gt;"",B10,"[blank]")</f>
        <v>Minor Replacement - Mains Renewal &lt;20m)</v>
      </c>
      <c r="D97" s="31" t="s">
        <v>60</v>
      </c>
      <c r="O97" s="35"/>
      <c r="P97" s="35">
        <f>$D10*P73</f>
        <v>0</v>
      </c>
      <c r="Q97" s="35">
        <f t="shared" ref="Q97:V97" si="10">$D10*Q73</f>
        <v>2612.4923574003396</v>
      </c>
      <c r="R97" s="35">
        <f t="shared" si="10"/>
        <v>616.10307178422579</v>
      </c>
      <c r="S97" s="35">
        <f t="shared" si="10"/>
        <v>620.63984590809139</v>
      </c>
      <c r="T97" s="35">
        <f t="shared" si="10"/>
        <v>626.4969333692311</v>
      </c>
      <c r="U97" s="35">
        <f t="shared" si="10"/>
        <v>634.22703021338907</v>
      </c>
      <c r="V97" s="35">
        <f t="shared" si="10"/>
        <v>642.63116520573112</v>
      </c>
      <c r="X97" s="40">
        <f>SUM(R97:V97)</f>
        <v>3140.0980464806685</v>
      </c>
    </row>
    <row r="98" spans="2:24">
      <c r="B98" s="4" t="str">
        <f t="shared" ref="B98:B111" si="11">IF(B11&lt;&gt;"",B11,"[blank]")</f>
        <v>Minor Replacement - Alter / Lower Mains</v>
      </c>
      <c r="D98" s="31"/>
      <c r="O98" s="50"/>
      <c r="P98" s="35">
        <f t="shared" ref="P98:V98" si="12">$D11*P74</f>
        <v>0</v>
      </c>
      <c r="Q98" s="35">
        <f t="shared" si="12"/>
        <v>4000</v>
      </c>
      <c r="R98" s="35">
        <f t="shared" si="12"/>
        <v>993.97962247855071</v>
      </c>
      <c r="S98" s="35">
        <f t="shared" si="12"/>
        <v>1001.2989513983873</v>
      </c>
      <c r="T98" s="35">
        <f t="shared" si="12"/>
        <v>1010.7483858356929</v>
      </c>
      <c r="U98" s="35">
        <f t="shared" si="12"/>
        <v>1023.2196087442678</v>
      </c>
      <c r="V98" s="35">
        <f t="shared" si="12"/>
        <v>1036.7782798652461</v>
      </c>
      <c r="X98" s="40">
        <f t="shared" ref="X98:X111" si="13">SUM(R98:V98)</f>
        <v>5066.0248483221449</v>
      </c>
    </row>
    <row r="99" spans="2:24">
      <c r="B99" s="4" t="str">
        <f t="shared" si="11"/>
        <v>Minor Replacement - Service Renewals</v>
      </c>
      <c r="P99" s="35">
        <f t="shared" ref="P99:V99" si="14">$D12*P75</f>
        <v>0</v>
      </c>
      <c r="Q99" s="35">
        <f t="shared" si="14"/>
        <v>1270.0029030696039</v>
      </c>
      <c r="R99" s="35">
        <f t="shared" si="14"/>
        <v>1260.5468848705259</v>
      </c>
      <c r="S99" s="35">
        <f t="shared" si="14"/>
        <v>1269.8291247279549</v>
      </c>
      <c r="T99" s="35">
        <f t="shared" si="14"/>
        <v>1281.8127256734469</v>
      </c>
      <c r="U99" s="35">
        <f t="shared" si="14"/>
        <v>1297.6285038165943</v>
      </c>
      <c r="V99" s="35">
        <f t="shared" si="14"/>
        <v>1314.8233640109258</v>
      </c>
      <c r="X99" s="40">
        <f t="shared" si="13"/>
        <v>6424.6406030994476</v>
      </c>
    </row>
    <row r="100" spans="2:24">
      <c r="B100" s="4" t="str">
        <f t="shared" si="11"/>
        <v>Minor Replacement - Alter / Lower Services</v>
      </c>
      <c r="P100" s="35">
        <f t="shared" ref="P100:V100" si="15">$D13*P76</f>
        <v>0</v>
      </c>
      <c r="Q100" s="35">
        <f t="shared" si="15"/>
        <v>6000</v>
      </c>
      <c r="R100" s="35">
        <f t="shared" si="15"/>
        <v>2880.2818605912548</v>
      </c>
      <c r="S100" s="35">
        <f t="shared" si="15"/>
        <v>2901.4912796203271</v>
      </c>
      <c r="T100" s="35">
        <f t="shared" si="15"/>
        <v>2928.8731635011554</v>
      </c>
      <c r="U100" s="35">
        <f t="shared" si="15"/>
        <v>2965.0113662475937</v>
      </c>
      <c r="V100" s="35">
        <f t="shared" si="15"/>
        <v>3004.3006973367924</v>
      </c>
      <c r="X100" s="40">
        <f t="shared" si="13"/>
        <v>14679.958367297124</v>
      </c>
    </row>
    <row r="101" spans="2:24">
      <c r="B101" s="4" t="str">
        <f t="shared" si="11"/>
        <v>[blank]</v>
      </c>
      <c r="X101" s="40">
        <f t="shared" si="13"/>
        <v>0</v>
      </c>
    </row>
    <row r="102" spans="2:24">
      <c r="B102" s="4" t="str">
        <f t="shared" si="11"/>
        <v>[blank]</v>
      </c>
      <c r="X102" s="40">
        <f t="shared" si="13"/>
        <v>0</v>
      </c>
    </row>
    <row r="103" spans="2:24">
      <c r="B103" s="4" t="str">
        <f t="shared" si="11"/>
        <v>[blank]</v>
      </c>
      <c r="X103" s="40">
        <f t="shared" si="13"/>
        <v>0</v>
      </c>
    </row>
    <row r="104" spans="2:24">
      <c r="B104" s="4" t="str">
        <f t="shared" si="11"/>
        <v>[blank]</v>
      </c>
      <c r="X104" s="40">
        <f t="shared" si="13"/>
        <v>0</v>
      </c>
    </row>
    <row r="105" spans="2:24">
      <c r="B105" s="4" t="str">
        <f t="shared" si="11"/>
        <v>[blank]</v>
      </c>
      <c r="X105" s="40">
        <f t="shared" si="13"/>
        <v>0</v>
      </c>
    </row>
    <row r="106" spans="2:24">
      <c r="B106" s="4" t="str">
        <f t="shared" si="11"/>
        <v>[blank]</v>
      </c>
      <c r="X106" s="40">
        <f t="shared" si="13"/>
        <v>0</v>
      </c>
    </row>
    <row r="107" spans="2:24">
      <c r="B107" s="4" t="str">
        <f t="shared" si="11"/>
        <v>[blank]</v>
      </c>
      <c r="X107" s="40">
        <f t="shared" si="13"/>
        <v>0</v>
      </c>
    </row>
    <row r="108" spans="2:24">
      <c r="B108" s="4" t="str">
        <f t="shared" si="11"/>
        <v>[blank]</v>
      </c>
      <c r="X108" s="40">
        <f t="shared" si="13"/>
        <v>0</v>
      </c>
    </row>
    <row r="109" spans="2:24">
      <c r="B109" s="4" t="str">
        <f t="shared" si="11"/>
        <v>[blank]</v>
      </c>
      <c r="X109" s="40">
        <f t="shared" si="13"/>
        <v>0</v>
      </c>
    </row>
    <row r="110" spans="2:24">
      <c r="B110" s="4" t="str">
        <f t="shared" si="11"/>
        <v>[blank]</v>
      </c>
      <c r="X110" s="40">
        <f t="shared" si="13"/>
        <v>0</v>
      </c>
    </row>
    <row r="111" spans="2:24">
      <c r="B111" s="4" t="str">
        <f t="shared" si="11"/>
        <v>[blank]</v>
      </c>
      <c r="X111" s="40">
        <f t="shared" si="13"/>
        <v>0</v>
      </c>
    </row>
    <row r="113" spans="1:24" ht="12.75" thickBot="1">
      <c r="B113" s="5" t="s">
        <v>78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6">SUM(P97:P111)</f>
        <v>0</v>
      </c>
      <c r="Q113" s="37">
        <f t="shared" si="16"/>
        <v>13882.495260469943</v>
      </c>
      <c r="R113" s="37">
        <f t="shared" si="16"/>
        <v>5750.9114397245576</v>
      </c>
      <c r="S113" s="37">
        <f t="shared" si="16"/>
        <v>5793.2592016547605</v>
      </c>
      <c r="T113" s="37">
        <f t="shared" si="16"/>
        <v>5847.9312083795267</v>
      </c>
      <c r="U113" s="37">
        <f t="shared" si="16"/>
        <v>5920.0865090218449</v>
      </c>
      <c r="V113" s="37">
        <f t="shared" si="16"/>
        <v>5998.5335064186947</v>
      </c>
      <c r="X113" s="37">
        <f t="shared" ref="X113" si="17">SUM(R113:V113)</f>
        <v>29310.721865199383</v>
      </c>
    </row>
    <row r="115" spans="1:24" s="1" customFormat="1">
      <c r="A115" s="4"/>
      <c r="B115" s="2" t="s">
        <v>80</v>
      </c>
    </row>
    <row r="117" spans="1:24">
      <c r="H117" s="190" t="s">
        <v>52</v>
      </c>
      <c r="I117" s="190"/>
      <c r="J117" s="190"/>
      <c r="K117" s="190"/>
      <c r="L117" s="190"/>
      <c r="M117" s="190" t="s">
        <v>53</v>
      </c>
      <c r="N117" s="190"/>
      <c r="O117" s="190"/>
      <c r="P117" s="190"/>
      <c r="Q117" s="190"/>
      <c r="R117" s="190" t="s">
        <v>54</v>
      </c>
      <c r="S117" s="190"/>
      <c r="T117" s="190"/>
      <c r="U117" s="190"/>
      <c r="V117" s="190"/>
      <c r="X117" s="38"/>
    </row>
    <row r="118" spans="1:24">
      <c r="B118" s="43" t="s">
        <v>81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63</v>
      </c>
    </row>
    <row r="119" spans="1:24">
      <c r="B119" s="5" t="s">
        <v>46</v>
      </c>
      <c r="D119" s="29" t="s">
        <v>55</v>
      </c>
      <c r="H119" s="16" t="s">
        <v>12</v>
      </c>
      <c r="I119" s="16" t="s">
        <v>12</v>
      </c>
      <c r="J119" s="16" t="s">
        <v>12</v>
      </c>
      <c r="K119" s="16" t="s">
        <v>12</v>
      </c>
      <c r="L119" s="16" t="s">
        <v>12</v>
      </c>
      <c r="M119" s="16" t="s">
        <v>12</v>
      </c>
      <c r="N119" s="16" t="s">
        <v>12</v>
      </c>
      <c r="O119" s="16" t="s">
        <v>12</v>
      </c>
      <c r="P119" s="16" t="s">
        <v>13</v>
      </c>
      <c r="Q119" s="16" t="s">
        <v>13</v>
      </c>
      <c r="R119" s="16" t="s">
        <v>13</v>
      </c>
      <c r="S119" s="16" t="s">
        <v>13</v>
      </c>
      <c r="T119" s="16" t="s">
        <v>13</v>
      </c>
      <c r="U119" s="16" t="s">
        <v>13</v>
      </c>
      <c r="V119" s="16" t="s">
        <v>13</v>
      </c>
      <c r="X119" s="34" t="s">
        <v>13</v>
      </c>
    </row>
    <row r="120" spans="1:24">
      <c r="B120" s="4" t="str">
        <f>IF(B10&lt;&gt;"",B10,"[blank]")</f>
        <v>Minor Replacement - Mains Renewal &lt;20m)</v>
      </c>
      <c r="D120" s="31" t="s">
        <v>60</v>
      </c>
      <c r="O120" s="35"/>
      <c r="P120" s="35">
        <f>$E10*P73</f>
        <v>0</v>
      </c>
      <c r="Q120" s="35">
        <f t="shared" ref="Q120:V120" si="18">$E10*Q73</f>
        <v>49637.354790606449</v>
      </c>
      <c r="R120" s="35">
        <f t="shared" si="18"/>
        <v>11705.95836390029</v>
      </c>
      <c r="S120" s="35">
        <f t="shared" si="18"/>
        <v>11792.157072253736</v>
      </c>
      <c r="T120" s="35">
        <f t="shared" si="18"/>
        <v>11903.441734015392</v>
      </c>
      <c r="U120" s="35">
        <f t="shared" si="18"/>
        <v>12050.313574054393</v>
      </c>
      <c r="V120" s="35">
        <f t="shared" si="18"/>
        <v>12209.992138908892</v>
      </c>
      <c r="X120" s="40">
        <f>SUM(R120:V120)</f>
        <v>59661.862883132701</v>
      </c>
    </row>
    <row r="121" spans="1:24">
      <c r="B121" s="4" t="str">
        <f t="shared" ref="B121:B134" si="19">IF(B11&lt;&gt;"",B11,"[blank]")</f>
        <v>Minor Replacement - Alter / Lower Mains</v>
      </c>
      <c r="D121" s="31"/>
      <c r="O121" s="50"/>
      <c r="P121" s="35">
        <f t="shared" ref="P121:V121" si="20">$E11*P74</f>
        <v>0</v>
      </c>
      <c r="Q121" s="35">
        <f t="shared" si="20"/>
        <v>76000</v>
      </c>
      <c r="R121" s="35">
        <f t="shared" si="20"/>
        <v>18885.612827092464</v>
      </c>
      <c r="S121" s="35">
        <f t="shared" si="20"/>
        <v>19024.680076569359</v>
      </c>
      <c r="T121" s="35">
        <f t="shared" si="20"/>
        <v>19204.219330878164</v>
      </c>
      <c r="U121" s="35">
        <f t="shared" si="20"/>
        <v>19441.172566141089</v>
      </c>
      <c r="V121" s="35">
        <f t="shared" si="20"/>
        <v>19698.787317439677</v>
      </c>
      <c r="X121" s="40">
        <f t="shared" ref="X121:X134" si="21">SUM(R121:V121)</f>
        <v>96254.472118120757</v>
      </c>
    </row>
    <row r="122" spans="1:24">
      <c r="B122" s="4" t="str">
        <f t="shared" si="19"/>
        <v>Minor Replacement - Service Renewals</v>
      </c>
      <c r="P122" s="35">
        <f t="shared" ref="P122:V122" si="22">$E12*P75</f>
        <v>0</v>
      </c>
      <c r="Q122" s="35">
        <f t="shared" si="22"/>
        <v>24130.055158322473</v>
      </c>
      <c r="R122" s="35">
        <f t="shared" si="22"/>
        <v>23950.39081253999</v>
      </c>
      <c r="S122" s="35">
        <f t="shared" si="22"/>
        <v>24126.753369831145</v>
      </c>
      <c r="T122" s="35">
        <f t="shared" si="22"/>
        <v>24354.441787795495</v>
      </c>
      <c r="U122" s="35">
        <f t="shared" si="22"/>
        <v>24654.94157251529</v>
      </c>
      <c r="V122" s="35">
        <f t="shared" si="22"/>
        <v>24981.643916207591</v>
      </c>
      <c r="X122" s="40">
        <f t="shared" si="21"/>
        <v>122068.17145888953</v>
      </c>
    </row>
    <row r="123" spans="1:24">
      <c r="B123" s="4" t="str">
        <f t="shared" si="19"/>
        <v>Minor Replacement - Alter / Lower Services</v>
      </c>
      <c r="P123" s="35">
        <f t="shared" ref="P123:V123" si="23">$E13*P76</f>
        <v>0</v>
      </c>
      <c r="Q123" s="35">
        <f t="shared" si="23"/>
        <v>114000</v>
      </c>
      <c r="R123" s="35">
        <f t="shared" si="23"/>
        <v>54725.35535123384</v>
      </c>
      <c r="S123" s="35">
        <f t="shared" si="23"/>
        <v>55128.33431278621</v>
      </c>
      <c r="T123" s="35">
        <f t="shared" si="23"/>
        <v>55648.590106521951</v>
      </c>
      <c r="U123" s="35">
        <f t="shared" si="23"/>
        <v>56335.215958704277</v>
      </c>
      <c r="V123" s="35">
        <f t="shared" si="23"/>
        <v>57081.713249399058</v>
      </c>
      <c r="X123" s="40">
        <f t="shared" si="21"/>
        <v>278919.20897864533</v>
      </c>
    </row>
    <row r="124" spans="1:24">
      <c r="B124" s="4" t="str">
        <f t="shared" si="19"/>
        <v>[blank]</v>
      </c>
      <c r="X124" s="40">
        <f t="shared" si="21"/>
        <v>0</v>
      </c>
    </row>
    <row r="125" spans="1:24">
      <c r="B125" s="4" t="str">
        <f t="shared" si="19"/>
        <v>[blank]</v>
      </c>
      <c r="X125" s="40">
        <f t="shared" si="21"/>
        <v>0</v>
      </c>
    </row>
    <row r="126" spans="1:24">
      <c r="B126" s="4" t="str">
        <f t="shared" si="19"/>
        <v>[blank]</v>
      </c>
      <c r="X126" s="40">
        <f t="shared" si="21"/>
        <v>0</v>
      </c>
    </row>
    <row r="127" spans="1:24">
      <c r="B127" s="4" t="str">
        <f t="shared" si="19"/>
        <v>[blank]</v>
      </c>
      <c r="X127" s="40">
        <f t="shared" si="21"/>
        <v>0</v>
      </c>
    </row>
    <row r="128" spans="1:24">
      <c r="B128" s="4" t="str">
        <f t="shared" si="19"/>
        <v>[blank]</v>
      </c>
      <c r="X128" s="40">
        <f t="shared" si="21"/>
        <v>0</v>
      </c>
    </row>
    <row r="129" spans="1:24">
      <c r="B129" s="4" t="str">
        <f t="shared" si="19"/>
        <v>[blank]</v>
      </c>
      <c r="X129" s="40">
        <f t="shared" si="21"/>
        <v>0</v>
      </c>
    </row>
    <row r="130" spans="1:24">
      <c r="B130" s="4" t="str">
        <f t="shared" si="19"/>
        <v>[blank]</v>
      </c>
      <c r="X130" s="40">
        <f t="shared" si="21"/>
        <v>0</v>
      </c>
    </row>
    <row r="131" spans="1:24">
      <c r="B131" s="4" t="str">
        <f t="shared" si="19"/>
        <v>[blank]</v>
      </c>
      <c r="X131" s="40">
        <f t="shared" si="21"/>
        <v>0</v>
      </c>
    </row>
    <row r="132" spans="1:24">
      <c r="B132" s="4" t="str">
        <f t="shared" si="19"/>
        <v>[blank]</v>
      </c>
      <c r="X132" s="40">
        <f t="shared" si="21"/>
        <v>0</v>
      </c>
    </row>
    <row r="133" spans="1:24">
      <c r="B133" s="4" t="str">
        <f t="shared" si="19"/>
        <v>[blank]</v>
      </c>
      <c r="X133" s="40">
        <f t="shared" si="21"/>
        <v>0</v>
      </c>
    </row>
    <row r="134" spans="1:24">
      <c r="B134" s="4" t="str">
        <f t="shared" si="19"/>
        <v>[blank]</v>
      </c>
      <c r="X134" s="40">
        <f t="shared" si="21"/>
        <v>0</v>
      </c>
    </row>
    <row r="136" spans="1:24" ht="12.75" thickBot="1">
      <c r="B136" s="5" t="s">
        <v>82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4">SUM(P120:P134)</f>
        <v>0</v>
      </c>
      <c r="Q136" s="37">
        <f t="shared" si="24"/>
        <v>263767.40994892892</v>
      </c>
      <c r="R136" s="37">
        <f t="shared" si="24"/>
        <v>109267.31735476659</v>
      </c>
      <c r="S136" s="37">
        <f t="shared" si="24"/>
        <v>110071.92483144044</v>
      </c>
      <c r="T136" s="37">
        <f t="shared" si="24"/>
        <v>111110.69295921101</v>
      </c>
      <c r="U136" s="37">
        <f t="shared" si="24"/>
        <v>112481.64367141505</v>
      </c>
      <c r="V136" s="37">
        <f t="shared" si="24"/>
        <v>113972.13662195523</v>
      </c>
      <c r="X136" s="37">
        <f t="shared" ref="X136" si="25">SUM(R136:V136)</f>
        <v>556903.71543878829</v>
      </c>
    </row>
    <row r="138" spans="1:24" s="1" customFormat="1">
      <c r="A138" s="4"/>
      <c r="B138" s="2" t="s">
        <v>83</v>
      </c>
    </row>
    <row r="140" spans="1:24">
      <c r="H140" s="190" t="s">
        <v>52</v>
      </c>
      <c r="I140" s="190"/>
      <c r="J140" s="190"/>
      <c r="K140" s="190"/>
      <c r="L140" s="190"/>
      <c r="M140" s="190" t="s">
        <v>53</v>
      </c>
      <c r="N140" s="190"/>
      <c r="O140" s="190"/>
      <c r="P140" s="190"/>
      <c r="Q140" s="190"/>
      <c r="R140" s="190" t="s">
        <v>54</v>
      </c>
      <c r="S140" s="190"/>
      <c r="T140" s="190"/>
      <c r="U140" s="190"/>
      <c r="V140" s="190"/>
      <c r="X140" s="38"/>
    </row>
    <row r="141" spans="1:24">
      <c r="B141" s="43" t="s">
        <v>84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63</v>
      </c>
    </row>
    <row r="142" spans="1:24">
      <c r="B142" s="5" t="s">
        <v>46</v>
      </c>
      <c r="D142" s="29" t="s">
        <v>55</v>
      </c>
      <c r="H142" s="16" t="s">
        <v>12</v>
      </c>
      <c r="I142" s="16" t="s">
        <v>12</v>
      </c>
      <c r="J142" s="16" t="s">
        <v>12</v>
      </c>
      <c r="K142" s="16" t="s">
        <v>12</v>
      </c>
      <c r="L142" s="16" t="s">
        <v>12</v>
      </c>
      <c r="M142" s="16" t="s">
        <v>12</v>
      </c>
      <c r="N142" s="16" t="s">
        <v>12</v>
      </c>
      <c r="O142" s="16" t="s">
        <v>12</v>
      </c>
      <c r="P142" s="16" t="s">
        <v>13</v>
      </c>
      <c r="Q142" s="16" t="s">
        <v>13</v>
      </c>
      <c r="R142" s="16" t="s">
        <v>13</v>
      </c>
      <c r="S142" s="16" t="s">
        <v>13</v>
      </c>
      <c r="T142" s="16" t="s">
        <v>13</v>
      </c>
      <c r="U142" s="16" t="s">
        <v>13</v>
      </c>
      <c r="V142" s="16" t="s">
        <v>13</v>
      </c>
      <c r="X142" s="34" t="s">
        <v>13</v>
      </c>
    </row>
    <row r="143" spans="1:24">
      <c r="B143" s="4" t="str">
        <f>IF(B10&lt;&gt;"",B10,"[blank]")</f>
        <v>Minor Replacement - Mains Renewal &lt;20m)</v>
      </c>
      <c r="D143" s="31" t="s">
        <v>60</v>
      </c>
      <c r="O143" s="35"/>
      <c r="P143" s="35">
        <f>P97+P120</f>
        <v>0</v>
      </c>
      <c r="Q143" s="35">
        <f t="shared" ref="Q143:V143" si="26">Q97+Q120</f>
        <v>52249.847148006789</v>
      </c>
      <c r="R143" s="35">
        <f t="shared" si="26"/>
        <v>12322.061435684516</v>
      </c>
      <c r="S143" s="35">
        <f t="shared" si="26"/>
        <v>12412.796918161828</v>
      </c>
      <c r="T143" s="35">
        <f t="shared" si="26"/>
        <v>12529.938667384624</v>
      </c>
      <c r="U143" s="35">
        <f t="shared" si="26"/>
        <v>12684.540604267782</v>
      </c>
      <c r="V143" s="35">
        <f t="shared" si="26"/>
        <v>12852.623304114622</v>
      </c>
      <c r="X143" s="40">
        <f>SUM(R143:V143)</f>
        <v>62801.960929613371</v>
      </c>
    </row>
    <row r="144" spans="1:24">
      <c r="B144" s="4" t="str">
        <f t="shared" ref="B144:B157" si="27">IF(B11&lt;&gt;"",B11,"[blank]")</f>
        <v>Minor Replacement - Alter / Lower Mains</v>
      </c>
      <c r="D144" s="31"/>
      <c r="O144" s="50"/>
      <c r="P144" s="35">
        <f t="shared" ref="P144:V146" si="28">P98+P121</f>
        <v>0</v>
      </c>
      <c r="Q144" s="35">
        <f t="shared" si="28"/>
        <v>80000</v>
      </c>
      <c r="R144" s="35">
        <f t="shared" si="28"/>
        <v>19879.592449571013</v>
      </c>
      <c r="S144" s="35">
        <f t="shared" si="28"/>
        <v>20025.979027967747</v>
      </c>
      <c r="T144" s="35">
        <f t="shared" si="28"/>
        <v>20214.967716713858</v>
      </c>
      <c r="U144" s="35">
        <f t="shared" si="28"/>
        <v>20464.392174885357</v>
      </c>
      <c r="V144" s="35">
        <f t="shared" si="28"/>
        <v>20735.565597304922</v>
      </c>
      <c r="X144" s="40">
        <f t="shared" ref="X144:X157" si="29">SUM(R144:V144)</f>
        <v>101320.49696644291</v>
      </c>
    </row>
    <row r="145" spans="2:24">
      <c r="B145" s="4" t="str">
        <f t="shared" si="27"/>
        <v>Minor Replacement - Service Renewals</v>
      </c>
      <c r="P145" s="35">
        <f t="shared" si="28"/>
        <v>0</v>
      </c>
      <c r="Q145" s="35">
        <f t="shared" si="28"/>
        <v>25400.058061392076</v>
      </c>
      <c r="R145" s="35">
        <f t="shared" si="28"/>
        <v>25210.937697410518</v>
      </c>
      <c r="S145" s="35">
        <f t="shared" si="28"/>
        <v>25396.582494559101</v>
      </c>
      <c r="T145" s="35">
        <f t="shared" si="28"/>
        <v>25636.254513468943</v>
      </c>
      <c r="U145" s="35">
        <f t="shared" si="28"/>
        <v>25952.570076331886</v>
      </c>
      <c r="V145" s="35">
        <f t="shared" si="28"/>
        <v>26296.467280218516</v>
      </c>
      <c r="X145" s="40">
        <f t="shared" si="29"/>
        <v>128492.81206198895</v>
      </c>
    </row>
    <row r="146" spans="2:24">
      <c r="B146" s="4" t="str">
        <f t="shared" si="27"/>
        <v>Minor Replacement - Alter / Lower Services</v>
      </c>
      <c r="P146" s="35">
        <f t="shared" si="28"/>
        <v>0</v>
      </c>
      <c r="Q146" s="35">
        <f t="shared" si="28"/>
        <v>120000</v>
      </c>
      <c r="R146" s="35">
        <f t="shared" si="28"/>
        <v>57605.637211825095</v>
      </c>
      <c r="S146" s="35">
        <f t="shared" si="28"/>
        <v>58029.825592406538</v>
      </c>
      <c r="T146" s="35">
        <f t="shared" si="28"/>
        <v>58577.463270023109</v>
      </c>
      <c r="U146" s="35">
        <f t="shared" si="28"/>
        <v>59300.227324951869</v>
      </c>
      <c r="V146" s="35">
        <f t="shared" si="28"/>
        <v>60086.013946735853</v>
      </c>
      <c r="X146" s="40">
        <f t="shared" si="29"/>
        <v>293599.16734594246</v>
      </c>
    </row>
    <row r="147" spans="2:24">
      <c r="B147" s="4" t="str">
        <f t="shared" si="27"/>
        <v>[blank]</v>
      </c>
      <c r="X147" s="40">
        <f t="shared" si="29"/>
        <v>0</v>
      </c>
    </row>
    <row r="148" spans="2:24">
      <c r="B148" s="4" t="str">
        <f t="shared" si="27"/>
        <v>[blank]</v>
      </c>
      <c r="X148" s="40">
        <f t="shared" si="29"/>
        <v>0</v>
      </c>
    </row>
    <row r="149" spans="2:24">
      <c r="B149" s="4" t="str">
        <f t="shared" si="27"/>
        <v>[blank]</v>
      </c>
      <c r="X149" s="40">
        <f t="shared" si="29"/>
        <v>0</v>
      </c>
    </row>
    <row r="150" spans="2:24">
      <c r="B150" s="4" t="str">
        <f t="shared" si="27"/>
        <v>[blank]</v>
      </c>
      <c r="X150" s="40">
        <f t="shared" si="29"/>
        <v>0</v>
      </c>
    </row>
    <row r="151" spans="2:24">
      <c r="B151" s="4" t="str">
        <f t="shared" si="27"/>
        <v>[blank]</v>
      </c>
      <c r="X151" s="40">
        <f t="shared" si="29"/>
        <v>0</v>
      </c>
    </row>
    <row r="152" spans="2:24">
      <c r="B152" s="4" t="str">
        <f t="shared" si="27"/>
        <v>[blank]</v>
      </c>
      <c r="X152" s="40">
        <f t="shared" si="29"/>
        <v>0</v>
      </c>
    </row>
    <row r="153" spans="2:24">
      <c r="B153" s="4" t="str">
        <f t="shared" si="27"/>
        <v>[blank]</v>
      </c>
      <c r="X153" s="40">
        <f t="shared" si="29"/>
        <v>0</v>
      </c>
    </row>
    <row r="154" spans="2:24">
      <c r="B154" s="4" t="str">
        <f t="shared" si="27"/>
        <v>[blank]</v>
      </c>
      <c r="X154" s="40">
        <f t="shared" si="29"/>
        <v>0</v>
      </c>
    </row>
    <row r="155" spans="2:24">
      <c r="B155" s="4" t="str">
        <f t="shared" si="27"/>
        <v>[blank]</v>
      </c>
      <c r="X155" s="40">
        <f t="shared" si="29"/>
        <v>0</v>
      </c>
    </row>
    <row r="156" spans="2:24">
      <c r="B156" s="4" t="str">
        <f t="shared" si="27"/>
        <v>[blank]</v>
      </c>
      <c r="X156" s="40">
        <f t="shared" si="29"/>
        <v>0</v>
      </c>
    </row>
    <row r="157" spans="2:24">
      <c r="B157" s="4" t="str">
        <f t="shared" si="27"/>
        <v>[blank]</v>
      </c>
      <c r="X157" s="40">
        <f t="shared" si="29"/>
        <v>0</v>
      </c>
    </row>
    <row r="159" spans="2:24" ht="12.75" thickBot="1">
      <c r="B159" s="5" t="s">
        <v>85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30">SUM(Q143:Q157)</f>
        <v>277649.90520939883</v>
      </c>
      <c r="R159" s="37">
        <f t="shared" si="30"/>
        <v>115018.22879449115</v>
      </c>
      <c r="S159" s="37">
        <f t="shared" si="30"/>
        <v>115865.18403309523</v>
      </c>
      <c r="T159" s="37">
        <f t="shared" si="30"/>
        <v>116958.62416759053</v>
      </c>
      <c r="U159" s="37">
        <f t="shared" si="30"/>
        <v>118401.73018043689</v>
      </c>
      <c r="V159" s="37">
        <f t="shared" si="30"/>
        <v>119970.67012837392</v>
      </c>
      <c r="X159" s="37">
        <f t="shared" ref="X159" si="31">SUM(R159:V159)</f>
        <v>586214.43730398768</v>
      </c>
    </row>
    <row r="161" spans="1:24" s="1" customFormat="1">
      <c r="A161" s="4"/>
      <c r="B161" s="2" t="s">
        <v>86</v>
      </c>
    </row>
    <row r="163" spans="1:24">
      <c r="H163" s="190" t="s">
        <v>52</v>
      </c>
      <c r="I163" s="190"/>
      <c r="J163" s="190"/>
      <c r="K163" s="190"/>
      <c r="L163" s="190"/>
      <c r="M163" s="190" t="s">
        <v>53</v>
      </c>
      <c r="N163" s="190"/>
      <c r="O163" s="190"/>
      <c r="P163" s="190"/>
      <c r="Q163" s="190"/>
      <c r="R163" s="190" t="s">
        <v>54</v>
      </c>
      <c r="S163" s="190"/>
      <c r="T163" s="190"/>
      <c r="U163" s="190"/>
      <c r="V163" s="190"/>
      <c r="X163" s="38"/>
    </row>
    <row r="164" spans="1:24">
      <c r="B164" s="44" t="s">
        <v>50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63</v>
      </c>
    </row>
    <row r="165" spans="1:24">
      <c r="B165" s="5" t="s">
        <v>46</v>
      </c>
      <c r="D165" s="29" t="s">
        <v>55</v>
      </c>
      <c r="H165" s="16" t="s">
        <v>12</v>
      </c>
      <c r="I165" s="16" t="s">
        <v>12</v>
      </c>
      <c r="J165" s="16" t="s">
        <v>12</v>
      </c>
      <c r="K165" s="16" t="s">
        <v>12</v>
      </c>
      <c r="L165" s="16" t="s">
        <v>12</v>
      </c>
      <c r="M165" s="16" t="s">
        <v>12</v>
      </c>
      <c r="N165" s="16" t="s">
        <v>12</v>
      </c>
      <c r="O165" s="16" t="s">
        <v>12</v>
      </c>
      <c r="P165" s="16" t="s">
        <v>13</v>
      </c>
      <c r="Q165" s="16" t="s">
        <v>13</v>
      </c>
      <c r="R165" s="16" t="s">
        <v>13</v>
      </c>
      <c r="S165" s="16" t="s">
        <v>13</v>
      </c>
      <c r="T165" s="16" t="s">
        <v>13</v>
      </c>
      <c r="U165" s="16" t="s">
        <v>13</v>
      </c>
      <c r="V165" s="16" t="s">
        <v>13</v>
      </c>
      <c r="X165" s="34" t="s">
        <v>13</v>
      </c>
    </row>
    <row r="166" spans="1:24">
      <c r="B166" s="4" t="str">
        <f>IF(B10&lt;&gt;"",B10,"[blank]")</f>
        <v>Minor Replacement - Mains Renewal &lt;20m)</v>
      </c>
      <c r="D166" s="31" t="s">
        <v>60</v>
      </c>
      <c r="O166" s="35"/>
      <c r="P166" s="35">
        <f>$G10*P73</f>
        <v>0</v>
      </c>
      <c r="Q166" s="35">
        <f t="shared" ref="Q166:V166" si="32">$G10*Q73</f>
        <v>13062.461787001694</v>
      </c>
      <c r="R166" s="35">
        <f t="shared" si="32"/>
        <v>3080.5153589211282</v>
      </c>
      <c r="S166" s="35">
        <f t="shared" si="32"/>
        <v>3103.1992295404561</v>
      </c>
      <c r="T166" s="35">
        <f t="shared" si="32"/>
        <v>3132.4846668461551</v>
      </c>
      <c r="U166" s="35">
        <f t="shared" si="32"/>
        <v>3171.1351510669447</v>
      </c>
      <c r="V166" s="35">
        <f t="shared" si="32"/>
        <v>3213.1558260286552</v>
      </c>
      <c r="X166" s="40">
        <f>SUM(R166:V166)</f>
        <v>15700.490232403339</v>
      </c>
    </row>
    <row r="167" spans="1:24">
      <c r="B167" s="4" t="str">
        <f t="shared" ref="B167:B180" si="33">IF(B11&lt;&gt;"",B11,"[blank]")</f>
        <v>Minor Replacement - Alter / Lower Mains</v>
      </c>
      <c r="D167" s="31"/>
      <c r="O167" s="50"/>
      <c r="P167" s="35">
        <f t="shared" ref="P167:V167" si="34">$G11*P74</f>
        <v>0</v>
      </c>
      <c r="Q167" s="35">
        <f t="shared" si="34"/>
        <v>19999.999999999996</v>
      </c>
      <c r="R167" s="35">
        <f t="shared" si="34"/>
        <v>4969.8981123927524</v>
      </c>
      <c r="S167" s="35">
        <f t="shared" si="34"/>
        <v>5006.494756991935</v>
      </c>
      <c r="T167" s="35">
        <f t="shared" si="34"/>
        <v>5053.7419291784636</v>
      </c>
      <c r="U167" s="35">
        <f t="shared" si="34"/>
        <v>5116.0980437213375</v>
      </c>
      <c r="V167" s="35">
        <f t="shared" si="34"/>
        <v>5183.8913993262295</v>
      </c>
      <c r="X167" s="40">
        <f t="shared" ref="X167:X180" si="35">SUM(R167:V167)</f>
        <v>25330.124241610716</v>
      </c>
    </row>
    <row r="168" spans="1:24">
      <c r="B168" s="4" t="str">
        <f t="shared" si="33"/>
        <v>Minor Replacement - Service Renewals</v>
      </c>
      <c r="P168" s="35">
        <f t="shared" ref="P168:V168" si="36">$G12*P75</f>
        <v>0</v>
      </c>
      <c r="Q168" s="35">
        <f t="shared" si="36"/>
        <v>6350.0145153480171</v>
      </c>
      <c r="R168" s="35">
        <f t="shared" si="36"/>
        <v>6302.7344243526277</v>
      </c>
      <c r="S168" s="35">
        <f t="shared" si="36"/>
        <v>6349.1456236397735</v>
      </c>
      <c r="T168" s="35">
        <f t="shared" si="36"/>
        <v>6409.0636283672338</v>
      </c>
      <c r="U168" s="35">
        <f t="shared" si="36"/>
        <v>6488.1425190829696</v>
      </c>
      <c r="V168" s="35">
        <f t="shared" si="36"/>
        <v>6574.1168200546281</v>
      </c>
      <c r="X168" s="40">
        <f t="shared" si="35"/>
        <v>32123.203015497231</v>
      </c>
    </row>
    <row r="169" spans="1:24">
      <c r="B169" s="4" t="str">
        <f t="shared" si="33"/>
        <v>Minor Replacement - Alter / Lower Services</v>
      </c>
      <c r="P169" s="35">
        <f t="shared" ref="P169:V169" si="37">$G13*P76</f>
        <v>0</v>
      </c>
      <c r="Q169" s="35">
        <f t="shared" si="37"/>
        <v>29999.999999999993</v>
      </c>
      <c r="R169" s="35">
        <f t="shared" si="37"/>
        <v>14401.40930295627</v>
      </c>
      <c r="S169" s="35">
        <f t="shared" si="37"/>
        <v>14507.456398101631</v>
      </c>
      <c r="T169" s="35">
        <f t="shared" si="37"/>
        <v>14644.365817505774</v>
      </c>
      <c r="U169" s="35">
        <f t="shared" si="37"/>
        <v>14825.056831237964</v>
      </c>
      <c r="V169" s="35">
        <f t="shared" si="37"/>
        <v>15021.503486683958</v>
      </c>
      <c r="X169" s="40">
        <f t="shared" si="35"/>
        <v>73399.791836485601</v>
      </c>
    </row>
    <row r="170" spans="1:24">
      <c r="B170" s="4" t="str">
        <f t="shared" si="33"/>
        <v>[blank]</v>
      </c>
      <c r="X170" s="40">
        <f t="shared" si="35"/>
        <v>0</v>
      </c>
    </row>
    <row r="171" spans="1:24">
      <c r="B171" s="4" t="str">
        <f t="shared" si="33"/>
        <v>[blank]</v>
      </c>
      <c r="X171" s="40">
        <f t="shared" si="35"/>
        <v>0</v>
      </c>
    </row>
    <row r="172" spans="1:24">
      <c r="B172" s="4" t="str">
        <f t="shared" si="33"/>
        <v>[blank]</v>
      </c>
      <c r="X172" s="40">
        <f t="shared" si="35"/>
        <v>0</v>
      </c>
    </row>
    <row r="173" spans="1:24">
      <c r="B173" s="4" t="str">
        <f t="shared" si="33"/>
        <v>[blank]</v>
      </c>
      <c r="X173" s="40">
        <f t="shared" si="35"/>
        <v>0</v>
      </c>
    </row>
    <row r="174" spans="1:24">
      <c r="B174" s="4" t="str">
        <f t="shared" si="33"/>
        <v>[blank]</v>
      </c>
      <c r="X174" s="40">
        <f t="shared" si="35"/>
        <v>0</v>
      </c>
    </row>
    <row r="175" spans="1:24">
      <c r="B175" s="4" t="str">
        <f t="shared" si="33"/>
        <v>[blank]</v>
      </c>
      <c r="X175" s="40">
        <f t="shared" si="35"/>
        <v>0</v>
      </c>
    </row>
    <row r="176" spans="1:24">
      <c r="B176" s="4" t="str">
        <f t="shared" si="33"/>
        <v>[blank]</v>
      </c>
      <c r="X176" s="40">
        <f t="shared" si="35"/>
        <v>0</v>
      </c>
    </row>
    <row r="177" spans="1:24">
      <c r="B177" s="4" t="str">
        <f t="shared" si="33"/>
        <v>[blank]</v>
      </c>
      <c r="X177" s="40">
        <f t="shared" si="35"/>
        <v>0</v>
      </c>
    </row>
    <row r="178" spans="1:24">
      <c r="B178" s="4" t="str">
        <f t="shared" si="33"/>
        <v>[blank]</v>
      </c>
      <c r="X178" s="40">
        <f t="shared" si="35"/>
        <v>0</v>
      </c>
    </row>
    <row r="179" spans="1:24">
      <c r="B179" s="4" t="str">
        <f t="shared" si="33"/>
        <v>[blank]</v>
      </c>
      <c r="X179" s="40">
        <f t="shared" si="35"/>
        <v>0</v>
      </c>
    </row>
    <row r="180" spans="1:24">
      <c r="B180" s="4" t="str">
        <f t="shared" si="33"/>
        <v>[blank]</v>
      </c>
      <c r="X180" s="40">
        <f t="shared" si="35"/>
        <v>0</v>
      </c>
    </row>
    <row r="182" spans="1:24" ht="12.75" thickBot="1">
      <c r="B182" s="5" t="s">
        <v>87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38">SUM(Q166:Q180)</f>
        <v>69412.476302349707</v>
      </c>
      <c r="R182" s="37">
        <f t="shared" si="38"/>
        <v>28754.557198622781</v>
      </c>
      <c r="S182" s="37">
        <f t="shared" si="38"/>
        <v>28966.296008273795</v>
      </c>
      <c r="T182" s="37">
        <f t="shared" si="38"/>
        <v>29239.656041897626</v>
      </c>
      <c r="U182" s="37">
        <f t="shared" si="38"/>
        <v>29600.432545109215</v>
      </c>
      <c r="V182" s="37">
        <f t="shared" si="38"/>
        <v>29992.667532093474</v>
      </c>
      <c r="X182" s="37">
        <f t="shared" ref="X182" si="39">SUM(R182:V182)</f>
        <v>146553.60932599689</v>
      </c>
    </row>
    <row r="184" spans="1:24" s="1" customFormat="1">
      <c r="A184" s="2">
        <v>6</v>
      </c>
      <c r="B184" s="2" t="s">
        <v>89</v>
      </c>
    </row>
    <row r="186" spans="1:24">
      <c r="H186" s="190" t="s">
        <v>52</v>
      </c>
      <c r="I186" s="190"/>
      <c r="J186" s="190"/>
      <c r="K186" s="190"/>
      <c r="L186" s="190"/>
      <c r="M186" s="190" t="s">
        <v>53</v>
      </c>
      <c r="N186" s="190"/>
      <c r="O186" s="190"/>
      <c r="P186" s="190"/>
      <c r="Q186" s="190"/>
      <c r="R186" s="190" t="s">
        <v>54</v>
      </c>
      <c r="S186" s="190"/>
      <c r="T186" s="190"/>
      <c r="U186" s="190"/>
      <c r="V186" s="190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63</v>
      </c>
    </row>
    <row r="188" spans="1:24">
      <c r="B188" s="5" t="s">
        <v>46</v>
      </c>
      <c r="D188" s="29" t="s">
        <v>55</v>
      </c>
      <c r="H188" s="16" t="s">
        <v>12</v>
      </c>
      <c r="I188" s="16" t="s">
        <v>12</v>
      </c>
      <c r="J188" s="16" t="s">
        <v>12</v>
      </c>
      <c r="K188" s="16" t="s">
        <v>12</v>
      </c>
      <c r="L188" s="16" t="s">
        <v>12</v>
      </c>
      <c r="M188" s="16" t="s">
        <v>12</v>
      </c>
      <c r="N188" s="16" t="s">
        <v>12</v>
      </c>
      <c r="O188" s="16" t="s">
        <v>12</v>
      </c>
      <c r="P188" s="16" t="s">
        <v>13</v>
      </c>
      <c r="Q188" s="16" t="s">
        <v>13</v>
      </c>
      <c r="R188" s="16" t="s">
        <v>13</v>
      </c>
      <c r="S188" s="16" t="s">
        <v>13</v>
      </c>
      <c r="T188" s="16" t="s">
        <v>13</v>
      </c>
      <c r="U188" s="16" t="s">
        <v>13</v>
      </c>
      <c r="V188" s="16" t="s">
        <v>13</v>
      </c>
      <c r="X188" s="34" t="s">
        <v>13</v>
      </c>
    </row>
    <row r="189" spans="1:24">
      <c r="B189" s="4" t="str">
        <f>IF(B10&lt;&gt;"",B10,"[blank]")</f>
        <v>Minor Replacement - Mains Renewal &lt;20m)</v>
      </c>
      <c r="D189" s="31" t="s">
        <v>60</v>
      </c>
      <c r="O189" s="35"/>
      <c r="P189" s="35">
        <f>P73*P$208</f>
        <v>0</v>
      </c>
      <c r="Q189" s="35">
        <f t="shared" ref="Q189:V189" si="40">Q73*Q$208</f>
        <v>4888.0840407613296</v>
      </c>
      <c r="R189" s="35">
        <f t="shared" si="40"/>
        <v>1111.6164317570042</v>
      </c>
      <c r="S189" s="35">
        <f t="shared" si="40"/>
        <v>1183.2979073377512</v>
      </c>
      <c r="T189" s="35">
        <f t="shared" si="40"/>
        <v>1212.689106166107</v>
      </c>
      <c r="U189" s="35">
        <f t="shared" si="40"/>
        <v>1295.6573686133115</v>
      </c>
      <c r="V189" s="35">
        <f t="shared" si="40"/>
        <v>1355.8327745707145</v>
      </c>
      <c r="X189" s="40">
        <f>SUM(R189:V189)</f>
        <v>6159.0935884448891</v>
      </c>
    </row>
    <row r="190" spans="1:24">
      <c r="B190" s="4" t="str">
        <f t="shared" ref="B190:B203" si="41">IF(B11&lt;&gt;"",B11,"[blank]")</f>
        <v>Minor Replacement - Alter / Lower Mains</v>
      </c>
      <c r="D190" s="31"/>
      <c r="O190" s="50"/>
      <c r="P190" s="35">
        <f t="shared" ref="P190:V192" si="42">P74*P$208</f>
        <v>0</v>
      </c>
      <c r="Q190" s="35">
        <f t="shared" si="42"/>
        <v>7484.1697077734689</v>
      </c>
      <c r="R190" s="35">
        <f t="shared" si="42"/>
        <v>1793.4078432346332</v>
      </c>
      <c r="S190" s="35">
        <f t="shared" si="42"/>
        <v>1909.0539571715717</v>
      </c>
      <c r="T190" s="35">
        <f t="shared" si="42"/>
        <v>1956.4717579479861</v>
      </c>
      <c r="U190" s="35">
        <f t="shared" si="42"/>
        <v>2090.3272213628093</v>
      </c>
      <c r="V190" s="35">
        <f t="shared" si="42"/>
        <v>2187.4102096407523</v>
      </c>
      <c r="X190" s="40">
        <f t="shared" ref="X190:X203" si="43">SUM(R190:V190)</f>
        <v>9936.6709893577536</v>
      </c>
    </row>
    <row r="191" spans="1:24">
      <c r="B191" s="4" t="str">
        <f t="shared" si="41"/>
        <v>Minor Replacement - Service Renewals</v>
      </c>
      <c r="P191" s="35">
        <f t="shared" si="42"/>
        <v>0</v>
      </c>
      <c r="Q191" s="35">
        <f t="shared" si="42"/>
        <v>2376.2293139844737</v>
      </c>
      <c r="R191" s="35">
        <f t="shared" si="42"/>
        <v>2274.3672193748307</v>
      </c>
      <c r="S191" s="35">
        <f t="shared" si="42"/>
        <v>2421.0275184130387</v>
      </c>
      <c r="T191" s="35">
        <f t="shared" si="42"/>
        <v>2481.1619112158551</v>
      </c>
      <c r="U191" s="35">
        <f t="shared" si="42"/>
        <v>2650.9149761828353</v>
      </c>
      <c r="V191" s="35">
        <f t="shared" si="42"/>
        <v>2774.0338567716813</v>
      </c>
      <c r="X191" s="40">
        <f t="shared" si="43"/>
        <v>12601.50548195824</v>
      </c>
    </row>
    <row r="192" spans="1:24">
      <c r="B192" s="4" t="str">
        <f t="shared" si="41"/>
        <v>Minor Replacement - Alter / Lower Services</v>
      </c>
      <c r="P192" s="35">
        <f t="shared" si="42"/>
        <v>0</v>
      </c>
      <c r="Q192" s="35">
        <f t="shared" si="42"/>
        <v>11226.254561660204</v>
      </c>
      <c r="R192" s="35">
        <f t="shared" si="42"/>
        <v>5196.8068184639933</v>
      </c>
      <c r="S192" s="35">
        <f t="shared" si="42"/>
        <v>5531.917716803986</v>
      </c>
      <c r="T192" s="35">
        <f t="shared" si="42"/>
        <v>5669.3215713265499</v>
      </c>
      <c r="U192" s="35">
        <f t="shared" si="42"/>
        <v>6057.1981982672305</v>
      </c>
      <c r="V192" s="35">
        <f t="shared" si="42"/>
        <v>6338.5182211180881</v>
      </c>
      <c r="X192" s="40">
        <f t="shared" si="43"/>
        <v>28793.762525979844</v>
      </c>
    </row>
    <row r="193" spans="2:24">
      <c r="B193" s="4" t="str">
        <f t="shared" si="41"/>
        <v>[blank]</v>
      </c>
      <c r="X193" s="40">
        <f t="shared" si="43"/>
        <v>0</v>
      </c>
    </row>
    <row r="194" spans="2:24">
      <c r="B194" s="4" t="str">
        <f t="shared" si="41"/>
        <v>[blank]</v>
      </c>
      <c r="X194" s="40">
        <f t="shared" si="43"/>
        <v>0</v>
      </c>
    </row>
    <row r="195" spans="2:24">
      <c r="B195" s="4" t="str">
        <f t="shared" si="41"/>
        <v>[blank]</v>
      </c>
      <c r="X195" s="40">
        <f t="shared" si="43"/>
        <v>0</v>
      </c>
    </row>
    <row r="196" spans="2:24">
      <c r="B196" s="4" t="str">
        <f t="shared" si="41"/>
        <v>[blank]</v>
      </c>
      <c r="X196" s="40">
        <f t="shared" si="43"/>
        <v>0</v>
      </c>
    </row>
    <row r="197" spans="2:24">
      <c r="B197" s="4" t="str">
        <f t="shared" si="41"/>
        <v>[blank]</v>
      </c>
      <c r="X197" s="40">
        <f t="shared" si="43"/>
        <v>0</v>
      </c>
    </row>
    <row r="198" spans="2:24">
      <c r="B198" s="4" t="str">
        <f t="shared" si="41"/>
        <v>[blank]</v>
      </c>
      <c r="X198" s="40">
        <f t="shared" si="43"/>
        <v>0</v>
      </c>
    </row>
    <row r="199" spans="2:24">
      <c r="B199" s="4" t="str">
        <f t="shared" si="41"/>
        <v>[blank]</v>
      </c>
      <c r="X199" s="40">
        <f t="shared" si="43"/>
        <v>0</v>
      </c>
    </row>
    <row r="200" spans="2:24">
      <c r="B200" s="4" t="str">
        <f t="shared" si="41"/>
        <v>[blank]</v>
      </c>
      <c r="X200" s="40">
        <f t="shared" si="43"/>
        <v>0</v>
      </c>
    </row>
    <row r="201" spans="2:24">
      <c r="B201" s="4" t="str">
        <f t="shared" si="41"/>
        <v>[blank]</v>
      </c>
      <c r="X201" s="40">
        <f t="shared" si="43"/>
        <v>0</v>
      </c>
    </row>
    <row r="202" spans="2:24">
      <c r="B202" s="4" t="str">
        <f t="shared" si="41"/>
        <v>[blank]</v>
      </c>
      <c r="X202" s="40">
        <f t="shared" si="43"/>
        <v>0</v>
      </c>
    </row>
    <row r="203" spans="2:24">
      <c r="B203" s="4" t="str">
        <f t="shared" si="41"/>
        <v>[blank]</v>
      </c>
      <c r="X203" s="40">
        <f t="shared" si="43"/>
        <v>0</v>
      </c>
    </row>
    <row r="205" spans="2:24" ht="12.75" thickBot="1">
      <c r="B205" s="5" t="s">
        <v>88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44">SUM(Q189:Q203)</f>
        <v>25974.737624179477</v>
      </c>
      <c r="R205" s="37">
        <f t="shared" si="44"/>
        <v>10376.19831283046</v>
      </c>
      <c r="S205" s="37">
        <f t="shared" si="44"/>
        <v>11045.297099726347</v>
      </c>
      <c r="T205" s="37">
        <f t="shared" si="44"/>
        <v>11319.644346656498</v>
      </c>
      <c r="U205" s="37">
        <f t="shared" si="44"/>
        <v>12094.097764426187</v>
      </c>
      <c r="V205" s="37">
        <f t="shared" si="44"/>
        <v>12655.795062101235</v>
      </c>
      <c r="X205" s="37">
        <f t="shared" ref="X205" si="45">SUM(R205:V205)</f>
        <v>57491.03258574073</v>
      </c>
    </row>
    <row r="207" spans="2:24">
      <c r="B207" s="4" t="s">
        <v>92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46">Q89</f>
        <v>347062.38151174854</v>
      </c>
      <c r="R207" s="45">
        <f t="shared" si="46"/>
        <v>143772.78599311394</v>
      </c>
      <c r="S207" s="45">
        <f t="shared" si="46"/>
        <v>144831.48004136901</v>
      </c>
      <c r="T207" s="45">
        <f t="shared" si="46"/>
        <v>146198.28020948818</v>
      </c>
      <c r="U207" s="45">
        <f t="shared" si="46"/>
        <v>148002.16272554611</v>
      </c>
      <c r="V207" s="45">
        <f t="shared" si="46"/>
        <v>149963.33766046737</v>
      </c>
      <c r="W207" s="45"/>
      <c r="X207" s="40">
        <f t="shared" si="46"/>
        <v>732768.04662998463</v>
      </c>
    </row>
    <row r="208" spans="2:24">
      <c r="B208" s="4" t="s">
        <v>90</v>
      </c>
      <c r="H208" s="21" t="str">
        <f>IFERROR(H212/H207,"")</f>
        <v/>
      </c>
      <c r="I208" s="21" t="str">
        <f t="shared" ref="I208:O208" si="47">IFERROR(I212/I207,"")</f>
        <v/>
      </c>
      <c r="J208" s="21" t="str">
        <f t="shared" si="47"/>
        <v/>
      </c>
      <c r="K208" s="21" t="str">
        <f t="shared" si="47"/>
        <v/>
      </c>
      <c r="L208" s="21" t="str">
        <f t="shared" si="47"/>
        <v/>
      </c>
      <c r="M208" s="21" t="str">
        <f t="shared" si="47"/>
        <v/>
      </c>
      <c r="N208" s="21" t="str">
        <f t="shared" si="47"/>
        <v/>
      </c>
      <c r="O208" s="21" t="str">
        <f t="shared" si="47"/>
        <v/>
      </c>
      <c r="P208" s="21">
        <f>'General assumptions'!S52</f>
        <v>0</v>
      </c>
      <c r="Q208" s="21">
        <f>'General assumptions'!T52</f>
        <v>7.4841697077734692E-2</v>
      </c>
      <c r="R208" s="21">
        <f>'General assumptions'!U52</f>
        <v>7.2170809247081261E-2</v>
      </c>
      <c r="S208" s="21">
        <f>'General assumptions'!V52</f>
        <v>7.6263096231367788E-2</v>
      </c>
      <c r="T208" s="21">
        <f>'General assumptions'!W52</f>
        <v>7.7426658716070601E-2</v>
      </c>
      <c r="U208" s="21">
        <f>'General assumptions'!X52</f>
        <v>8.1715682674538839E-2</v>
      </c>
      <c r="V208" s="21">
        <f>'General assumptions'!Y52</f>
        <v>8.4392593946897035E-2</v>
      </c>
      <c r="W208" s="21"/>
    </row>
    <row r="210" spans="1:22" ht="12.75" thickBot="1">
      <c r="B210" s="5" t="s">
        <v>91</v>
      </c>
      <c r="H210" s="37">
        <f t="shared" ref="H210:N210" si="48">IF(H188="forecast",H207*(1+H208),H207+H212)</f>
        <v>0</v>
      </c>
      <c r="I210" s="37">
        <f t="shared" si="48"/>
        <v>0</v>
      </c>
      <c r="J210" s="37">
        <f t="shared" si="48"/>
        <v>0</v>
      </c>
      <c r="K210" s="37">
        <f t="shared" si="48"/>
        <v>0</v>
      </c>
      <c r="L210" s="37">
        <f t="shared" si="48"/>
        <v>0</v>
      </c>
      <c r="M210" s="37">
        <f t="shared" si="48"/>
        <v>0</v>
      </c>
      <c r="N210" s="37">
        <f t="shared" si="48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9">IF(Q188="forecast",Q207*(1+Q208),Q207+Q212)</f>
        <v>373037.11913592805</v>
      </c>
      <c r="R210" s="37">
        <f t="shared" si="49"/>
        <v>154148.98430594438</v>
      </c>
      <c r="S210" s="37">
        <f t="shared" si="49"/>
        <v>155876.77714109534</v>
      </c>
      <c r="T210" s="37">
        <f t="shared" si="49"/>
        <v>157517.92455614466</v>
      </c>
      <c r="U210" s="37">
        <f t="shared" si="49"/>
        <v>160096.26048997231</v>
      </c>
      <c r="V210" s="37">
        <f t="shared" si="49"/>
        <v>162619.13272256861</v>
      </c>
    </row>
    <row r="212" spans="1:22">
      <c r="B212" s="4" t="s">
        <v>18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50">Q210-Q207</f>
        <v>25974.737624179514</v>
      </c>
      <c r="R212" s="45">
        <f t="shared" si="50"/>
        <v>10376.198312830442</v>
      </c>
      <c r="S212" s="45">
        <f t="shared" si="50"/>
        <v>11045.297099726333</v>
      </c>
      <c r="T212" s="45">
        <f t="shared" si="50"/>
        <v>11319.644346656482</v>
      </c>
      <c r="U212" s="45">
        <f t="shared" si="50"/>
        <v>12094.097764426202</v>
      </c>
      <c r="V212" s="45">
        <f t="shared" si="50"/>
        <v>12655.795062101242</v>
      </c>
    </row>
    <row r="214" spans="1:22" s="1" customFormat="1">
      <c r="A214" s="2">
        <v>7</v>
      </c>
      <c r="B214" s="2" t="s">
        <v>74</v>
      </c>
    </row>
    <row r="216" spans="1:22">
      <c r="H216" s="190" t="s">
        <v>52</v>
      </c>
      <c r="I216" s="190"/>
      <c r="J216" s="190"/>
      <c r="K216" s="190"/>
      <c r="L216" s="190"/>
      <c r="M216" s="190" t="s">
        <v>53</v>
      </c>
      <c r="N216" s="190"/>
      <c r="O216" s="190"/>
      <c r="P216" s="190"/>
      <c r="Q216" s="190"/>
      <c r="R216" s="190" t="s">
        <v>54</v>
      </c>
      <c r="S216" s="190"/>
      <c r="T216" s="190"/>
      <c r="U216" s="190"/>
      <c r="V216" s="190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55</v>
      </c>
      <c r="H218" s="16" t="s">
        <v>12</v>
      </c>
      <c r="I218" s="16" t="s">
        <v>12</v>
      </c>
      <c r="J218" s="16" t="s">
        <v>12</v>
      </c>
      <c r="K218" s="16" t="s">
        <v>12</v>
      </c>
      <c r="L218" s="16" t="s">
        <v>12</v>
      </c>
      <c r="M218" s="16" t="s">
        <v>12</v>
      </c>
      <c r="N218" s="16" t="s">
        <v>12</v>
      </c>
      <c r="O218" s="16" t="s">
        <v>12</v>
      </c>
      <c r="P218" s="16" t="s">
        <v>13</v>
      </c>
      <c r="Q218" s="16" t="s">
        <v>13</v>
      </c>
      <c r="R218" s="16" t="s">
        <v>13</v>
      </c>
      <c r="S218" s="16" t="s">
        <v>13</v>
      </c>
      <c r="T218" s="16" t="s">
        <v>13</v>
      </c>
      <c r="U218" s="16" t="s">
        <v>13</v>
      </c>
      <c r="V218" s="16" t="s">
        <v>13</v>
      </c>
    </row>
    <row r="219" spans="1:22">
      <c r="B219" s="5" t="s">
        <v>94</v>
      </c>
      <c r="D219" s="31" t="s">
        <v>105</v>
      </c>
      <c r="H219" s="4" t="str">
        <f t="shared" ref="H219:O219" si="51">IFERROR(-H238/H210,"")</f>
        <v/>
      </c>
      <c r="I219" s="4" t="str">
        <f t="shared" si="51"/>
        <v/>
      </c>
      <c r="J219" s="4" t="str">
        <f t="shared" si="51"/>
        <v/>
      </c>
      <c r="K219" s="4" t="str">
        <f t="shared" si="51"/>
        <v/>
      </c>
      <c r="L219" s="4" t="str">
        <f t="shared" si="51"/>
        <v/>
      </c>
      <c r="M219" s="4" t="str">
        <f t="shared" si="51"/>
        <v/>
      </c>
      <c r="N219" s="4" t="str">
        <f t="shared" si="51"/>
        <v/>
      </c>
      <c r="O219" s="4" t="str">
        <f t="shared" si="51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46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Minor Replacement - Mains Renewal &lt;20m)</v>
      </c>
      <c r="D222" s="31" t="s">
        <v>60</v>
      </c>
      <c r="P222" s="45">
        <f>(-P73*(1+P$208))*P$219</f>
        <v>0</v>
      </c>
      <c r="Q222" s="45">
        <f t="shared" ref="Q222:V222" si="52">(-Q73*(1+Q$208))*Q$219</f>
        <v>0</v>
      </c>
      <c r="R222" s="45">
        <f t="shared" si="52"/>
        <v>0</v>
      </c>
      <c r="S222" s="45">
        <f t="shared" si="52"/>
        <v>0</v>
      </c>
      <c r="T222" s="45">
        <f t="shared" si="52"/>
        <v>0</v>
      </c>
      <c r="U222" s="45">
        <f t="shared" si="52"/>
        <v>0</v>
      </c>
      <c r="V222" s="45">
        <f t="shared" si="52"/>
        <v>0</v>
      </c>
    </row>
    <row r="223" spans="1:22">
      <c r="B223" s="4" t="str">
        <f t="shared" ref="B223:B236" si="53">IF(B11&lt;&gt;"",B11,"[blank]")</f>
        <v>Minor Replacement - Alter / Lower Mains</v>
      </c>
      <c r="D223" s="31"/>
      <c r="P223" s="45">
        <f t="shared" ref="P223:V225" si="54">(-P74*(1+P$208))*P$219</f>
        <v>0</v>
      </c>
      <c r="Q223" s="45">
        <f t="shared" si="54"/>
        <v>0</v>
      </c>
      <c r="R223" s="45">
        <f t="shared" si="54"/>
        <v>0</v>
      </c>
      <c r="S223" s="45">
        <f t="shared" si="54"/>
        <v>0</v>
      </c>
      <c r="T223" s="45">
        <f t="shared" si="54"/>
        <v>0</v>
      </c>
      <c r="U223" s="45">
        <f t="shared" si="54"/>
        <v>0</v>
      </c>
      <c r="V223" s="45">
        <f t="shared" si="54"/>
        <v>0</v>
      </c>
    </row>
    <row r="224" spans="1:22">
      <c r="B224" s="4" t="str">
        <f t="shared" si="53"/>
        <v>Minor Replacement - Service Renewals</v>
      </c>
      <c r="P224" s="45">
        <f t="shared" si="54"/>
        <v>0</v>
      </c>
      <c r="Q224" s="45">
        <f t="shared" si="54"/>
        <v>0</v>
      </c>
      <c r="R224" s="45">
        <f t="shared" si="54"/>
        <v>0</v>
      </c>
      <c r="S224" s="45">
        <f t="shared" si="54"/>
        <v>0</v>
      </c>
      <c r="T224" s="45">
        <f t="shared" si="54"/>
        <v>0</v>
      </c>
      <c r="U224" s="45">
        <f t="shared" si="54"/>
        <v>0</v>
      </c>
      <c r="V224" s="45">
        <f t="shared" si="54"/>
        <v>0</v>
      </c>
    </row>
    <row r="225" spans="1:22">
      <c r="B225" s="4" t="str">
        <f t="shared" si="53"/>
        <v>Minor Replacement - Alter / Lower Services</v>
      </c>
      <c r="P225" s="45">
        <f t="shared" si="54"/>
        <v>0</v>
      </c>
      <c r="Q225" s="45">
        <f t="shared" si="54"/>
        <v>0</v>
      </c>
      <c r="R225" s="45">
        <f t="shared" si="54"/>
        <v>0</v>
      </c>
      <c r="S225" s="45">
        <f t="shared" si="54"/>
        <v>0</v>
      </c>
      <c r="T225" s="45">
        <f t="shared" si="54"/>
        <v>0</v>
      </c>
      <c r="U225" s="45">
        <f t="shared" si="54"/>
        <v>0</v>
      </c>
      <c r="V225" s="45">
        <f t="shared" si="54"/>
        <v>0</v>
      </c>
    </row>
    <row r="226" spans="1:22">
      <c r="B226" s="4" t="str">
        <f t="shared" si="53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53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53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53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53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53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53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53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53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53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53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93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55">-P219*P210</f>
        <v>0</v>
      </c>
      <c r="Q238" s="37">
        <f t="shared" si="55"/>
        <v>0</v>
      </c>
      <c r="R238" s="37">
        <f t="shared" si="55"/>
        <v>0</v>
      </c>
      <c r="S238" s="37">
        <f t="shared" si="55"/>
        <v>0</v>
      </c>
      <c r="T238" s="37">
        <f t="shared" si="55"/>
        <v>0</v>
      </c>
      <c r="U238" s="37">
        <f t="shared" si="55"/>
        <v>0</v>
      </c>
      <c r="V238" s="37">
        <f t="shared" si="55"/>
        <v>0</v>
      </c>
    </row>
    <row r="240" spans="1:22" s="1" customFormat="1">
      <c r="A240" s="2">
        <v>8</v>
      </c>
      <c r="B240" s="2" t="s">
        <v>75</v>
      </c>
    </row>
    <row r="242" spans="1:22">
      <c r="H242" s="190" t="s">
        <v>52</v>
      </c>
      <c r="I242" s="190"/>
      <c r="J242" s="190"/>
      <c r="K242" s="190"/>
      <c r="L242" s="190"/>
      <c r="M242" s="190" t="s">
        <v>53</v>
      </c>
      <c r="N242" s="190"/>
      <c r="O242" s="190"/>
      <c r="P242" s="190"/>
      <c r="Q242" s="190"/>
      <c r="R242" s="190" t="s">
        <v>54</v>
      </c>
      <c r="S242" s="190"/>
      <c r="T242" s="190"/>
      <c r="U242" s="190"/>
      <c r="V242" s="190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55</v>
      </c>
      <c r="H244" s="16" t="s">
        <v>12</v>
      </c>
      <c r="I244" s="16" t="s">
        <v>12</v>
      </c>
      <c r="J244" s="16" t="s">
        <v>12</v>
      </c>
      <c r="K244" s="16" t="s">
        <v>12</v>
      </c>
      <c r="L244" s="16" t="s">
        <v>12</v>
      </c>
      <c r="M244" s="16" t="s">
        <v>12</v>
      </c>
      <c r="N244" s="16" t="s">
        <v>12</v>
      </c>
      <c r="O244" s="16" t="s">
        <v>12</v>
      </c>
      <c r="P244" s="16" t="s">
        <v>13</v>
      </c>
      <c r="Q244" s="16" t="s">
        <v>13</v>
      </c>
      <c r="R244" s="16" t="s">
        <v>13</v>
      </c>
      <c r="S244" s="16" t="s">
        <v>13</v>
      </c>
      <c r="T244" s="16" t="s">
        <v>13</v>
      </c>
      <c r="U244" s="16" t="s">
        <v>13</v>
      </c>
      <c r="V244" s="16" t="s">
        <v>13</v>
      </c>
    </row>
    <row r="245" spans="1:22">
      <c r="B245" s="38" t="s">
        <v>96</v>
      </c>
      <c r="D245" s="31"/>
    </row>
    <row r="246" spans="1:22">
      <c r="B246" s="47" t="s">
        <v>97</v>
      </c>
      <c r="D246" s="31" t="s">
        <v>60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98</v>
      </c>
      <c r="D247" s="31" t="s">
        <v>60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99</v>
      </c>
      <c r="D248" s="31" t="s">
        <v>60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100</v>
      </c>
      <c r="D249" s="31" t="s">
        <v>60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101</v>
      </c>
      <c r="D250" s="31" t="s">
        <v>60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102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56">SUM(Q246:Q250)</f>
        <v>0</v>
      </c>
      <c r="R252" s="49">
        <f t="shared" si="56"/>
        <v>0</v>
      </c>
      <c r="S252" s="49">
        <f t="shared" si="56"/>
        <v>0</v>
      </c>
      <c r="T252" s="49">
        <f t="shared" si="56"/>
        <v>0</v>
      </c>
      <c r="U252" s="49">
        <f t="shared" si="56"/>
        <v>0</v>
      </c>
      <c r="V252" s="49">
        <f t="shared" si="56"/>
        <v>0</v>
      </c>
    </row>
    <row r="254" spans="1:22" s="1" customFormat="1">
      <c r="A254" s="2">
        <v>9</v>
      </c>
      <c r="B254" s="2" t="s">
        <v>103</v>
      </c>
    </row>
    <row r="256" spans="1:22">
      <c r="H256" s="190" t="s">
        <v>52</v>
      </c>
      <c r="I256" s="190"/>
      <c r="J256" s="190"/>
      <c r="K256" s="190"/>
      <c r="L256" s="190"/>
      <c r="M256" s="190" t="s">
        <v>53</v>
      </c>
      <c r="N256" s="190"/>
      <c r="O256" s="190"/>
      <c r="P256" s="190"/>
      <c r="Q256" s="190"/>
      <c r="R256" s="190" t="s">
        <v>54</v>
      </c>
      <c r="S256" s="190"/>
      <c r="T256" s="190"/>
      <c r="U256" s="190"/>
      <c r="V256" s="190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55</v>
      </c>
      <c r="H258" s="16" t="s">
        <v>12</v>
      </c>
      <c r="I258" s="16" t="s">
        <v>12</v>
      </c>
      <c r="J258" s="16" t="s">
        <v>12</v>
      </c>
      <c r="K258" s="16" t="s">
        <v>12</v>
      </c>
      <c r="L258" s="16" t="s">
        <v>12</v>
      </c>
      <c r="M258" s="16" t="s">
        <v>12</v>
      </c>
      <c r="N258" s="16" t="s">
        <v>12</v>
      </c>
      <c r="O258" s="16" t="s">
        <v>12</v>
      </c>
      <c r="P258" s="16" t="s">
        <v>13</v>
      </c>
      <c r="Q258" s="16" t="s">
        <v>13</v>
      </c>
      <c r="R258" s="16" t="s">
        <v>13</v>
      </c>
      <c r="S258" s="16" t="s">
        <v>13</v>
      </c>
      <c r="T258" s="16" t="s">
        <v>13</v>
      </c>
      <c r="U258" s="16" t="s">
        <v>13</v>
      </c>
      <c r="V258" s="16" t="s">
        <v>13</v>
      </c>
    </row>
    <row r="259" spans="1:22">
      <c r="B259" s="4" t="s">
        <v>104</v>
      </c>
      <c r="D259" s="31" t="s">
        <v>60</v>
      </c>
      <c r="H259" s="45">
        <f t="shared" ref="H259:V259" si="57">H210</f>
        <v>0</v>
      </c>
      <c r="I259" s="45">
        <f t="shared" si="57"/>
        <v>0</v>
      </c>
      <c r="J259" s="45">
        <f t="shared" si="57"/>
        <v>0</v>
      </c>
      <c r="K259" s="45">
        <f t="shared" si="57"/>
        <v>0</v>
      </c>
      <c r="L259" s="45">
        <f t="shared" si="57"/>
        <v>0</v>
      </c>
      <c r="M259" s="45">
        <f t="shared" si="57"/>
        <v>0</v>
      </c>
      <c r="N259" s="45">
        <f t="shared" si="57"/>
        <v>0</v>
      </c>
      <c r="O259" s="45">
        <f t="shared" si="57"/>
        <v>0</v>
      </c>
      <c r="P259" s="45">
        <f t="shared" si="57"/>
        <v>0</v>
      </c>
      <c r="Q259" s="45">
        <f t="shared" si="57"/>
        <v>373037.11913592805</v>
      </c>
      <c r="R259" s="45">
        <f t="shared" si="57"/>
        <v>154148.98430594438</v>
      </c>
      <c r="S259" s="45">
        <f t="shared" si="57"/>
        <v>155876.77714109534</v>
      </c>
      <c r="T259" s="45">
        <f t="shared" si="57"/>
        <v>157517.92455614466</v>
      </c>
      <c r="U259" s="45">
        <f t="shared" si="57"/>
        <v>160096.26048997231</v>
      </c>
      <c r="V259" s="45">
        <f t="shared" si="57"/>
        <v>162619.13272256861</v>
      </c>
    </row>
    <row r="260" spans="1:22">
      <c r="B260" s="4" t="s">
        <v>74</v>
      </c>
      <c r="D260" s="31" t="s">
        <v>60</v>
      </c>
      <c r="H260" s="45">
        <f>H238</f>
        <v>0</v>
      </c>
      <c r="I260" s="45">
        <f t="shared" ref="I260:V260" si="58">I238</f>
        <v>0</v>
      </c>
      <c r="J260" s="45">
        <f t="shared" si="58"/>
        <v>0</v>
      </c>
      <c r="K260" s="45">
        <f t="shared" si="58"/>
        <v>0</v>
      </c>
      <c r="L260" s="45">
        <f t="shared" si="58"/>
        <v>0</v>
      </c>
      <c r="M260" s="45">
        <f t="shared" si="58"/>
        <v>0</v>
      </c>
      <c r="N260" s="45">
        <f t="shared" si="58"/>
        <v>0</v>
      </c>
      <c r="O260" s="45">
        <f t="shared" si="58"/>
        <v>0</v>
      </c>
      <c r="P260" s="45">
        <f t="shared" si="58"/>
        <v>0</v>
      </c>
      <c r="Q260" s="45">
        <f t="shared" si="58"/>
        <v>0</v>
      </c>
      <c r="R260" s="45">
        <f t="shared" si="58"/>
        <v>0</v>
      </c>
      <c r="S260" s="45">
        <f t="shared" si="58"/>
        <v>0</v>
      </c>
      <c r="T260" s="45">
        <f t="shared" si="58"/>
        <v>0</v>
      </c>
      <c r="U260" s="45">
        <f t="shared" si="58"/>
        <v>0</v>
      </c>
      <c r="V260" s="45">
        <f t="shared" si="58"/>
        <v>0</v>
      </c>
    </row>
    <row r="261" spans="1:22">
      <c r="B261" s="4" t="s">
        <v>75</v>
      </c>
      <c r="D261" s="31" t="s">
        <v>60</v>
      </c>
      <c r="H261" s="45">
        <f>H252</f>
        <v>0</v>
      </c>
      <c r="I261" s="45">
        <f t="shared" ref="I261:V261" si="59">I252</f>
        <v>0</v>
      </c>
      <c r="J261" s="45">
        <f t="shared" si="59"/>
        <v>0</v>
      </c>
      <c r="K261" s="45">
        <f t="shared" si="59"/>
        <v>0</v>
      </c>
      <c r="L261" s="45">
        <f t="shared" si="59"/>
        <v>0</v>
      </c>
      <c r="M261" s="45">
        <f t="shared" si="59"/>
        <v>0</v>
      </c>
      <c r="N261" s="45">
        <f t="shared" si="59"/>
        <v>0</v>
      </c>
      <c r="O261" s="45">
        <f t="shared" si="59"/>
        <v>0</v>
      </c>
      <c r="P261" s="45">
        <f t="shared" si="59"/>
        <v>0</v>
      </c>
      <c r="Q261" s="45">
        <f t="shared" si="59"/>
        <v>0</v>
      </c>
      <c r="R261" s="45">
        <f t="shared" si="59"/>
        <v>0</v>
      </c>
      <c r="S261" s="45">
        <f t="shared" si="59"/>
        <v>0</v>
      </c>
      <c r="T261" s="45">
        <f t="shared" si="59"/>
        <v>0</v>
      </c>
      <c r="U261" s="45">
        <f t="shared" si="59"/>
        <v>0</v>
      </c>
      <c r="V261" s="45">
        <f t="shared" si="59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103</v>
      </c>
      <c r="D263" s="31" t="s">
        <v>60</v>
      </c>
      <c r="H263" s="37">
        <f>SUM(H259:H261)</f>
        <v>0</v>
      </c>
      <c r="I263" s="37">
        <f t="shared" ref="I263:V263" si="60">SUM(I259:I261)</f>
        <v>0</v>
      </c>
      <c r="J263" s="37">
        <f t="shared" si="60"/>
        <v>0</v>
      </c>
      <c r="K263" s="37">
        <f t="shared" si="60"/>
        <v>0</v>
      </c>
      <c r="L263" s="37">
        <f t="shared" si="60"/>
        <v>0</v>
      </c>
      <c r="M263" s="37">
        <f t="shared" si="60"/>
        <v>0</v>
      </c>
      <c r="N263" s="37">
        <f t="shared" si="60"/>
        <v>0</v>
      </c>
      <c r="O263" s="37">
        <f t="shared" si="60"/>
        <v>0</v>
      </c>
      <c r="P263" s="37">
        <f t="shared" si="60"/>
        <v>0</v>
      </c>
      <c r="Q263" s="37">
        <f t="shared" si="60"/>
        <v>373037.11913592805</v>
      </c>
      <c r="R263" s="37">
        <f t="shared" si="60"/>
        <v>154148.98430594438</v>
      </c>
      <c r="S263" s="37">
        <f t="shared" si="60"/>
        <v>155876.77714109534</v>
      </c>
      <c r="T263" s="37">
        <f t="shared" si="60"/>
        <v>157517.92455614466</v>
      </c>
      <c r="U263" s="37">
        <f t="shared" si="60"/>
        <v>160096.26048997231</v>
      </c>
      <c r="V263" s="37">
        <f t="shared" si="60"/>
        <v>162619.13272256861</v>
      </c>
    </row>
    <row r="264" spans="1:22">
      <c r="D264" s="31"/>
    </row>
    <row r="266" spans="1:22" s="66" customFormat="1">
      <c r="A266" s="65">
        <v>10</v>
      </c>
      <c r="B266" s="65" t="s">
        <v>121</v>
      </c>
    </row>
    <row r="268" spans="1:22">
      <c r="B268" s="69" t="s">
        <v>120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318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61">IFERROR(SUMPRODUCT($Z$73:$Z$87,Q$73:Q$87)/SUM(Q$73:Q$87)*Q$89,0)</f>
        <v>0</v>
      </c>
      <c r="R276" s="57">
        <f t="shared" si="61"/>
        <v>0</v>
      </c>
      <c r="S276" s="57">
        <f t="shared" si="61"/>
        <v>0</v>
      </c>
      <c r="T276" s="57">
        <f t="shared" si="61"/>
        <v>0</v>
      </c>
      <c r="U276" s="57">
        <f t="shared" si="61"/>
        <v>0</v>
      </c>
      <c r="V276" s="62">
        <f t="shared" si="61"/>
        <v>0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62">IFERROR(SUMPRODUCT($AA$73:$AA$87,Q$73:Q$87)/SUM(Q$73:Q$87)*Q$89,0)</f>
        <v>165312.30893500848</v>
      </c>
      <c r="R277" s="57">
        <f t="shared" si="62"/>
        <v>40252.067356569416</v>
      </c>
      <c r="S277" s="57">
        <f t="shared" si="62"/>
        <v>40548.469932661967</v>
      </c>
      <c r="T277" s="57">
        <f t="shared" si="62"/>
        <v>40931.132980123097</v>
      </c>
      <c r="U277" s="57">
        <f t="shared" si="62"/>
        <v>41436.165973941417</v>
      </c>
      <c r="V277" s="62">
        <f t="shared" si="62"/>
        <v>41985.236126774435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63">IFERROR(SUMPRODUCT($AB$73:$AB$87,Q$73:Q$87)/SUM(Q$73:Q$87)*Q$89,0)</f>
        <v>181750.07257674009</v>
      </c>
      <c r="R278" s="57">
        <f t="shared" si="63"/>
        <v>103520.71863654451</v>
      </c>
      <c r="S278" s="57">
        <f t="shared" si="63"/>
        <v>104283.01010870704</v>
      </c>
      <c r="T278" s="57">
        <f t="shared" si="63"/>
        <v>105267.14722936506</v>
      </c>
      <c r="U278" s="57">
        <f t="shared" si="63"/>
        <v>106565.99675160469</v>
      </c>
      <c r="V278" s="62">
        <f t="shared" si="63"/>
        <v>107978.10153369296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64">IFERROR(SUMPRODUCT($AC$73:$AC$87,Q$73:Q$87)/SUM(Q$73:Q$87)*Q$89,0)</f>
        <v>0</v>
      </c>
      <c r="R279" s="57">
        <f t="shared" si="64"/>
        <v>0</v>
      </c>
      <c r="S279" s="57">
        <f t="shared" si="64"/>
        <v>0</v>
      </c>
      <c r="T279" s="57">
        <f t="shared" si="64"/>
        <v>0</v>
      </c>
      <c r="U279" s="57">
        <f t="shared" si="64"/>
        <v>0</v>
      </c>
      <c r="V279" s="62">
        <f t="shared" si="64"/>
        <v>0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65">IFERROR(SUMPRODUCT($AD$73:$AD$87,Q$73:Q$87)/SUM(Q$73:Q$87)*Q$89,0)</f>
        <v>0</v>
      </c>
      <c r="R280" s="57">
        <f t="shared" si="65"/>
        <v>0</v>
      </c>
      <c r="S280" s="57">
        <f t="shared" si="65"/>
        <v>0</v>
      </c>
      <c r="T280" s="57">
        <f t="shared" si="65"/>
        <v>0</v>
      </c>
      <c r="U280" s="57">
        <f t="shared" si="65"/>
        <v>0</v>
      </c>
      <c r="V280" s="62">
        <f t="shared" si="65"/>
        <v>0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66">IFERROR(SUMPRODUCT($AE$73:$AE$87,Q$73:Q$87)/SUM(Q$73:Q$87)*Q$89,0)</f>
        <v>0</v>
      </c>
      <c r="R281" s="57">
        <f t="shared" si="66"/>
        <v>0</v>
      </c>
      <c r="S281" s="57">
        <f t="shared" si="66"/>
        <v>0</v>
      </c>
      <c r="T281" s="57">
        <f t="shared" si="66"/>
        <v>0</v>
      </c>
      <c r="U281" s="57">
        <f t="shared" si="66"/>
        <v>0</v>
      </c>
      <c r="V281" s="62">
        <f t="shared" si="66"/>
        <v>0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7">IFERROR(SUMPRODUCT($AF$73:$AF$87,Q$73:Q$87)/SUM(Q$73:Q$87)*Q$89,0)</f>
        <v>0</v>
      </c>
      <c r="R282" s="57">
        <f t="shared" si="67"/>
        <v>0</v>
      </c>
      <c r="S282" s="57">
        <f t="shared" si="67"/>
        <v>0</v>
      </c>
      <c r="T282" s="57">
        <f t="shared" si="67"/>
        <v>0</v>
      </c>
      <c r="U282" s="57">
        <f t="shared" si="67"/>
        <v>0</v>
      </c>
      <c r="V282" s="62">
        <f t="shared" si="67"/>
        <v>0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8">IFERROR(SUMPRODUCT($AG$73:$AG$87,Q$73:Q$87)/SUM(Q$73:Q$87)*Q$89,0)</f>
        <v>0</v>
      </c>
      <c r="R283" s="57">
        <f t="shared" si="68"/>
        <v>0</v>
      </c>
      <c r="S283" s="57">
        <f t="shared" si="68"/>
        <v>0</v>
      </c>
      <c r="T283" s="57">
        <f t="shared" si="68"/>
        <v>0</v>
      </c>
      <c r="U283" s="57">
        <f t="shared" si="68"/>
        <v>0</v>
      </c>
      <c r="V283" s="62">
        <f t="shared" si="68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9">IFERROR(SUMPRODUCT($AH$73:$AH$87,Q$73:Q$87)/SUM(Q$73:Q$87)*Q$89,0)</f>
        <v>0</v>
      </c>
      <c r="R284" s="57">
        <f t="shared" si="69"/>
        <v>0</v>
      </c>
      <c r="S284" s="57">
        <f t="shared" si="69"/>
        <v>0</v>
      </c>
      <c r="T284" s="57">
        <f t="shared" si="69"/>
        <v>0</v>
      </c>
      <c r="U284" s="57">
        <f t="shared" si="69"/>
        <v>0</v>
      </c>
      <c r="V284" s="62">
        <f t="shared" si="69"/>
        <v>0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70">IFERROR(SUMPRODUCT($AI$73:$AI$87,Q$73:Q$87)/SUM(Q$73:Q$87)*Q$89,0)</f>
        <v>0</v>
      </c>
      <c r="R285" s="57">
        <f t="shared" si="70"/>
        <v>0</v>
      </c>
      <c r="S285" s="57">
        <f t="shared" si="70"/>
        <v>0</v>
      </c>
      <c r="T285" s="57">
        <f t="shared" si="70"/>
        <v>0</v>
      </c>
      <c r="U285" s="57">
        <f t="shared" si="70"/>
        <v>0</v>
      </c>
      <c r="V285" s="62">
        <f t="shared" si="70"/>
        <v>0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71">IFERROR(SUMPRODUCT($AJ$73:$AJ$87,Q$73:Q$87)/SUM(Q$73:Q$87)*Q$89,0)</f>
        <v>0</v>
      </c>
      <c r="R286" s="57">
        <f t="shared" si="71"/>
        <v>0</v>
      </c>
      <c r="S286" s="57">
        <f t="shared" si="71"/>
        <v>0</v>
      </c>
      <c r="T286" s="57">
        <f t="shared" si="71"/>
        <v>0</v>
      </c>
      <c r="U286" s="57">
        <f t="shared" si="71"/>
        <v>0</v>
      </c>
      <c r="V286" s="62">
        <f t="shared" si="71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72">SUM(Q276:Q286)</f>
        <v>347062.38151174854</v>
      </c>
      <c r="R288" s="37">
        <f t="shared" si="72"/>
        <v>143772.78599311394</v>
      </c>
      <c r="S288" s="37">
        <f t="shared" si="72"/>
        <v>144831.48004136901</v>
      </c>
      <c r="T288" s="37">
        <f t="shared" si="72"/>
        <v>146198.28020948815</v>
      </c>
      <c r="U288" s="37">
        <f t="shared" si="72"/>
        <v>148002.16272554611</v>
      </c>
      <c r="V288" s="64">
        <f t="shared" si="72"/>
        <v>149963.3376604674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249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73">P276*(1+P$208)</f>
        <v>0</v>
      </c>
      <c r="Q297" s="57">
        <f t="shared" si="73"/>
        <v>0</v>
      </c>
      <c r="R297" s="57">
        <f t="shared" si="73"/>
        <v>0</v>
      </c>
      <c r="S297" s="57">
        <f t="shared" si="73"/>
        <v>0</v>
      </c>
      <c r="T297" s="57">
        <f t="shared" si="73"/>
        <v>0</v>
      </c>
      <c r="U297" s="57">
        <f t="shared" si="73"/>
        <v>0</v>
      </c>
      <c r="V297" s="62">
        <f t="shared" si="73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73"/>
        <v>0</v>
      </c>
      <c r="Q298" s="57">
        <f t="shared" si="73"/>
        <v>177684.56268354331</v>
      </c>
      <c r="R298" s="57">
        <f t="shared" si="73"/>
        <v>43157.091631561052</v>
      </c>
      <c r="S298" s="57">
        <f t="shared" si="73"/>
        <v>43640.821797171287</v>
      </c>
      <c r="T298" s="57">
        <f t="shared" si="73"/>
        <v>44100.293844237189</v>
      </c>
      <c r="U298" s="57">
        <f t="shared" si="73"/>
        <v>44822.150563917538</v>
      </c>
      <c r="V298" s="62">
        <f t="shared" si="73"/>
        <v>45528.4791109859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73"/>
        <v>0</v>
      </c>
      <c r="Q299" s="57">
        <f t="shared" si="73"/>
        <v>195352.55645238477</v>
      </c>
      <c r="R299" s="57">
        <f t="shared" si="73"/>
        <v>110991.89267438333</v>
      </c>
      <c r="S299" s="57">
        <f t="shared" si="73"/>
        <v>112235.95534392406</v>
      </c>
      <c r="T299" s="57">
        <f t="shared" si="73"/>
        <v>113417.63071190746</v>
      </c>
      <c r="U299" s="57">
        <f t="shared" si="73"/>
        <v>115274.10992605476</v>
      </c>
      <c r="V299" s="62">
        <f t="shared" si="73"/>
        <v>117090.65361158272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73"/>
        <v>0</v>
      </c>
      <c r="Q300" s="57">
        <f t="shared" si="73"/>
        <v>0</v>
      </c>
      <c r="R300" s="57">
        <f t="shared" si="73"/>
        <v>0</v>
      </c>
      <c r="S300" s="57">
        <f t="shared" si="73"/>
        <v>0</v>
      </c>
      <c r="T300" s="57">
        <f t="shared" si="73"/>
        <v>0</v>
      </c>
      <c r="U300" s="57">
        <f t="shared" si="73"/>
        <v>0</v>
      </c>
      <c r="V300" s="62">
        <f t="shared" si="73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73"/>
        <v>0</v>
      </c>
      <c r="Q301" s="57">
        <f t="shared" si="73"/>
        <v>0</v>
      </c>
      <c r="R301" s="57">
        <f t="shared" si="73"/>
        <v>0</v>
      </c>
      <c r="S301" s="57">
        <f t="shared" si="73"/>
        <v>0</v>
      </c>
      <c r="T301" s="57">
        <f t="shared" si="73"/>
        <v>0</v>
      </c>
      <c r="U301" s="57">
        <f t="shared" si="73"/>
        <v>0</v>
      </c>
      <c r="V301" s="62">
        <f t="shared" si="73"/>
        <v>0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73"/>
        <v>0</v>
      </c>
      <c r="Q302" s="57">
        <f t="shared" si="73"/>
        <v>0</v>
      </c>
      <c r="R302" s="57">
        <f t="shared" si="73"/>
        <v>0</v>
      </c>
      <c r="S302" s="57">
        <f t="shared" si="73"/>
        <v>0</v>
      </c>
      <c r="T302" s="57">
        <f t="shared" si="73"/>
        <v>0</v>
      </c>
      <c r="U302" s="57">
        <f t="shared" si="73"/>
        <v>0</v>
      </c>
      <c r="V302" s="62">
        <f t="shared" si="73"/>
        <v>0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73"/>
        <v>0</v>
      </c>
      <c r="Q303" s="57">
        <f t="shared" si="73"/>
        <v>0</v>
      </c>
      <c r="R303" s="57">
        <f t="shared" si="73"/>
        <v>0</v>
      </c>
      <c r="S303" s="57">
        <f t="shared" si="73"/>
        <v>0</v>
      </c>
      <c r="T303" s="57">
        <f t="shared" si="73"/>
        <v>0</v>
      </c>
      <c r="U303" s="57">
        <f t="shared" si="73"/>
        <v>0</v>
      </c>
      <c r="V303" s="62">
        <f t="shared" si="73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73"/>
        <v>0</v>
      </c>
      <c r="Q304" s="57">
        <f t="shared" si="73"/>
        <v>0</v>
      </c>
      <c r="R304" s="57">
        <f t="shared" si="73"/>
        <v>0</v>
      </c>
      <c r="S304" s="57">
        <f t="shared" si="73"/>
        <v>0</v>
      </c>
      <c r="T304" s="57">
        <f t="shared" si="73"/>
        <v>0</v>
      </c>
      <c r="U304" s="57">
        <f t="shared" si="73"/>
        <v>0</v>
      </c>
      <c r="V304" s="62">
        <f t="shared" si="73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73"/>
        <v>0</v>
      </c>
      <c r="Q305" s="57">
        <f t="shared" si="73"/>
        <v>0</v>
      </c>
      <c r="R305" s="57">
        <f t="shared" si="73"/>
        <v>0</v>
      </c>
      <c r="S305" s="57">
        <f t="shared" si="73"/>
        <v>0</v>
      </c>
      <c r="T305" s="57">
        <f t="shared" si="73"/>
        <v>0</v>
      </c>
      <c r="U305" s="57">
        <f t="shared" si="73"/>
        <v>0</v>
      </c>
      <c r="V305" s="62">
        <f t="shared" si="73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73"/>
        <v>0</v>
      </c>
      <c r="Q306" s="57">
        <f t="shared" si="73"/>
        <v>0</v>
      </c>
      <c r="R306" s="57">
        <f t="shared" si="73"/>
        <v>0</v>
      </c>
      <c r="S306" s="57">
        <f t="shared" si="73"/>
        <v>0</v>
      </c>
      <c r="T306" s="57">
        <f t="shared" si="73"/>
        <v>0</v>
      </c>
      <c r="U306" s="57">
        <f t="shared" si="73"/>
        <v>0</v>
      </c>
      <c r="V306" s="62">
        <f t="shared" si="73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73"/>
        <v>0</v>
      </c>
      <c r="Q307" s="57">
        <f t="shared" si="73"/>
        <v>0</v>
      </c>
      <c r="R307" s="57">
        <f t="shared" si="73"/>
        <v>0</v>
      </c>
      <c r="S307" s="57">
        <f t="shared" si="73"/>
        <v>0</v>
      </c>
      <c r="T307" s="57">
        <f t="shared" si="73"/>
        <v>0</v>
      </c>
      <c r="U307" s="57">
        <f t="shared" si="73"/>
        <v>0</v>
      </c>
      <c r="V307" s="62">
        <f t="shared" si="73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74">SUM(Q297:Q307)</f>
        <v>373037.11913592811</v>
      </c>
      <c r="R309" s="37">
        <f t="shared" si="74"/>
        <v>154148.98430594438</v>
      </c>
      <c r="S309" s="37">
        <f t="shared" si="74"/>
        <v>155876.77714109534</v>
      </c>
      <c r="T309" s="37">
        <f t="shared" si="74"/>
        <v>157517.92455614466</v>
      </c>
      <c r="U309" s="37">
        <f t="shared" si="74"/>
        <v>160096.26048997231</v>
      </c>
      <c r="V309" s="64">
        <f t="shared" si="74"/>
        <v>162619.13272256861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250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5">P297*(1-P$219)</f>
        <v>0</v>
      </c>
      <c r="Q318" s="57">
        <f t="shared" si="75"/>
        <v>0</v>
      </c>
      <c r="R318" s="57">
        <f t="shared" si="75"/>
        <v>0</v>
      </c>
      <c r="S318" s="57">
        <f t="shared" si="75"/>
        <v>0</v>
      </c>
      <c r="T318" s="57">
        <f t="shared" si="75"/>
        <v>0</v>
      </c>
      <c r="U318" s="57">
        <f t="shared" si="75"/>
        <v>0</v>
      </c>
      <c r="V318" s="62">
        <f t="shared" si="75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5"/>
        <v>0</v>
      </c>
      <c r="Q319" s="57">
        <f t="shared" si="75"/>
        <v>177684.56268354331</v>
      </c>
      <c r="R319" s="57">
        <f t="shared" si="75"/>
        <v>43157.091631561052</v>
      </c>
      <c r="S319" s="57">
        <f t="shared" si="75"/>
        <v>43640.821797171287</v>
      </c>
      <c r="T319" s="57">
        <f t="shared" si="75"/>
        <v>44100.293844237189</v>
      </c>
      <c r="U319" s="57">
        <f t="shared" si="75"/>
        <v>44822.150563917538</v>
      </c>
      <c r="V319" s="62">
        <f t="shared" si="75"/>
        <v>45528.4791109859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5"/>
        <v>0</v>
      </c>
      <c r="Q320" s="57">
        <f t="shared" si="75"/>
        <v>195352.55645238477</v>
      </c>
      <c r="R320" s="57">
        <f t="shared" si="75"/>
        <v>110991.89267438333</v>
      </c>
      <c r="S320" s="57">
        <f t="shared" si="75"/>
        <v>112235.95534392406</v>
      </c>
      <c r="T320" s="57">
        <f t="shared" si="75"/>
        <v>113417.63071190746</v>
      </c>
      <c r="U320" s="57">
        <f t="shared" si="75"/>
        <v>115274.10992605476</v>
      </c>
      <c r="V320" s="62">
        <f t="shared" si="75"/>
        <v>117090.65361158272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5"/>
        <v>0</v>
      </c>
      <c r="Q321" s="57">
        <f t="shared" si="75"/>
        <v>0</v>
      </c>
      <c r="R321" s="57">
        <f t="shared" si="75"/>
        <v>0</v>
      </c>
      <c r="S321" s="57">
        <f t="shared" si="75"/>
        <v>0</v>
      </c>
      <c r="T321" s="57">
        <f t="shared" si="75"/>
        <v>0</v>
      </c>
      <c r="U321" s="57">
        <f t="shared" si="75"/>
        <v>0</v>
      </c>
      <c r="V321" s="62">
        <f t="shared" si="75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5"/>
        <v>0</v>
      </c>
      <c r="Q322" s="57">
        <f t="shared" si="75"/>
        <v>0</v>
      </c>
      <c r="R322" s="57">
        <f t="shared" si="75"/>
        <v>0</v>
      </c>
      <c r="S322" s="57">
        <f t="shared" si="75"/>
        <v>0</v>
      </c>
      <c r="T322" s="57">
        <f t="shared" si="75"/>
        <v>0</v>
      </c>
      <c r="U322" s="57">
        <f t="shared" si="75"/>
        <v>0</v>
      </c>
      <c r="V322" s="62">
        <f t="shared" si="75"/>
        <v>0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5"/>
        <v>0</v>
      </c>
      <c r="Q323" s="57">
        <f t="shared" si="75"/>
        <v>0</v>
      </c>
      <c r="R323" s="57">
        <f t="shared" si="75"/>
        <v>0</v>
      </c>
      <c r="S323" s="57">
        <f t="shared" si="75"/>
        <v>0</v>
      </c>
      <c r="T323" s="57">
        <f t="shared" si="75"/>
        <v>0</v>
      </c>
      <c r="U323" s="57">
        <f t="shared" si="75"/>
        <v>0</v>
      </c>
      <c r="V323" s="62">
        <f t="shared" si="75"/>
        <v>0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5"/>
        <v>0</v>
      </c>
      <c r="Q324" s="57">
        <f t="shared" si="75"/>
        <v>0</v>
      </c>
      <c r="R324" s="57">
        <f t="shared" si="75"/>
        <v>0</v>
      </c>
      <c r="S324" s="57">
        <f t="shared" si="75"/>
        <v>0</v>
      </c>
      <c r="T324" s="57">
        <f t="shared" si="75"/>
        <v>0</v>
      </c>
      <c r="U324" s="57">
        <f t="shared" si="75"/>
        <v>0</v>
      </c>
      <c r="V324" s="62">
        <f t="shared" si="75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5"/>
        <v>0</v>
      </c>
      <c r="Q325" s="57">
        <f t="shared" si="75"/>
        <v>0</v>
      </c>
      <c r="R325" s="57">
        <f t="shared" si="75"/>
        <v>0</v>
      </c>
      <c r="S325" s="57">
        <f t="shared" si="75"/>
        <v>0</v>
      </c>
      <c r="T325" s="57">
        <f t="shared" si="75"/>
        <v>0</v>
      </c>
      <c r="U325" s="57">
        <f t="shared" si="75"/>
        <v>0</v>
      </c>
      <c r="V325" s="62">
        <f t="shared" si="75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5"/>
        <v>0</v>
      </c>
      <c r="Q326" s="57">
        <f t="shared" si="75"/>
        <v>0</v>
      </c>
      <c r="R326" s="57">
        <f t="shared" si="75"/>
        <v>0</v>
      </c>
      <c r="S326" s="57">
        <f t="shared" si="75"/>
        <v>0</v>
      </c>
      <c r="T326" s="57">
        <f t="shared" si="75"/>
        <v>0</v>
      </c>
      <c r="U326" s="57">
        <f t="shared" si="75"/>
        <v>0</v>
      </c>
      <c r="V326" s="62">
        <f t="shared" si="75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5"/>
        <v>0</v>
      </c>
      <c r="Q327" s="57">
        <f t="shared" si="75"/>
        <v>0</v>
      </c>
      <c r="R327" s="57">
        <f t="shared" si="75"/>
        <v>0</v>
      </c>
      <c r="S327" s="57">
        <f t="shared" si="75"/>
        <v>0</v>
      </c>
      <c r="T327" s="57">
        <f t="shared" si="75"/>
        <v>0</v>
      </c>
      <c r="U327" s="57">
        <f t="shared" si="75"/>
        <v>0</v>
      </c>
      <c r="V327" s="62">
        <f t="shared" si="75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5"/>
        <v>0</v>
      </c>
      <c r="Q328" s="57">
        <f t="shared" si="75"/>
        <v>0</v>
      </c>
      <c r="R328" s="57">
        <f t="shared" si="75"/>
        <v>0</v>
      </c>
      <c r="S328" s="57">
        <f t="shared" si="75"/>
        <v>0</v>
      </c>
      <c r="T328" s="57">
        <f t="shared" si="75"/>
        <v>0</v>
      </c>
      <c r="U328" s="57">
        <f t="shared" si="75"/>
        <v>0</v>
      </c>
      <c r="V328" s="62">
        <f t="shared" si="75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6">SUM(Q318:Q328)</f>
        <v>373037.11913592811</v>
      </c>
      <c r="R330" s="37">
        <f t="shared" si="76"/>
        <v>154148.98430594438</v>
      </c>
      <c r="S330" s="37">
        <f t="shared" si="76"/>
        <v>155876.77714109534</v>
      </c>
      <c r="T330" s="37">
        <f t="shared" si="76"/>
        <v>157517.92455614466</v>
      </c>
      <c r="U330" s="37">
        <f t="shared" si="76"/>
        <v>160096.26048997231</v>
      </c>
      <c r="V330" s="64">
        <f t="shared" si="76"/>
        <v>162619.13272256861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251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7">Q297*Q$219</f>
        <v>0</v>
      </c>
      <c r="R339" s="57">
        <f t="shared" si="77"/>
        <v>0</v>
      </c>
      <c r="S339" s="57">
        <f t="shared" si="77"/>
        <v>0</v>
      </c>
      <c r="T339" s="57">
        <f t="shared" si="77"/>
        <v>0</v>
      </c>
      <c r="U339" s="57">
        <f t="shared" si="77"/>
        <v>0</v>
      </c>
      <c r="V339" s="62">
        <f t="shared" si="77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8">P298*P$219</f>
        <v>0</v>
      </c>
      <c r="Q340" s="57">
        <f t="shared" si="77"/>
        <v>0</v>
      </c>
      <c r="R340" s="57">
        <f t="shared" si="77"/>
        <v>0</v>
      </c>
      <c r="S340" s="57">
        <f t="shared" si="77"/>
        <v>0</v>
      </c>
      <c r="T340" s="57">
        <f t="shared" si="77"/>
        <v>0</v>
      </c>
      <c r="U340" s="57">
        <f t="shared" si="77"/>
        <v>0</v>
      </c>
      <c r="V340" s="62">
        <f t="shared" si="77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8"/>
        <v>0</v>
      </c>
      <c r="Q341" s="57">
        <f t="shared" si="77"/>
        <v>0</v>
      </c>
      <c r="R341" s="57">
        <f t="shared" si="77"/>
        <v>0</v>
      </c>
      <c r="S341" s="57">
        <f t="shared" si="77"/>
        <v>0</v>
      </c>
      <c r="T341" s="57">
        <f t="shared" si="77"/>
        <v>0</v>
      </c>
      <c r="U341" s="57">
        <f t="shared" si="77"/>
        <v>0</v>
      </c>
      <c r="V341" s="62">
        <f t="shared" si="77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8"/>
        <v>0</v>
      </c>
      <c r="Q342" s="57">
        <f t="shared" si="77"/>
        <v>0</v>
      </c>
      <c r="R342" s="57">
        <f t="shared" si="77"/>
        <v>0</v>
      </c>
      <c r="S342" s="57">
        <f t="shared" si="77"/>
        <v>0</v>
      </c>
      <c r="T342" s="57">
        <f t="shared" si="77"/>
        <v>0</v>
      </c>
      <c r="U342" s="57">
        <f t="shared" si="77"/>
        <v>0</v>
      </c>
      <c r="V342" s="62">
        <f t="shared" si="77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8"/>
        <v>0</v>
      </c>
      <c r="Q343" s="57">
        <f t="shared" si="77"/>
        <v>0</v>
      </c>
      <c r="R343" s="57">
        <f t="shared" si="77"/>
        <v>0</v>
      </c>
      <c r="S343" s="57">
        <f t="shared" si="77"/>
        <v>0</v>
      </c>
      <c r="T343" s="57">
        <f t="shared" si="77"/>
        <v>0</v>
      </c>
      <c r="U343" s="57">
        <f t="shared" si="77"/>
        <v>0</v>
      </c>
      <c r="V343" s="62">
        <f t="shared" si="77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8"/>
        <v>0</v>
      </c>
      <c r="Q344" s="57">
        <f t="shared" si="77"/>
        <v>0</v>
      </c>
      <c r="R344" s="57">
        <f t="shared" si="77"/>
        <v>0</v>
      </c>
      <c r="S344" s="57">
        <f t="shared" si="77"/>
        <v>0</v>
      </c>
      <c r="T344" s="57">
        <f t="shared" si="77"/>
        <v>0</v>
      </c>
      <c r="U344" s="57">
        <f t="shared" si="77"/>
        <v>0</v>
      </c>
      <c r="V344" s="62">
        <f t="shared" si="77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8"/>
        <v>0</v>
      </c>
      <c r="Q345" s="57">
        <f t="shared" si="77"/>
        <v>0</v>
      </c>
      <c r="R345" s="57">
        <f t="shared" si="77"/>
        <v>0</v>
      </c>
      <c r="S345" s="57">
        <f t="shared" si="77"/>
        <v>0</v>
      </c>
      <c r="T345" s="57">
        <f t="shared" si="77"/>
        <v>0</v>
      </c>
      <c r="U345" s="57">
        <f t="shared" si="77"/>
        <v>0</v>
      </c>
      <c r="V345" s="62">
        <f t="shared" si="77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8"/>
        <v>0</v>
      </c>
      <c r="Q346" s="57">
        <f t="shared" si="77"/>
        <v>0</v>
      </c>
      <c r="R346" s="57">
        <f t="shared" si="77"/>
        <v>0</v>
      </c>
      <c r="S346" s="57">
        <f t="shared" si="77"/>
        <v>0</v>
      </c>
      <c r="T346" s="57">
        <f t="shared" si="77"/>
        <v>0</v>
      </c>
      <c r="U346" s="57">
        <f t="shared" si="77"/>
        <v>0</v>
      </c>
      <c r="V346" s="62">
        <f t="shared" si="77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8"/>
        <v>0</v>
      </c>
      <c r="Q347" s="57">
        <f t="shared" si="77"/>
        <v>0</v>
      </c>
      <c r="R347" s="57">
        <f t="shared" si="77"/>
        <v>0</v>
      </c>
      <c r="S347" s="57">
        <f t="shared" si="77"/>
        <v>0</v>
      </c>
      <c r="T347" s="57">
        <f t="shared" si="77"/>
        <v>0</v>
      </c>
      <c r="U347" s="57">
        <f t="shared" si="77"/>
        <v>0</v>
      </c>
      <c r="V347" s="62">
        <f t="shared" si="77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8"/>
        <v>0</v>
      </c>
      <c r="Q348" s="57">
        <f t="shared" si="77"/>
        <v>0</v>
      </c>
      <c r="R348" s="57">
        <f t="shared" si="77"/>
        <v>0</v>
      </c>
      <c r="S348" s="57">
        <f t="shared" si="77"/>
        <v>0</v>
      </c>
      <c r="T348" s="57">
        <f t="shared" si="77"/>
        <v>0</v>
      </c>
      <c r="U348" s="57">
        <f t="shared" si="77"/>
        <v>0</v>
      </c>
      <c r="V348" s="62">
        <f t="shared" si="77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8"/>
        <v>0</v>
      </c>
      <c r="Q349" s="57">
        <f t="shared" si="77"/>
        <v>0</v>
      </c>
      <c r="R349" s="57">
        <f t="shared" si="77"/>
        <v>0</v>
      </c>
      <c r="S349" s="57">
        <f t="shared" si="77"/>
        <v>0</v>
      </c>
      <c r="T349" s="57">
        <f t="shared" si="77"/>
        <v>0</v>
      </c>
      <c r="U349" s="57">
        <f t="shared" si="77"/>
        <v>0</v>
      </c>
      <c r="V349" s="62">
        <f t="shared" si="77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9">SUM(Q339:Q349)</f>
        <v>0</v>
      </c>
      <c r="R351" s="37">
        <f t="shared" si="79"/>
        <v>0</v>
      </c>
      <c r="S351" s="37">
        <f t="shared" si="79"/>
        <v>0</v>
      </c>
      <c r="T351" s="37">
        <f t="shared" si="79"/>
        <v>0</v>
      </c>
      <c r="U351" s="37">
        <f t="shared" si="79"/>
        <v>0</v>
      </c>
      <c r="V351" s="64">
        <f t="shared" si="79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249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0">IFERROR(SUMPRODUCT($AM$73:$AM$87,Q$73:Q$87)/SUM(Q$73:Q$87)*Q$89,0)</f>
        <v>347062.38151174854</v>
      </c>
      <c r="R362" s="57">
        <f t="shared" si="80"/>
        <v>143772.78599311394</v>
      </c>
      <c r="S362" s="57">
        <f t="shared" si="80"/>
        <v>144831.48004136901</v>
      </c>
      <c r="T362" s="57">
        <f t="shared" si="80"/>
        <v>146198.28020948818</v>
      </c>
      <c r="U362" s="57">
        <f t="shared" si="80"/>
        <v>148002.16272554611</v>
      </c>
      <c r="V362" s="62">
        <f t="shared" si="80"/>
        <v>149963.33766046737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81">IFERROR(SUMPRODUCT($AN$73:$AN$87,Q$73:Q$87)/SUM(Q$73:Q$87)*Q$89,0)</f>
        <v>0</v>
      </c>
      <c r="R363" s="57">
        <f t="shared" si="81"/>
        <v>0</v>
      </c>
      <c r="S363" s="57">
        <f t="shared" si="81"/>
        <v>0</v>
      </c>
      <c r="T363" s="57">
        <f t="shared" si="81"/>
        <v>0</v>
      </c>
      <c r="U363" s="57">
        <f t="shared" si="81"/>
        <v>0</v>
      </c>
      <c r="V363" s="62">
        <f t="shared" si="81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82">IFERROR(SUMPRODUCT($AO$73:$AO$87,Q$73:Q$87)/SUM(Q$73:Q$87)*Q$89,0)</f>
        <v>0</v>
      </c>
      <c r="R364" s="57">
        <f t="shared" si="82"/>
        <v>0</v>
      </c>
      <c r="S364" s="57">
        <f t="shared" si="82"/>
        <v>0</v>
      </c>
      <c r="T364" s="57">
        <f t="shared" si="82"/>
        <v>0</v>
      </c>
      <c r="U364" s="57">
        <f t="shared" si="82"/>
        <v>0</v>
      </c>
      <c r="V364" s="62">
        <f t="shared" si="82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83">IFERROR(SUMPRODUCT($AP$73:$AP$87,Q$73:Q$87)/SUM(Q$73:Q$87)*Q$89,0)</f>
        <v>0</v>
      </c>
      <c r="R365" s="57">
        <f t="shared" si="83"/>
        <v>0</v>
      </c>
      <c r="S365" s="57">
        <f t="shared" si="83"/>
        <v>0</v>
      </c>
      <c r="T365" s="57">
        <f t="shared" si="83"/>
        <v>0</v>
      </c>
      <c r="U365" s="57">
        <f t="shared" si="83"/>
        <v>0</v>
      </c>
      <c r="V365" s="62">
        <f t="shared" si="83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84">IFERROR(SUMPRODUCT($AQ$73:$AQ$87,Q$73:Q$87)/SUM(Q$73:Q$87)*Q$89,0)</f>
        <v>0</v>
      </c>
      <c r="R366" s="57">
        <f t="shared" si="84"/>
        <v>0</v>
      </c>
      <c r="S366" s="57">
        <f t="shared" si="84"/>
        <v>0</v>
      </c>
      <c r="T366" s="57">
        <f t="shared" si="84"/>
        <v>0</v>
      </c>
      <c r="U366" s="57">
        <f t="shared" si="84"/>
        <v>0</v>
      </c>
      <c r="V366" s="62">
        <f t="shared" si="84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85">IFERROR(SUMPRODUCT($AR$73:$AR$87,Q$73:Q$87)/SUM(Q$73:Q$87)*Q$89,0)</f>
        <v>0</v>
      </c>
      <c r="R367" s="57">
        <f t="shared" si="85"/>
        <v>0</v>
      </c>
      <c r="S367" s="57">
        <f t="shared" si="85"/>
        <v>0</v>
      </c>
      <c r="T367" s="57">
        <f t="shared" si="85"/>
        <v>0</v>
      </c>
      <c r="U367" s="57">
        <f t="shared" si="85"/>
        <v>0</v>
      </c>
      <c r="V367" s="62">
        <f t="shared" si="85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6">IFERROR(SUMPRODUCT($AS$73:$AS$87,Q$73:Q$87)/SUM(Q$73:Q$87)*Q$89,0)</f>
        <v>0</v>
      </c>
      <c r="R368" s="57">
        <f t="shared" si="86"/>
        <v>0</v>
      </c>
      <c r="S368" s="57">
        <f t="shared" si="86"/>
        <v>0</v>
      </c>
      <c r="T368" s="57">
        <f t="shared" si="86"/>
        <v>0</v>
      </c>
      <c r="U368" s="57">
        <f t="shared" si="86"/>
        <v>0</v>
      </c>
      <c r="V368" s="62">
        <f t="shared" si="86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7">IFERROR(SUMPRODUCT($AT$73:$AT$87,Q$73:Q$87)/SUM(Q$73:Q$87)*Q$89,0)</f>
        <v>0</v>
      </c>
      <c r="R369" s="57">
        <f t="shared" si="87"/>
        <v>0</v>
      </c>
      <c r="S369" s="57">
        <f t="shared" si="87"/>
        <v>0</v>
      </c>
      <c r="T369" s="57">
        <f t="shared" si="87"/>
        <v>0</v>
      </c>
      <c r="U369" s="57">
        <f t="shared" si="87"/>
        <v>0</v>
      </c>
      <c r="V369" s="62">
        <f t="shared" si="87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8">IFERROR(SUMPRODUCT($AU$73:$AU$87,Q$73:Q$87)/SUM(Q$73:Q$87)*Q$89,0)</f>
        <v>0</v>
      </c>
      <c r="R370" s="57">
        <f t="shared" si="88"/>
        <v>0</v>
      </c>
      <c r="S370" s="57">
        <f t="shared" si="88"/>
        <v>0</v>
      </c>
      <c r="T370" s="57">
        <f t="shared" si="88"/>
        <v>0</v>
      </c>
      <c r="U370" s="57">
        <f t="shared" si="88"/>
        <v>0</v>
      </c>
      <c r="V370" s="62">
        <f t="shared" si="88"/>
        <v>0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9">IFERROR(SUMPRODUCT($AV$73:$AV$87,Q$73:Q$87)/SUM(Q$73:Q$87)*Q$89,0)</f>
        <v>0</v>
      </c>
      <c r="R371" s="57">
        <f t="shared" si="89"/>
        <v>0</v>
      </c>
      <c r="S371" s="57">
        <f t="shared" si="89"/>
        <v>0</v>
      </c>
      <c r="T371" s="57">
        <f t="shared" si="89"/>
        <v>0</v>
      </c>
      <c r="U371" s="57">
        <f t="shared" si="89"/>
        <v>0</v>
      </c>
      <c r="V371" s="62">
        <f t="shared" si="89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0">IFERROR(SUMPRODUCT($AW$73:$AW$87,Q$73:Q$87)/SUM(Q$73:Q$87)*Q$89,0)</f>
        <v>0</v>
      </c>
      <c r="R372" s="57">
        <f t="shared" si="90"/>
        <v>0</v>
      </c>
      <c r="S372" s="57">
        <f t="shared" si="90"/>
        <v>0</v>
      </c>
      <c r="T372" s="57">
        <f t="shared" si="90"/>
        <v>0</v>
      </c>
      <c r="U372" s="57">
        <f t="shared" si="90"/>
        <v>0</v>
      </c>
      <c r="V372" s="62">
        <f t="shared" si="90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91">Q238</f>
        <v>0</v>
      </c>
      <c r="R373" s="57">
        <f t="shared" si="91"/>
        <v>0</v>
      </c>
      <c r="S373" s="57">
        <f t="shared" si="91"/>
        <v>0</v>
      </c>
      <c r="T373" s="57">
        <f t="shared" si="91"/>
        <v>0</v>
      </c>
      <c r="U373" s="57">
        <f t="shared" si="91"/>
        <v>0</v>
      </c>
      <c r="V373" s="62">
        <f t="shared" si="91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92">Q252</f>
        <v>0</v>
      </c>
      <c r="R374" s="57">
        <f t="shared" si="92"/>
        <v>0</v>
      </c>
      <c r="S374" s="57">
        <f t="shared" si="92"/>
        <v>0</v>
      </c>
      <c r="T374" s="57">
        <f t="shared" si="92"/>
        <v>0</v>
      </c>
      <c r="U374" s="57">
        <f t="shared" si="92"/>
        <v>0</v>
      </c>
      <c r="V374" s="62">
        <f t="shared" si="92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93">SUM(Q362:Q372)*Q208</f>
        <v>25974.737624179474</v>
      </c>
      <c r="R375" s="57">
        <f t="shared" si="93"/>
        <v>10376.198312830462</v>
      </c>
      <c r="S375" s="57">
        <f t="shared" si="93"/>
        <v>11045.297099726347</v>
      </c>
      <c r="T375" s="57">
        <f t="shared" si="93"/>
        <v>11319.6443466565</v>
      </c>
      <c r="U375" s="57">
        <f t="shared" si="93"/>
        <v>12094.097764426186</v>
      </c>
      <c r="V375" s="57">
        <f t="shared" si="93"/>
        <v>12655.795062101235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94">SUM(P362:P375)</f>
        <v>0</v>
      </c>
      <c r="Q377" s="37">
        <f t="shared" si="94"/>
        <v>373037.11913592799</v>
      </c>
      <c r="R377" s="37">
        <f t="shared" si="94"/>
        <v>154148.98430594441</v>
      </c>
      <c r="S377" s="37">
        <f t="shared" si="94"/>
        <v>155876.77714109537</v>
      </c>
      <c r="T377" s="37">
        <f t="shared" si="94"/>
        <v>157517.92455614469</v>
      </c>
      <c r="U377" s="37">
        <f t="shared" si="94"/>
        <v>160096.26048997228</v>
      </c>
      <c r="V377" s="64">
        <f t="shared" si="94"/>
        <v>162619.13272256861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249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95">IFERROR(SUMPRODUCT($BB$73:$BB$87,Q$73:Q$87)/SUM(Q$73:Q$87)*Q$89*(1+Q$208),0)</f>
        <v>373037.11913592805</v>
      </c>
      <c r="R388" s="57">
        <f t="shared" si="95"/>
        <v>154148.98430594438</v>
      </c>
      <c r="S388" s="57">
        <f t="shared" si="95"/>
        <v>155876.77714109534</v>
      </c>
      <c r="T388" s="57">
        <f t="shared" si="95"/>
        <v>157517.92455614466</v>
      </c>
      <c r="U388" s="57">
        <f t="shared" si="95"/>
        <v>160096.26048997231</v>
      </c>
      <c r="V388" s="62">
        <f t="shared" si="95"/>
        <v>162619.13272256861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96">IFERROR(SUMPRODUCT($BC$73:$BC$87,Q$73:Q$87)/SUM(Q$73:Q$87)*Q$89*(1+Q$208),0)</f>
        <v>0</v>
      </c>
      <c r="R389" s="57">
        <f t="shared" si="96"/>
        <v>0</v>
      </c>
      <c r="S389" s="57">
        <f t="shared" si="96"/>
        <v>0</v>
      </c>
      <c r="T389" s="57">
        <f t="shared" si="96"/>
        <v>0</v>
      </c>
      <c r="U389" s="57">
        <f t="shared" si="96"/>
        <v>0</v>
      </c>
      <c r="V389" s="62">
        <f t="shared" si="96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7">IFERROR(SUMPRODUCT($BD$73:$BD$87,Q$73:Q$87)/SUM(Q$73:Q$87)*Q$89*(1+Q$208),0)</f>
        <v>0</v>
      </c>
      <c r="R390" s="57">
        <f t="shared" si="97"/>
        <v>0</v>
      </c>
      <c r="S390" s="57">
        <f t="shared" si="97"/>
        <v>0</v>
      </c>
      <c r="T390" s="57">
        <f t="shared" si="97"/>
        <v>0</v>
      </c>
      <c r="U390" s="57">
        <f t="shared" si="97"/>
        <v>0</v>
      </c>
      <c r="V390" s="62">
        <f t="shared" si="97"/>
        <v>0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8">IFERROR(SUMPRODUCT($BE$73:$BE$87,Q$73:Q$87)/SUM(Q$73:Q$87)*Q$89*(1+Q$208),0)</f>
        <v>0</v>
      </c>
      <c r="R391" s="57">
        <f t="shared" si="98"/>
        <v>0</v>
      </c>
      <c r="S391" s="57">
        <f t="shared" si="98"/>
        <v>0</v>
      </c>
      <c r="T391" s="57">
        <f t="shared" si="98"/>
        <v>0</v>
      </c>
      <c r="U391" s="57">
        <f t="shared" si="98"/>
        <v>0</v>
      </c>
      <c r="V391" s="62">
        <f t="shared" si="98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9">IFERROR(SUMPRODUCT($BF$73:$BF$87,Q$73:Q$87)/SUM(Q$73:Q$87)*Q$89*(1+Q$208),0)</f>
        <v>0</v>
      </c>
      <c r="R392" s="57">
        <f t="shared" si="99"/>
        <v>0</v>
      </c>
      <c r="S392" s="57">
        <f t="shared" si="99"/>
        <v>0</v>
      </c>
      <c r="T392" s="57">
        <f t="shared" si="99"/>
        <v>0</v>
      </c>
      <c r="U392" s="57">
        <f t="shared" si="99"/>
        <v>0</v>
      </c>
      <c r="V392" s="62">
        <f t="shared" si="99"/>
        <v>0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0">IFERROR(SUMPRODUCT($BG$73:$BG$87,Q$73:Q$87)/SUM(Q$73:Q$87)*Q$89*(1+Q$208),0)</f>
        <v>0</v>
      </c>
      <c r="R393" s="57">
        <f t="shared" si="100"/>
        <v>0</v>
      </c>
      <c r="S393" s="57">
        <f t="shared" si="100"/>
        <v>0</v>
      </c>
      <c r="T393" s="57">
        <f t="shared" si="100"/>
        <v>0</v>
      </c>
      <c r="U393" s="57">
        <f t="shared" si="100"/>
        <v>0</v>
      </c>
      <c r="V393" s="62">
        <f t="shared" si="100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01">IFERROR(SUMPRODUCT($BH$73:$BH$87,Q$73:Q$87)/SUM(Q$73:Q$87)*Q$89*(1+Q$208),0)</f>
        <v>0</v>
      </c>
      <c r="R394" s="57">
        <f t="shared" si="101"/>
        <v>0</v>
      </c>
      <c r="S394" s="57">
        <f t="shared" si="101"/>
        <v>0</v>
      </c>
      <c r="T394" s="57">
        <f t="shared" si="101"/>
        <v>0</v>
      </c>
      <c r="U394" s="57">
        <f t="shared" si="101"/>
        <v>0</v>
      </c>
      <c r="V394" s="62">
        <f t="shared" si="101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2">SUM(P388:P394)</f>
        <v>0</v>
      </c>
      <c r="Q396" s="37">
        <f t="shared" si="102"/>
        <v>373037.11913592805</v>
      </c>
      <c r="R396" s="37">
        <f t="shared" si="102"/>
        <v>154148.98430594438</v>
      </c>
      <c r="S396" s="37">
        <f t="shared" si="102"/>
        <v>155876.77714109534</v>
      </c>
      <c r="T396" s="37">
        <f t="shared" si="102"/>
        <v>157517.92455614466</v>
      </c>
      <c r="U396" s="37">
        <f t="shared" si="102"/>
        <v>160096.26048997231</v>
      </c>
      <c r="V396" s="64">
        <f t="shared" si="102"/>
        <v>162619.13272256861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I399"/>
  <sheetViews>
    <sheetView topLeftCell="F19" workbookViewId="0">
      <selection activeCell="T38" sqref="T38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0" s="3" customFormat="1">
      <c r="A1" s="2" t="s">
        <v>2</v>
      </c>
    </row>
    <row r="2" spans="1:10" s="1" customFormat="1">
      <c r="A2" s="3" t="s">
        <v>167</v>
      </c>
    </row>
    <row r="3" spans="1:10" s="1" customFormat="1">
      <c r="A3" s="3" t="s">
        <v>95</v>
      </c>
    </row>
    <row r="4" spans="1:10" s="1" customFormat="1">
      <c r="A4" s="22" t="s">
        <v>43</v>
      </c>
    </row>
    <row r="5" spans="1:10" ht="11.25" customHeight="1"/>
    <row r="6" spans="1:10" s="1" customFormat="1">
      <c r="A6" s="2">
        <v>2</v>
      </c>
      <c r="B6" s="2" t="s">
        <v>45</v>
      </c>
    </row>
    <row r="9" spans="1:10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  <c r="I9" s="102"/>
      <c r="J9" s="95"/>
    </row>
    <row r="10" spans="1:10">
      <c r="B10" s="8" t="s">
        <v>168</v>
      </c>
      <c r="D10" s="10">
        <v>0.13</v>
      </c>
      <c r="E10" s="10">
        <v>0.4</v>
      </c>
      <c r="F10" s="26">
        <f>D10+E10</f>
        <v>0.53</v>
      </c>
      <c r="G10" s="26">
        <f>1-F10</f>
        <v>0.47</v>
      </c>
    </row>
    <row r="11" spans="1:10">
      <c r="B11" s="8" t="s">
        <v>169</v>
      </c>
      <c r="D11" s="10">
        <v>0.02</v>
      </c>
      <c r="E11" s="10">
        <v>0.45</v>
      </c>
      <c r="F11" s="26">
        <f t="shared" ref="F11:F13" si="0">D11+E11</f>
        <v>0.47000000000000003</v>
      </c>
      <c r="G11" s="26">
        <f>1-F11</f>
        <v>0.53</v>
      </c>
      <c r="I11" s="94"/>
    </row>
    <row r="12" spans="1:10">
      <c r="B12" s="8" t="s">
        <v>170</v>
      </c>
      <c r="D12" s="10">
        <v>0.25</v>
      </c>
      <c r="E12" s="10">
        <v>0.5</v>
      </c>
      <c r="F12" s="26">
        <f t="shared" si="0"/>
        <v>0.75</v>
      </c>
      <c r="G12" s="26">
        <f>1-F12</f>
        <v>0.25</v>
      </c>
      <c r="I12" s="94"/>
    </row>
    <row r="13" spans="1:10">
      <c r="B13" s="8" t="s">
        <v>363</v>
      </c>
      <c r="D13" s="10">
        <v>0.04</v>
      </c>
      <c r="E13" s="10">
        <v>0.04</v>
      </c>
      <c r="F13" s="26">
        <f t="shared" si="0"/>
        <v>0.08</v>
      </c>
      <c r="G13" s="26">
        <f>1-F13</f>
        <v>0.92</v>
      </c>
      <c r="I13" s="95"/>
    </row>
    <row r="14" spans="1:10">
      <c r="B14" s="8" t="s">
        <v>395</v>
      </c>
      <c r="D14" s="10">
        <v>0.25</v>
      </c>
      <c r="E14" s="10">
        <v>0.5</v>
      </c>
      <c r="F14" s="26">
        <f t="shared" ref="F14" si="1">D14+E14</f>
        <v>0.75</v>
      </c>
      <c r="G14" s="26">
        <f>1-F14</f>
        <v>0.25</v>
      </c>
      <c r="I14" s="94"/>
    </row>
    <row r="15" spans="1:10">
      <c r="B15" s="8"/>
      <c r="D15" s="10"/>
      <c r="E15" s="10"/>
      <c r="F15" s="27"/>
      <c r="G15" s="27"/>
      <c r="I15" s="94"/>
    </row>
    <row r="16" spans="1:10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51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90" t="s">
        <v>52</v>
      </c>
      <c r="I28" s="190"/>
      <c r="J28" s="190"/>
      <c r="K28" s="190"/>
      <c r="L28" s="190"/>
      <c r="M28" s="190" t="s">
        <v>53</v>
      </c>
      <c r="N28" s="190"/>
      <c r="O28" s="190"/>
      <c r="P28" s="190"/>
      <c r="Q28" s="190"/>
      <c r="R28" s="190" t="s">
        <v>54</v>
      </c>
      <c r="S28" s="190"/>
      <c r="T28" s="190"/>
      <c r="U28" s="190"/>
      <c r="V28" s="190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>IF(B10&lt;&gt;"",B10,"[blank]")</f>
        <v>In-Service Compliance Testing</v>
      </c>
      <c r="D31" s="31" t="s">
        <v>171</v>
      </c>
      <c r="E31" s="31"/>
      <c r="P31" s="104"/>
      <c r="Q31" s="184"/>
      <c r="R31" s="184"/>
      <c r="S31" s="184"/>
      <c r="T31" s="184"/>
      <c r="U31" s="184"/>
      <c r="V31" s="184"/>
      <c r="X31" s="20"/>
    </row>
    <row r="32" spans="1:24">
      <c r="B32" s="4" t="str">
        <f t="shared" ref="B32:B45" si="2">IF(B11&lt;&gt;"",B11,"[blank]")</f>
        <v>Time Expired</v>
      </c>
      <c r="D32" s="31" t="s">
        <v>171</v>
      </c>
      <c r="E32" s="31"/>
      <c r="P32" s="104"/>
      <c r="Q32" s="184"/>
      <c r="R32" s="184"/>
      <c r="S32" s="184"/>
      <c r="T32" s="184"/>
      <c r="U32" s="184"/>
      <c r="V32" s="184"/>
      <c r="X32" s="20"/>
    </row>
    <row r="33" spans="1:24">
      <c r="B33" s="4" t="str">
        <f t="shared" si="2"/>
        <v>"No Access" Non-Compliant</v>
      </c>
      <c r="D33" s="31" t="s">
        <v>171</v>
      </c>
      <c r="P33" s="106"/>
      <c r="Q33" s="184"/>
      <c r="R33" s="184"/>
      <c r="S33" s="184"/>
      <c r="T33" s="184"/>
      <c r="U33" s="184"/>
      <c r="V33" s="184"/>
      <c r="X33" s="20"/>
    </row>
    <row r="34" spans="1:24">
      <c r="B34" s="4" t="str">
        <f t="shared" si="2"/>
        <v>Digital metering program</v>
      </c>
      <c r="D34" s="31" t="s">
        <v>60</v>
      </c>
      <c r="P34" s="106"/>
      <c r="Q34" s="103">
        <f>'AMP inputs'!U28*'General assumptions'!$S$21*($D13*'General assumptions'!T$35+$E13*'General assumptions'!T$36+$G13*'General assumptions'!T$42)</f>
        <v>0</v>
      </c>
      <c r="R34" s="103">
        <f>'AMP inputs'!V28*'General assumptions'!$S$21*($D13*'General assumptions'!U$35+$E13*'General assumptions'!U$36+$G13*'General assumptions'!U$42)</f>
        <v>0</v>
      </c>
      <c r="S34" s="103">
        <f>'AMP inputs'!W28*'General assumptions'!$S$21*($D13*'General assumptions'!V$35+$E13*'General assumptions'!V$36+$G13*'General assumptions'!V$42)</f>
        <v>0</v>
      </c>
      <c r="T34" s="103">
        <f>'AMP inputs'!X28*'General assumptions'!$S$21*($D13*'General assumptions'!W$35+$E13*'General assumptions'!W$36+$G13*'General assumptions'!W$42)</f>
        <v>0</v>
      </c>
      <c r="U34" s="103">
        <f>'AMP inputs'!Y28*'General assumptions'!$S$21*($D13*'General assumptions'!X$35+$E13*'General assumptions'!X$36+$G13*'General assumptions'!X$42)</f>
        <v>0</v>
      </c>
      <c r="V34" s="103">
        <f>'AMP inputs'!Z28*'General assumptions'!$S$21*($D13*'General assumptions'!Y$35+$E13*'General assumptions'!Y$36+$G13*'General assumptions'!Y$42)</f>
        <v>0</v>
      </c>
      <c r="X34" s="20"/>
    </row>
    <row r="35" spans="1:24">
      <c r="B35" s="4" t="str">
        <f t="shared" si="2"/>
        <v>"No Access" - backlog from prior years</v>
      </c>
      <c r="D35" s="31" t="s">
        <v>60</v>
      </c>
      <c r="S35" s="186"/>
    </row>
    <row r="36" spans="1:24">
      <c r="B36" s="4" t="str">
        <f t="shared" si="2"/>
        <v>[blank]</v>
      </c>
      <c r="D36" s="31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7" spans="1:24" s="1" customFormat="1">
      <c r="A47" s="2">
        <v>4</v>
      </c>
      <c r="B47" s="2" t="s">
        <v>56</v>
      </c>
    </row>
    <row r="49" spans="2:24">
      <c r="H49" s="190" t="s">
        <v>52</v>
      </c>
      <c r="I49" s="190"/>
      <c r="J49" s="190"/>
      <c r="K49" s="190"/>
      <c r="L49" s="190"/>
      <c r="M49" s="190" t="s">
        <v>53</v>
      </c>
      <c r="N49" s="190"/>
      <c r="O49" s="190"/>
      <c r="P49" s="190"/>
      <c r="Q49" s="190"/>
      <c r="R49" s="190" t="s">
        <v>54</v>
      </c>
      <c r="S49" s="190"/>
      <c r="T49" s="190"/>
      <c r="U49" s="190"/>
      <c r="V49" s="190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46</v>
      </c>
      <c r="D51" s="29" t="s">
        <v>55</v>
      </c>
      <c r="H51" s="16" t="s">
        <v>12</v>
      </c>
      <c r="I51" s="16" t="s">
        <v>12</v>
      </c>
      <c r="J51" s="16" t="s">
        <v>12</v>
      </c>
      <c r="K51" s="16" t="s">
        <v>12</v>
      </c>
      <c r="L51" s="16" t="s">
        <v>12</v>
      </c>
      <c r="M51" s="16" t="s">
        <v>12</v>
      </c>
      <c r="N51" s="16" t="s">
        <v>12</v>
      </c>
      <c r="O51" s="16" t="s">
        <v>12</v>
      </c>
      <c r="P51" s="16" t="s">
        <v>13</v>
      </c>
      <c r="Q51" s="16" t="s">
        <v>13</v>
      </c>
      <c r="R51" s="16" t="s">
        <v>13</v>
      </c>
      <c r="S51" s="16" t="s">
        <v>13</v>
      </c>
      <c r="T51" s="16" t="s">
        <v>13</v>
      </c>
      <c r="U51" s="16" t="s">
        <v>13</v>
      </c>
      <c r="V51" s="16" t="s">
        <v>13</v>
      </c>
    </row>
    <row r="52" spans="2:24">
      <c r="B52" s="4" t="str">
        <f>IF(B10&lt;&gt;"",B10,"[blank]")</f>
        <v>In-Service Compliance Testing</v>
      </c>
      <c r="D52" s="31" t="s">
        <v>174</v>
      </c>
      <c r="P52" s="77"/>
      <c r="Q52" s="184"/>
      <c r="R52" s="184"/>
      <c r="S52" s="184"/>
      <c r="T52" s="184"/>
      <c r="U52" s="184"/>
      <c r="V52" s="184"/>
      <c r="X52" s="20"/>
    </row>
    <row r="53" spans="2:24">
      <c r="B53" s="4" t="str">
        <f t="shared" ref="B53:B66" si="3">IF(B11&lt;&gt;"",B11,"[blank]")</f>
        <v>Time Expired</v>
      </c>
      <c r="D53" s="31" t="s">
        <v>174</v>
      </c>
      <c r="P53" s="77"/>
      <c r="Q53" s="184"/>
      <c r="R53" s="184"/>
      <c r="S53" s="184"/>
      <c r="T53" s="184"/>
      <c r="U53" s="184"/>
      <c r="V53" s="184"/>
      <c r="X53" s="20"/>
    </row>
    <row r="54" spans="2:24">
      <c r="B54" s="4" t="str">
        <f t="shared" si="3"/>
        <v>"No Access" Non-Compliant</v>
      </c>
      <c r="D54" s="31" t="s">
        <v>174</v>
      </c>
      <c r="P54" s="77"/>
      <c r="Q54" s="184"/>
      <c r="R54" s="184"/>
      <c r="S54" s="184"/>
      <c r="T54" s="184"/>
      <c r="U54" s="184"/>
      <c r="V54" s="184"/>
      <c r="X54" s="20"/>
    </row>
    <row r="55" spans="2:24">
      <c r="B55" s="4" t="str">
        <f t="shared" si="3"/>
        <v>Digital metering program</v>
      </c>
      <c r="D55" s="31" t="s">
        <v>364</v>
      </c>
      <c r="P55" s="77"/>
      <c r="Q55" s="33">
        <f>'AMP inputs'!N28</f>
        <v>0</v>
      </c>
      <c r="R55" s="33">
        <f>'AMP inputs'!O28</f>
        <v>0</v>
      </c>
      <c r="S55" s="33">
        <f>'AMP inputs'!P28</f>
        <v>0</v>
      </c>
      <c r="T55" s="33">
        <f>'AMP inputs'!Q28</f>
        <v>0</v>
      </c>
      <c r="U55" s="33">
        <f>'AMP inputs'!R28</f>
        <v>0</v>
      </c>
      <c r="V55" s="33">
        <f>'AMP inputs'!S28</f>
        <v>0</v>
      </c>
      <c r="X55" s="20"/>
    </row>
    <row r="56" spans="2:24">
      <c r="B56" s="4" t="str">
        <f t="shared" si="3"/>
        <v>"No Access" - backlog from prior years</v>
      </c>
      <c r="D56" s="31" t="s">
        <v>364</v>
      </c>
      <c r="Q56" s="33">
        <f>'AMP inputs'!N29</f>
        <v>0</v>
      </c>
      <c r="R56" s="33">
        <f>'AMP inputs'!O29</f>
        <v>0</v>
      </c>
      <c r="S56" s="183"/>
      <c r="T56" s="33">
        <f>'AMP inputs'!Q29</f>
        <v>0</v>
      </c>
      <c r="U56" s="33">
        <f>'AMP inputs'!R29</f>
        <v>0</v>
      </c>
      <c r="V56" s="33">
        <f>'AMP inputs'!S29</f>
        <v>0</v>
      </c>
    </row>
    <row r="57" spans="2:24">
      <c r="B57" s="4" t="str">
        <f t="shared" si="3"/>
        <v>[blank]</v>
      </c>
      <c r="D57" s="31"/>
    </row>
    <row r="58" spans="2:24">
      <c r="B58" s="4" t="str">
        <f t="shared" si="3"/>
        <v>[blank]</v>
      </c>
      <c r="D58" s="31"/>
    </row>
    <row r="59" spans="2:24">
      <c r="B59" s="4" t="str">
        <f t="shared" si="3"/>
        <v>[blank]</v>
      </c>
      <c r="D59" s="31"/>
    </row>
    <row r="60" spans="2:24">
      <c r="B60" s="4" t="str">
        <f t="shared" si="3"/>
        <v>[blank]</v>
      </c>
      <c r="D60" s="31"/>
    </row>
    <row r="61" spans="2:24">
      <c r="B61" s="4" t="str">
        <f t="shared" si="3"/>
        <v>[blank]</v>
      </c>
      <c r="D61" s="31"/>
    </row>
    <row r="62" spans="2:24">
      <c r="B62" s="4" t="str">
        <f t="shared" si="3"/>
        <v>[blank]</v>
      </c>
      <c r="D62" s="31"/>
    </row>
    <row r="63" spans="2:24">
      <c r="B63" s="4" t="str">
        <f t="shared" si="3"/>
        <v>[blank]</v>
      </c>
      <c r="D63" s="31"/>
    </row>
    <row r="64" spans="2:24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61</v>
      </c>
    </row>
    <row r="69" spans="1:61">
      <c r="Z69" s="5" t="s">
        <v>73</v>
      </c>
      <c r="AM69" s="5" t="s">
        <v>110</v>
      </c>
      <c r="BB69" s="5" t="s">
        <v>133</v>
      </c>
    </row>
    <row r="70" spans="1:61">
      <c r="H70" s="190" t="s">
        <v>52</v>
      </c>
      <c r="I70" s="190"/>
      <c r="J70" s="190"/>
      <c r="K70" s="190"/>
      <c r="L70" s="190"/>
      <c r="M70" s="190" t="s">
        <v>53</v>
      </c>
      <c r="N70" s="190"/>
      <c r="O70" s="190"/>
      <c r="P70" s="190"/>
      <c r="Q70" s="190"/>
      <c r="R70" s="190" t="s">
        <v>54</v>
      </c>
      <c r="S70" s="190"/>
      <c r="T70" s="190"/>
      <c r="U70" s="190"/>
      <c r="V70" s="190"/>
      <c r="X70" s="38"/>
      <c r="Z70" s="39" t="s">
        <v>69</v>
      </c>
      <c r="AA70" s="39" t="s">
        <v>70</v>
      </c>
      <c r="AB70" s="39" t="s">
        <v>71</v>
      </c>
      <c r="AC70" s="39" t="s">
        <v>72</v>
      </c>
      <c r="AD70" s="39" t="s">
        <v>64</v>
      </c>
      <c r="AE70" s="39" t="s">
        <v>65</v>
      </c>
      <c r="AF70" s="39" t="s">
        <v>66</v>
      </c>
      <c r="AG70" s="39" t="s">
        <v>107</v>
      </c>
      <c r="AH70" s="39" t="s">
        <v>67</v>
      </c>
      <c r="AI70" s="39" t="s">
        <v>68</v>
      </c>
      <c r="AJ70" s="39" t="s">
        <v>108</v>
      </c>
      <c r="AM70" s="39" t="s">
        <v>111</v>
      </c>
      <c r="AN70" s="39" t="s">
        <v>112</v>
      </c>
      <c r="AO70" s="39" t="s">
        <v>113</v>
      </c>
      <c r="AP70" s="39" t="s">
        <v>114</v>
      </c>
      <c r="AQ70" s="39" t="s">
        <v>115</v>
      </c>
      <c r="AR70" s="39" t="s">
        <v>36</v>
      </c>
      <c r="AS70" s="39" t="s">
        <v>116</v>
      </c>
      <c r="AT70" s="39" t="s">
        <v>35</v>
      </c>
      <c r="AU70" s="39" t="s">
        <v>117</v>
      </c>
      <c r="AV70" s="39" t="s">
        <v>118</v>
      </c>
      <c r="AW70" s="39" t="s">
        <v>119</v>
      </c>
      <c r="AX70" s="39" t="s">
        <v>74</v>
      </c>
      <c r="AY70" s="39" t="s">
        <v>75</v>
      </c>
      <c r="BB70" s="39" t="s">
        <v>134</v>
      </c>
      <c r="BC70" s="39" t="s">
        <v>135</v>
      </c>
      <c r="BD70" s="39" t="s">
        <v>136</v>
      </c>
      <c r="BE70" s="39" t="s">
        <v>107</v>
      </c>
      <c r="BF70" s="39" t="s">
        <v>137</v>
      </c>
      <c r="BG70" s="39" t="s">
        <v>138</v>
      </c>
      <c r="BH70" s="39" t="s">
        <v>108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63</v>
      </c>
    </row>
    <row r="72" spans="1:61">
      <c r="B72" s="5" t="s">
        <v>46</v>
      </c>
      <c r="D72" s="29" t="s">
        <v>55</v>
      </c>
      <c r="H72" s="16" t="s">
        <v>12</v>
      </c>
      <c r="I72" s="16" t="s">
        <v>12</v>
      </c>
      <c r="J72" s="16" t="s">
        <v>12</v>
      </c>
      <c r="K72" s="16" t="s">
        <v>12</v>
      </c>
      <c r="L72" s="16" t="s">
        <v>12</v>
      </c>
      <c r="M72" s="16" t="s">
        <v>12</v>
      </c>
      <c r="N72" s="16" t="s">
        <v>12</v>
      </c>
      <c r="O72" s="16" t="s">
        <v>12</v>
      </c>
      <c r="P72" s="16" t="s">
        <v>13</v>
      </c>
      <c r="Q72" s="16" t="s">
        <v>13</v>
      </c>
      <c r="R72" s="16" t="s">
        <v>13</v>
      </c>
      <c r="S72" s="16" t="s">
        <v>13</v>
      </c>
      <c r="T72" s="16" t="s">
        <v>13</v>
      </c>
      <c r="U72" s="16" t="s">
        <v>13</v>
      </c>
      <c r="V72" s="16" t="s">
        <v>13</v>
      </c>
      <c r="X72" s="34" t="s">
        <v>13</v>
      </c>
    </row>
    <row r="73" spans="1:61">
      <c r="B73" s="4" t="str">
        <f>IF(B10&lt;&gt;"",B10,"[blank]")</f>
        <v>In-Service Compliance Testing</v>
      </c>
      <c r="D73" s="31" t="s">
        <v>60</v>
      </c>
      <c r="O73" s="35"/>
      <c r="P73" s="35">
        <f t="shared" ref="P73:P76" si="4">P31*P52</f>
        <v>0</v>
      </c>
      <c r="Q73" s="35">
        <v>166753.91818765466</v>
      </c>
      <c r="R73" s="35">
        <v>238835.3578666017</v>
      </c>
      <c r="S73" s="35">
        <v>265014.64564276894</v>
      </c>
      <c r="T73" s="35">
        <v>252332.15874950585</v>
      </c>
      <c r="U73" s="35">
        <v>260335.95389253579</v>
      </c>
      <c r="V73" s="35">
        <v>306546.84901745076</v>
      </c>
      <c r="X73" s="40">
        <f>SUM(R73:V73)</f>
        <v>1323064.9651688631</v>
      </c>
      <c r="Z73" s="10"/>
      <c r="AA73" s="10"/>
      <c r="AB73" s="10"/>
      <c r="AC73" s="10"/>
      <c r="AD73" s="10"/>
      <c r="AE73" s="10">
        <v>1</v>
      </c>
      <c r="AF73" s="10"/>
      <c r="AG73" s="10"/>
      <c r="AH73" s="10"/>
      <c r="AI73" s="10"/>
      <c r="AJ73" s="10"/>
      <c r="AK73" s="41">
        <f t="shared" ref="AK73:AK87" si="5">SUM(Z73:AI73)</f>
        <v>1</v>
      </c>
      <c r="AM73" s="10"/>
      <c r="AN73" s="10"/>
      <c r="AO73" s="10"/>
      <c r="AP73" s="10">
        <v>1</v>
      </c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6">SUM(AM73:AY73)</f>
        <v>1</v>
      </c>
      <c r="BB73" s="10"/>
      <c r="BC73" s="10">
        <v>1</v>
      </c>
      <c r="BD73" s="10"/>
      <c r="BE73" s="10"/>
      <c r="BF73" s="10"/>
      <c r="BG73" s="10"/>
      <c r="BH73" s="10"/>
      <c r="BI73" s="41">
        <f t="shared" ref="BI73:BI87" si="7">SUM(BB73:BH73)</f>
        <v>1</v>
      </c>
    </row>
    <row r="74" spans="1:61">
      <c r="B74" s="4" t="str">
        <f t="shared" ref="B74:B87" si="8">IF(B11&lt;&gt;"",B11,"[blank]")</f>
        <v>Time Expired</v>
      </c>
      <c r="D74" s="31" t="s">
        <v>60</v>
      </c>
      <c r="O74" s="50"/>
      <c r="P74" s="35">
        <f t="shared" si="4"/>
        <v>0</v>
      </c>
      <c r="Q74" s="35">
        <v>3425819.9595910362</v>
      </c>
      <c r="R74" s="35">
        <v>3765495.6454587262</v>
      </c>
      <c r="S74" s="35">
        <v>3660427.4552831491</v>
      </c>
      <c r="T74" s="35">
        <v>3495281.141105907</v>
      </c>
      <c r="U74" s="35">
        <v>3153995.7377165155</v>
      </c>
      <c r="V74" s="35">
        <v>3860466.5077215848</v>
      </c>
      <c r="X74" s="40">
        <f t="shared" ref="X74:X89" si="9">SUM(R74:V74)</f>
        <v>17935666.487285882</v>
      </c>
      <c r="Z74" s="10"/>
      <c r="AA74" s="10"/>
      <c r="AB74" s="10"/>
      <c r="AC74" s="10"/>
      <c r="AD74" s="10"/>
      <c r="AE74" s="10">
        <v>1</v>
      </c>
      <c r="AF74" s="10"/>
      <c r="AG74" s="10"/>
      <c r="AH74" s="10"/>
      <c r="AI74" s="10"/>
      <c r="AJ74" s="10"/>
      <c r="AK74" s="41">
        <f t="shared" si="5"/>
        <v>1</v>
      </c>
      <c r="AM74" s="10"/>
      <c r="AN74" s="10"/>
      <c r="AO74" s="10"/>
      <c r="AP74" s="10">
        <v>1</v>
      </c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6"/>
        <v>1</v>
      </c>
      <c r="BB74" s="10"/>
      <c r="BC74" s="10">
        <v>1</v>
      </c>
      <c r="BD74" s="10"/>
      <c r="BE74" s="10"/>
      <c r="BF74" s="10"/>
      <c r="BG74" s="10"/>
      <c r="BH74" s="10"/>
      <c r="BI74" s="41">
        <f t="shared" si="7"/>
        <v>1</v>
      </c>
    </row>
    <row r="75" spans="1:61">
      <c r="B75" s="4" t="str">
        <f t="shared" si="8"/>
        <v>"No Access" Non-Compliant</v>
      </c>
      <c r="D75" s="31" t="s">
        <v>60</v>
      </c>
      <c r="P75" s="35">
        <f t="shared" si="4"/>
        <v>0</v>
      </c>
      <c r="Q75" s="35">
        <v>178443.39418603599</v>
      </c>
      <c r="R75" s="35">
        <v>145007.13167268303</v>
      </c>
      <c r="S75" s="35">
        <v>160949.16849231828</v>
      </c>
      <c r="T75" s="35">
        <v>165643.43074145808</v>
      </c>
      <c r="U75" s="35">
        <v>153913.35214214862</v>
      </c>
      <c r="V75" s="35">
        <v>142143.35536358287</v>
      </c>
      <c r="X75" s="40">
        <f t="shared" si="9"/>
        <v>767656.43841219088</v>
      </c>
      <c r="Z75" s="10"/>
      <c r="AA75" s="10"/>
      <c r="AB75" s="10"/>
      <c r="AC75" s="10"/>
      <c r="AD75" s="10"/>
      <c r="AE75" s="10">
        <v>1</v>
      </c>
      <c r="AF75" s="10"/>
      <c r="AG75" s="10"/>
      <c r="AH75" s="10"/>
      <c r="AI75" s="10"/>
      <c r="AJ75" s="10"/>
      <c r="AK75" s="41">
        <f t="shared" si="5"/>
        <v>1</v>
      </c>
      <c r="AM75" s="10"/>
      <c r="AN75" s="10"/>
      <c r="AO75" s="10"/>
      <c r="AP75" s="10">
        <v>1</v>
      </c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6"/>
        <v>1</v>
      </c>
      <c r="BB75" s="10"/>
      <c r="BC75" s="10">
        <v>1</v>
      </c>
      <c r="BD75" s="10"/>
      <c r="BE75" s="10"/>
      <c r="BF75" s="10"/>
      <c r="BG75" s="10"/>
      <c r="BH75" s="10"/>
      <c r="BI75" s="41">
        <f t="shared" si="7"/>
        <v>1</v>
      </c>
    </row>
    <row r="76" spans="1:61">
      <c r="B76" s="4" t="str">
        <f t="shared" si="8"/>
        <v>Digital metering program</v>
      </c>
      <c r="P76" s="35">
        <f t="shared" si="4"/>
        <v>0</v>
      </c>
      <c r="Q76" s="35">
        <f t="shared" ref="Q76:V76" si="10">Q34*Q55</f>
        <v>0</v>
      </c>
      <c r="R76" s="35">
        <f t="shared" si="10"/>
        <v>0</v>
      </c>
      <c r="S76" s="35">
        <f t="shared" si="10"/>
        <v>0</v>
      </c>
      <c r="T76" s="35">
        <f t="shared" si="10"/>
        <v>0</v>
      </c>
      <c r="U76" s="35">
        <f t="shared" si="10"/>
        <v>0</v>
      </c>
      <c r="V76" s="35">
        <f t="shared" si="10"/>
        <v>0</v>
      </c>
      <c r="X76" s="40">
        <f t="shared" si="9"/>
        <v>0</v>
      </c>
      <c r="Z76" s="10"/>
      <c r="AA76" s="10"/>
      <c r="AB76" s="10"/>
      <c r="AC76" s="10"/>
      <c r="AD76" s="10"/>
      <c r="AE76" s="10">
        <v>1</v>
      </c>
      <c r="AF76" s="10"/>
      <c r="AG76" s="10"/>
      <c r="AH76" s="10"/>
      <c r="AI76" s="10"/>
      <c r="AJ76" s="10"/>
      <c r="AK76" s="41">
        <f t="shared" si="5"/>
        <v>1</v>
      </c>
      <c r="AM76" s="10"/>
      <c r="AN76" s="10"/>
      <c r="AO76" s="10"/>
      <c r="AP76" s="10">
        <v>1</v>
      </c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6"/>
        <v>1</v>
      </c>
      <c r="BB76" s="10"/>
      <c r="BC76" s="10">
        <v>1</v>
      </c>
      <c r="BD76" s="10"/>
      <c r="BE76" s="10"/>
      <c r="BF76" s="10"/>
      <c r="BG76" s="10"/>
      <c r="BH76" s="10"/>
      <c r="BI76" s="41">
        <f t="shared" si="7"/>
        <v>1</v>
      </c>
    </row>
    <row r="77" spans="1:61">
      <c r="B77" s="4" t="str">
        <f t="shared" si="8"/>
        <v>"No Access" - backlog from prior years</v>
      </c>
      <c r="P77" s="35">
        <f t="shared" ref="P77:V77" si="11">P35*P56</f>
        <v>0</v>
      </c>
      <c r="Q77" s="35">
        <f t="shared" si="11"/>
        <v>0</v>
      </c>
      <c r="R77" s="35">
        <f t="shared" si="11"/>
        <v>0</v>
      </c>
      <c r="S77" s="35">
        <v>444862.99686994316</v>
      </c>
      <c r="T77" s="35">
        <f t="shared" si="11"/>
        <v>0</v>
      </c>
      <c r="U77" s="35">
        <f t="shared" si="11"/>
        <v>0</v>
      </c>
      <c r="V77" s="35">
        <f t="shared" si="11"/>
        <v>0</v>
      </c>
      <c r="X77" s="40">
        <f t="shared" si="9"/>
        <v>444862.99686994316</v>
      </c>
      <c r="Z77" s="10"/>
      <c r="AA77" s="10"/>
      <c r="AB77" s="10"/>
      <c r="AC77" s="10"/>
      <c r="AD77" s="10"/>
      <c r="AE77" s="10">
        <v>1</v>
      </c>
      <c r="AF77" s="10"/>
      <c r="AG77" s="10"/>
      <c r="AH77" s="10"/>
      <c r="AI77" s="10"/>
      <c r="AJ77" s="10"/>
      <c r="AK77" s="41">
        <f t="shared" si="5"/>
        <v>1</v>
      </c>
      <c r="AM77" s="10"/>
      <c r="AN77" s="10"/>
      <c r="AO77" s="10"/>
      <c r="AP77" s="10">
        <v>1</v>
      </c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6"/>
        <v>1</v>
      </c>
      <c r="BB77" s="10"/>
      <c r="BC77" s="10">
        <v>1</v>
      </c>
      <c r="BD77" s="10"/>
      <c r="BE77" s="10"/>
      <c r="BF77" s="10"/>
      <c r="BG77" s="10"/>
      <c r="BH77" s="10"/>
      <c r="BI77" s="41">
        <f t="shared" si="7"/>
        <v>1</v>
      </c>
    </row>
    <row r="78" spans="1:61">
      <c r="B78" s="4" t="str">
        <f t="shared" si="8"/>
        <v>[blank]</v>
      </c>
      <c r="P78" s="35"/>
      <c r="X78" s="40">
        <f t="shared" si="9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5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6"/>
        <v>0</v>
      </c>
      <c r="BB78" s="10"/>
      <c r="BC78" s="10"/>
      <c r="BD78" s="10"/>
      <c r="BE78" s="10"/>
      <c r="BF78" s="10"/>
      <c r="BG78" s="10"/>
      <c r="BH78" s="10"/>
      <c r="BI78" s="41">
        <f t="shared" si="7"/>
        <v>0</v>
      </c>
    </row>
    <row r="79" spans="1:61">
      <c r="B79" s="4" t="str">
        <f t="shared" si="8"/>
        <v>[blank]</v>
      </c>
      <c r="P79" s="35"/>
      <c r="X79" s="40">
        <f t="shared" si="9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5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6"/>
        <v>0</v>
      </c>
      <c r="BB79" s="10"/>
      <c r="BC79" s="10"/>
      <c r="BD79" s="10"/>
      <c r="BE79" s="10"/>
      <c r="BF79" s="10"/>
      <c r="BG79" s="10"/>
      <c r="BH79" s="10"/>
      <c r="BI79" s="41">
        <f t="shared" si="7"/>
        <v>0</v>
      </c>
    </row>
    <row r="80" spans="1:61">
      <c r="B80" s="4" t="str">
        <f t="shared" si="8"/>
        <v>[blank]</v>
      </c>
      <c r="P80" s="35"/>
      <c r="X80" s="40">
        <f t="shared" si="9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5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6"/>
        <v>0</v>
      </c>
      <c r="BB80" s="10"/>
      <c r="BC80" s="10"/>
      <c r="BD80" s="10"/>
      <c r="BE80" s="10"/>
      <c r="BF80" s="10"/>
      <c r="BG80" s="10"/>
      <c r="BH80" s="10"/>
      <c r="BI80" s="41">
        <f t="shared" si="7"/>
        <v>0</v>
      </c>
    </row>
    <row r="81" spans="1:61">
      <c r="B81" s="4" t="str">
        <f t="shared" si="8"/>
        <v>[blank]</v>
      </c>
      <c r="P81" s="35"/>
      <c r="X81" s="40">
        <f t="shared" si="9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5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6"/>
        <v>0</v>
      </c>
      <c r="BB81" s="10"/>
      <c r="BC81" s="10"/>
      <c r="BD81" s="10"/>
      <c r="BE81" s="10"/>
      <c r="BF81" s="10"/>
      <c r="BG81" s="10"/>
      <c r="BH81" s="10"/>
      <c r="BI81" s="41">
        <f t="shared" si="7"/>
        <v>0</v>
      </c>
    </row>
    <row r="82" spans="1:61">
      <c r="B82" s="4" t="str">
        <f t="shared" si="8"/>
        <v>[blank]</v>
      </c>
      <c r="P82" s="35"/>
      <c r="X82" s="40">
        <f t="shared" si="9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5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6"/>
        <v>0</v>
      </c>
      <c r="BB82" s="10"/>
      <c r="BC82" s="10"/>
      <c r="BD82" s="10"/>
      <c r="BE82" s="10"/>
      <c r="BF82" s="10"/>
      <c r="BG82" s="10"/>
      <c r="BH82" s="10"/>
      <c r="BI82" s="41">
        <f t="shared" si="7"/>
        <v>0</v>
      </c>
    </row>
    <row r="83" spans="1:61">
      <c r="B83" s="4" t="str">
        <f t="shared" si="8"/>
        <v>[blank]</v>
      </c>
      <c r="P83" s="35"/>
      <c r="X83" s="40">
        <f t="shared" si="9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5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6"/>
        <v>0</v>
      </c>
      <c r="BB83" s="10"/>
      <c r="BC83" s="10"/>
      <c r="BD83" s="10"/>
      <c r="BE83" s="10"/>
      <c r="BF83" s="10"/>
      <c r="BG83" s="10"/>
      <c r="BH83" s="10"/>
      <c r="BI83" s="41">
        <f t="shared" si="7"/>
        <v>0</v>
      </c>
    </row>
    <row r="84" spans="1:61">
      <c r="B84" s="4" t="str">
        <f t="shared" si="8"/>
        <v>[blank]</v>
      </c>
      <c r="P84" s="35"/>
      <c r="X84" s="40">
        <f t="shared" si="9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5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6"/>
        <v>0</v>
      </c>
      <c r="BB84" s="10"/>
      <c r="BC84" s="10"/>
      <c r="BD84" s="10"/>
      <c r="BE84" s="10"/>
      <c r="BF84" s="10"/>
      <c r="BG84" s="10"/>
      <c r="BH84" s="10"/>
      <c r="BI84" s="41">
        <f t="shared" si="7"/>
        <v>0</v>
      </c>
    </row>
    <row r="85" spans="1:61">
      <c r="B85" s="4" t="str">
        <f t="shared" si="8"/>
        <v>[blank]</v>
      </c>
      <c r="P85" s="35"/>
      <c r="X85" s="40">
        <f t="shared" si="9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5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6"/>
        <v>0</v>
      </c>
      <c r="BB85" s="10"/>
      <c r="BC85" s="10"/>
      <c r="BD85" s="10"/>
      <c r="BE85" s="10"/>
      <c r="BF85" s="10"/>
      <c r="BG85" s="10"/>
      <c r="BH85" s="10"/>
      <c r="BI85" s="41">
        <f t="shared" si="7"/>
        <v>0</v>
      </c>
    </row>
    <row r="86" spans="1:61">
      <c r="B86" s="4" t="str">
        <f t="shared" si="8"/>
        <v>[blank]</v>
      </c>
      <c r="P86" s="35"/>
      <c r="X86" s="40">
        <f t="shared" si="9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5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6"/>
        <v>0</v>
      </c>
      <c r="BB86" s="10"/>
      <c r="BC86" s="10"/>
      <c r="BD86" s="10"/>
      <c r="BE86" s="10"/>
      <c r="BF86" s="10"/>
      <c r="BG86" s="10"/>
      <c r="BH86" s="10"/>
      <c r="BI86" s="41">
        <f t="shared" si="7"/>
        <v>0</v>
      </c>
    </row>
    <row r="87" spans="1:61">
      <c r="B87" s="4" t="str">
        <f t="shared" si="8"/>
        <v>[blank]</v>
      </c>
      <c r="P87" s="35"/>
      <c r="X87" s="40">
        <f t="shared" si="9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5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6"/>
        <v>0</v>
      </c>
      <c r="BB87" s="10"/>
      <c r="BC87" s="10"/>
      <c r="BD87" s="10"/>
      <c r="BE87" s="10"/>
      <c r="BF87" s="10"/>
      <c r="BG87" s="10"/>
      <c r="BH87" s="10"/>
      <c r="BI87" s="41">
        <f t="shared" si="7"/>
        <v>0</v>
      </c>
    </row>
    <row r="88" spans="1:61">
      <c r="P88" s="35"/>
    </row>
    <row r="89" spans="1:61" ht="12.75" thickBot="1">
      <c r="B89" s="5" t="s">
        <v>62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12">SUM(P73:P87)</f>
        <v>0</v>
      </c>
      <c r="Q89" s="37">
        <f t="shared" si="12"/>
        <v>3771017.271964727</v>
      </c>
      <c r="R89" s="37">
        <f t="shared" si="12"/>
        <v>4149338.1349980109</v>
      </c>
      <c r="S89" s="37">
        <f t="shared" si="12"/>
        <v>4531254.2662881799</v>
      </c>
      <c r="T89" s="37">
        <f t="shared" si="12"/>
        <v>3913256.7305968711</v>
      </c>
      <c r="U89" s="37">
        <f t="shared" si="12"/>
        <v>3568245.0437512002</v>
      </c>
      <c r="V89" s="37">
        <f t="shared" si="12"/>
        <v>4309156.7121026181</v>
      </c>
      <c r="X89" s="37">
        <f t="shared" si="9"/>
        <v>20471250.887736879</v>
      </c>
    </row>
    <row r="91" spans="1:61">
      <c r="B91" s="5" t="s">
        <v>76</v>
      </c>
    </row>
    <row r="92" spans="1:61" s="1" customFormat="1">
      <c r="A92" s="4"/>
      <c r="B92" s="2" t="s">
        <v>77</v>
      </c>
    </row>
    <row r="94" spans="1:61">
      <c r="H94" s="190" t="s">
        <v>52</v>
      </c>
      <c r="I94" s="190"/>
      <c r="J94" s="190"/>
      <c r="K94" s="190"/>
      <c r="L94" s="190"/>
      <c r="M94" s="190" t="s">
        <v>53</v>
      </c>
      <c r="N94" s="190"/>
      <c r="O94" s="190"/>
      <c r="P94" s="190"/>
      <c r="Q94" s="190"/>
      <c r="R94" s="190" t="s">
        <v>54</v>
      </c>
      <c r="S94" s="190"/>
      <c r="T94" s="190"/>
      <c r="U94" s="190"/>
      <c r="V94" s="190"/>
      <c r="X94" s="38"/>
    </row>
    <row r="95" spans="1:61">
      <c r="B95" s="42" t="s">
        <v>79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63</v>
      </c>
    </row>
    <row r="96" spans="1:61">
      <c r="B96" s="5" t="s">
        <v>46</v>
      </c>
      <c r="D96" s="29" t="s">
        <v>55</v>
      </c>
      <c r="H96" s="16" t="s">
        <v>12</v>
      </c>
      <c r="I96" s="16" t="s">
        <v>12</v>
      </c>
      <c r="J96" s="16" t="s">
        <v>12</v>
      </c>
      <c r="K96" s="16" t="s">
        <v>12</v>
      </c>
      <c r="L96" s="16" t="s">
        <v>12</v>
      </c>
      <c r="M96" s="16" t="s">
        <v>12</v>
      </c>
      <c r="N96" s="16" t="s">
        <v>12</v>
      </c>
      <c r="O96" s="16" t="s">
        <v>12</v>
      </c>
      <c r="P96" s="16" t="s">
        <v>13</v>
      </c>
      <c r="Q96" s="16" t="s">
        <v>13</v>
      </c>
      <c r="R96" s="16" t="s">
        <v>13</v>
      </c>
      <c r="S96" s="16" t="s">
        <v>13</v>
      </c>
      <c r="T96" s="16" t="s">
        <v>13</v>
      </c>
      <c r="U96" s="16" t="s">
        <v>13</v>
      </c>
      <c r="V96" s="16" t="s">
        <v>13</v>
      </c>
      <c r="X96" s="34" t="s">
        <v>13</v>
      </c>
    </row>
    <row r="97" spans="2:24">
      <c r="B97" s="4" t="str">
        <f>IF(B10&lt;&gt;"",B10,"[blank]")</f>
        <v>In-Service Compliance Testing</v>
      </c>
      <c r="D97" s="31" t="s">
        <v>60</v>
      </c>
      <c r="O97" s="35"/>
      <c r="P97" s="35">
        <f>$D10*P73</f>
        <v>0</v>
      </c>
      <c r="Q97" s="35">
        <f t="shared" ref="Q97:V97" si="13">$D10*Q73</f>
        <v>21678.009364395108</v>
      </c>
      <c r="R97" s="35">
        <f t="shared" si="13"/>
        <v>31048.596522658223</v>
      </c>
      <c r="S97" s="35">
        <f t="shared" si="13"/>
        <v>34451.903933559966</v>
      </c>
      <c r="T97" s="35">
        <f t="shared" si="13"/>
        <v>32803.180637435762</v>
      </c>
      <c r="U97" s="35">
        <f t="shared" si="13"/>
        <v>33843.674006029651</v>
      </c>
      <c r="V97" s="35">
        <f t="shared" si="13"/>
        <v>39851.090372268598</v>
      </c>
      <c r="X97" s="40">
        <f>SUM(R97:V97)</f>
        <v>171998.4454719522</v>
      </c>
    </row>
    <row r="98" spans="2:24">
      <c r="B98" s="4" t="str">
        <f t="shared" ref="B98:B111" si="14">IF(B11&lt;&gt;"",B11,"[blank]")</f>
        <v>Time Expired</v>
      </c>
      <c r="D98" s="31" t="s">
        <v>60</v>
      </c>
      <c r="O98" s="50"/>
      <c r="P98" s="35">
        <f t="shared" ref="P98:V100" si="15">$D11*P74</f>
        <v>0</v>
      </c>
      <c r="Q98" s="35">
        <f t="shared" si="15"/>
        <v>68516.399191820732</v>
      </c>
      <c r="R98" s="35">
        <f t="shared" si="15"/>
        <v>75309.912909174527</v>
      </c>
      <c r="S98" s="35">
        <f t="shared" si="15"/>
        <v>73208.549105662983</v>
      </c>
      <c r="T98" s="35">
        <f t="shared" si="15"/>
        <v>69905.622822118137</v>
      </c>
      <c r="U98" s="35">
        <f t="shared" si="15"/>
        <v>63079.914754330312</v>
      </c>
      <c r="V98" s="35">
        <f t="shared" si="15"/>
        <v>77209.330154431693</v>
      </c>
      <c r="X98" s="40">
        <f t="shared" ref="X98:X111" si="16">SUM(R98:V98)</f>
        <v>358713.32974571764</v>
      </c>
    </row>
    <row r="99" spans="2:24">
      <c r="B99" s="4" t="str">
        <f t="shared" si="14"/>
        <v>"No Access" Non-Compliant</v>
      </c>
      <c r="D99" s="31" t="s">
        <v>60</v>
      </c>
      <c r="P99" s="35">
        <f t="shared" si="15"/>
        <v>0</v>
      </c>
      <c r="Q99" s="35">
        <f t="shared" si="15"/>
        <v>44610.848546508998</v>
      </c>
      <c r="R99" s="35">
        <f t="shared" si="15"/>
        <v>36251.782918170757</v>
      </c>
      <c r="S99" s="35">
        <f t="shared" si="15"/>
        <v>40237.292123079569</v>
      </c>
      <c r="T99" s="35">
        <f t="shared" si="15"/>
        <v>41410.857685364521</v>
      </c>
      <c r="U99" s="35">
        <f t="shared" si="15"/>
        <v>38478.338035537156</v>
      </c>
      <c r="V99" s="35">
        <f t="shared" si="15"/>
        <v>35535.838840895718</v>
      </c>
      <c r="X99" s="40">
        <f t="shared" si="16"/>
        <v>191914.10960304772</v>
      </c>
    </row>
    <row r="100" spans="2:24">
      <c r="B100" s="4" t="str">
        <f t="shared" si="14"/>
        <v>Digital metering program</v>
      </c>
      <c r="P100" s="35">
        <f t="shared" si="15"/>
        <v>0</v>
      </c>
      <c r="Q100" s="35">
        <f t="shared" ref="Q100:V100" si="17">$D13*Q76</f>
        <v>0</v>
      </c>
      <c r="R100" s="35">
        <f t="shared" si="17"/>
        <v>0</v>
      </c>
      <c r="S100" s="35">
        <f t="shared" si="17"/>
        <v>0</v>
      </c>
      <c r="T100" s="35">
        <f t="shared" si="17"/>
        <v>0</v>
      </c>
      <c r="U100" s="35">
        <f t="shared" si="17"/>
        <v>0</v>
      </c>
      <c r="V100" s="35">
        <f t="shared" si="17"/>
        <v>0</v>
      </c>
      <c r="X100" s="40">
        <f t="shared" si="16"/>
        <v>0</v>
      </c>
    </row>
    <row r="101" spans="2:24">
      <c r="B101" s="4" t="str">
        <f t="shared" si="14"/>
        <v>"No Access" - backlog from prior years</v>
      </c>
      <c r="P101" s="35">
        <f t="shared" ref="P101:V101" si="18">$D14*P77</f>
        <v>0</v>
      </c>
      <c r="Q101" s="35">
        <f t="shared" si="18"/>
        <v>0</v>
      </c>
      <c r="R101" s="35">
        <f t="shared" si="18"/>
        <v>0</v>
      </c>
      <c r="S101" s="35">
        <f t="shared" si="18"/>
        <v>111215.74921748579</v>
      </c>
      <c r="T101" s="35">
        <f t="shared" si="18"/>
        <v>0</v>
      </c>
      <c r="U101" s="35">
        <f t="shared" si="18"/>
        <v>0</v>
      </c>
      <c r="V101" s="35">
        <f t="shared" si="18"/>
        <v>0</v>
      </c>
      <c r="X101" s="40">
        <f t="shared" si="16"/>
        <v>111215.74921748579</v>
      </c>
    </row>
    <row r="102" spans="2:24">
      <c r="B102" s="4" t="str">
        <f t="shared" si="14"/>
        <v>[blank]</v>
      </c>
      <c r="X102" s="40">
        <f t="shared" si="16"/>
        <v>0</v>
      </c>
    </row>
    <row r="103" spans="2:24">
      <c r="B103" s="4" t="str">
        <f t="shared" si="14"/>
        <v>[blank]</v>
      </c>
      <c r="X103" s="40">
        <f t="shared" si="16"/>
        <v>0</v>
      </c>
    </row>
    <row r="104" spans="2:24">
      <c r="B104" s="4" t="str">
        <f t="shared" si="14"/>
        <v>[blank]</v>
      </c>
      <c r="X104" s="40">
        <f t="shared" si="16"/>
        <v>0</v>
      </c>
    </row>
    <row r="105" spans="2:24">
      <c r="B105" s="4" t="str">
        <f t="shared" si="14"/>
        <v>[blank]</v>
      </c>
      <c r="X105" s="40">
        <f t="shared" si="16"/>
        <v>0</v>
      </c>
    </row>
    <row r="106" spans="2:24">
      <c r="B106" s="4" t="str">
        <f t="shared" si="14"/>
        <v>[blank]</v>
      </c>
      <c r="X106" s="40">
        <f t="shared" si="16"/>
        <v>0</v>
      </c>
    </row>
    <row r="107" spans="2:24">
      <c r="B107" s="4" t="str">
        <f t="shared" si="14"/>
        <v>[blank]</v>
      </c>
      <c r="X107" s="40">
        <f t="shared" si="16"/>
        <v>0</v>
      </c>
    </row>
    <row r="108" spans="2:24">
      <c r="B108" s="4" t="str">
        <f t="shared" si="14"/>
        <v>[blank]</v>
      </c>
      <c r="X108" s="40">
        <f t="shared" si="16"/>
        <v>0</v>
      </c>
    </row>
    <row r="109" spans="2:24">
      <c r="B109" s="4" t="str">
        <f t="shared" si="14"/>
        <v>[blank]</v>
      </c>
      <c r="X109" s="40">
        <f t="shared" si="16"/>
        <v>0</v>
      </c>
    </row>
    <row r="110" spans="2:24">
      <c r="B110" s="4" t="str">
        <f t="shared" si="14"/>
        <v>[blank]</v>
      </c>
      <c r="X110" s="40">
        <f t="shared" si="16"/>
        <v>0</v>
      </c>
    </row>
    <row r="111" spans="2:24">
      <c r="B111" s="4" t="str">
        <f t="shared" si="14"/>
        <v>[blank]</v>
      </c>
      <c r="X111" s="40">
        <f t="shared" si="16"/>
        <v>0</v>
      </c>
    </row>
    <row r="113" spans="1:24" ht="12.75" thickBot="1">
      <c r="B113" s="5" t="s">
        <v>78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9">SUM(P97:P111)</f>
        <v>0</v>
      </c>
      <c r="Q113" s="37">
        <f t="shared" si="19"/>
        <v>134805.25710272483</v>
      </c>
      <c r="R113" s="37">
        <f t="shared" si="19"/>
        <v>142610.2923500035</v>
      </c>
      <c r="S113" s="37">
        <f t="shared" si="19"/>
        <v>259113.49437978829</v>
      </c>
      <c r="T113" s="37">
        <f t="shared" si="19"/>
        <v>144119.66114491841</v>
      </c>
      <c r="U113" s="37">
        <f t="shared" si="19"/>
        <v>135401.92679589713</v>
      </c>
      <c r="V113" s="37">
        <f t="shared" si="19"/>
        <v>152596.25936759601</v>
      </c>
      <c r="X113" s="37">
        <f t="shared" ref="X113" si="20">SUM(R113:V113)</f>
        <v>833841.63403820328</v>
      </c>
    </row>
    <row r="115" spans="1:24" s="1" customFormat="1">
      <c r="A115" s="4"/>
      <c r="B115" s="2" t="s">
        <v>80</v>
      </c>
    </row>
    <row r="117" spans="1:24">
      <c r="H117" s="190" t="s">
        <v>52</v>
      </c>
      <c r="I117" s="190"/>
      <c r="J117" s="190"/>
      <c r="K117" s="190"/>
      <c r="L117" s="190"/>
      <c r="M117" s="190" t="s">
        <v>53</v>
      </c>
      <c r="N117" s="190"/>
      <c r="O117" s="190"/>
      <c r="P117" s="190"/>
      <c r="Q117" s="190"/>
      <c r="R117" s="190" t="s">
        <v>54</v>
      </c>
      <c r="S117" s="190"/>
      <c r="T117" s="190"/>
      <c r="U117" s="190"/>
      <c r="V117" s="190"/>
      <c r="X117" s="38"/>
    </row>
    <row r="118" spans="1:24">
      <c r="B118" s="43" t="s">
        <v>81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63</v>
      </c>
    </row>
    <row r="119" spans="1:24">
      <c r="B119" s="5" t="s">
        <v>46</v>
      </c>
      <c r="D119" s="29" t="s">
        <v>55</v>
      </c>
      <c r="H119" s="16" t="s">
        <v>12</v>
      </c>
      <c r="I119" s="16" t="s">
        <v>12</v>
      </c>
      <c r="J119" s="16" t="s">
        <v>12</v>
      </c>
      <c r="K119" s="16" t="s">
        <v>12</v>
      </c>
      <c r="L119" s="16" t="s">
        <v>12</v>
      </c>
      <c r="M119" s="16" t="s">
        <v>12</v>
      </c>
      <c r="N119" s="16" t="s">
        <v>12</v>
      </c>
      <c r="O119" s="16" t="s">
        <v>12</v>
      </c>
      <c r="P119" s="16" t="s">
        <v>13</v>
      </c>
      <c r="Q119" s="16" t="s">
        <v>13</v>
      </c>
      <c r="R119" s="16" t="s">
        <v>13</v>
      </c>
      <c r="S119" s="16" t="s">
        <v>13</v>
      </c>
      <c r="T119" s="16" t="s">
        <v>13</v>
      </c>
      <c r="U119" s="16" t="s">
        <v>13</v>
      </c>
      <c r="V119" s="16" t="s">
        <v>13</v>
      </c>
      <c r="X119" s="34" t="s">
        <v>13</v>
      </c>
    </row>
    <row r="120" spans="1:24">
      <c r="B120" s="4" t="str">
        <f>IF(B10&lt;&gt;"",B10,"[blank]")</f>
        <v>In-Service Compliance Testing</v>
      </c>
      <c r="D120" s="31" t="s">
        <v>60</v>
      </c>
      <c r="O120" s="35"/>
      <c r="P120" s="35">
        <f>$E10*P73</f>
        <v>0</v>
      </c>
      <c r="Q120" s="35">
        <f t="shared" ref="Q120:V120" si="21">$E10*Q73</f>
        <v>66701.567275061869</v>
      </c>
      <c r="R120" s="35">
        <f t="shared" si="21"/>
        <v>95534.143146640679</v>
      </c>
      <c r="S120" s="35">
        <f t="shared" si="21"/>
        <v>106005.85825710758</v>
      </c>
      <c r="T120" s="35">
        <f t="shared" si="21"/>
        <v>100932.86349980235</v>
      </c>
      <c r="U120" s="35">
        <f t="shared" si="21"/>
        <v>104134.38155701432</v>
      </c>
      <c r="V120" s="35">
        <f t="shared" si="21"/>
        <v>122618.73960698031</v>
      </c>
      <c r="X120" s="40">
        <f>SUM(R120:V120)</f>
        <v>529225.98606754525</v>
      </c>
    </row>
    <row r="121" spans="1:24">
      <c r="B121" s="4" t="str">
        <f t="shared" ref="B121:B134" si="22">IF(B11&lt;&gt;"",B11,"[blank]")</f>
        <v>Time Expired</v>
      </c>
      <c r="D121" s="31" t="s">
        <v>60</v>
      </c>
      <c r="O121" s="50"/>
      <c r="P121" s="35">
        <f t="shared" ref="P121:V123" si="23">$E11*P74</f>
        <v>0</v>
      </c>
      <c r="Q121" s="35">
        <f t="shared" si="23"/>
        <v>1541618.9818159663</v>
      </c>
      <c r="R121" s="35">
        <f t="shared" si="23"/>
        <v>1694473.0404564268</v>
      </c>
      <c r="S121" s="35">
        <f t="shared" si="23"/>
        <v>1647192.3548774172</v>
      </c>
      <c r="T121" s="35">
        <f t="shared" si="23"/>
        <v>1572876.5134976583</v>
      </c>
      <c r="U121" s="35">
        <f t="shared" si="23"/>
        <v>1419298.0819724321</v>
      </c>
      <c r="V121" s="35">
        <f t="shared" si="23"/>
        <v>1737209.9284747131</v>
      </c>
      <c r="X121" s="40">
        <f t="shared" ref="X121:X134" si="24">SUM(R121:V121)</f>
        <v>8071049.9192786478</v>
      </c>
    </row>
    <row r="122" spans="1:24">
      <c r="B122" s="4" t="str">
        <f t="shared" si="22"/>
        <v>"No Access" Non-Compliant</v>
      </c>
      <c r="D122" s="31" t="s">
        <v>60</v>
      </c>
      <c r="P122" s="35">
        <f t="shared" si="23"/>
        <v>0</v>
      </c>
      <c r="Q122" s="35">
        <f t="shared" si="23"/>
        <v>89221.697093017996</v>
      </c>
      <c r="R122" s="35">
        <f t="shared" si="23"/>
        <v>72503.565836341513</v>
      </c>
      <c r="S122" s="35">
        <f t="shared" si="23"/>
        <v>80474.584246159138</v>
      </c>
      <c r="T122" s="35">
        <f t="shared" si="23"/>
        <v>82821.715370729042</v>
      </c>
      <c r="U122" s="35">
        <f t="shared" si="23"/>
        <v>76956.676071074311</v>
      </c>
      <c r="V122" s="35">
        <f t="shared" si="23"/>
        <v>71071.677681791436</v>
      </c>
      <c r="X122" s="40">
        <f t="shared" si="24"/>
        <v>383828.21920609544</v>
      </c>
    </row>
    <row r="123" spans="1:24">
      <c r="B123" s="4" t="str">
        <f t="shared" si="22"/>
        <v>Digital metering program</v>
      </c>
      <c r="P123" s="35">
        <f t="shared" si="23"/>
        <v>0</v>
      </c>
      <c r="Q123" s="35">
        <f t="shared" ref="Q123:V123" si="25">$E13*Q76</f>
        <v>0</v>
      </c>
      <c r="R123" s="35">
        <f t="shared" si="25"/>
        <v>0</v>
      </c>
      <c r="S123" s="35">
        <f t="shared" si="25"/>
        <v>0</v>
      </c>
      <c r="T123" s="35">
        <f t="shared" si="25"/>
        <v>0</v>
      </c>
      <c r="U123" s="35">
        <f t="shared" si="25"/>
        <v>0</v>
      </c>
      <c r="V123" s="35">
        <f t="shared" si="25"/>
        <v>0</v>
      </c>
      <c r="X123" s="40">
        <f t="shared" si="24"/>
        <v>0</v>
      </c>
    </row>
    <row r="124" spans="1:24">
      <c r="B124" s="4" t="str">
        <f t="shared" si="22"/>
        <v>"No Access" - backlog from prior years</v>
      </c>
      <c r="P124" s="35">
        <f t="shared" ref="P124:V124" si="26">$E14*P77</f>
        <v>0</v>
      </c>
      <c r="Q124" s="35">
        <f t="shared" si="26"/>
        <v>0</v>
      </c>
      <c r="R124" s="35">
        <f t="shared" si="26"/>
        <v>0</v>
      </c>
      <c r="S124" s="35">
        <f t="shared" si="26"/>
        <v>222431.49843497158</v>
      </c>
      <c r="T124" s="35">
        <f t="shared" si="26"/>
        <v>0</v>
      </c>
      <c r="U124" s="35">
        <f t="shared" si="26"/>
        <v>0</v>
      </c>
      <c r="V124" s="35">
        <f t="shared" si="26"/>
        <v>0</v>
      </c>
      <c r="X124" s="40">
        <f t="shared" si="24"/>
        <v>222431.49843497158</v>
      </c>
    </row>
    <row r="125" spans="1:24">
      <c r="B125" s="4" t="str">
        <f t="shared" si="22"/>
        <v>[blank]</v>
      </c>
      <c r="X125" s="40">
        <f t="shared" si="24"/>
        <v>0</v>
      </c>
    </row>
    <row r="126" spans="1:24">
      <c r="B126" s="4" t="str">
        <f t="shared" si="22"/>
        <v>[blank]</v>
      </c>
      <c r="X126" s="40">
        <f t="shared" si="24"/>
        <v>0</v>
      </c>
    </row>
    <row r="127" spans="1:24">
      <c r="B127" s="4" t="str">
        <f t="shared" si="22"/>
        <v>[blank]</v>
      </c>
      <c r="X127" s="40">
        <f t="shared" si="24"/>
        <v>0</v>
      </c>
    </row>
    <row r="128" spans="1:24">
      <c r="B128" s="4" t="str">
        <f t="shared" si="22"/>
        <v>[blank]</v>
      </c>
      <c r="X128" s="40">
        <f t="shared" si="24"/>
        <v>0</v>
      </c>
    </row>
    <row r="129" spans="1:24">
      <c r="B129" s="4" t="str">
        <f t="shared" si="22"/>
        <v>[blank]</v>
      </c>
      <c r="X129" s="40">
        <f t="shared" si="24"/>
        <v>0</v>
      </c>
    </row>
    <row r="130" spans="1:24">
      <c r="B130" s="4" t="str">
        <f t="shared" si="22"/>
        <v>[blank]</v>
      </c>
      <c r="X130" s="40">
        <f t="shared" si="24"/>
        <v>0</v>
      </c>
    </row>
    <row r="131" spans="1:24">
      <c r="B131" s="4" t="str">
        <f t="shared" si="22"/>
        <v>[blank]</v>
      </c>
      <c r="X131" s="40">
        <f t="shared" si="24"/>
        <v>0</v>
      </c>
    </row>
    <row r="132" spans="1:24">
      <c r="B132" s="4" t="str">
        <f t="shared" si="22"/>
        <v>[blank]</v>
      </c>
      <c r="X132" s="40">
        <f t="shared" si="24"/>
        <v>0</v>
      </c>
    </row>
    <row r="133" spans="1:24">
      <c r="B133" s="4" t="str">
        <f t="shared" si="22"/>
        <v>[blank]</v>
      </c>
      <c r="X133" s="40">
        <f t="shared" si="24"/>
        <v>0</v>
      </c>
    </row>
    <row r="134" spans="1:24">
      <c r="B134" s="4" t="str">
        <f t="shared" si="22"/>
        <v>[blank]</v>
      </c>
      <c r="X134" s="40">
        <f t="shared" si="24"/>
        <v>0</v>
      </c>
    </row>
    <row r="136" spans="1:24" ht="12.75" thickBot="1">
      <c r="B136" s="5" t="s">
        <v>82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7">SUM(P120:P134)</f>
        <v>0</v>
      </c>
      <c r="Q136" s="37">
        <f t="shared" si="27"/>
        <v>1697542.2461840464</v>
      </c>
      <c r="R136" s="37">
        <f t="shared" si="27"/>
        <v>1862510.749439409</v>
      </c>
      <c r="S136" s="37">
        <f t="shared" si="27"/>
        <v>2056104.2958156555</v>
      </c>
      <c r="T136" s="37">
        <f t="shared" si="27"/>
        <v>1756631.0923681897</v>
      </c>
      <c r="U136" s="37">
        <f t="shared" si="27"/>
        <v>1600389.1396005207</v>
      </c>
      <c r="V136" s="37">
        <f t="shared" si="27"/>
        <v>1930900.3457634847</v>
      </c>
      <c r="X136" s="37">
        <f t="shared" ref="X136" si="28">SUM(R136:V136)</f>
        <v>9206535.6229872592</v>
      </c>
    </row>
    <row r="138" spans="1:24" s="1" customFormat="1">
      <c r="A138" s="4"/>
      <c r="B138" s="2" t="s">
        <v>83</v>
      </c>
    </row>
    <row r="140" spans="1:24">
      <c r="H140" s="190" t="s">
        <v>52</v>
      </c>
      <c r="I140" s="190"/>
      <c r="J140" s="190"/>
      <c r="K140" s="190"/>
      <c r="L140" s="190"/>
      <c r="M140" s="190" t="s">
        <v>53</v>
      </c>
      <c r="N140" s="190"/>
      <c r="O140" s="190"/>
      <c r="P140" s="190"/>
      <c r="Q140" s="190"/>
      <c r="R140" s="190" t="s">
        <v>54</v>
      </c>
      <c r="S140" s="190"/>
      <c r="T140" s="190"/>
      <c r="U140" s="190"/>
      <c r="V140" s="190"/>
      <c r="X140" s="38"/>
    </row>
    <row r="141" spans="1:24">
      <c r="B141" s="43" t="s">
        <v>84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63</v>
      </c>
    </row>
    <row r="142" spans="1:24">
      <c r="B142" s="5" t="s">
        <v>46</v>
      </c>
      <c r="D142" s="29" t="s">
        <v>55</v>
      </c>
      <c r="H142" s="16" t="s">
        <v>12</v>
      </c>
      <c r="I142" s="16" t="s">
        <v>12</v>
      </c>
      <c r="J142" s="16" t="s">
        <v>12</v>
      </c>
      <c r="K142" s="16" t="s">
        <v>12</v>
      </c>
      <c r="L142" s="16" t="s">
        <v>12</v>
      </c>
      <c r="M142" s="16" t="s">
        <v>12</v>
      </c>
      <c r="N142" s="16" t="s">
        <v>12</v>
      </c>
      <c r="O142" s="16" t="s">
        <v>12</v>
      </c>
      <c r="P142" s="16" t="s">
        <v>13</v>
      </c>
      <c r="Q142" s="16" t="s">
        <v>13</v>
      </c>
      <c r="R142" s="16" t="s">
        <v>13</v>
      </c>
      <c r="S142" s="16" t="s">
        <v>13</v>
      </c>
      <c r="T142" s="16" t="s">
        <v>13</v>
      </c>
      <c r="U142" s="16" t="s">
        <v>13</v>
      </c>
      <c r="V142" s="16" t="s">
        <v>13</v>
      </c>
      <c r="X142" s="34" t="s">
        <v>13</v>
      </c>
    </row>
    <row r="143" spans="1:24">
      <c r="B143" s="4" t="str">
        <f>IF(B10&lt;&gt;"",B10,"[blank]")</f>
        <v>In-Service Compliance Testing</v>
      </c>
      <c r="D143" s="31" t="s">
        <v>60</v>
      </c>
      <c r="O143" s="35"/>
      <c r="P143" s="35">
        <f>P97+P120</f>
        <v>0</v>
      </c>
      <c r="Q143" s="35">
        <f t="shared" ref="Q143:V143" si="29">Q97+Q120</f>
        <v>88379.57663945698</v>
      </c>
      <c r="R143" s="35">
        <f t="shared" si="29"/>
        <v>126582.7396692989</v>
      </c>
      <c r="S143" s="35">
        <f t="shared" si="29"/>
        <v>140457.76219066756</v>
      </c>
      <c r="T143" s="35">
        <f t="shared" si="29"/>
        <v>133736.04413723812</v>
      </c>
      <c r="U143" s="35">
        <f t="shared" si="29"/>
        <v>137978.05556304398</v>
      </c>
      <c r="V143" s="35">
        <f t="shared" si="29"/>
        <v>162469.8299792489</v>
      </c>
      <c r="X143" s="40">
        <f>SUM(R143:V143)</f>
        <v>701224.43153949745</v>
      </c>
    </row>
    <row r="144" spans="1:24">
      <c r="B144" s="4" t="str">
        <f t="shared" ref="B144:B157" si="30">IF(B11&lt;&gt;"",B11,"[blank]")</f>
        <v>Time Expired</v>
      </c>
      <c r="D144" s="31" t="s">
        <v>60</v>
      </c>
      <c r="O144" s="50"/>
      <c r="P144" s="35">
        <f t="shared" ref="P144:V146" si="31">P98+P121</f>
        <v>0</v>
      </c>
      <c r="Q144" s="35">
        <f t="shared" si="31"/>
        <v>1610135.3810077871</v>
      </c>
      <c r="R144" s="35">
        <f t="shared" si="31"/>
        <v>1769782.9533656014</v>
      </c>
      <c r="S144" s="35">
        <f t="shared" si="31"/>
        <v>1720400.9039830803</v>
      </c>
      <c r="T144" s="35">
        <f t="shared" si="31"/>
        <v>1642782.1363197765</v>
      </c>
      <c r="U144" s="35">
        <f t="shared" si="31"/>
        <v>1482377.9967267625</v>
      </c>
      <c r="V144" s="35">
        <f t="shared" si="31"/>
        <v>1814419.2586291449</v>
      </c>
      <c r="X144" s="40">
        <f t="shared" ref="X144:X157" si="32">SUM(R144:V144)</f>
        <v>8429763.2490243651</v>
      </c>
    </row>
    <row r="145" spans="2:24">
      <c r="B145" s="4" t="str">
        <f t="shared" si="30"/>
        <v>"No Access" Non-Compliant</v>
      </c>
      <c r="D145" s="31" t="s">
        <v>60</v>
      </c>
      <c r="P145" s="35">
        <f t="shared" si="31"/>
        <v>0</v>
      </c>
      <c r="Q145" s="35">
        <f t="shared" si="31"/>
        <v>133832.545639527</v>
      </c>
      <c r="R145" s="35">
        <f t="shared" si="31"/>
        <v>108755.34875451226</v>
      </c>
      <c r="S145" s="35">
        <f t="shared" si="31"/>
        <v>120711.87636923871</v>
      </c>
      <c r="T145" s="35">
        <f t="shared" si="31"/>
        <v>124232.57305609356</v>
      </c>
      <c r="U145" s="35">
        <f t="shared" si="31"/>
        <v>115435.01410661146</v>
      </c>
      <c r="V145" s="35">
        <f t="shared" si="31"/>
        <v>106607.51652268716</v>
      </c>
      <c r="X145" s="40">
        <f t="shared" si="32"/>
        <v>575742.32880914316</v>
      </c>
    </row>
    <row r="146" spans="2:24">
      <c r="B146" s="4" t="str">
        <f t="shared" si="30"/>
        <v>Digital metering program</v>
      </c>
      <c r="P146" s="35">
        <f t="shared" si="31"/>
        <v>0</v>
      </c>
      <c r="Q146" s="35">
        <f t="shared" ref="Q146:V146" si="33">Q100+Q123</f>
        <v>0</v>
      </c>
      <c r="R146" s="35">
        <f t="shared" si="33"/>
        <v>0</v>
      </c>
      <c r="S146" s="35">
        <f t="shared" si="33"/>
        <v>0</v>
      </c>
      <c r="T146" s="35">
        <f t="shared" si="33"/>
        <v>0</v>
      </c>
      <c r="U146" s="35">
        <f t="shared" si="33"/>
        <v>0</v>
      </c>
      <c r="V146" s="35">
        <f t="shared" si="33"/>
        <v>0</v>
      </c>
      <c r="X146" s="40">
        <f t="shared" si="32"/>
        <v>0</v>
      </c>
    </row>
    <row r="147" spans="2:24">
      <c r="B147" s="4" t="str">
        <f t="shared" si="30"/>
        <v>"No Access" - backlog from prior years</v>
      </c>
      <c r="P147" s="35">
        <f t="shared" ref="P147:V147" si="34">P101+P124</f>
        <v>0</v>
      </c>
      <c r="Q147" s="35">
        <f t="shared" si="34"/>
        <v>0</v>
      </c>
      <c r="R147" s="35">
        <f t="shared" si="34"/>
        <v>0</v>
      </c>
      <c r="S147" s="35">
        <f t="shared" si="34"/>
        <v>333647.24765245739</v>
      </c>
      <c r="T147" s="35">
        <f t="shared" si="34"/>
        <v>0</v>
      </c>
      <c r="U147" s="35">
        <f t="shared" si="34"/>
        <v>0</v>
      </c>
      <c r="V147" s="35">
        <f t="shared" si="34"/>
        <v>0</v>
      </c>
      <c r="X147" s="40">
        <f t="shared" si="32"/>
        <v>333647.24765245739</v>
      </c>
    </row>
    <row r="148" spans="2:24">
      <c r="B148" s="4" t="str">
        <f t="shared" si="30"/>
        <v>[blank]</v>
      </c>
      <c r="X148" s="40">
        <f t="shared" si="32"/>
        <v>0</v>
      </c>
    </row>
    <row r="149" spans="2:24">
      <c r="B149" s="4" t="str">
        <f t="shared" si="30"/>
        <v>[blank]</v>
      </c>
      <c r="X149" s="40">
        <f t="shared" si="32"/>
        <v>0</v>
      </c>
    </row>
    <row r="150" spans="2:24">
      <c r="B150" s="4" t="str">
        <f t="shared" si="30"/>
        <v>[blank]</v>
      </c>
      <c r="X150" s="40">
        <f t="shared" si="32"/>
        <v>0</v>
      </c>
    </row>
    <row r="151" spans="2:24">
      <c r="B151" s="4" t="str">
        <f t="shared" si="30"/>
        <v>[blank]</v>
      </c>
      <c r="X151" s="40">
        <f t="shared" si="32"/>
        <v>0</v>
      </c>
    </row>
    <row r="152" spans="2:24">
      <c r="B152" s="4" t="str">
        <f t="shared" si="30"/>
        <v>[blank]</v>
      </c>
      <c r="X152" s="40">
        <f t="shared" si="32"/>
        <v>0</v>
      </c>
    </row>
    <row r="153" spans="2:24">
      <c r="B153" s="4" t="str">
        <f t="shared" si="30"/>
        <v>[blank]</v>
      </c>
      <c r="X153" s="40">
        <f t="shared" si="32"/>
        <v>0</v>
      </c>
    </row>
    <row r="154" spans="2:24">
      <c r="B154" s="4" t="str">
        <f t="shared" si="30"/>
        <v>[blank]</v>
      </c>
      <c r="X154" s="40">
        <f t="shared" si="32"/>
        <v>0</v>
      </c>
    </row>
    <row r="155" spans="2:24">
      <c r="B155" s="4" t="str">
        <f t="shared" si="30"/>
        <v>[blank]</v>
      </c>
      <c r="X155" s="40">
        <f t="shared" si="32"/>
        <v>0</v>
      </c>
    </row>
    <row r="156" spans="2:24">
      <c r="B156" s="4" t="str">
        <f t="shared" si="30"/>
        <v>[blank]</v>
      </c>
      <c r="X156" s="40">
        <f t="shared" si="32"/>
        <v>0</v>
      </c>
    </row>
    <row r="157" spans="2:24">
      <c r="B157" s="4" t="str">
        <f t="shared" si="30"/>
        <v>[blank]</v>
      </c>
      <c r="X157" s="40">
        <f t="shared" si="32"/>
        <v>0</v>
      </c>
    </row>
    <row r="159" spans="2:24" ht="12.75" thickBot="1">
      <c r="B159" s="5" t="s">
        <v>85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35">SUM(Q143:Q157)</f>
        <v>1832347.503286771</v>
      </c>
      <c r="R159" s="37">
        <f t="shared" si="35"/>
        <v>2005121.0417894125</v>
      </c>
      <c r="S159" s="37">
        <f t="shared" si="35"/>
        <v>2315217.7901954441</v>
      </c>
      <c r="T159" s="37">
        <f t="shared" si="35"/>
        <v>1900750.7535131082</v>
      </c>
      <c r="U159" s="37">
        <f t="shared" si="35"/>
        <v>1735791.066396418</v>
      </c>
      <c r="V159" s="37">
        <f t="shared" si="35"/>
        <v>2083496.6051310808</v>
      </c>
      <c r="X159" s="37">
        <f t="shared" ref="X159" si="36">SUM(R159:V159)</f>
        <v>10040377.257025464</v>
      </c>
    </row>
    <row r="161" spans="1:24" s="1" customFormat="1">
      <c r="A161" s="4"/>
      <c r="B161" s="2" t="s">
        <v>86</v>
      </c>
    </row>
    <row r="163" spans="1:24">
      <c r="H163" s="190" t="s">
        <v>52</v>
      </c>
      <c r="I163" s="190"/>
      <c r="J163" s="190"/>
      <c r="K163" s="190"/>
      <c r="L163" s="190"/>
      <c r="M163" s="190" t="s">
        <v>53</v>
      </c>
      <c r="N163" s="190"/>
      <c r="O163" s="190"/>
      <c r="P163" s="190"/>
      <c r="Q163" s="190"/>
      <c r="R163" s="190" t="s">
        <v>54</v>
      </c>
      <c r="S163" s="190"/>
      <c r="T163" s="190"/>
      <c r="U163" s="190"/>
      <c r="V163" s="190"/>
      <c r="X163" s="38"/>
    </row>
    <row r="164" spans="1:24">
      <c r="B164" s="44" t="s">
        <v>50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63</v>
      </c>
    </row>
    <row r="165" spans="1:24">
      <c r="B165" s="5" t="s">
        <v>46</v>
      </c>
      <c r="D165" s="29" t="s">
        <v>55</v>
      </c>
      <c r="H165" s="16" t="s">
        <v>12</v>
      </c>
      <c r="I165" s="16" t="s">
        <v>12</v>
      </c>
      <c r="J165" s="16" t="s">
        <v>12</v>
      </c>
      <c r="K165" s="16" t="s">
        <v>12</v>
      </c>
      <c r="L165" s="16" t="s">
        <v>12</v>
      </c>
      <c r="M165" s="16" t="s">
        <v>12</v>
      </c>
      <c r="N165" s="16" t="s">
        <v>12</v>
      </c>
      <c r="O165" s="16" t="s">
        <v>12</v>
      </c>
      <c r="P165" s="16" t="s">
        <v>13</v>
      </c>
      <c r="Q165" s="16" t="s">
        <v>13</v>
      </c>
      <c r="R165" s="16" t="s">
        <v>13</v>
      </c>
      <c r="S165" s="16" t="s">
        <v>13</v>
      </c>
      <c r="T165" s="16" t="s">
        <v>13</v>
      </c>
      <c r="U165" s="16" t="s">
        <v>13</v>
      </c>
      <c r="V165" s="16" t="s">
        <v>13</v>
      </c>
      <c r="X165" s="34" t="s">
        <v>13</v>
      </c>
    </row>
    <row r="166" spans="1:24">
      <c r="B166" s="4" t="str">
        <f>IF(B10&lt;&gt;"",B10,"[blank]")</f>
        <v>In-Service Compliance Testing</v>
      </c>
      <c r="D166" s="31" t="s">
        <v>60</v>
      </c>
      <c r="O166" s="35"/>
      <c r="P166" s="35">
        <f>$G10*P73</f>
        <v>0</v>
      </c>
      <c r="Q166" s="35">
        <f t="shared" ref="Q166:V166" si="37">$G10*Q73</f>
        <v>78374.341548197684</v>
      </c>
      <c r="R166" s="35">
        <f t="shared" si="37"/>
        <v>112252.61819730279</v>
      </c>
      <c r="S166" s="35">
        <f t="shared" si="37"/>
        <v>124556.88345210139</v>
      </c>
      <c r="T166" s="35">
        <f t="shared" si="37"/>
        <v>118596.11461226775</v>
      </c>
      <c r="U166" s="35">
        <f t="shared" si="37"/>
        <v>122357.89832949181</v>
      </c>
      <c r="V166" s="35">
        <f t="shared" si="37"/>
        <v>144077.01903820186</v>
      </c>
      <c r="X166" s="40">
        <f>SUM(R166:V166)</f>
        <v>621840.53362936561</v>
      </c>
    </row>
    <row r="167" spans="1:24">
      <c r="B167" s="4" t="str">
        <f t="shared" ref="B167:B180" si="38">IF(B11&lt;&gt;"",B11,"[blank]")</f>
        <v>Time Expired</v>
      </c>
      <c r="D167" s="31" t="s">
        <v>60</v>
      </c>
      <c r="O167" s="50"/>
      <c r="P167" s="35">
        <f t="shared" ref="P167:V169" si="39">$G11*P74</f>
        <v>0</v>
      </c>
      <c r="Q167" s="35">
        <f t="shared" si="39"/>
        <v>1815684.5785832494</v>
      </c>
      <c r="R167" s="35">
        <f t="shared" si="39"/>
        <v>1995712.6920931251</v>
      </c>
      <c r="S167" s="35">
        <f t="shared" si="39"/>
        <v>1940026.5513000691</v>
      </c>
      <c r="T167" s="35">
        <f t="shared" si="39"/>
        <v>1852499.0047861307</v>
      </c>
      <c r="U167" s="35">
        <f t="shared" si="39"/>
        <v>1671617.7409897533</v>
      </c>
      <c r="V167" s="35">
        <f t="shared" si="39"/>
        <v>2046047.2490924401</v>
      </c>
      <c r="X167" s="40">
        <f t="shared" ref="X167:X180" si="40">SUM(R167:V167)</f>
        <v>9505903.2382615171</v>
      </c>
    </row>
    <row r="168" spans="1:24">
      <c r="B168" s="4" t="str">
        <f t="shared" si="38"/>
        <v>"No Access" Non-Compliant</v>
      </c>
      <c r="D168" s="31" t="s">
        <v>60</v>
      </c>
      <c r="P168" s="35">
        <f t="shared" si="39"/>
        <v>0</v>
      </c>
      <c r="Q168" s="35">
        <f t="shared" si="39"/>
        <v>44610.848546508998</v>
      </c>
      <c r="R168" s="35">
        <f t="shared" si="39"/>
        <v>36251.782918170757</v>
      </c>
      <c r="S168" s="35">
        <f t="shared" si="39"/>
        <v>40237.292123079569</v>
      </c>
      <c r="T168" s="35">
        <f t="shared" si="39"/>
        <v>41410.857685364521</v>
      </c>
      <c r="U168" s="35">
        <f t="shared" si="39"/>
        <v>38478.338035537156</v>
      </c>
      <c r="V168" s="35">
        <f t="shared" si="39"/>
        <v>35535.838840895718</v>
      </c>
      <c r="X168" s="40">
        <f t="shared" si="40"/>
        <v>191914.10960304772</v>
      </c>
    </row>
    <row r="169" spans="1:24">
      <c r="B169" s="4" t="str">
        <f t="shared" si="38"/>
        <v>Digital metering program</v>
      </c>
      <c r="P169" s="35">
        <f t="shared" si="39"/>
        <v>0</v>
      </c>
      <c r="Q169" s="35">
        <f t="shared" ref="Q169:V169" si="41">$G13*Q76</f>
        <v>0</v>
      </c>
      <c r="R169" s="35">
        <f t="shared" si="41"/>
        <v>0</v>
      </c>
      <c r="S169" s="35">
        <f t="shared" si="41"/>
        <v>0</v>
      </c>
      <c r="T169" s="35">
        <f t="shared" si="41"/>
        <v>0</v>
      </c>
      <c r="U169" s="35">
        <f t="shared" si="41"/>
        <v>0</v>
      </c>
      <c r="V169" s="35">
        <f t="shared" si="41"/>
        <v>0</v>
      </c>
      <c r="X169" s="40">
        <f t="shared" si="40"/>
        <v>0</v>
      </c>
    </row>
    <row r="170" spans="1:24">
      <c r="B170" s="4" t="str">
        <f t="shared" si="38"/>
        <v>"No Access" - backlog from prior years</v>
      </c>
      <c r="P170" s="35">
        <f t="shared" ref="P170:V170" si="42">$G14*P77</f>
        <v>0</v>
      </c>
      <c r="Q170" s="35">
        <f t="shared" si="42"/>
        <v>0</v>
      </c>
      <c r="R170" s="35">
        <f t="shared" si="42"/>
        <v>0</v>
      </c>
      <c r="S170" s="35">
        <f t="shared" si="42"/>
        <v>111215.74921748579</v>
      </c>
      <c r="T170" s="35">
        <f t="shared" si="42"/>
        <v>0</v>
      </c>
      <c r="U170" s="35">
        <f t="shared" si="42"/>
        <v>0</v>
      </c>
      <c r="V170" s="35">
        <f t="shared" si="42"/>
        <v>0</v>
      </c>
      <c r="X170" s="40">
        <f t="shared" si="40"/>
        <v>111215.74921748579</v>
      </c>
    </row>
    <row r="171" spans="1:24">
      <c r="B171" s="4" t="str">
        <f t="shared" si="38"/>
        <v>[blank]</v>
      </c>
      <c r="X171" s="40">
        <f t="shared" si="40"/>
        <v>0</v>
      </c>
    </row>
    <row r="172" spans="1:24">
      <c r="B172" s="4" t="str">
        <f t="shared" si="38"/>
        <v>[blank]</v>
      </c>
      <c r="X172" s="40">
        <f t="shared" si="40"/>
        <v>0</v>
      </c>
    </row>
    <row r="173" spans="1:24">
      <c r="B173" s="4" t="str">
        <f t="shared" si="38"/>
        <v>[blank]</v>
      </c>
      <c r="X173" s="40">
        <f t="shared" si="40"/>
        <v>0</v>
      </c>
    </row>
    <row r="174" spans="1:24">
      <c r="B174" s="4" t="str">
        <f t="shared" si="38"/>
        <v>[blank]</v>
      </c>
      <c r="X174" s="40">
        <f t="shared" si="40"/>
        <v>0</v>
      </c>
    </row>
    <row r="175" spans="1:24">
      <c r="B175" s="4" t="str">
        <f t="shared" si="38"/>
        <v>[blank]</v>
      </c>
      <c r="X175" s="40">
        <f t="shared" si="40"/>
        <v>0</v>
      </c>
    </row>
    <row r="176" spans="1:24">
      <c r="B176" s="4" t="str">
        <f t="shared" si="38"/>
        <v>[blank]</v>
      </c>
      <c r="X176" s="40">
        <f t="shared" si="40"/>
        <v>0</v>
      </c>
    </row>
    <row r="177" spans="1:24">
      <c r="B177" s="4" t="str">
        <f t="shared" si="38"/>
        <v>[blank]</v>
      </c>
      <c r="X177" s="40">
        <f t="shared" si="40"/>
        <v>0</v>
      </c>
    </row>
    <row r="178" spans="1:24">
      <c r="B178" s="4" t="str">
        <f t="shared" si="38"/>
        <v>[blank]</v>
      </c>
      <c r="X178" s="40">
        <f t="shared" si="40"/>
        <v>0</v>
      </c>
    </row>
    <row r="179" spans="1:24">
      <c r="B179" s="4" t="str">
        <f t="shared" si="38"/>
        <v>[blank]</v>
      </c>
      <c r="X179" s="40">
        <f t="shared" si="40"/>
        <v>0</v>
      </c>
    </row>
    <row r="180" spans="1:24">
      <c r="B180" s="4" t="str">
        <f t="shared" si="38"/>
        <v>[blank]</v>
      </c>
      <c r="X180" s="40">
        <f t="shared" si="40"/>
        <v>0</v>
      </c>
    </row>
    <row r="182" spans="1:24" ht="12.75" thickBot="1">
      <c r="B182" s="5" t="s">
        <v>87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43">SUM(Q166:Q180)</f>
        <v>1938669.768677956</v>
      </c>
      <c r="R182" s="37">
        <f t="shared" si="43"/>
        <v>2144217.0932085984</v>
      </c>
      <c r="S182" s="37">
        <f t="shared" si="43"/>
        <v>2216036.4760927362</v>
      </c>
      <c r="T182" s="37">
        <f t="shared" si="43"/>
        <v>2012505.9770837631</v>
      </c>
      <c r="U182" s="37">
        <f t="shared" si="43"/>
        <v>1832453.9773547822</v>
      </c>
      <c r="V182" s="37">
        <f t="shared" si="43"/>
        <v>2225660.1069715377</v>
      </c>
      <c r="X182" s="37">
        <f t="shared" ref="X182" si="44">SUM(R182:V182)</f>
        <v>10430873.630711418</v>
      </c>
    </row>
    <row r="184" spans="1:24" s="1" customFormat="1">
      <c r="A184" s="2">
        <v>6</v>
      </c>
      <c r="B184" s="2" t="s">
        <v>89</v>
      </c>
    </row>
    <row r="186" spans="1:24">
      <c r="H186" s="190" t="s">
        <v>52</v>
      </c>
      <c r="I186" s="190"/>
      <c r="J186" s="190"/>
      <c r="K186" s="190"/>
      <c r="L186" s="190"/>
      <c r="M186" s="190" t="s">
        <v>53</v>
      </c>
      <c r="N186" s="190"/>
      <c r="O186" s="190"/>
      <c r="P186" s="190"/>
      <c r="Q186" s="190"/>
      <c r="R186" s="190" t="s">
        <v>54</v>
      </c>
      <c r="S186" s="190"/>
      <c r="T186" s="190"/>
      <c r="U186" s="190"/>
      <c r="V186" s="190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63</v>
      </c>
    </row>
    <row r="188" spans="1:24">
      <c r="B188" s="5" t="s">
        <v>46</v>
      </c>
      <c r="D188" s="29" t="s">
        <v>55</v>
      </c>
      <c r="H188" s="16" t="s">
        <v>12</v>
      </c>
      <c r="I188" s="16" t="s">
        <v>12</v>
      </c>
      <c r="J188" s="16" t="s">
        <v>12</v>
      </c>
      <c r="K188" s="16" t="s">
        <v>12</v>
      </c>
      <c r="L188" s="16" t="s">
        <v>12</v>
      </c>
      <c r="M188" s="16" t="s">
        <v>12</v>
      </c>
      <c r="N188" s="16" t="s">
        <v>12</v>
      </c>
      <c r="O188" s="16" t="s">
        <v>12</v>
      </c>
      <c r="P188" s="16" t="s">
        <v>13</v>
      </c>
      <c r="Q188" s="16" t="s">
        <v>13</v>
      </c>
      <c r="R188" s="16" t="s">
        <v>13</v>
      </c>
      <c r="S188" s="16" t="s">
        <v>13</v>
      </c>
      <c r="T188" s="16" t="s">
        <v>13</v>
      </c>
      <c r="U188" s="16" t="s">
        <v>13</v>
      </c>
      <c r="V188" s="16" t="s">
        <v>13</v>
      </c>
      <c r="X188" s="34" t="s">
        <v>13</v>
      </c>
    </row>
    <row r="189" spans="1:24">
      <c r="B189" s="4" t="str">
        <f>IF(B10&lt;&gt;"",B10,"[blank]")</f>
        <v>In-Service Compliance Testing</v>
      </c>
      <c r="D189" s="31" t="s">
        <v>60</v>
      </c>
      <c r="O189" s="35"/>
      <c r="P189" s="35">
        <f>P73*P$208</f>
        <v>0</v>
      </c>
      <c r="Q189" s="35">
        <f t="shared" ref="Q189:V189" si="45">Q73*Q$208</f>
        <v>12480.146231525805</v>
      </c>
      <c r="R189" s="35">
        <f t="shared" si="45"/>
        <v>17236.941054048901</v>
      </c>
      <c r="S189" s="35">
        <f t="shared" si="45"/>
        <v>20210.837423376321</v>
      </c>
      <c r="T189" s="35">
        <f t="shared" si="45"/>
        <v>19537.235938587339</v>
      </c>
      <c r="U189" s="35">
        <f t="shared" si="45"/>
        <v>21273.530197055828</v>
      </c>
      <c r="V189" s="35">
        <f t="shared" si="45"/>
        <v>25870.283754830474</v>
      </c>
      <c r="X189" s="40">
        <f>SUM(R189:V189)</f>
        <v>104128.82836789888</v>
      </c>
    </row>
    <row r="190" spans="1:24">
      <c r="B190" s="4" t="str">
        <f t="shared" ref="B190:B203" si="46">IF(B11&lt;&gt;"",B11,"[blank]")</f>
        <v>Time Expired</v>
      </c>
      <c r="D190" s="31" t="s">
        <v>60</v>
      </c>
      <c r="O190" s="50"/>
      <c r="P190" s="35">
        <f t="shared" ref="P190:V192" si="47">P74*P$208</f>
        <v>0</v>
      </c>
      <c r="Q190" s="35">
        <f t="shared" si="47"/>
        <v>256394.17965856963</v>
      </c>
      <c r="R190" s="35">
        <f t="shared" si="47"/>
        <v>271758.86794911686</v>
      </c>
      <c r="S190" s="35">
        <f t="shared" si="47"/>
        <v>279155.53127019951</v>
      </c>
      <c r="T190" s="35">
        <f t="shared" si="47"/>
        <v>270627.94002912485</v>
      </c>
      <c r="U190" s="35">
        <f t="shared" si="47"/>
        <v>257730.91486009082</v>
      </c>
      <c r="V190" s="35">
        <f t="shared" si="47"/>
        <v>325794.78243174334</v>
      </c>
      <c r="X190" s="40">
        <f t="shared" ref="X190:X203" si="48">SUM(R190:V190)</f>
        <v>1405068.0365402754</v>
      </c>
    </row>
    <row r="191" spans="1:24">
      <c r="B191" s="4" t="str">
        <f t="shared" si="46"/>
        <v>"No Access" Non-Compliant</v>
      </c>
      <c r="D191" s="31" t="s">
        <v>60</v>
      </c>
      <c r="P191" s="35">
        <f t="shared" si="47"/>
        <v>0</v>
      </c>
      <c r="Q191" s="35">
        <f t="shared" si="47"/>
        <v>13355.00645319411</v>
      </c>
      <c r="R191" s="35">
        <f t="shared" si="47"/>
        <v>10465.282039415602</v>
      </c>
      <c r="S191" s="35">
        <f t="shared" si="47"/>
        <v>12274.481925088297</v>
      </c>
      <c r="T191" s="35">
        <f t="shared" si="47"/>
        <v>12825.217380577953</v>
      </c>
      <c r="U191" s="35">
        <f t="shared" si="47"/>
        <v>12577.134643022369</v>
      </c>
      <c r="V191" s="35">
        <f t="shared" si="47"/>
        <v>11995.846471448338</v>
      </c>
      <c r="X191" s="40">
        <f t="shared" si="48"/>
        <v>60137.962459552567</v>
      </c>
    </row>
    <row r="192" spans="1:24">
      <c r="B192" s="4" t="str">
        <f t="shared" si="46"/>
        <v>Digital metering program</v>
      </c>
      <c r="P192" s="35">
        <f t="shared" si="47"/>
        <v>0</v>
      </c>
      <c r="Q192" s="35">
        <f t="shared" ref="Q192:V192" si="49">Q76*Q$208</f>
        <v>0</v>
      </c>
      <c r="R192" s="35">
        <f t="shared" si="49"/>
        <v>0</v>
      </c>
      <c r="S192" s="35">
        <f t="shared" si="49"/>
        <v>0</v>
      </c>
      <c r="T192" s="35">
        <f t="shared" si="49"/>
        <v>0</v>
      </c>
      <c r="U192" s="35">
        <f t="shared" si="49"/>
        <v>0</v>
      </c>
      <c r="V192" s="35">
        <f t="shared" si="49"/>
        <v>0</v>
      </c>
      <c r="X192" s="40">
        <f t="shared" si="48"/>
        <v>0</v>
      </c>
    </row>
    <row r="193" spans="2:24">
      <c r="B193" s="4" t="str">
        <f t="shared" si="46"/>
        <v>"No Access" - backlog from prior years</v>
      </c>
      <c r="P193" s="35">
        <f t="shared" ref="P193:V193" si="50">P77*P$208</f>
        <v>0</v>
      </c>
      <c r="Q193" s="35">
        <f t="shared" si="50"/>
        <v>0</v>
      </c>
      <c r="R193" s="35">
        <f t="shared" si="50"/>
        <v>0</v>
      </c>
      <c r="S193" s="35">
        <f t="shared" si="50"/>
        <v>33926.629540067144</v>
      </c>
      <c r="T193" s="35">
        <f t="shared" si="50"/>
        <v>0</v>
      </c>
      <c r="U193" s="35">
        <f t="shared" si="50"/>
        <v>0</v>
      </c>
      <c r="V193" s="35">
        <f t="shared" si="50"/>
        <v>0</v>
      </c>
      <c r="X193" s="40">
        <f t="shared" si="48"/>
        <v>33926.629540067144</v>
      </c>
    </row>
    <row r="194" spans="2:24">
      <c r="B194" s="4" t="str">
        <f t="shared" si="46"/>
        <v>[blank]</v>
      </c>
      <c r="X194" s="40">
        <f t="shared" si="48"/>
        <v>0</v>
      </c>
    </row>
    <row r="195" spans="2:24">
      <c r="B195" s="4" t="str">
        <f t="shared" si="46"/>
        <v>[blank]</v>
      </c>
      <c r="X195" s="40">
        <f t="shared" si="48"/>
        <v>0</v>
      </c>
    </row>
    <row r="196" spans="2:24">
      <c r="B196" s="4" t="str">
        <f t="shared" si="46"/>
        <v>[blank]</v>
      </c>
      <c r="X196" s="40">
        <f t="shared" si="48"/>
        <v>0</v>
      </c>
    </row>
    <row r="197" spans="2:24">
      <c r="B197" s="4" t="str">
        <f t="shared" si="46"/>
        <v>[blank]</v>
      </c>
      <c r="X197" s="40">
        <f t="shared" si="48"/>
        <v>0</v>
      </c>
    </row>
    <row r="198" spans="2:24">
      <c r="B198" s="4" t="str">
        <f t="shared" si="46"/>
        <v>[blank]</v>
      </c>
      <c r="X198" s="40">
        <f t="shared" si="48"/>
        <v>0</v>
      </c>
    </row>
    <row r="199" spans="2:24">
      <c r="B199" s="4" t="str">
        <f t="shared" si="46"/>
        <v>[blank]</v>
      </c>
      <c r="X199" s="40">
        <f t="shared" si="48"/>
        <v>0</v>
      </c>
    </row>
    <row r="200" spans="2:24">
      <c r="B200" s="4" t="str">
        <f t="shared" si="46"/>
        <v>[blank]</v>
      </c>
      <c r="X200" s="40">
        <f t="shared" si="48"/>
        <v>0</v>
      </c>
    </row>
    <row r="201" spans="2:24">
      <c r="B201" s="4" t="str">
        <f t="shared" si="46"/>
        <v>[blank]</v>
      </c>
      <c r="X201" s="40">
        <f t="shared" si="48"/>
        <v>0</v>
      </c>
    </row>
    <row r="202" spans="2:24">
      <c r="B202" s="4" t="str">
        <f t="shared" si="46"/>
        <v>[blank]</v>
      </c>
      <c r="X202" s="40">
        <f t="shared" si="48"/>
        <v>0</v>
      </c>
    </row>
    <row r="203" spans="2:24">
      <c r="B203" s="4" t="str">
        <f t="shared" si="46"/>
        <v>[blank]</v>
      </c>
      <c r="X203" s="40">
        <f t="shared" si="48"/>
        <v>0</v>
      </c>
    </row>
    <row r="205" spans="2:24" ht="12.75" thickBot="1">
      <c r="B205" s="5" t="s">
        <v>88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51">SUM(Q189:Q203)</f>
        <v>282229.33234328957</v>
      </c>
      <c r="R205" s="37">
        <f t="shared" si="51"/>
        <v>299461.09104258136</v>
      </c>
      <c r="S205" s="37">
        <f t="shared" si="51"/>
        <v>345567.48015873128</v>
      </c>
      <c r="T205" s="37">
        <f t="shared" si="51"/>
        <v>302990.39334829012</v>
      </c>
      <c r="U205" s="37">
        <f t="shared" si="51"/>
        <v>291581.57970016904</v>
      </c>
      <c r="V205" s="37">
        <f t="shared" si="51"/>
        <v>363660.91265802213</v>
      </c>
      <c r="X205" s="37">
        <f t="shared" ref="X205" si="52">SUM(R205:V205)</f>
        <v>1603261.4569077939</v>
      </c>
    </row>
    <row r="207" spans="2:24">
      <c r="B207" s="4" t="s">
        <v>92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53">Q89</f>
        <v>3771017.271964727</v>
      </c>
      <c r="R207" s="45">
        <f t="shared" si="53"/>
        <v>4149338.1349980109</v>
      </c>
      <c r="S207" s="45">
        <f t="shared" si="53"/>
        <v>4531254.2662881799</v>
      </c>
      <c r="T207" s="45">
        <f t="shared" si="53"/>
        <v>3913256.7305968711</v>
      </c>
      <c r="U207" s="45">
        <f t="shared" si="53"/>
        <v>3568245.0437512002</v>
      </c>
      <c r="V207" s="45">
        <f t="shared" si="53"/>
        <v>4309156.7121026181</v>
      </c>
      <c r="W207" s="45"/>
      <c r="X207" s="40">
        <f t="shared" si="53"/>
        <v>20471250.887736879</v>
      </c>
    </row>
    <row r="208" spans="2:24">
      <c r="B208" s="4" t="s">
        <v>90</v>
      </c>
      <c r="H208" s="21" t="str">
        <f>IFERROR(H212/H207,"")</f>
        <v/>
      </c>
      <c r="I208" s="21" t="str">
        <f t="shared" ref="I208:O208" si="54">IFERROR(I212/I207,"")</f>
        <v/>
      </c>
      <c r="J208" s="21" t="str">
        <f t="shared" si="54"/>
        <v/>
      </c>
      <c r="K208" s="21" t="str">
        <f t="shared" si="54"/>
        <v/>
      </c>
      <c r="L208" s="21" t="str">
        <f t="shared" si="54"/>
        <v/>
      </c>
      <c r="M208" s="21" t="str">
        <f t="shared" si="54"/>
        <v/>
      </c>
      <c r="N208" s="21" t="str">
        <f t="shared" si="54"/>
        <v/>
      </c>
      <c r="O208" s="21" t="str">
        <f t="shared" si="54"/>
        <v/>
      </c>
      <c r="P208" s="21">
        <f>'General assumptions'!S53</f>
        <v>0</v>
      </c>
      <c r="Q208" s="21">
        <f>'General assumptions'!T53</f>
        <v>7.4841697077734692E-2</v>
      </c>
      <c r="R208" s="21">
        <f>'General assumptions'!U53</f>
        <v>7.2170809247081261E-2</v>
      </c>
      <c r="S208" s="21">
        <f>'General assumptions'!V53</f>
        <v>7.6263096231367788E-2</v>
      </c>
      <c r="T208" s="21">
        <f>'General assumptions'!W53</f>
        <v>7.7426658716070601E-2</v>
      </c>
      <c r="U208" s="21">
        <f>'General assumptions'!X53</f>
        <v>8.1715682674538839E-2</v>
      </c>
      <c r="V208" s="21">
        <f>'General assumptions'!Y53</f>
        <v>8.4392593946897035E-2</v>
      </c>
      <c r="W208" s="21"/>
    </row>
    <row r="210" spans="1:22" ht="12.75" thickBot="1">
      <c r="B210" s="5" t="s">
        <v>91</v>
      </c>
      <c r="H210" s="37">
        <f t="shared" ref="H210:N210" si="55">IF(H188="forecast",H207*(1+H208),H207+H212)</f>
        <v>0</v>
      </c>
      <c r="I210" s="37">
        <f t="shared" si="55"/>
        <v>0</v>
      </c>
      <c r="J210" s="37">
        <f t="shared" si="55"/>
        <v>0</v>
      </c>
      <c r="K210" s="37">
        <f t="shared" si="55"/>
        <v>0</v>
      </c>
      <c r="L210" s="37">
        <f t="shared" si="55"/>
        <v>0</v>
      </c>
      <c r="M210" s="37">
        <f t="shared" si="55"/>
        <v>0</v>
      </c>
      <c r="N210" s="37">
        <f t="shared" si="55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56">IF(Q188="forecast",Q207*(1+Q208),Q207+Q212)</f>
        <v>4053246.6043080171</v>
      </c>
      <c r="R210" s="37">
        <f t="shared" si="56"/>
        <v>4448799.2260405924</v>
      </c>
      <c r="S210" s="37">
        <f t="shared" si="56"/>
        <v>4876821.7464469112</v>
      </c>
      <c r="T210" s="37">
        <f t="shared" si="56"/>
        <v>4216247.1239451608</v>
      </c>
      <c r="U210" s="37">
        <f t="shared" si="56"/>
        <v>3859826.6234513693</v>
      </c>
      <c r="V210" s="37">
        <f t="shared" si="56"/>
        <v>4672817.6247606399</v>
      </c>
    </row>
    <row r="212" spans="1:22">
      <c r="B212" s="4" t="s">
        <v>18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57">Q210-Q207</f>
        <v>282229.33234329009</v>
      </c>
      <c r="R212" s="45">
        <f t="shared" si="57"/>
        <v>299461.09104258148</v>
      </c>
      <c r="S212" s="45">
        <f t="shared" si="57"/>
        <v>345567.48015873134</v>
      </c>
      <c r="T212" s="45">
        <f t="shared" si="57"/>
        <v>302990.39334828965</v>
      </c>
      <c r="U212" s="45">
        <f t="shared" si="57"/>
        <v>291581.57970016915</v>
      </c>
      <c r="V212" s="45">
        <f t="shared" si="57"/>
        <v>363660.91265802179</v>
      </c>
    </row>
    <row r="214" spans="1:22" s="1" customFormat="1">
      <c r="A214" s="2">
        <v>7</v>
      </c>
      <c r="B214" s="2" t="s">
        <v>74</v>
      </c>
    </row>
    <row r="216" spans="1:22">
      <c r="H216" s="190" t="s">
        <v>52</v>
      </c>
      <c r="I216" s="190"/>
      <c r="J216" s="190"/>
      <c r="K216" s="190"/>
      <c r="L216" s="190"/>
      <c r="M216" s="190" t="s">
        <v>53</v>
      </c>
      <c r="N216" s="190"/>
      <c r="O216" s="190"/>
      <c r="P216" s="190"/>
      <c r="Q216" s="190"/>
      <c r="R216" s="190" t="s">
        <v>54</v>
      </c>
      <c r="S216" s="190"/>
      <c r="T216" s="190"/>
      <c r="U216" s="190"/>
      <c r="V216" s="190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55</v>
      </c>
      <c r="H218" s="16" t="s">
        <v>12</v>
      </c>
      <c r="I218" s="16" t="s">
        <v>12</v>
      </c>
      <c r="J218" s="16" t="s">
        <v>12</v>
      </c>
      <c r="K218" s="16" t="s">
        <v>12</v>
      </c>
      <c r="L218" s="16" t="s">
        <v>12</v>
      </c>
      <c r="M218" s="16" t="s">
        <v>12</v>
      </c>
      <c r="N218" s="16" t="s">
        <v>12</v>
      </c>
      <c r="O218" s="16" t="s">
        <v>12</v>
      </c>
      <c r="P218" s="16" t="s">
        <v>13</v>
      </c>
      <c r="Q218" s="16" t="s">
        <v>13</v>
      </c>
      <c r="R218" s="16" t="s">
        <v>13</v>
      </c>
      <c r="S218" s="16" t="s">
        <v>13</v>
      </c>
      <c r="T218" s="16" t="s">
        <v>13</v>
      </c>
      <c r="U218" s="16" t="s">
        <v>13</v>
      </c>
      <c r="V218" s="16" t="s">
        <v>13</v>
      </c>
    </row>
    <row r="219" spans="1:22">
      <c r="B219" s="5" t="s">
        <v>94</v>
      </c>
      <c r="D219" s="31" t="s">
        <v>105</v>
      </c>
      <c r="H219" s="4" t="str">
        <f t="shared" ref="H219:O219" si="58">IFERROR(-H238/H210,"")</f>
        <v/>
      </c>
      <c r="I219" s="4" t="str">
        <f t="shared" si="58"/>
        <v/>
      </c>
      <c r="J219" s="4" t="str">
        <f t="shared" si="58"/>
        <v/>
      </c>
      <c r="K219" s="4" t="str">
        <f t="shared" si="58"/>
        <v/>
      </c>
      <c r="L219" s="4" t="str">
        <f t="shared" si="58"/>
        <v/>
      </c>
      <c r="M219" s="4" t="str">
        <f t="shared" si="58"/>
        <v/>
      </c>
      <c r="N219" s="4" t="str">
        <f t="shared" si="58"/>
        <v/>
      </c>
      <c r="O219" s="4" t="str">
        <f t="shared" si="58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46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In-Service Compliance Testing</v>
      </c>
      <c r="D222" s="31" t="s">
        <v>60</v>
      </c>
      <c r="P222" s="45">
        <f>(-P73*(1+P$208))*P$219</f>
        <v>0</v>
      </c>
      <c r="Q222" s="45">
        <f t="shared" ref="Q222:V222" si="59">(-Q73*(1+Q$208))*Q$219</f>
        <v>0</v>
      </c>
      <c r="R222" s="45">
        <f t="shared" si="59"/>
        <v>0</v>
      </c>
      <c r="S222" s="45">
        <f t="shared" si="59"/>
        <v>0</v>
      </c>
      <c r="T222" s="45">
        <f t="shared" si="59"/>
        <v>0</v>
      </c>
      <c r="U222" s="45">
        <f t="shared" si="59"/>
        <v>0</v>
      </c>
      <c r="V222" s="45">
        <f t="shared" si="59"/>
        <v>0</v>
      </c>
    </row>
    <row r="223" spans="1:22">
      <c r="B223" s="4" t="str">
        <f t="shared" ref="B223:B236" si="60">IF(B11&lt;&gt;"",B11,"[blank]")</f>
        <v>Time Expired</v>
      </c>
      <c r="D223" s="31" t="s">
        <v>60</v>
      </c>
      <c r="P223" s="45">
        <f t="shared" ref="P223:V225" si="61">(-P74*(1+P$208))*P$219</f>
        <v>0</v>
      </c>
      <c r="Q223" s="45">
        <f t="shared" si="61"/>
        <v>0</v>
      </c>
      <c r="R223" s="45">
        <f t="shared" si="61"/>
        <v>0</v>
      </c>
      <c r="S223" s="45">
        <f t="shared" si="61"/>
        <v>0</v>
      </c>
      <c r="T223" s="45">
        <f t="shared" si="61"/>
        <v>0</v>
      </c>
      <c r="U223" s="45">
        <f t="shared" si="61"/>
        <v>0</v>
      </c>
      <c r="V223" s="45">
        <f t="shared" si="61"/>
        <v>0</v>
      </c>
    </row>
    <row r="224" spans="1:22">
      <c r="B224" s="4" t="str">
        <f t="shared" si="60"/>
        <v>"No Access" Non-Compliant</v>
      </c>
      <c r="D224" s="31" t="s">
        <v>60</v>
      </c>
      <c r="P224" s="45">
        <f t="shared" si="61"/>
        <v>0</v>
      </c>
      <c r="Q224" s="45">
        <f t="shared" si="61"/>
        <v>0</v>
      </c>
      <c r="R224" s="45">
        <f t="shared" si="61"/>
        <v>0</v>
      </c>
      <c r="S224" s="45">
        <f t="shared" si="61"/>
        <v>0</v>
      </c>
      <c r="T224" s="45">
        <f t="shared" si="61"/>
        <v>0</v>
      </c>
      <c r="U224" s="45">
        <f t="shared" si="61"/>
        <v>0</v>
      </c>
      <c r="V224" s="45">
        <f t="shared" si="61"/>
        <v>0</v>
      </c>
    </row>
    <row r="225" spans="1:22">
      <c r="B225" s="4" t="str">
        <f t="shared" si="60"/>
        <v>Digital metering program</v>
      </c>
      <c r="P225" s="45">
        <f t="shared" si="61"/>
        <v>0</v>
      </c>
      <c r="Q225" s="45">
        <f t="shared" ref="Q225:V225" si="62">(-Q76*(1+Q$208))*Q$219</f>
        <v>0</v>
      </c>
      <c r="R225" s="45">
        <f t="shared" si="62"/>
        <v>0</v>
      </c>
      <c r="S225" s="45">
        <f t="shared" si="62"/>
        <v>0</v>
      </c>
      <c r="T225" s="45">
        <f t="shared" si="62"/>
        <v>0</v>
      </c>
      <c r="U225" s="45">
        <f t="shared" si="62"/>
        <v>0</v>
      </c>
      <c r="V225" s="45">
        <f t="shared" si="62"/>
        <v>0</v>
      </c>
    </row>
    <row r="226" spans="1:22">
      <c r="B226" s="4" t="str">
        <f t="shared" si="60"/>
        <v>"No Access" - backlog from prior years</v>
      </c>
      <c r="P226" s="45">
        <f t="shared" ref="P226:V226" si="63">(-P77*(1+P$208))*P$219</f>
        <v>0</v>
      </c>
      <c r="Q226" s="45">
        <f t="shared" si="63"/>
        <v>0</v>
      </c>
      <c r="R226" s="45">
        <f t="shared" si="63"/>
        <v>0</v>
      </c>
      <c r="S226" s="45">
        <f t="shared" si="63"/>
        <v>0</v>
      </c>
      <c r="T226" s="45">
        <f t="shared" si="63"/>
        <v>0</v>
      </c>
      <c r="U226" s="45">
        <f t="shared" si="63"/>
        <v>0</v>
      </c>
      <c r="V226" s="45">
        <f t="shared" si="63"/>
        <v>0</v>
      </c>
    </row>
    <row r="227" spans="1:22">
      <c r="B227" s="4" t="str">
        <f t="shared" si="60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60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60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60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60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60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60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60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60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60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93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64">-P219*P210</f>
        <v>0</v>
      </c>
      <c r="Q238" s="37">
        <f t="shared" si="64"/>
        <v>0</v>
      </c>
      <c r="R238" s="37">
        <f t="shared" si="64"/>
        <v>0</v>
      </c>
      <c r="S238" s="37">
        <f t="shared" si="64"/>
        <v>0</v>
      </c>
      <c r="T238" s="37">
        <f t="shared" si="64"/>
        <v>0</v>
      </c>
      <c r="U238" s="37">
        <f t="shared" si="64"/>
        <v>0</v>
      </c>
      <c r="V238" s="37">
        <f t="shared" si="64"/>
        <v>0</v>
      </c>
    </row>
    <row r="240" spans="1:22" s="1" customFormat="1">
      <c r="A240" s="2">
        <v>8</v>
      </c>
      <c r="B240" s="2" t="s">
        <v>75</v>
      </c>
    </row>
    <row r="242" spans="1:22">
      <c r="H242" s="190" t="s">
        <v>52</v>
      </c>
      <c r="I242" s="190"/>
      <c r="J242" s="190"/>
      <c r="K242" s="190"/>
      <c r="L242" s="190"/>
      <c r="M242" s="190" t="s">
        <v>53</v>
      </c>
      <c r="N242" s="190"/>
      <c r="O242" s="190"/>
      <c r="P242" s="190"/>
      <c r="Q242" s="190"/>
      <c r="R242" s="190" t="s">
        <v>54</v>
      </c>
      <c r="S242" s="190"/>
      <c r="T242" s="190"/>
      <c r="U242" s="190"/>
      <c r="V242" s="190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55</v>
      </c>
      <c r="H244" s="16" t="s">
        <v>12</v>
      </c>
      <c r="I244" s="16" t="s">
        <v>12</v>
      </c>
      <c r="J244" s="16" t="s">
        <v>12</v>
      </c>
      <c r="K244" s="16" t="s">
        <v>12</v>
      </c>
      <c r="L244" s="16" t="s">
        <v>12</v>
      </c>
      <c r="M244" s="16" t="s">
        <v>12</v>
      </c>
      <c r="N244" s="16" t="s">
        <v>12</v>
      </c>
      <c r="O244" s="16" t="s">
        <v>12</v>
      </c>
      <c r="P244" s="16" t="s">
        <v>13</v>
      </c>
      <c r="Q244" s="16" t="s">
        <v>13</v>
      </c>
      <c r="R244" s="16" t="s">
        <v>13</v>
      </c>
      <c r="S244" s="16" t="s">
        <v>13</v>
      </c>
      <c r="T244" s="16" t="s">
        <v>13</v>
      </c>
      <c r="U244" s="16" t="s">
        <v>13</v>
      </c>
      <c r="V244" s="16" t="s">
        <v>13</v>
      </c>
    </row>
    <row r="245" spans="1:22">
      <c r="B245" s="38" t="s">
        <v>96</v>
      </c>
      <c r="D245" s="31"/>
    </row>
    <row r="246" spans="1:22">
      <c r="B246" s="47" t="s">
        <v>97</v>
      </c>
      <c r="D246" s="31" t="s">
        <v>60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98</v>
      </c>
      <c r="D247" s="31" t="s">
        <v>60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99</v>
      </c>
      <c r="D248" s="31" t="s">
        <v>60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100</v>
      </c>
      <c r="D249" s="31" t="s">
        <v>60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101</v>
      </c>
      <c r="D250" s="31" t="s">
        <v>60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102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65">SUM(Q246:Q250)</f>
        <v>0</v>
      </c>
      <c r="R252" s="49">
        <f t="shared" si="65"/>
        <v>0</v>
      </c>
      <c r="S252" s="49">
        <f t="shared" si="65"/>
        <v>0</v>
      </c>
      <c r="T252" s="49">
        <f t="shared" si="65"/>
        <v>0</v>
      </c>
      <c r="U252" s="49">
        <f t="shared" si="65"/>
        <v>0</v>
      </c>
      <c r="V252" s="49">
        <f t="shared" si="65"/>
        <v>0</v>
      </c>
    </row>
    <row r="254" spans="1:22" s="1" customFormat="1">
      <c r="A254" s="2">
        <v>9</v>
      </c>
      <c r="B254" s="2" t="s">
        <v>103</v>
      </c>
    </row>
    <row r="256" spans="1:22">
      <c r="H256" s="190" t="s">
        <v>52</v>
      </c>
      <c r="I256" s="190"/>
      <c r="J256" s="190"/>
      <c r="K256" s="190"/>
      <c r="L256" s="190"/>
      <c r="M256" s="190" t="s">
        <v>53</v>
      </c>
      <c r="N256" s="190"/>
      <c r="O256" s="190"/>
      <c r="P256" s="190"/>
      <c r="Q256" s="190"/>
      <c r="R256" s="190" t="s">
        <v>54</v>
      </c>
      <c r="S256" s="190"/>
      <c r="T256" s="190"/>
      <c r="U256" s="190"/>
      <c r="V256" s="190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55</v>
      </c>
      <c r="H258" s="16" t="s">
        <v>12</v>
      </c>
      <c r="I258" s="16" t="s">
        <v>12</v>
      </c>
      <c r="J258" s="16" t="s">
        <v>12</v>
      </c>
      <c r="K258" s="16" t="s">
        <v>12</v>
      </c>
      <c r="L258" s="16" t="s">
        <v>12</v>
      </c>
      <c r="M258" s="16" t="s">
        <v>12</v>
      </c>
      <c r="N258" s="16" t="s">
        <v>12</v>
      </c>
      <c r="O258" s="16" t="s">
        <v>12</v>
      </c>
      <c r="P258" s="16" t="s">
        <v>13</v>
      </c>
      <c r="Q258" s="16" t="s">
        <v>13</v>
      </c>
      <c r="R258" s="16" t="s">
        <v>13</v>
      </c>
      <c r="S258" s="16" t="s">
        <v>13</v>
      </c>
      <c r="T258" s="16" t="s">
        <v>13</v>
      </c>
      <c r="U258" s="16" t="s">
        <v>13</v>
      </c>
      <c r="V258" s="16" t="s">
        <v>13</v>
      </c>
    </row>
    <row r="259" spans="1:22">
      <c r="B259" s="4" t="s">
        <v>104</v>
      </c>
      <c r="D259" s="31" t="s">
        <v>60</v>
      </c>
      <c r="H259" s="45">
        <f t="shared" ref="H259:V259" si="66">H210</f>
        <v>0</v>
      </c>
      <c r="I259" s="45">
        <f t="shared" si="66"/>
        <v>0</v>
      </c>
      <c r="J259" s="45">
        <f t="shared" si="66"/>
        <v>0</v>
      </c>
      <c r="K259" s="45">
        <f t="shared" si="66"/>
        <v>0</v>
      </c>
      <c r="L259" s="45">
        <f t="shared" si="66"/>
        <v>0</v>
      </c>
      <c r="M259" s="45">
        <f t="shared" si="66"/>
        <v>0</v>
      </c>
      <c r="N259" s="45">
        <f t="shared" si="66"/>
        <v>0</v>
      </c>
      <c r="O259" s="45">
        <f t="shared" si="66"/>
        <v>0</v>
      </c>
      <c r="P259" s="45">
        <f t="shared" si="66"/>
        <v>0</v>
      </c>
      <c r="Q259" s="45">
        <f t="shared" si="66"/>
        <v>4053246.6043080171</v>
      </c>
      <c r="R259" s="45">
        <f t="shared" si="66"/>
        <v>4448799.2260405924</v>
      </c>
      <c r="S259" s="45">
        <f t="shared" si="66"/>
        <v>4876821.7464469112</v>
      </c>
      <c r="T259" s="45">
        <f t="shared" si="66"/>
        <v>4216247.1239451608</v>
      </c>
      <c r="U259" s="45">
        <f t="shared" si="66"/>
        <v>3859826.6234513693</v>
      </c>
      <c r="V259" s="45">
        <f t="shared" si="66"/>
        <v>4672817.6247606399</v>
      </c>
    </row>
    <row r="260" spans="1:22">
      <c r="B260" s="4" t="s">
        <v>74</v>
      </c>
      <c r="D260" s="31" t="s">
        <v>60</v>
      </c>
      <c r="H260" s="45">
        <f>H238</f>
        <v>0</v>
      </c>
      <c r="I260" s="45">
        <f t="shared" ref="I260:V260" si="67">I238</f>
        <v>0</v>
      </c>
      <c r="J260" s="45">
        <f t="shared" si="67"/>
        <v>0</v>
      </c>
      <c r="K260" s="45">
        <f t="shared" si="67"/>
        <v>0</v>
      </c>
      <c r="L260" s="45">
        <f t="shared" si="67"/>
        <v>0</v>
      </c>
      <c r="M260" s="45">
        <f t="shared" si="67"/>
        <v>0</v>
      </c>
      <c r="N260" s="45">
        <f t="shared" si="67"/>
        <v>0</v>
      </c>
      <c r="O260" s="45">
        <f t="shared" si="67"/>
        <v>0</v>
      </c>
      <c r="P260" s="45">
        <f t="shared" si="67"/>
        <v>0</v>
      </c>
      <c r="Q260" s="45">
        <f t="shared" si="67"/>
        <v>0</v>
      </c>
      <c r="R260" s="45">
        <f t="shared" si="67"/>
        <v>0</v>
      </c>
      <c r="S260" s="45">
        <f t="shared" si="67"/>
        <v>0</v>
      </c>
      <c r="T260" s="45">
        <f t="shared" si="67"/>
        <v>0</v>
      </c>
      <c r="U260" s="45">
        <f t="shared" si="67"/>
        <v>0</v>
      </c>
      <c r="V260" s="45">
        <f t="shared" si="67"/>
        <v>0</v>
      </c>
    </row>
    <row r="261" spans="1:22">
      <c r="B261" s="4" t="s">
        <v>75</v>
      </c>
      <c r="D261" s="31" t="s">
        <v>60</v>
      </c>
      <c r="H261" s="45">
        <f>H252</f>
        <v>0</v>
      </c>
      <c r="I261" s="45">
        <f t="shared" ref="I261:V261" si="68">I252</f>
        <v>0</v>
      </c>
      <c r="J261" s="45">
        <f t="shared" si="68"/>
        <v>0</v>
      </c>
      <c r="K261" s="45">
        <f t="shared" si="68"/>
        <v>0</v>
      </c>
      <c r="L261" s="45">
        <f t="shared" si="68"/>
        <v>0</v>
      </c>
      <c r="M261" s="45">
        <f t="shared" si="68"/>
        <v>0</v>
      </c>
      <c r="N261" s="45">
        <f t="shared" si="68"/>
        <v>0</v>
      </c>
      <c r="O261" s="45">
        <f t="shared" si="68"/>
        <v>0</v>
      </c>
      <c r="P261" s="45">
        <f t="shared" si="68"/>
        <v>0</v>
      </c>
      <c r="Q261" s="45">
        <f t="shared" si="68"/>
        <v>0</v>
      </c>
      <c r="R261" s="45">
        <f t="shared" si="68"/>
        <v>0</v>
      </c>
      <c r="S261" s="45">
        <f t="shared" si="68"/>
        <v>0</v>
      </c>
      <c r="T261" s="45">
        <f t="shared" si="68"/>
        <v>0</v>
      </c>
      <c r="U261" s="45">
        <f t="shared" si="68"/>
        <v>0</v>
      </c>
      <c r="V261" s="45">
        <f t="shared" si="68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103</v>
      </c>
      <c r="D263" s="31" t="s">
        <v>60</v>
      </c>
      <c r="H263" s="37">
        <f>SUM(H259:H261)</f>
        <v>0</v>
      </c>
      <c r="I263" s="37">
        <f t="shared" ref="I263:V263" si="69">SUM(I259:I261)</f>
        <v>0</v>
      </c>
      <c r="J263" s="37">
        <f t="shared" si="69"/>
        <v>0</v>
      </c>
      <c r="K263" s="37">
        <f t="shared" si="69"/>
        <v>0</v>
      </c>
      <c r="L263" s="37">
        <f t="shared" si="69"/>
        <v>0</v>
      </c>
      <c r="M263" s="37">
        <f t="shared" si="69"/>
        <v>0</v>
      </c>
      <c r="N263" s="37">
        <f t="shared" si="69"/>
        <v>0</v>
      </c>
      <c r="O263" s="37">
        <f t="shared" si="69"/>
        <v>0</v>
      </c>
      <c r="P263" s="37">
        <f t="shared" si="69"/>
        <v>0</v>
      </c>
      <c r="Q263" s="37">
        <f t="shared" si="69"/>
        <v>4053246.6043080171</v>
      </c>
      <c r="R263" s="37">
        <f t="shared" si="69"/>
        <v>4448799.2260405924</v>
      </c>
      <c r="S263" s="37">
        <f t="shared" si="69"/>
        <v>4876821.7464469112</v>
      </c>
      <c r="T263" s="37">
        <f t="shared" si="69"/>
        <v>4216247.1239451608</v>
      </c>
      <c r="U263" s="37">
        <f t="shared" si="69"/>
        <v>3859826.6234513693</v>
      </c>
      <c r="V263" s="37">
        <f t="shared" si="69"/>
        <v>4672817.6247606399</v>
      </c>
    </row>
    <row r="264" spans="1:22">
      <c r="D264" s="31"/>
    </row>
    <row r="266" spans="1:22" s="66" customFormat="1">
      <c r="A266" s="65">
        <v>10</v>
      </c>
      <c r="B266" s="65" t="s">
        <v>121</v>
      </c>
    </row>
    <row r="268" spans="1:22">
      <c r="B268" s="69" t="s">
        <v>120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319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70">IFERROR(SUMPRODUCT($Z$73:$Z$87,Q$73:Q$87)/SUM(Q$73:Q$87)*Q$89,0)</f>
        <v>0</v>
      </c>
      <c r="R276" s="57">
        <f t="shared" si="70"/>
        <v>0</v>
      </c>
      <c r="S276" s="57">
        <f t="shared" si="70"/>
        <v>0</v>
      </c>
      <c r="T276" s="57">
        <f t="shared" si="70"/>
        <v>0</v>
      </c>
      <c r="U276" s="57">
        <f t="shared" si="70"/>
        <v>0</v>
      </c>
      <c r="V276" s="62">
        <f t="shared" si="70"/>
        <v>0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71">IFERROR(SUMPRODUCT($AA$73:$AA$87,Q$73:Q$87)/SUM(Q$73:Q$87)*Q$89,0)</f>
        <v>0</v>
      </c>
      <c r="R277" s="57">
        <f t="shared" si="71"/>
        <v>0</v>
      </c>
      <c r="S277" s="57">
        <f t="shared" si="71"/>
        <v>0</v>
      </c>
      <c r="T277" s="57">
        <f t="shared" si="71"/>
        <v>0</v>
      </c>
      <c r="U277" s="57">
        <f t="shared" si="71"/>
        <v>0</v>
      </c>
      <c r="V277" s="62">
        <f t="shared" si="71"/>
        <v>0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72">IFERROR(SUMPRODUCT($AB$73:$AB$87,Q$73:Q$87)/SUM(Q$73:Q$87)*Q$89,0)</f>
        <v>0</v>
      </c>
      <c r="R278" s="57">
        <f t="shared" si="72"/>
        <v>0</v>
      </c>
      <c r="S278" s="57">
        <f t="shared" si="72"/>
        <v>0</v>
      </c>
      <c r="T278" s="57">
        <f t="shared" si="72"/>
        <v>0</v>
      </c>
      <c r="U278" s="57">
        <f t="shared" si="72"/>
        <v>0</v>
      </c>
      <c r="V278" s="62">
        <f t="shared" si="72"/>
        <v>0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73">IFERROR(SUMPRODUCT($AC$73:$AC$87,Q$73:Q$87)/SUM(Q$73:Q$87)*Q$89,0)</f>
        <v>0</v>
      </c>
      <c r="R279" s="57">
        <f t="shared" si="73"/>
        <v>0</v>
      </c>
      <c r="S279" s="57">
        <f t="shared" si="73"/>
        <v>0</v>
      </c>
      <c r="T279" s="57">
        <f t="shared" si="73"/>
        <v>0</v>
      </c>
      <c r="U279" s="57">
        <f t="shared" si="73"/>
        <v>0</v>
      </c>
      <c r="V279" s="62">
        <f t="shared" si="73"/>
        <v>0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74">IFERROR(SUMPRODUCT($AD$73:$AD$87,Q$73:Q$87)/SUM(Q$73:Q$87)*Q$89,0)</f>
        <v>0</v>
      </c>
      <c r="R280" s="57">
        <f t="shared" si="74"/>
        <v>0</v>
      </c>
      <c r="S280" s="57">
        <f t="shared" si="74"/>
        <v>0</v>
      </c>
      <c r="T280" s="57">
        <f t="shared" si="74"/>
        <v>0</v>
      </c>
      <c r="U280" s="57">
        <f t="shared" si="74"/>
        <v>0</v>
      </c>
      <c r="V280" s="62">
        <f t="shared" si="74"/>
        <v>0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75">IFERROR(SUMPRODUCT($AE$73:$AE$87,Q$73:Q$87)/SUM(Q$73:Q$87)*Q$89,0)</f>
        <v>3771017.271964727</v>
      </c>
      <c r="R281" s="57">
        <f t="shared" si="75"/>
        <v>4149338.1349980109</v>
      </c>
      <c r="S281" s="57">
        <f t="shared" si="75"/>
        <v>4531254.2662881799</v>
      </c>
      <c r="T281" s="57">
        <f t="shared" si="75"/>
        <v>3913256.7305968711</v>
      </c>
      <c r="U281" s="57">
        <f t="shared" si="75"/>
        <v>3568245.0437512002</v>
      </c>
      <c r="V281" s="62">
        <f t="shared" si="75"/>
        <v>4309156.7121026181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76">IFERROR(SUMPRODUCT($AF$73:$AF$87,Q$73:Q$87)/SUM(Q$73:Q$87)*Q$89,0)</f>
        <v>0</v>
      </c>
      <c r="R282" s="57">
        <f t="shared" si="76"/>
        <v>0</v>
      </c>
      <c r="S282" s="57">
        <f t="shared" si="76"/>
        <v>0</v>
      </c>
      <c r="T282" s="57">
        <f t="shared" si="76"/>
        <v>0</v>
      </c>
      <c r="U282" s="57">
        <f t="shared" si="76"/>
        <v>0</v>
      </c>
      <c r="V282" s="62">
        <f t="shared" si="76"/>
        <v>0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77">IFERROR(SUMPRODUCT($AG$73:$AG$87,Q$73:Q$87)/SUM(Q$73:Q$87)*Q$89,0)</f>
        <v>0</v>
      </c>
      <c r="R283" s="57">
        <f t="shared" si="77"/>
        <v>0</v>
      </c>
      <c r="S283" s="57">
        <f t="shared" si="77"/>
        <v>0</v>
      </c>
      <c r="T283" s="57">
        <f t="shared" si="77"/>
        <v>0</v>
      </c>
      <c r="U283" s="57">
        <f t="shared" si="77"/>
        <v>0</v>
      </c>
      <c r="V283" s="62">
        <f t="shared" si="77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78">IFERROR(SUMPRODUCT($AH$73:$AH$87,Q$73:Q$87)/SUM(Q$73:Q$87)*Q$89,0)</f>
        <v>0</v>
      </c>
      <c r="R284" s="57">
        <f t="shared" si="78"/>
        <v>0</v>
      </c>
      <c r="S284" s="57">
        <f t="shared" si="78"/>
        <v>0</v>
      </c>
      <c r="T284" s="57">
        <f t="shared" si="78"/>
        <v>0</v>
      </c>
      <c r="U284" s="57">
        <f t="shared" si="78"/>
        <v>0</v>
      </c>
      <c r="V284" s="62">
        <f t="shared" si="78"/>
        <v>0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79">IFERROR(SUMPRODUCT($AI$73:$AI$87,Q$73:Q$87)/SUM(Q$73:Q$87)*Q$89,0)</f>
        <v>0</v>
      </c>
      <c r="R285" s="57">
        <f t="shared" si="79"/>
        <v>0</v>
      </c>
      <c r="S285" s="57">
        <f t="shared" si="79"/>
        <v>0</v>
      </c>
      <c r="T285" s="57">
        <f t="shared" si="79"/>
        <v>0</v>
      </c>
      <c r="U285" s="57">
        <f t="shared" si="79"/>
        <v>0</v>
      </c>
      <c r="V285" s="62">
        <f t="shared" si="79"/>
        <v>0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80">IFERROR(SUMPRODUCT($AJ$73:$AJ$87,Q$73:Q$87)/SUM(Q$73:Q$87)*Q$89,0)</f>
        <v>0</v>
      </c>
      <c r="R286" s="57">
        <f t="shared" si="80"/>
        <v>0</v>
      </c>
      <c r="S286" s="57">
        <f t="shared" si="80"/>
        <v>0</v>
      </c>
      <c r="T286" s="57">
        <f t="shared" si="80"/>
        <v>0</v>
      </c>
      <c r="U286" s="57">
        <f t="shared" si="80"/>
        <v>0</v>
      </c>
      <c r="V286" s="62">
        <f t="shared" si="80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81">SUM(Q276:Q286)</f>
        <v>3771017.271964727</v>
      </c>
      <c r="R288" s="37">
        <f t="shared" si="81"/>
        <v>4149338.1349980109</v>
      </c>
      <c r="S288" s="37">
        <f t="shared" si="81"/>
        <v>4531254.2662881799</v>
      </c>
      <c r="T288" s="37">
        <f t="shared" si="81"/>
        <v>3913256.7305968711</v>
      </c>
      <c r="U288" s="37">
        <f t="shared" si="81"/>
        <v>3568245.0437512002</v>
      </c>
      <c r="V288" s="64">
        <f t="shared" si="81"/>
        <v>4309156.7121026181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252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82">P276*(1+P$208)</f>
        <v>0</v>
      </c>
      <c r="Q297" s="57">
        <f t="shared" si="82"/>
        <v>0</v>
      </c>
      <c r="R297" s="57">
        <f t="shared" si="82"/>
        <v>0</v>
      </c>
      <c r="S297" s="57">
        <f t="shared" si="82"/>
        <v>0</v>
      </c>
      <c r="T297" s="57">
        <f t="shared" si="82"/>
        <v>0</v>
      </c>
      <c r="U297" s="57">
        <f t="shared" si="82"/>
        <v>0</v>
      </c>
      <c r="V297" s="62">
        <f t="shared" si="82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82"/>
        <v>0</v>
      </c>
      <c r="Q298" s="57">
        <f t="shared" si="82"/>
        <v>0</v>
      </c>
      <c r="R298" s="57">
        <f t="shared" si="82"/>
        <v>0</v>
      </c>
      <c r="S298" s="57">
        <f t="shared" si="82"/>
        <v>0</v>
      </c>
      <c r="T298" s="57">
        <f t="shared" si="82"/>
        <v>0</v>
      </c>
      <c r="U298" s="57">
        <f t="shared" si="82"/>
        <v>0</v>
      </c>
      <c r="V298" s="62">
        <f t="shared" si="82"/>
        <v>0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82"/>
        <v>0</v>
      </c>
      <c r="Q299" s="57">
        <f t="shared" si="82"/>
        <v>0</v>
      </c>
      <c r="R299" s="57">
        <f t="shared" si="82"/>
        <v>0</v>
      </c>
      <c r="S299" s="57">
        <f t="shared" si="82"/>
        <v>0</v>
      </c>
      <c r="T299" s="57">
        <f t="shared" si="82"/>
        <v>0</v>
      </c>
      <c r="U299" s="57">
        <f t="shared" si="82"/>
        <v>0</v>
      </c>
      <c r="V299" s="62">
        <f t="shared" si="82"/>
        <v>0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82"/>
        <v>0</v>
      </c>
      <c r="Q300" s="57">
        <f t="shared" si="82"/>
        <v>0</v>
      </c>
      <c r="R300" s="57">
        <f t="shared" si="82"/>
        <v>0</v>
      </c>
      <c r="S300" s="57">
        <f t="shared" si="82"/>
        <v>0</v>
      </c>
      <c r="T300" s="57">
        <f t="shared" si="82"/>
        <v>0</v>
      </c>
      <c r="U300" s="57">
        <f t="shared" si="82"/>
        <v>0</v>
      </c>
      <c r="V300" s="62">
        <f t="shared" si="82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82"/>
        <v>0</v>
      </c>
      <c r="Q301" s="57">
        <f t="shared" si="82"/>
        <v>0</v>
      </c>
      <c r="R301" s="57">
        <f t="shared" si="82"/>
        <v>0</v>
      </c>
      <c r="S301" s="57">
        <f t="shared" si="82"/>
        <v>0</v>
      </c>
      <c r="T301" s="57">
        <f t="shared" si="82"/>
        <v>0</v>
      </c>
      <c r="U301" s="57">
        <f t="shared" si="82"/>
        <v>0</v>
      </c>
      <c r="V301" s="62">
        <f t="shared" si="82"/>
        <v>0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82"/>
        <v>0</v>
      </c>
      <c r="Q302" s="57">
        <f t="shared" si="82"/>
        <v>4053246.6043080171</v>
      </c>
      <c r="R302" s="57">
        <f t="shared" si="82"/>
        <v>4448799.2260405924</v>
      </c>
      <c r="S302" s="57">
        <f t="shared" si="82"/>
        <v>4876821.7464469112</v>
      </c>
      <c r="T302" s="57">
        <f t="shared" si="82"/>
        <v>4216247.1239451608</v>
      </c>
      <c r="U302" s="57">
        <f t="shared" si="82"/>
        <v>3859826.6234513693</v>
      </c>
      <c r="V302" s="62">
        <f t="shared" si="82"/>
        <v>4672817.6247606399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82"/>
        <v>0</v>
      </c>
      <c r="Q303" s="57">
        <f t="shared" si="82"/>
        <v>0</v>
      </c>
      <c r="R303" s="57">
        <f t="shared" si="82"/>
        <v>0</v>
      </c>
      <c r="S303" s="57">
        <f t="shared" si="82"/>
        <v>0</v>
      </c>
      <c r="T303" s="57">
        <f t="shared" si="82"/>
        <v>0</v>
      </c>
      <c r="U303" s="57">
        <f t="shared" si="82"/>
        <v>0</v>
      </c>
      <c r="V303" s="62">
        <f t="shared" si="82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82"/>
        <v>0</v>
      </c>
      <c r="Q304" s="57">
        <f t="shared" si="82"/>
        <v>0</v>
      </c>
      <c r="R304" s="57">
        <f t="shared" si="82"/>
        <v>0</v>
      </c>
      <c r="S304" s="57">
        <f t="shared" si="82"/>
        <v>0</v>
      </c>
      <c r="T304" s="57">
        <f t="shared" si="82"/>
        <v>0</v>
      </c>
      <c r="U304" s="57">
        <f t="shared" si="82"/>
        <v>0</v>
      </c>
      <c r="V304" s="62">
        <f t="shared" si="82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82"/>
        <v>0</v>
      </c>
      <c r="Q305" s="57">
        <f t="shared" si="82"/>
        <v>0</v>
      </c>
      <c r="R305" s="57">
        <f t="shared" si="82"/>
        <v>0</v>
      </c>
      <c r="S305" s="57">
        <f t="shared" si="82"/>
        <v>0</v>
      </c>
      <c r="T305" s="57">
        <f t="shared" si="82"/>
        <v>0</v>
      </c>
      <c r="U305" s="57">
        <f t="shared" si="82"/>
        <v>0</v>
      </c>
      <c r="V305" s="62">
        <f t="shared" si="82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82"/>
        <v>0</v>
      </c>
      <c r="Q306" s="57">
        <f t="shared" si="82"/>
        <v>0</v>
      </c>
      <c r="R306" s="57">
        <f t="shared" si="82"/>
        <v>0</v>
      </c>
      <c r="S306" s="57">
        <f t="shared" si="82"/>
        <v>0</v>
      </c>
      <c r="T306" s="57">
        <f t="shared" si="82"/>
        <v>0</v>
      </c>
      <c r="U306" s="57">
        <f t="shared" si="82"/>
        <v>0</v>
      </c>
      <c r="V306" s="62">
        <f t="shared" si="82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82"/>
        <v>0</v>
      </c>
      <c r="Q307" s="57">
        <f t="shared" si="82"/>
        <v>0</v>
      </c>
      <c r="R307" s="57">
        <f t="shared" si="82"/>
        <v>0</v>
      </c>
      <c r="S307" s="57">
        <f t="shared" si="82"/>
        <v>0</v>
      </c>
      <c r="T307" s="57">
        <f t="shared" si="82"/>
        <v>0</v>
      </c>
      <c r="U307" s="57">
        <f t="shared" si="82"/>
        <v>0</v>
      </c>
      <c r="V307" s="62">
        <f t="shared" si="82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83">SUM(Q297:Q307)</f>
        <v>4053246.6043080171</v>
      </c>
      <c r="R309" s="37">
        <f t="shared" si="83"/>
        <v>4448799.2260405924</v>
      </c>
      <c r="S309" s="37">
        <f t="shared" si="83"/>
        <v>4876821.7464469112</v>
      </c>
      <c r="T309" s="37">
        <f t="shared" si="83"/>
        <v>4216247.1239451608</v>
      </c>
      <c r="U309" s="37">
        <f t="shared" si="83"/>
        <v>3859826.6234513693</v>
      </c>
      <c r="V309" s="64">
        <f t="shared" si="83"/>
        <v>4672817.6247606399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253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84">P297*(1-P$219)</f>
        <v>0</v>
      </c>
      <c r="Q318" s="57">
        <f t="shared" si="84"/>
        <v>0</v>
      </c>
      <c r="R318" s="57">
        <f t="shared" si="84"/>
        <v>0</v>
      </c>
      <c r="S318" s="57">
        <f t="shared" si="84"/>
        <v>0</v>
      </c>
      <c r="T318" s="57">
        <f t="shared" si="84"/>
        <v>0</v>
      </c>
      <c r="U318" s="57">
        <f t="shared" si="84"/>
        <v>0</v>
      </c>
      <c r="V318" s="62">
        <f t="shared" si="84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84"/>
        <v>0</v>
      </c>
      <c r="Q319" s="57">
        <f t="shared" si="84"/>
        <v>0</v>
      </c>
      <c r="R319" s="57">
        <f t="shared" si="84"/>
        <v>0</v>
      </c>
      <c r="S319" s="57">
        <f t="shared" si="84"/>
        <v>0</v>
      </c>
      <c r="T319" s="57">
        <f t="shared" si="84"/>
        <v>0</v>
      </c>
      <c r="U319" s="57">
        <f t="shared" si="84"/>
        <v>0</v>
      </c>
      <c r="V319" s="62">
        <f t="shared" si="84"/>
        <v>0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84"/>
        <v>0</v>
      </c>
      <c r="Q320" s="57">
        <f t="shared" si="84"/>
        <v>0</v>
      </c>
      <c r="R320" s="57">
        <f t="shared" si="84"/>
        <v>0</v>
      </c>
      <c r="S320" s="57">
        <f t="shared" si="84"/>
        <v>0</v>
      </c>
      <c r="T320" s="57">
        <f t="shared" si="84"/>
        <v>0</v>
      </c>
      <c r="U320" s="57">
        <f t="shared" si="84"/>
        <v>0</v>
      </c>
      <c r="V320" s="62">
        <f t="shared" si="84"/>
        <v>0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84"/>
        <v>0</v>
      </c>
      <c r="Q321" s="57">
        <f t="shared" si="84"/>
        <v>0</v>
      </c>
      <c r="R321" s="57">
        <f t="shared" si="84"/>
        <v>0</v>
      </c>
      <c r="S321" s="57">
        <f t="shared" si="84"/>
        <v>0</v>
      </c>
      <c r="T321" s="57">
        <f t="shared" si="84"/>
        <v>0</v>
      </c>
      <c r="U321" s="57">
        <f t="shared" si="84"/>
        <v>0</v>
      </c>
      <c r="V321" s="62">
        <f t="shared" si="84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84"/>
        <v>0</v>
      </c>
      <c r="Q322" s="57">
        <f t="shared" si="84"/>
        <v>0</v>
      </c>
      <c r="R322" s="57">
        <f t="shared" si="84"/>
        <v>0</v>
      </c>
      <c r="S322" s="57">
        <f t="shared" si="84"/>
        <v>0</v>
      </c>
      <c r="T322" s="57">
        <f t="shared" si="84"/>
        <v>0</v>
      </c>
      <c r="U322" s="57">
        <f t="shared" si="84"/>
        <v>0</v>
      </c>
      <c r="V322" s="62">
        <f t="shared" si="84"/>
        <v>0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84"/>
        <v>0</v>
      </c>
      <c r="Q323" s="57">
        <f t="shared" si="84"/>
        <v>4053246.6043080171</v>
      </c>
      <c r="R323" s="57">
        <f t="shared" si="84"/>
        <v>4448799.2260405924</v>
      </c>
      <c r="S323" s="57">
        <f t="shared" si="84"/>
        <v>4876821.7464469112</v>
      </c>
      <c r="T323" s="57">
        <f t="shared" si="84"/>
        <v>4216247.1239451608</v>
      </c>
      <c r="U323" s="57">
        <f t="shared" si="84"/>
        <v>3859826.6234513693</v>
      </c>
      <c r="V323" s="62">
        <f t="shared" si="84"/>
        <v>4672817.6247606399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84"/>
        <v>0</v>
      </c>
      <c r="Q324" s="57">
        <f t="shared" si="84"/>
        <v>0</v>
      </c>
      <c r="R324" s="57">
        <f t="shared" si="84"/>
        <v>0</v>
      </c>
      <c r="S324" s="57">
        <f t="shared" si="84"/>
        <v>0</v>
      </c>
      <c r="T324" s="57">
        <f t="shared" si="84"/>
        <v>0</v>
      </c>
      <c r="U324" s="57">
        <f t="shared" si="84"/>
        <v>0</v>
      </c>
      <c r="V324" s="62">
        <f t="shared" si="84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84"/>
        <v>0</v>
      </c>
      <c r="Q325" s="57">
        <f t="shared" si="84"/>
        <v>0</v>
      </c>
      <c r="R325" s="57">
        <f t="shared" si="84"/>
        <v>0</v>
      </c>
      <c r="S325" s="57">
        <f t="shared" si="84"/>
        <v>0</v>
      </c>
      <c r="T325" s="57">
        <f t="shared" si="84"/>
        <v>0</v>
      </c>
      <c r="U325" s="57">
        <f t="shared" si="84"/>
        <v>0</v>
      </c>
      <c r="V325" s="62">
        <f t="shared" si="84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84"/>
        <v>0</v>
      </c>
      <c r="Q326" s="57">
        <f t="shared" si="84"/>
        <v>0</v>
      </c>
      <c r="R326" s="57">
        <f t="shared" si="84"/>
        <v>0</v>
      </c>
      <c r="S326" s="57">
        <f t="shared" si="84"/>
        <v>0</v>
      </c>
      <c r="T326" s="57">
        <f t="shared" si="84"/>
        <v>0</v>
      </c>
      <c r="U326" s="57">
        <f t="shared" si="84"/>
        <v>0</v>
      </c>
      <c r="V326" s="62">
        <f t="shared" si="84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84"/>
        <v>0</v>
      </c>
      <c r="Q327" s="57">
        <f t="shared" si="84"/>
        <v>0</v>
      </c>
      <c r="R327" s="57">
        <f t="shared" si="84"/>
        <v>0</v>
      </c>
      <c r="S327" s="57">
        <f t="shared" si="84"/>
        <v>0</v>
      </c>
      <c r="T327" s="57">
        <f t="shared" si="84"/>
        <v>0</v>
      </c>
      <c r="U327" s="57">
        <f t="shared" si="84"/>
        <v>0</v>
      </c>
      <c r="V327" s="62">
        <f t="shared" si="84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84"/>
        <v>0</v>
      </c>
      <c r="Q328" s="57">
        <f t="shared" si="84"/>
        <v>0</v>
      </c>
      <c r="R328" s="57">
        <f t="shared" si="84"/>
        <v>0</v>
      </c>
      <c r="S328" s="57">
        <f t="shared" si="84"/>
        <v>0</v>
      </c>
      <c r="T328" s="57">
        <f t="shared" si="84"/>
        <v>0</v>
      </c>
      <c r="U328" s="57">
        <f t="shared" si="84"/>
        <v>0</v>
      </c>
      <c r="V328" s="62">
        <f t="shared" si="84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85">SUM(Q318:Q328)</f>
        <v>4053246.6043080171</v>
      </c>
      <c r="R330" s="37">
        <f t="shared" si="85"/>
        <v>4448799.2260405924</v>
      </c>
      <c r="S330" s="37">
        <f t="shared" si="85"/>
        <v>4876821.7464469112</v>
      </c>
      <c r="T330" s="37">
        <f t="shared" si="85"/>
        <v>4216247.1239451608</v>
      </c>
      <c r="U330" s="37">
        <f t="shared" si="85"/>
        <v>3859826.6234513693</v>
      </c>
      <c r="V330" s="64">
        <f t="shared" si="85"/>
        <v>4672817.6247606399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254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86">Q297*Q$219</f>
        <v>0</v>
      </c>
      <c r="R339" s="57">
        <f t="shared" si="86"/>
        <v>0</v>
      </c>
      <c r="S339" s="57">
        <f t="shared" si="86"/>
        <v>0</v>
      </c>
      <c r="T339" s="57">
        <f t="shared" si="86"/>
        <v>0</v>
      </c>
      <c r="U339" s="57">
        <f t="shared" si="86"/>
        <v>0</v>
      </c>
      <c r="V339" s="62">
        <f t="shared" si="86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87">P298*P$219</f>
        <v>0</v>
      </c>
      <c r="Q340" s="57">
        <f t="shared" si="86"/>
        <v>0</v>
      </c>
      <c r="R340" s="57">
        <f t="shared" si="86"/>
        <v>0</v>
      </c>
      <c r="S340" s="57">
        <f t="shared" si="86"/>
        <v>0</v>
      </c>
      <c r="T340" s="57">
        <f t="shared" si="86"/>
        <v>0</v>
      </c>
      <c r="U340" s="57">
        <f t="shared" si="86"/>
        <v>0</v>
      </c>
      <c r="V340" s="62">
        <f t="shared" si="86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87"/>
        <v>0</v>
      </c>
      <c r="Q341" s="57">
        <f t="shared" si="86"/>
        <v>0</v>
      </c>
      <c r="R341" s="57">
        <f t="shared" si="86"/>
        <v>0</v>
      </c>
      <c r="S341" s="57">
        <f t="shared" si="86"/>
        <v>0</v>
      </c>
      <c r="T341" s="57">
        <f t="shared" si="86"/>
        <v>0</v>
      </c>
      <c r="U341" s="57">
        <f t="shared" si="86"/>
        <v>0</v>
      </c>
      <c r="V341" s="62">
        <f t="shared" si="86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87"/>
        <v>0</v>
      </c>
      <c r="Q342" s="57">
        <f t="shared" si="86"/>
        <v>0</v>
      </c>
      <c r="R342" s="57">
        <f t="shared" si="86"/>
        <v>0</v>
      </c>
      <c r="S342" s="57">
        <f t="shared" si="86"/>
        <v>0</v>
      </c>
      <c r="T342" s="57">
        <f t="shared" si="86"/>
        <v>0</v>
      </c>
      <c r="U342" s="57">
        <f t="shared" si="86"/>
        <v>0</v>
      </c>
      <c r="V342" s="62">
        <f t="shared" si="86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87"/>
        <v>0</v>
      </c>
      <c r="Q343" s="57">
        <f t="shared" si="86"/>
        <v>0</v>
      </c>
      <c r="R343" s="57">
        <f t="shared" si="86"/>
        <v>0</v>
      </c>
      <c r="S343" s="57">
        <f t="shared" si="86"/>
        <v>0</v>
      </c>
      <c r="T343" s="57">
        <f t="shared" si="86"/>
        <v>0</v>
      </c>
      <c r="U343" s="57">
        <f t="shared" si="86"/>
        <v>0</v>
      </c>
      <c r="V343" s="62">
        <f t="shared" si="86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87"/>
        <v>0</v>
      </c>
      <c r="Q344" s="57">
        <f t="shared" si="86"/>
        <v>0</v>
      </c>
      <c r="R344" s="57">
        <f t="shared" si="86"/>
        <v>0</v>
      </c>
      <c r="S344" s="57">
        <f t="shared" si="86"/>
        <v>0</v>
      </c>
      <c r="T344" s="57">
        <f t="shared" si="86"/>
        <v>0</v>
      </c>
      <c r="U344" s="57">
        <f t="shared" si="86"/>
        <v>0</v>
      </c>
      <c r="V344" s="62">
        <f t="shared" si="86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87"/>
        <v>0</v>
      </c>
      <c r="Q345" s="57">
        <f t="shared" si="86"/>
        <v>0</v>
      </c>
      <c r="R345" s="57">
        <f t="shared" si="86"/>
        <v>0</v>
      </c>
      <c r="S345" s="57">
        <f t="shared" si="86"/>
        <v>0</v>
      </c>
      <c r="T345" s="57">
        <f t="shared" si="86"/>
        <v>0</v>
      </c>
      <c r="U345" s="57">
        <f t="shared" si="86"/>
        <v>0</v>
      </c>
      <c r="V345" s="62">
        <f t="shared" si="86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87"/>
        <v>0</v>
      </c>
      <c r="Q346" s="57">
        <f t="shared" si="86"/>
        <v>0</v>
      </c>
      <c r="R346" s="57">
        <f t="shared" si="86"/>
        <v>0</v>
      </c>
      <c r="S346" s="57">
        <f t="shared" si="86"/>
        <v>0</v>
      </c>
      <c r="T346" s="57">
        <f t="shared" si="86"/>
        <v>0</v>
      </c>
      <c r="U346" s="57">
        <f t="shared" si="86"/>
        <v>0</v>
      </c>
      <c r="V346" s="62">
        <f t="shared" si="86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87"/>
        <v>0</v>
      </c>
      <c r="Q347" s="57">
        <f t="shared" si="86"/>
        <v>0</v>
      </c>
      <c r="R347" s="57">
        <f t="shared" si="86"/>
        <v>0</v>
      </c>
      <c r="S347" s="57">
        <f t="shared" si="86"/>
        <v>0</v>
      </c>
      <c r="T347" s="57">
        <f t="shared" si="86"/>
        <v>0</v>
      </c>
      <c r="U347" s="57">
        <f t="shared" si="86"/>
        <v>0</v>
      </c>
      <c r="V347" s="62">
        <f t="shared" si="86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87"/>
        <v>0</v>
      </c>
      <c r="Q348" s="57">
        <f t="shared" si="86"/>
        <v>0</v>
      </c>
      <c r="R348" s="57">
        <f t="shared" si="86"/>
        <v>0</v>
      </c>
      <c r="S348" s="57">
        <f t="shared" si="86"/>
        <v>0</v>
      </c>
      <c r="T348" s="57">
        <f t="shared" si="86"/>
        <v>0</v>
      </c>
      <c r="U348" s="57">
        <f t="shared" si="86"/>
        <v>0</v>
      </c>
      <c r="V348" s="62">
        <f t="shared" si="86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87"/>
        <v>0</v>
      </c>
      <c r="Q349" s="57">
        <f t="shared" si="86"/>
        <v>0</v>
      </c>
      <c r="R349" s="57">
        <f t="shared" si="86"/>
        <v>0</v>
      </c>
      <c r="S349" s="57">
        <f t="shared" si="86"/>
        <v>0</v>
      </c>
      <c r="T349" s="57">
        <f t="shared" si="86"/>
        <v>0</v>
      </c>
      <c r="U349" s="57">
        <f t="shared" si="86"/>
        <v>0</v>
      </c>
      <c r="V349" s="62">
        <f t="shared" si="86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88">SUM(Q339:Q349)</f>
        <v>0</v>
      </c>
      <c r="R351" s="37">
        <f t="shared" si="88"/>
        <v>0</v>
      </c>
      <c r="S351" s="37">
        <f t="shared" si="88"/>
        <v>0</v>
      </c>
      <c r="T351" s="37">
        <f t="shared" si="88"/>
        <v>0</v>
      </c>
      <c r="U351" s="37">
        <f t="shared" si="88"/>
        <v>0</v>
      </c>
      <c r="V351" s="64">
        <f t="shared" si="88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252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9">IFERROR(SUMPRODUCT($AM$73:$AM$87,Q$73:Q$87)/SUM(Q$73:Q$87)*Q$89,0)</f>
        <v>0</v>
      </c>
      <c r="R362" s="57">
        <f t="shared" si="89"/>
        <v>0</v>
      </c>
      <c r="S362" s="57">
        <f t="shared" si="89"/>
        <v>0</v>
      </c>
      <c r="T362" s="57">
        <f t="shared" si="89"/>
        <v>0</v>
      </c>
      <c r="U362" s="57">
        <f t="shared" si="89"/>
        <v>0</v>
      </c>
      <c r="V362" s="62">
        <f t="shared" si="89"/>
        <v>0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90">IFERROR(SUMPRODUCT($AN$73:$AN$87,Q$73:Q$87)/SUM(Q$73:Q$87)*Q$89,0)</f>
        <v>0</v>
      </c>
      <c r="R363" s="57">
        <f t="shared" si="90"/>
        <v>0</v>
      </c>
      <c r="S363" s="57">
        <f t="shared" si="90"/>
        <v>0</v>
      </c>
      <c r="T363" s="57">
        <f t="shared" si="90"/>
        <v>0</v>
      </c>
      <c r="U363" s="57">
        <f t="shared" si="90"/>
        <v>0</v>
      </c>
      <c r="V363" s="62">
        <f t="shared" si="90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91">IFERROR(SUMPRODUCT($AO$73:$AO$87,Q$73:Q$87)/SUM(Q$73:Q$87)*Q$89,0)</f>
        <v>0</v>
      </c>
      <c r="R364" s="57">
        <f t="shared" si="91"/>
        <v>0</v>
      </c>
      <c r="S364" s="57">
        <f t="shared" si="91"/>
        <v>0</v>
      </c>
      <c r="T364" s="57">
        <f t="shared" si="91"/>
        <v>0</v>
      </c>
      <c r="U364" s="57">
        <f t="shared" si="91"/>
        <v>0</v>
      </c>
      <c r="V364" s="62">
        <f t="shared" si="91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92">IFERROR(SUMPRODUCT($AP$73:$AP$87,Q$73:Q$87)/SUM(Q$73:Q$87)*Q$89,0)</f>
        <v>3771017.271964727</v>
      </c>
      <c r="R365" s="57">
        <f t="shared" si="92"/>
        <v>4149338.1349980109</v>
      </c>
      <c r="S365" s="57">
        <f t="shared" si="92"/>
        <v>4531254.2662881799</v>
      </c>
      <c r="T365" s="57">
        <f t="shared" si="92"/>
        <v>3913256.7305968711</v>
      </c>
      <c r="U365" s="57">
        <f t="shared" si="92"/>
        <v>3568245.0437512002</v>
      </c>
      <c r="V365" s="62">
        <f t="shared" si="92"/>
        <v>4309156.7121026181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93">IFERROR(SUMPRODUCT($AQ$73:$AQ$87,Q$73:Q$87)/SUM(Q$73:Q$87)*Q$89,0)</f>
        <v>0</v>
      </c>
      <c r="R366" s="57">
        <f t="shared" si="93"/>
        <v>0</v>
      </c>
      <c r="S366" s="57">
        <f t="shared" si="93"/>
        <v>0</v>
      </c>
      <c r="T366" s="57">
        <f t="shared" si="93"/>
        <v>0</v>
      </c>
      <c r="U366" s="57">
        <f t="shared" si="93"/>
        <v>0</v>
      </c>
      <c r="V366" s="62">
        <f t="shared" si="93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94">IFERROR(SUMPRODUCT($AR$73:$AR$87,Q$73:Q$87)/SUM(Q$73:Q$87)*Q$89,0)</f>
        <v>0</v>
      </c>
      <c r="R367" s="57">
        <f t="shared" si="94"/>
        <v>0</v>
      </c>
      <c r="S367" s="57">
        <f t="shared" si="94"/>
        <v>0</v>
      </c>
      <c r="T367" s="57">
        <f t="shared" si="94"/>
        <v>0</v>
      </c>
      <c r="U367" s="57">
        <f t="shared" si="94"/>
        <v>0</v>
      </c>
      <c r="V367" s="62">
        <f t="shared" si="94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95">IFERROR(SUMPRODUCT($AS$73:$AS$87,Q$73:Q$87)/SUM(Q$73:Q$87)*Q$89,0)</f>
        <v>0</v>
      </c>
      <c r="R368" s="57">
        <f t="shared" si="95"/>
        <v>0</v>
      </c>
      <c r="S368" s="57">
        <f t="shared" si="95"/>
        <v>0</v>
      </c>
      <c r="T368" s="57">
        <f t="shared" si="95"/>
        <v>0</v>
      </c>
      <c r="U368" s="57">
        <f t="shared" si="95"/>
        <v>0</v>
      </c>
      <c r="V368" s="62">
        <f t="shared" si="95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96">IFERROR(SUMPRODUCT($AT$73:$AT$87,Q$73:Q$87)/SUM(Q$73:Q$87)*Q$89,0)</f>
        <v>0</v>
      </c>
      <c r="R369" s="57">
        <f t="shared" si="96"/>
        <v>0</v>
      </c>
      <c r="S369" s="57">
        <f t="shared" si="96"/>
        <v>0</v>
      </c>
      <c r="T369" s="57">
        <f t="shared" si="96"/>
        <v>0</v>
      </c>
      <c r="U369" s="57">
        <f t="shared" si="96"/>
        <v>0</v>
      </c>
      <c r="V369" s="62">
        <f t="shared" si="96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97">IFERROR(SUMPRODUCT($AU$73:$AU$87,Q$73:Q$87)/SUM(Q$73:Q$87)*Q$89,0)</f>
        <v>0</v>
      </c>
      <c r="R370" s="57">
        <f t="shared" si="97"/>
        <v>0</v>
      </c>
      <c r="S370" s="57">
        <f t="shared" si="97"/>
        <v>0</v>
      </c>
      <c r="T370" s="57">
        <f t="shared" si="97"/>
        <v>0</v>
      </c>
      <c r="U370" s="57">
        <f t="shared" si="97"/>
        <v>0</v>
      </c>
      <c r="V370" s="62">
        <f t="shared" si="97"/>
        <v>0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98">IFERROR(SUMPRODUCT($AV$73:$AV$87,Q$73:Q$87)/SUM(Q$73:Q$87)*Q$89,0)</f>
        <v>0</v>
      </c>
      <c r="R371" s="57">
        <f t="shared" si="98"/>
        <v>0</v>
      </c>
      <c r="S371" s="57">
        <f t="shared" si="98"/>
        <v>0</v>
      </c>
      <c r="T371" s="57">
        <f t="shared" si="98"/>
        <v>0</v>
      </c>
      <c r="U371" s="57">
        <f t="shared" si="98"/>
        <v>0</v>
      </c>
      <c r="V371" s="62">
        <f t="shared" si="98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9">IFERROR(SUMPRODUCT($AW$73:$AW$87,Q$73:Q$87)/SUM(Q$73:Q$87)*Q$89,0)</f>
        <v>0</v>
      </c>
      <c r="R372" s="57">
        <f t="shared" si="99"/>
        <v>0</v>
      </c>
      <c r="S372" s="57">
        <f t="shared" si="99"/>
        <v>0</v>
      </c>
      <c r="T372" s="57">
        <f t="shared" si="99"/>
        <v>0</v>
      </c>
      <c r="U372" s="57">
        <f t="shared" si="99"/>
        <v>0</v>
      </c>
      <c r="V372" s="62">
        <f t="shared" si="99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100">Q238</f>
        <v>0</v>
      </c>
      <c r="R373" s="57">
        <f t="shared" si="100"/>
        <v>0</v>
      </c>
      <c r="S373" s="57">
        <f t="shared" si="100"/>
        <v>0</v>
      </c>
      <c r="T373" s="57">
        <f t="shared" si="100"/>
        <v>0</v>
      </c>
      <c r="U373" s="57">
        <f t="shared" si="100"/>
        <v>0</v>
      </c>
      <c r="V373" s="62">
        <f t="shared" si="100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101">Q252</f>
        <v>0</v>
      </c>
      <c r="R374" s="57">
        <f t="shared" si="101"/>
        <v>0</v>
      </c>
      <c r="S374" s="57">
        <f t="shared" si="101"/>
        <v>0</v>
      </c>
      <c r="T374" s="57">
        <f t="shared" si="101"/>
        <v>0</v>
      </c>
      <c r="U374" s="57">
        <f t="shared" si="101"/>
        <v>0</v>
      </c>
      <c r="V374" s="62">
        <f t="shared" si="101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102">SUM(Q362:Q372)*Q208</f>
        <v>282229.33234328957</v>
      </c>
      <c r="R375" s="57">
        <f t="shared" si="102"/>
        <v>299461.09104258136</v>
      </c>
      <c r="S375" s="57">
        <f t="shared" si="102"/>
        <v>345567.48015873128</v>
      </c>
      <c r="T375" s="57">
        <f t="shared" si="102"/>
        <v>302990.39334829018</v>
      </c>
      <c r="U375" s="57">
        <f t="shared" si="102"/>
        <v>291581.57970016904</v>
      </c>
      <c r="V375" s="57">
        <f t="shared" si="102"/>
        <v>363660.91265802213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03">SUM(P362:P375)</f>
        <v>0</v>
      </c>
      <c r="Q377" s="37">
        <f t="shared" si="103"/>
        <v>4053246.6043080166</v>
      </c>
      <c r="R377" s="37">
        <f t="shared" si="103"/>
        <v>4448799.2260405924</v>
      </c>
      <c r="S377" s="37">
        <f t="shared" si="103"/>
        <v>4876821.7464469112</v>
      </c>
      <c r="T377" s="37">
        <f t="shared" si="103"/>
        <v>4216247.1239451617</v>
      </c>
      <c r="U377" s="37">
        <f t="shared" si="103"/>
        <v>3859826.6234513693</v>
      </c>
      <c r="V377" s="64">
        <f t="shared" si="103"/>
        <v>4672817.6247606399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252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104">IFERROR(SUMPRODUCT($BB$73:$BB$87,Q$73:Q$87)/SUM(Q$73:Q$87)*Q$89*(1+Q$208),0)</f>
        <v>0</v>
      </c>
      <c r="R388" s="57">
        <f t="shared" si="104"/>
        <v>0</v>
      </c>
      <c r="S388" s="57">
        <f t="shared" si="104"/>
        <v>0</v>
      </c>
      <c r="T388" s="57">
        <f t="shared" si="104"/>
        <v>0</v>
      </c>
      <c r="U388" s="57">
        <f t="shared" si="104"/>
        <v>0</v>
      </c>
      <c r="V388" s="62">
        <f t="shared" si="104"/>
        <v>0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105">IFERROR(SUMPRODUCT($BC$73:$BC$87,Q$73:Q$87)/SUM(Q$73:Q$87)*Q$89*(1+Q$208),0)</f>
        <v>4053246.6043080171</v>
      </c>
      <c r="R389" s="57">
        <f t="shared" si="105"/>
        <v>4448799.2260405924</v>
      </c>
      <c r="S389" s="57">
        <f t="shared" si="105"/>
        <v>4876821.7464469112</v>
      </c>
      <c r="T389" s="57">
        <f t="shared" si="105"/>
        <v>4216247.1239451608</v>
      </c>
      <c r="U389" s="57">
        <f t="shared" si="105"/>
        <v>3859826.6234513693</v>
      </c>
      <c r="V389" s="62">
        <f t="shared" si="105"/>
        <v>4672817.6247606399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106">IFERROR(SUMPRODUCT($BD$73:$BD$87,Q$73:Q$87)/SUM(Q$73:Q$87)*Q$89*(1+Q$208),0)</f>
        <v>0</v>
      </c>
      <c r="R390" s="57">
        <f t="shared" si="106"/>
        <v>0</v>
      </c>
      <c r="S390" s="57">
        <f t="shared" si="106"/>
        <v>0</v>
      </c>
      <c r="T390" s="57">
        <f t="shared" si="106"/>
        <v>0</v>
      </c>
      <c r="U390" s="57">
        <f t="shared" si="106"/>
        <v>0</v>
      </c>
      <c r="V390" s="62">
        <f t="shared" si="106"/>
        <v>0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07">IFERROR(SUMPRODUCT($BE$73:$BE$87,Q$73:Q$87)/SUM(Q$73:Q$87)*Q$89*(1+Q$208),0)</f>
        <v>0</v>
      </c>
      <c r="R391" s="57">
        <f t="shared" si="107"/>
        <v>0</v>
      </c>
      <c r="S391" s="57">
        <f t="shared" si="107"/>
        <v>0</v>
      </c>
      <c r="T391" s="57">
        <f t="shared" si="107"/>
        <v>0</v>
      </c>
      <c r="U391" s="57">
        <f t="shared" si="107"/>
        <v>0</v>
      </c>
      <c r="V391" s="62">
        <f t="shared" si="107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08">IFERROR(SUMPRODUCT($BF$73:$BF$87,Q$73:Q$87)/SUM(Q$73:Q$87)*Q$89*(1+Q$208),0)</f>
        <v>0</v>
      </c>
      <c r="R392" s="57">
        <f t="shared" si="108"/>
        <v>0</v>
      </c>
      <c r="S392" s="57">
        <f t="shared" si="108"/>
        <v>0</v>
      </c>
      <c r="T392" s="57">
        <f t="shared" si="108"/>
        <v>0</v>
      </c>
      <c r="U392" s="57">
        <f t="shared" si="108"/>
        <v>0</v>
      </c>
      <c r="V392" s="62">
        <f t="shared" si="108"/>
        <v>0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9">IFERROR(SUMPRODUCT($BG$73:$BG$87,Q$73:Q$87)/SUM(Q$73:Q$87)*Q$89*(1+Q$208),0)</f>
        <v>0</v>
      </c>
      <c r="R393" s="57">
        <f t="shared" si="109"/>
        <v>0</v>
      </c>
      <c r="S393" s="57">
        <f t="shared" si="109"/>
        <v>0</v>
      </c>
      <c r="T393" s="57">
        <f t="shared" si="109"/>
        <v>0</v>
      </c>
      <c r="U393" s="57">
        <f t="shared" si="109"/>
        <v>0</v>
      </c>
      <c r="V393" s="62">
        <f t="shared" si="109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10">IFERROR(SUMPRODUCT($BH$73:$BH$87,Q$73:Q$87)/SUM(Q$73:Q$87)*Q$89*(1+Q$208),0)</f>
        <v>0</v>
      </c>
      <c r="R394" s="57">
        <f t="shared" si="110"/>
        <v>0</v>
      </c>
      <c r="S394" s="57">
        <f t="shared" si="110"/>
        <v>0</v>
      </c>
      <c r="T394" s="57">
        <f t="shared" si="110"/>
        <v>0</v>
      </c>
      <c r="U394" s="57">
        <f t="shared" si="110"/>
        <v>0</v>
      </c>
      <c r="V394" s="62">
        <f t="shared" si="110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11">SUM(P388:P394)</f>
        <v>0</v>
      </c>
      <c r="Q396" s="37">
        <f t="shared" si="111"/>
        <v>4053246.6043080171</v>
      </c>
      <c r="R396" s="37">
        <f t="shared" si="111"/>
        <v>4448799.2260405924</v>
      </c>
      <c r="S396" s="37">
        <f t="shared" si="111"/>
        <v>4876821.7464469112</v>
      </c>
      <c r="T396" s="37">
        <f t="shared" si="111"/>
        <v>4216247.1239451608</v>
      </c>
      <c r="U396" s="37">
        <f t="shared" si="111"/>
        <v>3859826.6234513693</v>
      </c>
      <c r="V396" s="64">
        <f t="shared" si="111"/>
        <v>4672817.6247606399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I399"/>
  <sheetViews>
    <sheetView topLeftCell="G37" workbookViewId="0">
      <selection activeCell="R73" sqref="R73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2</v>
      </c>
    </row>
    <row r="2" spans="1:7" s="1" customFormat="1">
      <c r="A2" s="3" t="s">
        <v>172</v>
      </c>
    </row>
    <row r="3" spans="1:7" s="1" customFormat="1">
      <c r="A3" s="3" t="s">
        <v>95</v>
      </c>
    </row>
    <row r="4" spans="1:7" s="1" customFormat="1">
      <c r="A4" s="22" t="s">
        <v>43</v>
      </c>
    </row>
    <row r="6" spans="1:7" s="1" customFormat="1">
      <c r="A6" s="2">
        <v>2</v>
      </c>
      <c r="B6" s="2" t="s">
        <v>45</v>
      </c>
    </row>
    <row r="9" spans="1:7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</row>
    <row r="10" spans="1:7">
      <c r="B10" s="8" t="s">
        <v>173</v>
      </c>
      <c r="D10" s="10">
        <v>0.01</v>
      </c>
      <c r="E10" s="10">
        <v>0.63</v>
      </c>
      <c r="F10" s="26">
        <f>D10+E10</f>
        <v>0.64</v>
      </c>
      <c r="G10" s="26">
        <f>1-F10</f>
        <v>0.36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51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90" t="s">
        <v>52</v>
      </c>
      <c r="I28" s="190"/>
      <c r="J28" s="190"/>
      <c r="K28" s="190"/>
      <c r="L28" s="190"/>
      <c r="M28" s="190" t="s">
        <v>53</v>
      </c>
      <c r="N28" s="190"/>
      <c r="O28" s="190"/>
      <c r="P28" s="190"/>
      <c r="Q28" s="190"/>
      <c r="R28" s="190" t="s">
        <v>54</v>
      </c>
      <c r="S28" s="190"/>
      <c r="T28" s="190"/>
      <c r="U28" s="190"/>
      <c r="V28" s="190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>IF(B10&lt;&gt;"",B10,"[blank]")</f>
        <v>Meter Faults - Domestic</v>
      </c>
      <c r="D31" s="31" t="s">
        <v>171</v>
      </c>
      <c r="E31" s="31"/>
      <c r="P31" s="182"/>
      <c r="Q31" s="182"/>
      <c r="R31" s="182"/>
      <c r="S31" s="182"/>
      <c r="T31" s="182"/>
      <c r="U31" s="182"/>
      <c r="V31" s="182"/>
      <c r="X31" s="20"/>
    </row>
    <row r="32" spans="1:24">
      <c r="B32" s="4" t="str">
        <f t="shared" ref="B32:B45" si="0">IF(B11&lt;&gt;"",B11,"[blank]")</f>
        <v>[blank]</v>
      </c>
      <c r="D32" s="31"/>
      <c r="E32" s="31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P34" s="67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</row>
    <row r="36" spans="1:24">
      <c r="B36" s="4" t="str">
        <f t="shared" si="0"/>
        <v>[blank]</v>
      </c>
      <c r="D36" s="31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7" spans="1:24" s="1" customFormat="1">
      <c r="A47" s="2">
        <v>4</v>
      </c>
      <c r="B47" s="2" t="s">
        <v>56</v>
      </c>
    </row>
    <row r="49" spans="2:24">
      <c r="H49" s="190" t="s">
        <v>52</v>
      </c>
      <c r="I49" s="190"/>
      <c r="J49" s="190"/>
      <c r="K49" s="190"/>
      <c r="L49" s="190"/>
      <c r="M49" s="190" t="s">
        <v>53</v>
      </c>
      <c r="N49" s="190"/>
      <c r="O49" s="190"/>
      <c r="P49" s="190"/>
      <c r="Q49" s="190"/>
      <c r="R49" s="190" t="s">
        <v>54</v>
      </c>
      <c r="S49" s="190"/>
      <c r="T49" s="190"/>
      <c r="U49" s="190"/>
      <c r="V49" s="190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46</v>
      </c>
      <c r="D51" s="29" t="s">
        <v>55</v>
      </c>
      <c r="H51" s="16" t="s">
        <v>12</v>
      </c>
      <c r="I51" s="16" t="s">
        <v>12</v>
      </c>
      <c r="J51" s="16" t="s">
        <v>12</v>
      </c>
      <c r="K51" s="16" t="s">
        <v>12</v>
      </c>
      <c r="L51" s="16" t="s">
        <v>12</v>
      </c>
      <c r="M51" s="16" t="s">
        <v>12</v>
      </c>
      <c r="N51" s="16" t="s">
        <v>12</v>
      </c>
      <c r="O51" s="16" t="s">
        <v>12</v>
      </c>
      <c r="P51" s="16" t="s">
        <v>13</v>
      </c>
      <c r="Q51" s="16" t="s">
        <v>13</v>
      </c>
      <c r="R51" s="16" t="s">
        <v>13</v>
      </c>
      <c r="S51" s="16" t="s">
        <v>13</v>
      </c>
      <c r="T51" s="16" t="s">
        <v>13</v>
      </c>
      <c r="U51" s="16" t="s">
        <v>13</v>
      </c>
      <c r="V51" s="16" t="s">
        <v>13</v>
      </c>
    </row>
    <row r="52" spans="2:24">
      <c r="B52" s="4" t="str">
        <f>IF(B10&lt;&gt;"",B10,"[blank]")</f>
        <v>Meter Faults - Domestic</v>
      </c>
      <c r="D52" s="31" t="s">
        <v>174</v>
      </c>
      <c r="P52" s="77"/>
      <c r="Q52" s="182"/>
      <c r="R52" s="182"/>
      <c r="S52" s="182"/>
      <c r="T52" s="182"/>
      <c r="U52" s="182"/>
      <c r="V52" s="182"/>
      <c r="X52" s="20"/>
    </row>
    <row r="53" spans="2:24">
      <c r="B53" s="4" t="str">
        <f t="shared" ref="B53:B66" si="1">IF(B11&lt;&gt;"",B11,"[blank]")</f>
        <v>[blank]</v>
      </c>
      <c r="D53" s="31"/>
      <c r="X53" s="20"/>
    </row>
    <row r="54" spans="2:24">
      <c r="B54" s="4" t="str">
        <f t="shared" si="1"/>
        <v>[blank]</v>
      </c>
      <c r="D54" s="31"/>
      <c r="X54" s="20"/>
    </row>
    <row r="55" spans="2:24">
      <c r="B55" s="4" t="str">
        <f t="shared" si="1"/>
        <v>[blank]</v>
      </c>
      <c r="D55" s="31"/>
      <c r="X55" s="20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61</v>
      </c>
    </row>
    <row r="69" spans="1:61">
      <c r="Z69" s="5" t="s">
        <v>73</v>
      </c>
      <c r="AM69" s="5" t="s">
        <v>110</v>
      </c>
      <c r="BB69" s="5" t="s">
        <v>133</v>
      </c>
    </row>
    <row r="70" spans="1:61">
      <c r="H70" s="190" t="s">
        <v>52</v>
      </c>
      <c r="I70" s="190"/>
      <c r="J70" s="190"/>
      <c r="K70" s="190"/>
      <c r="L70" s="190"/>
      <c r="M70" s="190" t="s">
        <v>53</v>
      </c>
      <c r="N70" s="190"/>
      <c r="O70" s="190"/>
      <c r="P70" s="190"/>
      <c r="Q70" s="190"/>
      <c r="R70" s="190" t="s">
        <v>54</v>
      </c>
      <c r="S70" s="190"/>
      <c r="T70" s="190"/>
      <c r="U70" s="190"/>
      <c r="V70" s="190"/>
      <c r="X70" s="38"/>
      <c r="Z70" s="39" t="s">
        <v>69</v>
      </c>
      <c r="AA70" s="39" t="s">
        <v>70</v>
      </c>
      <c r="AB70" s="39" t="s">
        <v>71</v>
      </c>
      <c r="AC70" s="39" t="s">
        <v>72</v>
      </c>
      <c r="AD70" s="39" t="s">
        <v>64</v>
      </c>
      <c r="AE70" s="39" t="s">
        <v>65</v>
      </c>
      <c r="AF70" s="39" t="s">
        <v>66</v>
      </c>
      <c r="AG70" s="39" t="s">
        <v>107</v>
      </c>
      <c r="AH70" s="39" t="s">
        <v>67</v>
      </c>
      <c r="AI70" s="39" t="s">
        <v>68</v>
      </c>
      <c r="AJ70" s="39" t="s">
        <v>108</v>
      </c>
      <c r="AM70" s="39" t="s">
        <v>111</v>
      </c>
      <c r="AN70" s="39" t="s">
        <v>112</v>
      </c>
      <c r="AO70" s="39" t="s">
        <v>113</v>
      </c>
      <c r="AP70" s="39" t="s">
        <v>114</v>
      </c>
      <c r="AQ70" s="39" t="s">
        <v>115</v>
      </c>
      <c r="AR70" s="39" t="s">
        <v>36</v>
      </c>
      <c r="AS70" s="39" t="s">
        <v>116</v>
      </c>
      <c r="AT70" s="39" t="s">
        <v>35</v>
      </c>
      <c r="AU70" s="39" t="s">
        <v>117</v>
      </c>
      <c r="AV70" s="39" t="s">
        <v>118</v>
      </c>
      <c r="AW70" s="39" t="s">
        <v>119</v>
      </c>
      <c r="AX70" s="39" t="s">
        <v>74</v>
      </c>
      <c r="AY70" s="39" t="s">
        <v>75</v>
      </c>
      <c r="BB70" s="39" t="s">
        <v>134</v>
      </c>
      <c r="BC70" s="39" t="s">
        <v>135</v>
      </c>
      <c r="BD70" s="39" t="s">
        <v>136</v>
      </c>
      <c r="BE70" s="39" t="s">
        <v>107</v>
      </c>
      <c r="BF70" s="39" t="s">
        <v>137</v>
      </c>
      <c r="BG70" s="39" t="s">
        <v>138</v>
      </c>
      <c r="BH70" s="39" t="s">
        <v>108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63</v>
      </c>
    </row>
    <row r="72" spans="1:61">
      <c r="B72" s="5" t="s">
        <v>46</v>
      </c>
      <c r="D72" s="29" t="s">
        <v>55</v>
      </c>
      <c r="H72" s="16" t="s">
        <v>12</v>
      </c>
      <c r="I72" s="16" t="s">
        <v>12</v>
      </c>
      <c r="J72" s="16" t="s">
        <v>12</v>
      </c>
      <c r="K72" s="16" t="s">
        <v>12</v>
      </c>
      <c r="L72" s="16" t="s">
        <v>12</v>
      </c>
      <c r="M72" s="16" t="s">
        <v>12</v>
      </c>
      <c r="N72" s="16" t="s">
        <v>12</v>
      </c>
      <c r="O72" s="16" t="s">
        <v>12</v>
      </c>
      <c r="P72" s="16" t="s">
        <v>13</v>
      </c>
      <c r="Q72" s="16" t="s">
        <v>13</v>
      </c>
      <c r="R72" s="16" t="s">
        <v>13</v>
      </c>
      <c r="S72" s="16" t="s">
        <v>13</v>
      </c>
      <c r="T72" s="16" t="s">
        <v>13</v>
      </c>
      <c r="U72" s="16" t="s">
        <v>13</v>
      </c>
      <c r="V72" s="16" t="s">
        <v>13</v>
      </c>
      <c r="X72" s="34" t="s">
        <v>13</v>
      </c>
    </row>
    <row r="73" spans="1:61">
      <c r="B73" s="4" t="str">
        <f>IF(B10&lt;&gt;"",B10,"[blank]")</f>
        <v>Meter Faults - Domestic</v>
      </c>
      <c r="D73" s="31" t="s">
        <v>60</v>
      </c>
      <c r="O73" s="35"/>
      <c r="P73" s="35">
        <f t="shared" ref="P73" si="2">P31*P52</f>
        <v>0</v>
      </c>
      <c r="Q73" s="35">
        <v>634226.46500729397</v>
      </c>
      <c r="R73" s="35">
        <v>653218.51099310943</v>
      </c>
      <c r="S73" s="35">
        <v>673409.94245660317</v>
      </c>
      <c r="T73" s="35">
        <v>695447.25342974497</v>
      </c>
      <c r="U73" s="35">
        <v>719943.54010496044</v>
      </c>
      <c r="V73" s="35">
        <v>745889.74022034253</v>
      </c>
      <c r="X73" s="40">
        <f>SUM(R73:V73)</f>
        <v>3487908.9872047603</v>
      </c>
      <c r="Z73" s="10"/>
      <c r="AA73" s="10"/>
      <c r="AB73" s="10"/>
      <c r="AC73" s="10"/>
      <c r="AD73" s="10"/>
      <c r="AE73" s="10">
        <v>1</v>
      </c>
      <c r="AF73" s="10"/>
      <c r="AG73" s="10"/>
      <c r="AH73" s="10"/>
      <c r="AI73" s="10"/>
      <c r="AJ73" s="10"/>
      <c r="AK73" s="41">
        <f t="shared" ref="AK73:AK87" si="3">SUM(Z73:AI73)</f>
        <v>1</v>
      </c>
      <c r="AM73" s="10"/>
      <c r="AN73" s="10"/>
      <c r="AO73" s="10"/>
      <c r="AP73" s="10">
        <v>1</v>
      </c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1</v>
      </c>
      <c r="BB73" s="10"/>
      <c r="BC73" s="10">
        <v>1</v>
      </c>
      <c r="BD73" s="10"/>
      <c r="BE73" s="10"/>
      <c r="BF73" s="10"/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/>
      <c r="O74" s="50"/>
      <c r="P74" s="35"/>
      <c r="Q74" s="35"/>
      <c r="R74" s="35"/>
      <c r="S74" s="35"/>
      <c r="T74" s="35"/>
      <c r="U74" s="35"/>
      <c r="V74" s="35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P75" s="35"/>
      <c r="Q75" s="35"/>
      <c r="R75" s="35"/>
      <c r="S75" s="35"/>
      <c r="T75" s="35"/>
      <c r="U75" s="35"/>
      <c r="V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P76" s="35"/>
      <c r="Q76" s="35"/>
      <c r="R76" s="35"/>
      <c r="S76" s="35"/>
      <c r="T76" s="35"/>
      <c r="U76" s="35"/>
      <c r="V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P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62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634226.46500729397</v>
      </c>
      <c r="R89" s="37">
        <f t="shared" si="8"/>
        <v>653218.51099310943</v>
      </c>
      <c r="S89" s="37">
        <f t="shared" si="8"/>
        <v>673409.94245660317</v>
      </c>
      <c r="T89" s="37">
        <f t="shared" si="8"/>
        <v>695447.25342974497</v>
      </c>
      <c r="U89" s="37">
        <f t="shared" si="8"/>
        <v>719943.54010496044</v>
      </c>
      <c r="V89" s="37">
        <f t="shared" si="8"/>
        <v>745889.74022034253</v>
      </c>
      <c r="X89" s="37">
        <f t="shared" si="7"/>
        <v>3487908.9872047603</v>
      </c>
    </row>
    <row r="91" spans="1:61">
      <c r="B91" s="5" t="s">
        <v>76</v>
      </c>
    </row>
    <row r="92" spans="1:61" s="1" customFormat="1">
      <c r="A92" s="4"/>
      <c r="B92" s="2" t="s">
        <v>77</v>
      </c>
    </row>
    <row r="94" spans="1:61">
      <c r="H94" s="190" t="s">
        <v>52</v>
      </c>
      <c r="I94" s="190"/>
      <c r="J94" s="190"/>
      <c r="K94" s="190"/>
      <c r="L94" s="190"/>
      <c r="M94" s="190" t="s">
        <v>53</v>
      </c>
      <c r="N94" s="190"/>
      <c r="O94" s="190"/>
      <c r="P94" s="190"/>
      <c r="Q94" s="190"/>
      <c r="R94" s="190" t="s">
        <v>54</v>
      </c>
      <c r="S94" s="190"/>
      <c r="T94" s="190"/>
      <c r="U94" s="190"/>
      <c r="V94" s="190"/>
      <c r="X94" s="38"/>
    </row>
    <row r="95" spans="1:61">
      <c r="B95" s="42" t="s">
        <v>79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63</v>
      </c>
    </row>
    <row r="96" spans="1:61">
      <c r="B96" s="5" t="s">
        <v>46</v>
      </c>
      <c r="D96" s="29" t="s">
        <v>55</v>
      </c>
      <c r="H96" s="16" t="s">
        <v>12</v>
      </c>
      <c r="I96" s="16" t="s">
        <v>12</v>
      </c>
      <c r="J96" s="16" t="s">
        <v>12</v>
      </c>
      <c r="K96" s="16" t="s">
        <v>12</v>
      </c>
      <c r="L96" s="16" t="s">
        <v>12</v>
      </c>
      <c r="M96" s="16" t="s">
        <v>12</v>
      </c>
      <c r="N96" s="16" t="s">
        <v>12</v>
      </c>
      <c r="O96" s="16" t="s">
        <v>12</v>
      </c>
      <c r="P96" s="16" t="s">
        <v>13</v>
      </c>
      <c r="Q96" s="16" t="s">
        <v>13</v>
      </c>
      <c r="R96" s="16" t="s">
        <v>13</v>
      </c>
      <c r="S96" s="16" t="s">
        <v>13</v>
      </c>
      <c r="T96" s="16" t="s">
        <v>13</v>
      </c>
      <c r="U96" s="16" t="s">
        <v>13</v>
      </c>
      <c r="V96" s="16" t="s">
        <v>13</v>
      </c>
      <c r="X96" s="34" t="s">
        <v>13</v>
      </c>
    </row>
    <row r="97" spans="2:24">
      <c r="B97" s="4" t="str">
        <f>IF(B10&lt;&gt;"",B10,"[blank]")</f>
        <v>Meter Faults - Domestic</v>
      </c>
      <c r="D97" s="31" t="s">
        <v>60</v>
      </c>
      <c r="O97" s="35"/>
      <c r="P97" s="35">
        <f>$D10*P73</f>
        <v>0</v>
      </c>
      <c r="Q97" s="35">
        <f t="shared" ref="Q97:V97" si="9">$D10*Q73</f>
        <v>6342.2646500729397</v>
      </c>
      <c r="R97" s="35">
        <f t="shared" si="9"/>
        <v>6532.1851099310943</v>
      </c>
      <c r="S97" s="35">
        <f t="shared" si="9"/>
        <v>6734.0994245660322</v>
      </c>
      <c r="T97" s="35">
        <f t="shared" si="9"/>
        <v>6954.4725342974498</v>
      </c>
      <c r="U97" s="35">
        <f t="shared" si="9"/>
        <v>7199.4354010496045</v>
      </c>
      <c r="V97" s="35">
        <f t="shared" si="9"/>
        <v>7458.8974022034254</v>
      </c>
      <c r="X97" s="40">
        <f>SUM(R97:V97)</f>
        <v>34879.089872047603</v>
      </c>
    </row>
    <row r="98" spans="2:24">
      <c r="B98" s="4" t="str">
        <f t="shared" ref="B98:B111" si="10">IF(B11&lt;&gt;"",B11,"[blank]")</f>
        <v>[blank]</v>
      </c>
      <c r="D98" s="31"/>
      <c r="O98" s="50"/>
      <c r="P98" s="35"/>
      <c r="Q98" s="35"/>
      <c r="R98" s="35"/>
      <c r="S98" s="35"/>
      <c r="T98" s="35"/>
      <c r="U98" s="35"/>
      <c r="V98" s="35"/>
      <c r="X98" s="40">
        <f t="shared" ref="X98:X111" si="11">SUM(R98:V98)</f>
        <v>0</v>
      </c>
    </row>
    <row r="99" spans="2:24">
      <c r="B99" s="4" t="str">
        <f t="shared" si="10"/>
        <v>[blank]</v>
      </c>
      <c r="P99" s="35"/>
      <c r="Q99" s="35"/>
      <c r="R99" s="35"/>
      <c r="S99" s="35"/>
      <c r="T99" s="35"/>
      <c r="U99" s="35"/>
      <c r="V99" s="35"/>
      <c r="X99" s="40">
        <f t="shared" si="11"/>
        <v>0</v>
      </c>
    </row>
    <row r="100" spans="2:24">
      <c r="B100" s="4" t="str">
        <f t="shared" si="10"/>
        <v>[blank]</v>
      </c>
      <c r="P100" s="35"/>
      <c r="Q100" s="35"/>
      <c r="R100" s="35"/>
      <c r="S100" s="35"/>
      <c r="T100" s="35"/>
      <c r="U100" s="35"/>
      <c r="V100" s="35"/>
      <c r="X100" s="40">
        <f t="shared" si="11"/>
        <v>0</v>
      </c>
    </row>
    <row r="101" spans="2:24">
      <c r="B101" s="4" t="str">
        <f t="shared" si="10"/>
        <v>[blank]</v>
      </c>
      <c r="X101" s="40">
        <f t="shared" si="11"/>
        <v>0</v>
      </c>
    </row>
    <row r="102" spans="2:24">
      <c r="B102" s="4" t="str">
        <f t="shared" si="10"/>
        <v>[blank]</v>
      </c>
      <c r="X102" s="40">
        <f t="shared" si="11"/>
        <v>0</v>
      </c>
    </row>
    <row r="103" spans="2:24">
      <c r="B103" s="4" t="str">
        <f t="shared" si="10"/>
        <v>[blank]</v>
      </c>
      <c r="X103" s="40">
        <f t="shared" si="11"/>
        <v>0</v>
      </c>
    </row>
    <row r="104" spans="2:24">
      <c r="B104" s="4" t="str">
        <f t="shared" si="10"/>
        <v>[blank]</v>
      </c>
      <c r="X104" s="40">
        <f t="shared" si="11"/>
        <v>0</v>
      </c>
    </row>
    <row r="105" spans="2:24">
      <c r="B105" s="4" t="str">
        <f t="shared" si="10"/>
        <v>[blank]</v>
      </c>
      <c r="X105" s="40">
        <f t="shared" si="11"/>
        <v>0</v>
      </c>
    </row>
    <row r="106" spans="2:24">
      <c r="B106" s="4" t="str">
        <f t="shared" si="10"/>
        <v>[blank]</v>
      </c>
      <c r="X106" s="40">
        <f t="shared" si="11"/>
        <v>0</v>
      </c>
    </row>
    <row r="107" spans="2:24">
      <c r="B107" s="4" t="str">
        <f t="shared" si="10"/>
        <v>[blank]</v>
      </c>
      <c r="X107" s="40">
        <f t="shared" si="11"/>
        <v>0</v>
      </c>
    </row>
    <row r="108" spans="2:24">
      <c r="B108" s="4" t="str">
        <f t="shared" si="10"/>
        <v>[blank]</v>
      </c>
      <c r="X108" s="40">
        <f t="shared" si="11"/>
        <v>0</v>
      </c>
    </row>
    <row r="109" spans="2:24">
      <c r="B109" s="4" t="str">
        <f t="shared" si="10"/>
        <v>[blank]</v>
      </c>
      <c r="X109" s="40">
        <f t="shared" si="11"/>
        <v>0</v>
      </c>
    </row>
    <row r="110" spans="2:24">
      <c r="B110" s="4" t="str">
        <f t="shared" si="10"/>
        <v>[blank]</v>
      </c>
      <c r="X110" s="40">
        <f t="shared" si="11"/>
        <v>0</v>
      </c>
    </row>
    <row r="111" spans="2:24">
      <c r="B111" s="4" t="str">
        <f t="shared" si="10"/>
        <v>[blank]</v>
      </c>
      <c r="X111" s="40">
        <f t="shared" si="11"/>
        <v>0</v>
      </c>
    </row>
    <row r="113" spans="1:24" ht="12.75" thickBot="1">
      <c r="B113" s="5" t="s">
        <v>78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2">SUM(P97:P111)</f>
        <v>0</v>
      </c>
      <c r="Q113" s="37">
        <f t="shared" si="12"/>
        <v>6342.2646500729397</v>
      </c>
      <c r="R113" s="37">
        <f t="shared" si="12"/>
        <v>6532.1851099310943</v>
      </c>
      <c r="S113" s="37">
        <f t="shared" si="12"/>
        <v>6734.0994245660322</v>
      </c>
      <c r="T113" s="37">
        <f t="shared" si="12"/>
        <v>6954.4725342974498</v>
      </c>
      <c r="U113" s="37">
        <f t="shared" si="12"/>
        <v>7199.4354010496045</v>
      </c>
      <c r="V113" s="37">
        <f t="shared" si="12"/>
        <v>7458.8974022034254</v>
      </c>
      <c r="X113" s="37">
        <f t="shared" ref="X113" si="13">SUM(R113:V113)</f>
        <v>34879.089872047603</v>
      </c>
    </row>
    <row r="115" spans="1:24" s="1" customFormat="1">
      <c r="A115" s="4"/>
      <c r="B115" s="2" t="s">
        <v>80</v>
      </c>
    </row>
    <row r="117" spans="1:24">
      <c r="H117" s="190" t="s">
        <v>52</v>
      </c>
      <c r="I117" s="190"/>
      <c r="J117" s="190"/>
      <c r="K117" s="190"/>
      <c r="L117" s="190"/>
      <c r="M117" s="190" t="s">
        <v>53</v>
      </c>
      <c r="N117" s="190"/>
      <c r="O117" s="190"/>
      <c r="P117" s="190"/>
      <c r="Q117" s="190"/>
      <c r="R117" s="190" t="s">
        <v>54</v>
      </c>
      <c r="S117" s="190"/>
      <c r="T117" s="190"/>
      <c r="U117" s="190"/>
      <c r="V117" s="190"/>
      <c r="X117" s="38"/>
    </row>
    <row r="118" spans="1:24">
      <c r="B118" s="43" t="s">
        <v>81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63</v>
      </c>
    </row>
    <row r="119" spans="1:24">
      <c r="B119" s="5" t="s">
        <v>46</v>
      </c>
      <c r="D119" s="29" t="s">
        <v>55</v>
      </c>
      <c r="H119" s="16" t="s">
        <v>12</v>
      </c>
      <c r="I119" s="16" t="s">
        <v>12</v>
      </c>
      <c r="J119" s="16" t="s">
        <v>12</v>
      </c>
      <c r="K119" s="16" t="s">
        <v>12</v>
      </c>
      <c r="L119" s="16" t="s">
        <v>12</v>
      </c>
      <c r="M119" s="16" t="s">
        <v>12</v>
      </c>
      <c r="N119" s="16" t="s">
        <v>12</v>
      </c>
      <c r="O119" s="16" t="s">
        <v>12</v>
      </c>
      <c r="P119" s="16" t="s">
        <v>13</v>
      </c>
      <c r="Q119" s="16" t="s">
        <v>13</v>
      </c>
      <c r="R119" s="16" t="s">
        <v>13</v>
      </c>
      <c r="S119" s="16" t="s">
        <v>13</v>
      </c>
      <c r="T119" s="16" t="s">
        <v>13</v>
      </c>
      <c r="U119" s="16" t="s">
        <v>13</v>
      </c>
      <c r="V119" s="16" t="s">
        <v>13</v>
      </c>
      <c r="X119" s="34" t="s">
        <v>13</v>
      </c>
    </row>
    <row r="120" spans="1:24">
      <c r="B120" s="4" t="str">
        <f>IF(B10&lt;&gt;"",B10,"[blank]")</f>
        <v>Meter Faults - Domestic</v>
      </c>
      <c r="D120" s="31" t="s">
        <v>60</v>
      </c>
      <c r="O120" s="35"/>
      <c r="P120" s="35">
        <f>$E10*P73</f>
        <v>0</v>
      </c>
      <c r="Q120" s="35">
        <f t="shared" ref="Q120:V120" si="14">$E10*Q73</f>
        <v>399562.67295459518</v>
      </c>
      <c r="R120" s="35">
        <f t="shared" si="14"/>
        <v>411527.66192565893</v>
      </c>
      <c r="S120" s="35">
        <f t="shared" si="14"/>
        <v>424248.26374765998</v>
      </c>
      <c r="T120" s="35">
        <f t="shared" si="14"/>
        <v>438131.76966073934</v>
      </c>
      <c r="U120" s="35">
        <f t="shared" si="14"/>
        <v>453564.43026612507</v>
      </c>
      <c r="V120" s="35">
        <f t="shared" si="14"/>
        <v>469910.53633881581</v>
      </c>
      <c r="X120" s="40">
        <f>SUM(R120:V120)</f>
        <v>2197382.6619389993</v>
      </c>
    </row>
    <row r="121" spans="1:24">
      <c r="B121" s="4" t="str">
        <f t="shared" ref="B121:B134" si="15">IF(B11&lt;&gt;"",B11,"[blank]")</f>
        <v>[blank]</v>
      </c>
      <c r="D121" s="31"/>
      <c r="O121" s="50"/>
      <c r="P121" s="35">
        <f t="shared" ref="P121:V123" si="16">$E11*P74</f>
        <v>0</v>
      </c>
      <c r="Q121" s="35">
        <f t="shared" si="16"/>
        <v>0</v>
      </c>
      <c r="R121" s="35">
        <f t="shared" si="16"/>
        <v>0</v>
      </c>
      <c r="S121" s="35">
        <f t="shared" si="16"/>
        <v>0</v>
      </c>
      <c r="T121" s="35">
        <f t="shared" si="16"/>
        <v>0</v>
      </c>
      <c r="U121" s="35">
        <f t="shared" si="16"/>
        <v>0</v>
      </c>
      <c r="V121" s="35">
        <f t="shared" si="16"/>
        <v>0</v>
      </c>
      <c r="X121" s="40">
        <f t="shared" ref="X121:X134" si="17">SUM(R121:V121)</f>
        <v>0</v>
      </c>
    </row>
    <row r="122" spans="1:24">
      <c r="B122" s="4" t="str">
        <f t="shared" si="15"/>
        <v>[blank]</v>
      </c>
      <c r="P122" s="35">
        <f t="shared" si="16"/>
        <v>0</v>
      </c>
      <c r="Q122" s="35">
        <f t="shared" si="16"/>
        <v>0</v>
      </c>
      <c r="R122" s="35">
        <f t="shared" si="16"/>
        <v>0</v>
      </c>
      <c r="S122" s="35">
        <f t="shared" si="16"/>
        <v>0</v>
      </c>
      <c r="T122" s="35">
        <f t="shared" si="16"/>
        <v>0</v>
      </c>
      <c r="U122" s="35">
        <f t="shared" si="16"/>
        <v>0</v>
      </c>
      <c r="V122" s="35">
        <f t="shared" si="16"/>
        <v>0</v>
      </c>
      <c r="X122" s="40">
        <f t="shared" si="17"/>
        <v>0</v>
      </c>
    </row>
    <row r="123" spans="1:24">
      <c r="B123" s="4" t="str">
        <f t="shared" si="15"/>
        <v>[blank]</v>
      </c>
      <c r="P123" s="35">
        <f t="shared" si="16"/>
        <v>0</v>
      </c>
      <c r="Q123" s="35">
        <f t="shared" si="16"/>
        <v>0</v>
      </c>
      <c r="R123" s="35">
        <f t="shared" si="16"/>
        <v>0</v>
      </c>
      <c r="S123" s="35">
        <f t="shared" si="16"/>
        <v>0</v>
      </c>
      <c r="T123" s="35">
        <f t="shared" si="16"/>
        <v>0</v>
      </c>
      <c r="U123" s="35">
        <f t="shared" si="16"/>
        <v>0</v>
      </c>
      <c r="V123" s="35">
        <f t="shared" si="16"/>
        <v>0</v>
      </c>
      <c r="X123" s="40">
        <f t="shared" si="17"/>
        <v>0</v>
      </c>
    </row>
    <row r="124" spans="1:24">
      <c r="B124" s="4" t="str">
        <f t="shared" si="15"/>
        <v>[blank]</v>
      </c>
      <c r="X124" s="40">
        <f t="shared" si="17"/>
        <v>0</v>
      </c>
    </row>
    <row r="125" spans="1:24">
      <c r="B125" s="4" t="str">
        <f t="shared" si="15"/>
        <v>[blank]</v>
      </c>
      <c r="X125" s="40">
        <f t="shared" si="17"/>
        <v>0</v>
      </c>
    </row>
    <row r="126" spans="1:24">
      <c r="B126" s="4" t="str">
        <f t="shared" si="15"/>
        <v>[blank]</v>
      </c>
      <c r="X126" s="40">
        <f t="shared" si="17"/>
        <v>0</v>
      </c>
    </row>
    <row r="127" spans="1:24">
      <c r="B127" s="4" t="str">
        <f t="shared" si="15"/>
        <v>[blank]</v>
      </c>
      <c r="X127" s="40">
        <f t="shared" si="17"/>
        <v>0</v>
      </c>
    </row>
    <row r="128" spans="1:24">
      <c r="B128" s="4" t="str">
        <f t="shared" si="15"/>
        <v>[blank]</v>
      </c>
      <c r="X128" s="40">
        <f t="shared" si="17"/>
        <v>0</v>
      </c>
    </row>
    <row r="129" spans="1:24">
      <c r="B129" s="4" t="str">
        <f t="shared" si="15"/>
        <v>[blank]</v>
      </c>
      <c r="X129" s="40">
        <f t="shared" si="17"/>
        <v>0</v>
      </c>
    </row>
    <row r="130" spans="1:24">
      <c r="B130" s="4" t="str">
        <f t="shared" si="15"/>
        <v>[blank]</v>
      </c>
      <c r="X130" s="40">
        <f t="shared" si="17"/>
        <v>0</v>
      </c>
    </row>
    <row r="131" spans="1:24">
      <c r="B131" s="4" t="str">
        <f t="shared" si="15"/>
        <v>[blank]</v>
      </c>
      <c r="X131" s="40">
        <f t="shared" si="17"/>
        <v>0</v>
      </c>
    </row>
    <row r="132" spans="1:24">
      <c r="B132" s="4" t="str">
        <f t="shared" si="15"/>
        <v>[blank]</v>
      </c>
      <c r="X132" s="40">
        <f t="shared" si="17"/>
        <v>0</v>
      </c>
    </row>
    <row r="133" spans="1:24">
      <c r="B133" s="4" t="str">
        <f t="shared" si="15"/>
        <v>[blank]</v>
      </c>
      <c r="X133" s="40">
        <f t="shared" si="17"/>
        <v>0</v>
      </c>
    </row>
    <row r="134" spans="1:24">
      <c r="B134" s="4" t="str">
        <f t="shared" si="15"/>
        <v>[blank]</v>
      </c>
      <c r="X134" s="40">
        <f t="shared" si="17"/>
        <v>0</v>
      </c>
    </row>
    <row r="136" spans="1:24" ht="12.75" thickBot="1">
      <c r="B136" s="5" t="s">
        <v>82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8">SUM(P120:P134)</f>
        <v>0</v>
      </c>
      <c r="Q136" s="37">
        <f t="shared" si="18"/>
        <v>399562.67295459518</v>
      </c>
      <c r="R136" s="37">
        <f t="shared" si="18"/>
        <v>411527.66192565893</v>
      </c>
      <c r="S136" s="37">
        <f t="shared" si="18"/>
        <v>424248.26374765998</v>
      </c>
      <c r="T136" s="37">
        <f t="shared" si="18"/>
        <v>438131.76966073934</v>
      </c>
      <c r="U136" s="37">
        <f t="shared" si="18"/>
        <v>453564.43026612507</v>
      </c>
      <c r="V136" s="37">
        <f t="shared" si="18"/>
        <v>469910.53633881581</v>
      </c>
      <c r="X136" s="37">
        <f t="shared" ref="X136" si="19">SUM(R136:V136)</f>
        <v>2197382.6619389993</v>
      </c>
    </row>
    <row r="138" spans="1:24" s="1" customFormat="1">
      <c r="A138" s="4"/>
      <c r="B138" s="2" t="s">
        <v>83</v>
      </c>
    </row>
    <row r="140" spans="1:24">
      <c r="H140" s="190" t="s">
        <v>52</v>
      </c>
      <c r="I140" s="190"/>
      <c r="J140" s="190"/>
      <c r="K140" s="190"/>
      <c r="L140" s="190"/>
      <c r="M140" s="190" t="s">
        <v>53</v>
      </c>
      <c r="N140" s="190"/>
      <c r="O140" s="190"/>
      <c r="P140" s="190"/>
      <c r="Q140" s="190"/>
      <c r="R140" s="190" t="s">
        <v>54</v>
      </c>
      <c r="S140" s="190"/>
      <c r="T140" s="190"/>
      <c r="U140" s="190"/>
      <c r="V140" s="190"/>
      <c r="X140" s="38"/>
    </row>
    <row r="141" spans="1:24">
      <c r="B141" s="43" t="s">
        <v>84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63</v>
      </c>
    </row>
    <row r="142" spans="1:24">
      <c r="B142" s="5" t="s">
        <v>46</v>
      </c>
      <c r="D142" s="29" t="s">
        <v>55</v>
      </c>
      <c r="H142" s="16" t="s">
        <v>12</v>
      </c>
      <c r="I142" s="16" t="s">
        <v>12</v>
      </c>
      <c r="J142" s="16" t="s">
        <v>12</v>
      </c>
      <c r="K142" s="16" t="s">
        <v>12</v>
      </c>
      <c r="L142" s="16" t="s">
        <v>12</v>
      </c>
      <c r="M142" s="16" t="s">
        <v>12</v>
      </c>
      <c r="N142" s="16" t="s">
        <v>12</v>
      </c>
      <c r="O142" s="16" t="s">
        <v>12</v>
      </c>
      <c r="P142" s="16" t="s">
        <v>13</v>
      </c>
      <c r="Q142" s="16" t="s">
        <v>13</v>
      </c>
      <c r="R142" s="16" t="s">
        <v>13</v>
      </c>
      <c r="S142" s="16" t="s">
        <v>13</v>
      </c>
      <c r="T142" s="16" t="s">
        <v>13</v>
      </c>
      <c r="U142" s="16" t="s">
        <v>13</v>
      </c>
      <c r="V142" s="16" t="s">
        <v>13</v>
      </c>
      <c r="X142" s="34" t="s">
        <v>13</v>
      </c>
    </row>
    <row r="143" spans="1:24">
      <c r="B143" s="4" t="str">
        <f>IF(B10&lt;&gt;"",B10,"[blank]")</f>
        <v>Meter Faults - Domestic</v>
      </c>
      <c r="D143" s="31" t="s">
        <v>60</v>
      </c>
      <c r="O143" s="35"/>
      <c r="P143" s="35">
        <f>P97+P120</f>
        <v>0</v>
      </c>
      <c r="Q143" s="35">
        <f t="shared" ref="Q143:V143" si="20">Q97+Q120</f>
        <v>405904.93760466814</v>
      </c>
      <c r="R143" s="35">
        <f t="shared" si="20"/>
        <v>418059.84703559004</v>
      </c>
      <c r="S143" s="35">
        <f t="shared" si="20"/>
        <v>430982.363172226</v>
      </c>
      <c r="T143" s="35">
        <f t="shared" si="20"/>
        <v>445086.24219503679</v>
      </c>
      <c r="U143" s="35">
        <f t="shared" si="20"/>
        <v>460763.86566717469</v>
      </c>
      <c r="V143" s="35">
        <f t="shared" si="20"/>
        <v>477369.43374101922</v>
      </c>
      <c r="X143" s="40">
        <f>SUM(R143:V143)</f>
        <v>2232261.7518110466</v>
      </c>
    </row>
    <row r="144" spans="1:24">
      <c r="B144" s="4" t="str">
        <f t="shared" ref="B144:B157" si="21">IF(B11&lt;&gt;"",B11,"[blank]")</f>
        <v>[blank]</v>
      </c>
      <c r="D144" s="31"/>
      <c r="O144" s="50"/>
      <c r="P144" s="35">
        <f t="shared" ref="P144:V146" si="22">P98+P121</f>
        <v>0</v>
      </c>
      <c r="Q144" s="35">
        <f t="shared" si="22"/>
        <v>0</v>
      </c>
      <c r="R144" s="35">
        <f t="shared" si="22"/>
        <v>0</v>
      </c>
      <c r="S144" s="35">
        <f t="shared" si="22"/>
        <v>0</v>
      </c>
      <c r="T144" s="35">
        <f t="shared" si="22"/>
        <v>0</v>
      </c>
      <c r="U144" s="35">
        <f t="shared" si="22"/>
        <v>0</v>
      </c>
      <c r="V144" s="35">
        <f t="shared" si="22"/>
        <v>0</v>
      </c>
      <c r="X144" s="40">
        <f t="shared" ref="X144:X157" si="23">SUM(R144:V144)</f>
        <v>0</v>
      </c>
    </row>
    <row r="145" spans="2:24">
      <c r="B145" s="4" t="str">
        <f t="shared" si="21"/>
        <v>[blank]</v>
      </c>
      <c r="P145" s="35">
        <f t="shared" si="22"/>
        <v>0</v>
      </c>
      <c r="Q145" s="35">
        <f t="shared" si="22"/>
        <v>0</v>
      </c>
      <c r="R145" s="35">
        <f t="shared" si="22"/>
        <v>0</v>
      </c>
      <c r="S145" s="35">
        <f t="shared" si="22"/>
        <v>0</v>
      </c>
      <c r="T145" s="35">
        <f t="shared" si="22"/>
        <v>0</v>
      </c>
      <c r="U145" s="35">
        <f t="shared" si="22"/>
        <v>0</v>
      </c>
      <c r="V145" s="35">
        <f t="shared" si="22"/>
        <v>0</v>
      </c>
      <c r="X145" s="40">
        <f t="shared" si="23"/>
        <v>0</v>
      </c>
    </row>
    <row r="146" spans="2:24">
      <c r="B146" s="4" t="str">
        <f t="shared" si="21"/>
        <v>[blank]</v>
      </c>
      <c r="P146" s="35">
        <f t="shared" si="22"/>
        <v>0</v>
      </c>
      <c r="Q146" s="35">
        <f t="shared" si="22"/>
        <v>0</v>
      </c>
      <c r="R146" s="35">
        <f t="shared" si="22"/>
        <v>0</v>
      </c>
      <c r="S146" s="35">
        <f t="shared" si="22"/>
        <v>0</v>
      </c>
      <c r="T146" s="35">
        <f t="shared" si="22"/>
        <v>0</v>
      </c>
      <c r="U146" s="35">
        <f t="shared" si="22"/>
        <v>0</v>
      </c>
      <c r="V146" s="35">
        <f t="shared" si="22"/>
        <v>0</v>
      </c>
      <c r="X146" s="40">
        <f t="shared" si="23"/>
        <v>0</v>
      </c>
    </row>
    <row r="147" spans="2:24">
      <c r="B147" s="4" t="str">
        <f t="shared" si="21"/>
        <v>[blank]</v>
      </c>
      <c r="X147" s="40">
        <f t="shared" si="23"/>
        <v>0</v>
      </c>
    </row>
    <row r="148" spans="2:24">
      <c r="B148" s="4" t="str">
        <f t="shared" si="21"/>
        <v>[blank]</v>
      </c>
      <c r="X148" s="40">
        <f t="shared" si="23"/>
        <v>0</v>
      </c>
    </row>
    <row r="149" spans="2:24">
      <c r="B149" s="4" t="str">
        <f t="shared" si="21"/>
        <v>[blank]</v>
      </c>
      <c r="X149" s="40">
        <f t="shared" si="23"/>
        <v>0</v>
      </c>
    </row>
    <row r="150" spans="2:24">
      <c r="B150" s="4" t="str">
        <f t="shared" si="21"/>
        <v>[blank]</v>
      </c>
      <c r="X150" s="40">
        <f t="shared" si="23"/>
        <v>0</v>
      </c>
    </row>
    <row r="151" spans="2:24">
      <c r="B151" s="4" t="str">
        <f t="shared" si="21"/>
        <v>[blank]</v>
      </c>
      <c r="X151" s="40">
        <f t="shared" si="23"/>
        <v>0</v>
      </c>
    </row>
    <row r="152" spans="2:24">
      <c r="B152" s="4" t="str">
        <f t="shared" si="21"/>
        <v>[blank]</v>
      </c>
      <c r="X152" s="40">
        <f t="shared" si="23"/>
        <v>0</v>
      </c>
    </row>
    <row r="153" spans="2:24">
      <c r="B153" s="4" t="str">
        <f t="shared" si="21"/>
        <v>[blank]</v>
      </c>
      <c r="X153" s="40">
        <f t="shared" si="23"/>
        <v>0</v>
      </c>
    </row>
    <row r="154" spans="2:24">
      <c r="B154" s="4" t="str">
        <f t="shared" si="21"/>
        <v>[blank]</v>
      </c>
      <c r="X154" s="40">
        <f t="shared" si="23"/>
        <v>0</v>
      </c>
    </row>
    <row r="155" spans="2:24">
      <c r="B155" s="4" t="str">
        <f t="shared" si="21"/>
        <v>[blank]</v>
      </c>
      <c r="X155" s="40">
        <f t="shared" si="23"/>
        <v>0</v>
      </c>
    </row>
    <row r="156" spans="2:24">
      <c r="B156" s="4" t="str">
        <f t="shared" si="21"/>
        <v>[blank]</v>
      </c>
      <c r="X156" s="40">
        <f t="shared" si="23"/>
        <v>0</v>
      </c>
    </row>
    <row r="157" spans="2:24">
      <c r="B157" s="4" t="str">
        <f t="shared" si="21"/>
        <v>[blank]</v>
      </c>
      <c r="X157" s="40">
        <f t="shared" si="23"/>
        <v>0</v>
      </c>
    </row>
    <row r="159" spans="2:24" ht="12.75" thickBot="1">
      <c r="B159" s="5" t="s">
        <v>85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4">SUM(Q143:Q157)</f>
        <v>405904.93760466814</v>
      </c>
      <c r="R159" s="37">
        <f t="shared" si="24"/>
        <v>418059.84703559004</v>
      </c>
      <c r="S159" s="37">
        <f t="shared" si="24"/>
        <v>430982.363172226</v>
      </c>
      <c r="T159" s="37">
        <f t="shared" si="24"/>
        <v>445086.24219503679</v>
      </c>
      <c r="U159" s="37">
        <f t="shared" si="24"/>
        <v>460763.86566717469</v>
      </c>
      <c r="V159" s="37">
        <f t="shared" si="24"/>
        <v>477369.43374101922</v>
      </c>
      <c r="X159" s="37">
        <f t="shared" ref="X159" si="25">SUM(R159:V159)</f>
        <v>2232261.7518110466</v>
      </c>
    </row>
    <row r="161" spans="1:24" s="1" customFormat="1">
      <c r="A161" s="4"/>
      <c r="B161" s="2" t="s">
        <v>86</v>
      </c>
    </row>
    <row r="163" spans="1:24">
      <c r="H163" s="190" t="s">
        <v>52</v>
      </c>
      <c r="I163" s="190"/>
      <c r="J163" s="190"/>
      <c r="K163" s="190"/>
      <c r="L163" s="190"/>
      <c r="M163" s="190" t="s">
        <v>53</v>
      </c>
      <c r="N163" s="190"/>
      <c r="O163" s="190"/>
      <c r="P163" s="190"/>
      <c r="Q163" s="190"/>
      <c r="R163" s="190" t="s">
        <v>54</v>
      </c>
      <c r="S163" s="190"/>
      <c r="T163" s="190"/>
      <c r="U163" s="190"/>
      <c r="V163" s="190"/>
      <c r="X163" s="38"/>
    </row>
    <row r="164" spans="1:24">
      <c r="B164" s="44" t="s">
        <v>50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63</v>
      </c>
    </row>
    <row r="165" spans="1:24">
      <c r="B165" s="5" t="s">
        <v>46</v>
      </c>
      <c r="D165" s="29" t="s">
        <v>55</v>
      </c>
      <c r="H165" s="16" t="s">
        <v>12</v>
      </c>
      <c r="I165" s="16" t="s">
        <v>12</v>
      </c>
      <c r="J165" s="16" t="s">
        <v>12</v>
      </c>
      <c r="K165" s="16" t="s">
        <v>12</v>
      </c>
      <c r="L165" s="16" t="s">
        <v>12</v>
      </c>
      <c r="M165" s="16" t="s">
        <v>12</v>
      </c>
      <c r="N165" s="16" t="s">
        <v>12</v>
      </c>
      <c r="O165" s="16" t="s">
        <v>12</v>
      </c>
      <c r="P165" s="16" t="s">
        <v>13</v>
      </c>
      <c r="Q165" s="16" t="s">
        <v>13</v>
      </c>
      <c r="R165" s="16" t="s">
        <v>13</v>
      </c>
      <c r="S165" s="16" t="s">
        <v>13</v>
      </c>
      <c r="T165" s="16" t="s">
        <v>13</v>
      </c>
      <c r="U165" s="16" t="s">
        <v>13</v>
      </c>
      <c r="V165" s="16" t="s">
        <v>13</v>
      </c>
      <c r="X165" s="34" t="s">
        <v>13</v>
      </c>
    </row>
    <row r="166" spans="1:24">
      <c r="B166" s="4" t="str">
        <f>IF(B10&lt;&gt;"",B10,"[blank]")</f>
        <v>Meter Faults - Domestic</v>
      </c>
      <c r="D166" s="31" t="s">
        <v>60</v>
      </c>
      <c r="O166" s="35"/>
      <c r="P166" s="35">
        <f>$G10*P73</f>
        <v>0</v>
      </c>
      <c r="Q166" s="35">
        <f t="shared" ref="Q166:V166" si="26">$G10*Q73</f>
        <v>228321.52740262583</v>
      </c>
      <c r="R166" s="35">
        <f t="shared" si="26"/>
        <v>235158.6639575194</v>
      </c>
      <c r="S166" s="35">
        <f t="shared" si="26"/>
        <v>242427.57928437713</v>
      </c>
      <c r="T166" s="35">
        <f t="shared" si="26"/>
        <v>250361.01123470819</v>
      </c>
      <c r="U166" s="35">
        <f t="shared" si="26"/>
        <v>259179.67443778575</v>
      </c>
      <c r="V166" s="35">
        <f t="shared" si="26"/>
        <v>268520.30647932331</v>
      </c>
      <c r="X166" s="40">
        <f>SUM(R166:V166)</f>
        <v>1255647.2353937137</v>
      </c>
    </row>
    <row r="167" spans="1:24">
      <c r="B167" s="4" t="str">
        <f t="shared" ref="B167:B180" si="27">IF(B11&lt;&gt;"",B11,"[blank]")</f>
        <v>[blank]</v>
      </c>
      <c r="D167" s="31"/>
      <c r="O167" s="50"/>
      <c r="P167" s="35">
        <f t="shared" ref="P167:V169" si="28">$G11*P74</f>
        <v>0</v>
      </c>
      <c r="Q167" s="35">
        <f t="shared" si="28"/>
        <v>0</v>
      </c>
      <c r="R167" s="35">
        <f t="shared" si="28"/>
        <v>0</v>
      </c>
      <c r="S167" s="35">
        <f t="shared" si="28"/>
        <v>0</v>
      </c>
      <c r="T167" s="35">
        <f t="shared" si="28"/>
        <v>0</v>
      </c>
      <c r="U167" s="35">
        <f t="shared" si="28"/>
        <v>0</v>
      </c>
      <c r="V167" s="35">
        <f t="shared" si="28"/>
        <v>0</v>
      </c>
      <c r="X167" s="40">
        <f t="shared" ref="X167:X180" si="29">SUM(R167:V167)</f>
        <v>0</v>
      </c>
    </row>
    <row r="168" spans="1:24">
      <c r="B168" s="4" t="str">
        <f t="shared" si="27"/>
        <v>[blank]</v>
      </c>
      <c r="P168" s="35">
        <f t="shared" si="28"/>
        <v>0</v>
      </c>
      <c r="Q168" s="35">
        <f t="shared" si="28"/>
        <v>0</v>
      </c>
      <c r="R168" s="35">
        <f t="shared" si="28"/>
        <v>0</v>
      </c>
      <c r="S168" s="35">
        <f t="shared" si="28"/>
        <v>0</v>
      </c>
      <c r="T168" s="35">
        <f t="shared" si="28"/>
        <v>0</v>
      </c>
      <c r="U168" s="35">
        <f t="shared" si="28"/>
        <v>0</v>
      </c>
      <c r="V168" s="35">
        <f t="shared" si="28"/>
        <v>0</v>
      </c>
      <c r="X168" s="40">
        <f t="shared" si="29"/>
        <v>0</v>
      </c>
    </row>
    <row r="169" spans="1:24">
      <c r="B169" s="4" t="str">
        <f t="shared" si="27"/>
        <v>[blank]</v>
      </c>
      <c r="P169" s="35">
        <f t="shared" si="28"/>
        <v>0</v>
      </c>
      <c r="Q169" s="35">
        <f t="shared" si="28"/>
        <v>0</v>
      </c>
      <c r="R169" s="35">
        <f t="shared" si="28"/>
        <v>0</v>
      </c>
      <c r="S169" s="35">
        <f t="shared" si="28"/>
        <v>0</v>
      </c>
      <c r="T169" s="35">
        <f t="shared" si="28"/>
        <v>0</v>
      </c>
      <c r="U169" s="35">
        <f t="shared" si="28"/>
        <v>0</v>
      </c>
      <c r="V169" s="35">
        <f t="shared" si="28"/>
        <v>0</v>
      </c>
      <c r="X169" s="40">
        <f t="shared" si="29"/>
        <v>0</v>
      </c>
    </row>
    <row r="170" spans="1:24">
      <c r="B170" s="4" t="str">
        <f t="shared" si="27"/>
        <v>[blank]</v>
      </c>
      <c r="X170" s="40">
        <f t="shared" si="29"/>
        <v>0</v>
      </c>
    </row>
    <row r="171" spans="1:24">
      <c r="B171" s="4" t="str">
        <f t="shared" si="27"/>
        <v>[blank]</v>
      </c>
      <c r="X171" s="40">
        <f t="shared" si="29"/>
        <v>0</v>
      </c>
    </row>
    <row r="172" spans="1:24">
      <c r="B172" s="4" t="str">
        <f t="shared" si="27"/>
        <v>[blank]</v>
      </c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1:24">
      <c r="B177" s="4" t="str">
        <f t="shared" si="27"/>
        <v>[blank]</v>
      </c>
      <c r="X177" s="40">
        <f t="shared" si="29"/>
        <v>0</v>
      </c>
    </row>
    <row r="178" spans="1:24">
      <c r="B178" s="4" t="str">
        <f t="shared" si="27"/>
        <v>[blank]</v>
      </c>
      <c r="X178" s="40">
        <f t="shared" si="29"/>
        <v>0</v>
      </c>
    </row>
    <row r="179" spans="1:24">
      <c r="B179" s="4" t="str">
        <f t="shared" si="27"/>
        <v>[blank]</v>
      </c>
      <c r="X179" s="40">
        <f t="shared" si="29"/>
        <v>0</v>
      </c>
    </row>
    <row r="180" spans="1:24">
      <c r="B180" s="4" t="str">
        <f t="shared" si="27"/>
        <v>[blank]</v>
      </c>
      <c r="X180" s="40">
        <f t="shared" si="29"/>
        <v>0</v>
      </c>
    </row>
    <row r="182" spans="1:24" ht="12.75" thickBot="1">
      <c r="B182" s="5" t="s">
        <v>87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30">SUM(Q166:Q180)</f>
        <v>228321.52740262583</v>
      </c>
      <c r="R182" s="37">
        <f t="shared" si="30"/>
        <v>235158.6639575194</v>
      </c>
      <c r="S182" s="37">
        <f t="shared" si="30"/>
        <v>242427.57928437713</v>
      </c>
      <c r="T182" s="37">
        <f t="shared" si="30"/>
        <v>250361.01123470819</v>
      </c>
      <c r="U182" s="37">
        <f t="shared" si="30"/>
        <v>259179.67443778575</v>
      </c>
      <c r="V182" s="37">
        <f t="shared" si="30"/>
        <v>268520.30647932331</v>
      </c>
      <c r="X182" s="37">
        <f t="shared" ref="X182" si="31">SUM(R182:V182)</f>
        <v>1255647.2353937137</v>
      </c>
    </row>
    <row r="184" spans="1:24" s="1" customFormat="1">
      <c r="A184" s="2">
        <v>6</v>
      </c>
      <c r="B184" s="2" t="s">
        <v>89</v>
      </c>
    </row>
    <row r="186" spans="1:24">
      <c r="H186" s="190" t="s">
        <v>52</v>
      </c>
      <c r="I186" s="190"/>
      <c r="J186" s="190"/>
      <c r="K186" s="190"/>
      <c r="L186" s="190"/>
      <c r="M186" s="190" t="s">
        <v>53</v>
      </c>
      <c r="N186" s="190"/>
      <c r="O186" s="190"/>
      <c r="P186" s="190"/>
      <c r="Q186" s="190"/>
      <c r="R186" s="190" t="s">
        <v>54</v>
      </c>
      <c r="S186" s="190"/>
      <c r="T186" s="190"/>
      <c r="U186" s="190"/>
      <c r="V186" s="190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63</v>
      </c>
    </row>
    <row r="188" spans="1:24">
      <c r="B188" s="5" t="s">
        <v>46</v>
      </c>
      <c r="D188" s="29" t="s">
        <v>55</v>
      </c>
      <c r="H188" s="16" t="s">
        <v>12</v>
      </c>
      <c r="I188" s="16" t="s">
        <v>12</v>
      </c>
      <c r="J188" s="16" t="s">
        <v>12</v>
      </c>
      <c r="K188" s="16" t="s">
        <v>12</v>
      </c>
      <c r="L188" s="16" t="s">
        <v>12</v>
      </c>
      <c r="M188" s="16" t="s">
        <v>12</v>
      </c>
      <c r="N188" s="16" t="s">
        <v>12</v>
      </c>
      <c r="O188" s="16" t="s">
        <v>12</v>
      </c>
      <c r="P188" s="16" t="s">
        <v>13</v>
      </c>
      <c r="Q188" s="16" t="s">
        <v>13</v>
      </c>
      <c r="R188" s="16" t="s">
        <v>13</v>
      </c>
      <c r="S188" s="16" t="s">
        <v>13</v>
      </c>
      <c r="T188" s="16" t="s">
        <v>13</v>
      </c>
      <c r="U188" s="16" t="s">
        <v>13</v>
      </c>
      <c r="V188" s="16" t="s">
        <v>13</v>
      </c>
      <c r="X188" s="34" t="s">
        <v>13</v>
      </c>
    </row>
    <row r="189" spans="1:24">
      <c r="B189" s="4" t="str">
        <f>IF(B10&lt;&gt;"",B10,"[blank]")</f>
        <v>Meter Faults - Domestic</v>
      </c>
      <c r="D189" s="31" t="s">
        <v>60</v>
      </c>
      <c r="O189" s="35"/>
      <c r="P189" s="35">
        <f>P73*P$208</f>
        <v>0</v>
      </c>
      <c r="Q189" s="35">
        <f t="shared" ref="Q189:V189" si="32">Q73*Q$208</f>
        <v>47466.584972758399</v>
      </c>
      <c r="R189" s="35">
        <f t="shared" si="32"/>
        <v>47143.308553546158</v>
      </c>
      <c r="S189" s="35">
        <f t="shared" si="32"/>
        <v>51356.32724472777</v>
      </c>
      <c r="T189" s="35">
        <f t="shared" si="32"/>
        <v>53846.15714633352</v>
      </c>
      <c r="U189" s="35">
        <f t="shared" si="32"/>
        <v>58830.677866801074</v>
      </c>
      <c r="V189" s="35">
        <f t="shared" si="32"/>
        <v>62947.569975571882</v>
      </c>
      <c r="X189" s="40">
        <f>SUM(R189:V189)</f>
        <v>274124.04078698042</v>
      </c>
    </row>
    <row r="190" spans="1:24">
      <c r="B190" s="4" t="str">
        <f t="shared" ref="B190:B203" si="33">IF(B11&lt;&gt;"",B11,"[blank]")</f>
        <v>[blank]</v>
      </c>
      <c r="D190" s="31"/>
      <c r="O190" s="50"/>
      <c r="P190" s="35">
        <f t="shared" ref="P190:V192" si="34">P74*P$208</f>
        <v>0</v>
      </c>
      <c r="Q190" s="35">
        <f t="shared" si="34"/>
        <v>0</v>
      </c>
      <c r="R190" s="35">
        <f t="shared" si="34"/>
        <v>0</v>
      </c>
      <c r="S190" s="35">
        <f t="shared" si="34"/>
        <v>0</v>
      </c>
      <c r="T190" s="35">
        <f t="shared" si="34"/>
        <v>0</v>
      </c>
      <c r="U190" s="35">
        <f t="shared" si="34"/>
        <v>0</v>
      </c>
      <c r="V190" s="35">
        <f t="shared" si="34"/>
        <v>0</v>
      </c>
      <c r="X190" s="40">
        <f t="shared" ref="X190:X203" si="35">SUM(R190:V190)</f>
        <v>0</v>
      </c>
    </row>
    <row r="191" spans="1:24">
      <c r="B191" s="4" t="str">
        <f t="shared" si="33"/>
        <v>[blank]</v>
      </c>
      <c r="P191" s="35">
        <f t="shared" si="34"/>
        <v>0</v>
      </c>
      <c r="Q191" s="35">
        <f t="shared" si="34"/>
        <v>0</v>
      </c>
      <c r="R191" s="35">
        <f t="shared" si="34"/>
        <v>0</v>
      </c>
      <c r="S191" s="35">
        <f t="shared" si="34"/>
        <v>0</v>
      </c>
      <c r="T191" s="35">
        <f t="shared" si="34"/>
        <v>0</v>
      </c>
      <c r="U191" s="35">
        <f t="shared" si="34"/>
        <v>0</v>
      </c>
      <c r="V191" s="35">
        <f t="shared" si="34"/>
        <v>0</v>
      </c>
      <c r="X191" s="40">
        <f t="shared" si="35"/>
        <v>0</v>
      </c>
    </row>
    <row r="192" spans="1:24">
      <c r="B192" s="4" t="str">
        <f t="shared" si="33"/>
        <v>[blank]</v>
      </c>
      <c r="P192" s="35">
        <f t="shared" si="34"/>
        <v>0</v>
      </c>
      <c r="Q192" s="35">
        <f t="shared" si="34"/>
        <v>0</v>
      </c>
      <c r="R192" s="35">
        <f t="shared" si="34"/>
        <v>0</v>
      </c>
      <c r="S192" s="35">
        <f t="shared" si="34"/>
        <v>0</v>
      </c>
      <c r="T192" s="35">
        <f t="shared" si="34"/>
        <v>0</v>
      </c>
      <c r="U192" s="35">
        <f t="shared" si="34"/>
        <v>0</v>
      </c>
      <c r="V192" s="35">
        <f t="shared" si="34"/>
        <v>0</v>
      </c>
      <c r="X192" s="40">
        <f t="shared" si="35"/>
        <v>0</v>
      </c>
    </row>
    <row r="193" spans="2:24">
      <c r="B193" s="4" t="str">
        <f t="shared" si="33"/>
        <v>[blank]</v>
      </c>
      <c r="X193" s="40">
        <f t="shared" si="35"/>
        <v>0</v>
      </c>
    </row>
    <row r="194" spans="2:24">
      <c r="B194" s="4" t="str">
        <f t="shared" si="33"/>
        <v>[blank]</v>
      </c>
      <c r="X194" s="40">
        <f t="shared" si="35"/>
        <v>0</v>
      </c>
    </row>
    <row r="195" spans="2:24">
      <c r="B195" s="4" t="str">
        <f t="shared" si="33"/>
        <v>[blank]</v>
      </c>
      <c r="X195" s="40">
        <f t="shared" si="35"/>
        <v>0</v>
      </c>
    </row>
    <row r="196" spans="2:24">
      <c r="B196" s="4" t="str">
        <f t="shared" si="33"/>
        <v>[blank]</v>
      </c>
      <c r="X196" s="40">
        <f t="shared" si="35"/>
        <v>0</v>
      </c>
    </row>
    <row r="197" spans="2:24">
      <c r="B197" s="4" t="str">
        <f t="shared" si="33"/>
        <v>[blank]</v>
      </c>
      <c r="X197" s="40">
        <f t="shared" si="35"/>
        <v>0</v>
      </c>
    </row>
    <row r="198" spans="2:24">
      <c r="B198" s="4" t="str">
        <f t="shared" si="33"/>
        <v>[blank]</v>
      </c>
      <c r="X198" s="40">
        <f t="shared" si="35"/>
        <v>0</v>
      </c>
    </row>
    <row r="199" spans="2:24">
      <c r="B199" s="4" t="str">
        <f t="shared" si="33"/>
        <v>[blank]</v>
      </c>
      <c r="X199" s="40">
        <f t="shared" si="35"/>
        <v>0</v>
      </c>
    </row>
    <row r="200" spans="2:24">
      <c r="B200" s="4" t="str">
        <f t="shared" si="33"/>
        <v>[blank]</v>
      </c>
      <c r="X200" s="40">
        <f t="shared" si="35"/>
        <v>0</v>
      </c>
    </row>
    <row r="201" spans="2:24">
      <c r="B201" s="4" t="str">
        <f t="shared" si="33"/>
        <v>[blank]</v>
      </c>
      <c r="X201" s="40">
        <f t="shared" si="35"/>
        <v>0</v>
      </c>
    </row>
    <row r="202" spans="2:24">
      <c r="B202" s="4" t="str">
        <f t="shared" si="33"/>
        <v>[blank]</v>
      </c>
      <c r="X202" s="40">
        <f t="shared" si="35"/>
        <v>0</v>
      </c>
    </row>
    <row r="203" spans="2:24">
      <c r="B203" s="4" t="str">
        <f t="shared" si="33"/>
        <v>[blank]</v>
      </c>
      <c r="X203" s="40">
        <f t="shared" si="35"/>
        <v>0</v>
      </c>
    </row>
    <row r="205" spans="2:24" ht="12.75" thickBot="1">
      <c r="B205" s="5" t="s">
        <v>88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6">SUM(Q189:Q203)</f>
        <v>47466.584972758399</v>
      </c>
      <c r="R205" s="37">
        <f t="shared" si="36"/>
        <v>47143.308553546158</v>
      </c>
      <c r="S205" s="37">
        <f t="shared" si="36"/>
        <v>51356.32724472777</v>
      </c>
      <c r="T205" s="37">
        <f t="shared" si="36"/>
        <v>53846.15714633352</v>
      </c>
      <c r="U205" s="37">
        <f t="shared" si="36"/>
        <v>58830.677866801074</v>
      </c>
      <c r="V205" s="37">
        <f t="shared" si="36"/>
        <v>62947.569975571882</v>
      </c>
      <c r="X205" s="37">
        <f t="shared" ref="X205" si="37">SUM(R205:V205)</f>
        <v>274124.04078698042</v>
      </c>
    </row>
    <row r="207" spans="2:24">
      <c r="B207" s="4" t="s">
        <v>92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8">Q89</f>
        <v>634226.46500729397</v>
      </c>
      <c r="R207" s="45">
        <f t="shared" si="38"/>
        <v>653218.51099310943</v>
      </c>
      <c r="S207" s="45">
        <f t="shared" si="38"/>
        <v>673409.94245660317</v>
      </c>
      <c r="T207" s="45">
        <f t="shared" si="38"/>
        <v>695447.25342974497</v>
      </c>
      <c r="U207" s="45">
        <f t="shared" si="38"/>
        <v>719943.54010496044</v>
      </c>
      <c r="V207" s="45">
        <f t="shared" si="38"/>
        <v>745889.74022034253</v>
      </c>
      <c r="W207" s="45"/>
      <c r="X207" s="40">
        <f t="shared" si="38"/>
        <v>3487908.9872047603</v>
      </c>
    </row>
    <row r="208" spans="2:24">
      <c r="B208" s="4" t="s">
        <v>90</v>
      </c>
      <c r="H208" s="21" t="str">
        <f>IFERROR(H212/H207,"")</f>
        <v/>
      </c>
      <c r="I208" s="21" t="str">
        <f t="shared" ref="I208:O208" si="39">IFERROR(I212/I207,"")</f>
        <v/>
      </c>
      <c r="J208" s="21" t="str">
        <f t="shared" si="39"/>
        <v/>
      </c>
      <c r="K208" s="21" t="str">
        <f t="shared" si="39"/>
        <v/>
      </c>
      <c r="L208" s="21" t="str">
        <f t="shared" si="39"/>
        <v/>
      </c>
      <c r="M208" s="21" t="str">
        <f t="shared" si="39"/>
        <v/>
      </c>
      <c r="N208" s="21" t="str">
        <f t="shared" si="39"/>
        <v/>
      </c>
      <c r="O208" s="21" t="str">
        <f t="shared" si="39"/>
        <v/>
      </c>
      <c r="P208" s="21">
        <f>'General assumptions'!S54</f>
        <v>0</v>
      </c>
      <c r="Q208" s="21">
        <f>'General assumptions'!T54</f>
        <v>7.4841697077734692E-2</v>
      </c>
      <c r="R208" s="21">
        <f>'General assumptions'!U54</f>
        <v>7.2170809247081261E-2</v>
      </c>
      <c r="S208" s="21">
        <f>'General assumptions'!V54</f>
        <v>7.6263096231367788E-2</v>
      </c>
      <c r="T208" s="21">
        <f>'General assumptions'!W54</f>
        <v>7.7426658716070601E-2</v>
      </c>
      <c r="U208" s="21">
        <f>'General assumptions'!X54</f>
        <v>8.1715682674538839E-2</v>
      </c>
      <c r="V208" s="21">
        <f>'General assumptions'!Y54</f>
        <v>8.4392593946897035E-2</v>
      </c>
      <c r="W208" s="21"/>
    </row>
    <row r="210" spans="1:22" ht="12.75" thickBot="1">
      <c r="B210" s="5" t="s">
        <v>91</v>
      </c>
      <c r="H210" s="37">
        <f t="shared" ref="H210:N210" si="40">IF(H188="forecast",H207*(1+H208),H207+H212)</f>
        <v>0</v>
      </c>
      <c r="I210" s="37">
        <f t="shared" si="40"/>
        <v>0</v>
      </c>
      <c r="J210" s="37">
        <f t="shared" si="40"/>
        <v>0</v>
      </c>
      <c r="K210" s="37">
        <f t="shared" si="40"/>
        <v>0</v>
      </c>
      <c r="L210" s="37">
        <f t="shared" si="40"/>
        <v>0</v>
      </c>
      <c r="M210" s="37">
        <f t="shared" si="40"/>
        <v>0</v>
      </c>
      <c r="N210" s="37">
        <f t="shared" si="40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1">IF(Q188="forecast",Q207*(1+Q208),Q207+Q212)</f>
        <v>681693.0499800524</v>
      </c>
      <c r="R210" s="37">
        <f t="shared" si="41"/>
        <v>700361.81954665552</v>
      </c>
      <c r="S210" s="37">
        <f t="shared" si="41"/>
        <v>724766.26970133092</v>
      </c>
      <c r="T210" s="37">
        <f t="shared" si="41"/>
        <v>749293.41057607846</v>
      </c>
      <c r="U210" s="37">
        <f t="shared" si="41"/>
        <v>778774.21797176159</v>
      </c>
      <c r="V210" s="37">
        <f t="shared" si="41"/>
        <v>808837.31019591435</v>
      </c>
    </row>
    <row r="212" spans="1:22">
      <c r="B212" s="4" t="s">
        <v>18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42">Q210-Q207</f>
        <v>47466.584972758428</v>
      </c>
      <c r="R212" s="45">
        <f t="shared" si="42"/>
        <v>47143.308553546085</v>
      </c>
      <c r="S212" s="45">
        <f t="shared" si="42"/>
        <v>51356.327244727756</v>
      </c>
      <c r="T212" s="45">
        <f t="shared" si="42"/>
        <v>53846.157146333484</v>
      </c>
      <c r="U212" s="45">
        <f t="shared" si="42"/>
        <v>58830.677866801154</v>
      </c>
      <c r="V212" s="45">
        <f t="shared" si="42"/>
        <v>62947.569975571823</v>
      </c>
    </row>
    <row r="214" spans="1:22" s="1" customFormat="1">
      <c r="A214" s="2">
        <v>7</v>
      </c>
      <c r="B214" s="2" t="s">
        <v>74</v>
      </c>
    </row>
    <row r="216" spans="1:22">
      <c r="H216" s="190" t="s">
        <v>52</v>
      </c>
      <c r="I216" s="190"/>
      <c r="J216" s="190"/>
      <c r="K216" s="190"/>
      <c r="L216" s="190"/>
      <c r="M216" s="190" t="s">
        <v>53</v>
      </c>
      <c r="N216" s="190"/>
      <c r="O216" s="190"/>
      <c r="P216" s="190"/>
      <c r="Q216" s="190"/>
      <c r="R216" s="190" t="s">
        <v>54</v>
      </c>
      <c r="S216" s="190"/>
      <c r="T216" s="190"/>
      <c r="U216" s="190"/>
      <c r="V216" s="190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55</v>
      </c>
      <c r="H218" s="16" t="s">
        <v>12</v>
      </c>
      <c r="I218" s="16" t="s">
        <v>12</v>
      </c>
      <c r="J218" s="16" t="s">
        <v>12</v>
      </c>
      <c r="K218" s="16" t="s">
        <v>12</v>
      </c>
      <c r="L218" s="16" t="s">
        <v>12</v>
      </c>
      <c r="M218" s="16" t="s">
        <v>12</v>
      </c>
      <c r="N218" s="16" t="s">
        <v>12</v>
      </c>
      <c r="O218" s="16" t="s">
        <v>12</v>
      </c>
      <c r="P218" s="16" t="s">
        <v>13</v>
      </c>
      <c r="Q218" s="16" t="s">
        <v>13</v>
      </c>
      <c r="R218" s="16" t="s">
        <v>13</v>
      </c>
      <c r="S218" s="16" t="s">
        <v>13</v>
      </c>
      <c r="T218" s="16" t="s">
        <v>13</v>
      </c>
      <c r="U218" s="16" t="s">
        <v>13</v>
      </c>
      <c r="V218" s="16" t="s">
        <v>13</v>
      </c>
    </row>
    <row r="219" spans="1:22">
      <c r="B219" s="5" t="s">
        <v>94</v>
      </c>
      <c r="D219" s="31" t="s">
        <v>105</v>
      </c>
      <c r="H219" s="4" t="str">
        <f t="shared" ref="H219:O219" si="43">IFERROR(-H238/H210,"")</f>
        <v/>
      </c>
      <c r="I219" s="4" t="str">
        <f t="shared" si="43"/>
        <v/>
      </c>
      <c r="J219" s="4" t="str">
        <f t="shared" si="43"/>
        <v/>
      </c>
      <c r="K219" s="4" t="str">
        <f t="shared" si="43"/>
        <v/>
      </c>
      <c r="L219" s="4" t="str">
        <f t="shared" si="43"/>
        <v/>
      </c>
      <c r="M219" s="4" t="str">
        <f t="shared" si="43"/>
        <v/>
      </c>
      <c r="N219" s="4" t="str">
        <f t="shared" si="43"/>
        <v/>
      </c>
      <c r="O219" s="4" t="str">
        <f t="shared" si="43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46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Meter Faults - Domestic</v>
      </c>
      <c r="D222" s="31" t="s">
        <v>60</v>
      </c>
      <c r="P222" s="45">
        <f>(-P73*(1+P$208))*P$219</f>
        <v>0</v>
      </c>
      <c r="Q222" s="45">
        <f t="shared" ref="Q222:V222" si="44">(-Q73*(1+Q$208))*Q$219</f>
        <v>0</v>
      </c>
      <c r="R222" s="45">
        <f t="shared" si="44"/>
        <v>0</v>
      </c>
      <c r="S222" s="45">
        <f t="shared" si="44"/>
        <v>0</v>
      </c>
      <c r="T222" s="45">
        <f t="shared" si="44"/>
        <v>0</v>
      </c>
      <c r="U222" s="45">
        <f t="shared" si="44"/>
        <v>0</v>
      </c>
      <c r="V222" s="45">
        <f t="shared" si="44"/>
        <v>0</v>
      </c>
    </row>
    <row r="223" spans="1:22">
      <c r="B223" s="4" t="str">
        <f t="shared" ref="B223:B236" si="45">IF(B11&lt;&gt;"",B11,"[blank]")</f>
        <v>[blank]</v>
      </c>
      <c r="D223" s="31"/>
      <c r="P223" s="45">
        <f t="shared" ref="P223:V225" si="46">(-P74*(1+P$208))*P$219</f>
        <v>0</v>
      </c>
      <c r="Q223" s="45">
        <f t="shared" si="46"/>
        <v>0</v>
      </c>
      <c r="R223" s="45">
        <f t="shared" si="46"/>
        <v>0</v>
      </c>
      <c r="S223" s="45">
        <f t="shared" si="46"/>
        <v>0</v>
      </c>
      <c r="T223" s="45">
        <f t="shared" si="46"/>
        <v>0</v>
      </c>
      <c r="U223" s="45">
        <f t="shared" si="46"/>
        <v>0</v>
      </c>
      <c r="V223" s="45">
        <f t="shared" si="46"/>
        <v>0</v>
      </c>
    </row>
    <row r="224" spans="1:22">
      <c r="B224" s="4" t="str">
        <f t="shared" si="45"/>
        <v>[blank]</v>
      </c>
      <c r="P224" s="45">
        <f t="shared" si="46"/>
        <v>0</v>
      </c>
      <c r="Q224" s="45">
        <f t="shared" si="46"/>
        <v>0</v>
      </c>
      <c r="R224" s="45">
        <f t="shared" si="46"/>
        <v>0</v>
      </c>
      <c r="S224" s="45">
        <f t="shared" si="46"/>
        <v>0</v>
      </c>
      <c r="T224" s="45">
        <f t="shared" si="46"/>
        <v>0</v>
      </c>
      <c r="U224" s="45">
        <f t="shared" si="46"/>
        <v>0</v>
      </c>
      <c r="V224" s="45">
        <f t="shared" si="46"/>
        <v>0</v>
      </c>
    </row>
    <row r="225" spans="1:22">
      <c r="B225" s="4" t="str">
        <f t="shared" si="45"/>
        <v>[blank]</v>
      </c>
      <c r="P225" s="45">
        <f t="shared" si="46"/>
        <v>0</v>
      </c>
      <c r="Q225" s="45">
        <f t="shared" si="46"/>
        <v>0</v>
      </c>
      <c r="R225" s="45">
        <f t="shared" si="46"/>
        <v>0</v>
      </c>
      <c r="S225" s="45">
        <f t="shared" si="46"/>
        <v>0</v>
      </c>
      <c r="T225" s="45">
        <f t="shared" si="46"/>
        <v>0</v>
      </c>
      <c r="U225" s="45">
        <f t="shared" si="46"/>
        <v>0</v>
      </c>
      <c r="V225" s="45">
        <f t="shared" si="46"/>
        <v>0</v>
      </c>
    </row>
    <row r="226" spans="1:22">
      <c r="B226" s="4" t="str">
        <f t="shared" si="45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45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45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45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45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45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45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45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45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45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45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93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7">-P219*P210</f>
        <v>0</v>
      </c>
      <c r="Q238" s="37">
        <f t="shared" si="47"/>
        <v>0</v>
      </c>
      <c r="R238" s="37">
        <f t="shared" si="47"/>
        <v>0</v>
      </c>
      <c r="S238" s="37">
        <f t="shared" si="47"/>
        <v>0</v>
      </c>
      <c r="T238" s="37">
        <f t="shared" si="47"/>
        <v>0</v>
      </c>
      <c r="U238" s="37">
        <f t="shared" si="47"/>
        <v>0</v>
      </c>
      <c r="V238" s="37">
        <f t="shared" si="47"/>
        <v>0</v>
      </c>
    </row>
    <row r="240" spans="1:22" s="1" customFormat="1">
      <c r="A240" s="2">
        <v>8</v>
      </c>
      <c r="B240" s="2" t="s">
        <v>75</v>
      </c>
    </row>
    <row r="242" spans="1:22">
      <c r="H242" s="190" t="s">
        <v>52</v>
      </c>
      <c r="I242" s="190"/>
      <c r="J242" s="190"/>
      <c r="K242" s="190"/>
      <c r="L242" s="190"/>
      <c r="M242" s="190" t="s">
        <v>53</v>
      </c>
      <c r="N242" s="190"/>
      <c r="O242" s="190"/>
      <c r="P242" s="190"/>
      <c r="Q242" s="190"/>
      <c r="R242" s="190" t="s">
        <v>54</v>
      </c>
      <c r="S242" s="190"/>
      <c r="T242" s="190"/>
      <c r="U242" s="190"/>
      <c r="V242" s="190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55</v>
      </c>
      <c r="H244" s="16" t="s">
        <v>12</v>
      </c>
      <c r="I244" s="16" t="s">
        <v>12</v>
      </c>
      <c r="J244" s="16" t="s">
        <v>12</v>
      </c>
      <c r="K244" s="16" t="s">
        <v>12</v>
      </c>
      <c r="L244" s="16" t="s">
        <v>12</v>
      </c>
      <c r="M244" s="16" t="s">
        <v>12</v>
      </c>
      <c r="N244" s="16" t="s">
        <v>12</v>
      </c>
      <c r="O244" s="16" t="s">
        <v>12</v>
      </c>
      <c r="P244" s="16" t="s">
        <v>13</v>
      </c>
      <c r="Q244" s="16" t="s">
        <v>13</v>
      </c>
      <c r="R244" s="16" t="s">
        <v>13</v>
      </c>
      <c r="S244" s="16" t="s">
        <v>13</v>
      </c>
      <c r="T244" s="16" t="s">
        <v>13</v>
      </c>
      <c r="U244" s="16" t="s">
        <v>13</v>
      </c>
      <c r="V244" s="16" t="s">
        <v>13</v>
      </c>
    </row>
    <row r="245" spans="1:22">
      <c r="B245" s="38" t="s">
        <v>96</v>
      </c>
      <c r="D245" s="31"/>
    </row>
    <row r="246" spans="1:22">
      <c r="B246" s="47" t="s">
        <v>97</v>
      </c>
      <c r="D246" s="31" t="s">
        <v>60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98</v>
      </c>
      <c r="D247" s="31" t="s">
        <v>60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99</v>
      </c>
      <c r="D248" s="31" t="s">
        <v>60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100</v>
      </c>
      <c r="D249" s="31" t="s">
        <v>60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101</v>
      </c>
      <c r="D250" s="31" t="s">
        <v>60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102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8">SUM(Q246:Q250)</f>
        <v>0</v>
      </c>
      <c r="R252" s="49">
        <f t="shared" si="48"/>
        <v>0</v>
      </c>
      <c r="S252" s="49">
        <f t="shared" si="48"/>
        <v>0</v>
      </c>
      <c r="T252" s="49">
        <f t="shared" si="48"/>
        <v>0</v>
      </c>
      <c r="U252" s="49">
        <f t="shared" si="48"/>
        <v>0</v>
      </c>
      <c r="V252" s="49">
        <f t="shared" si="48"/>
        <v>0</v>
      </c>
    </row>
    <row r="254" spans="1:22" s="1" customFormat="1">
      <c r="A254" s="2">
        <v>9</v>
      </c>
      <c r="B254" s="2" t="s">
        <v>103</v>
      </c>
    </row>
    <row r="256" spans="1:22">
      <c r="H256" s="190" t="s">
        <v>52</v>
      </c>
      <c r="I256" s="190"/>
      <c r="J256" s="190"/>
      <c r="K256" s="190"/>
      <c r="L256" s="190"/>
      <c r="M256" s="190" t="s">
        <v>53</v>
      </c>
      <c r="N256" s="190"/>
      <c r="O256" s="190"/>
      <c r="P256" s="190"/>
      <c r="Q256" s="190"/>
      <c r="R256" s="190" t="s">
        <v>54</v>
      </c>
      <c r="S256" s="190"/>
      <c r="T256" s="190"/>
      <c r="U256" s="190"/>
      <c r="V256" s="190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55</v>
      </c>
      <c r="H258" s="16" t="s">
        <v>12</v>
      </c>
      <c r="I258" s="16" t="s">
        <v>12</v>
      </c>
      <c r="J258" s="16" t="s">
        <v>12</v>
      </c>
      <c r="K258" s="16" t="s">
        <v>12</v>
      </c>
      <c r="L258" s="16" t="s">
        <v>12</v>
      </c>
      <c r="M258" s="16" t="s">
        <v>12</v>
      </c>
      <c r="N258" s="16" t="s">
        <v>12</v>
      </c>
      <c r="O258" s="16" t="s">
        <v>12</v>
      </c>
      <c r="P258" s="16" t="s">
        <v>13</v>
      </c>
      <c r="Q258" s="16" t="s">
        <v>13</v>
      </c>
      <c r="R258" s="16" t="s">
        <v>13</v>
      </c>
      <c r="S258" s="16" t="s">
        <v>13</v>
      </c>
      <c r="T258" s="16" t="s">
        <v>13</v>
      </c>
      <c r="U258" s="16" t="s">
        <v>13</v>
      </c>
      <c r="V258" s="16" t="s">
        <v>13</v>
      </c>
    </row>
    <row r="259" spans="1:22">
      <c r="B259" s="4" t="s">
        <v>104</v>
      </c>
      <c r="D259" s="31" t="s">
        <v>60</v>
      </c>
      <c r="H259" s="45">
        <f t="shared" ref="H259:V259" si="49">H210</f>
        <v>0</v>
      </c>
      <c r="I259" s="45">
        <f t="shared" si="49"/>
        <v>0</v>
      </c>
      <c r="J259" s="45">
        <f t="shared" si="49"/>
        <v>0</v>
      </c>
      <c r="K259" s="45">
        <f t="shared" si="49"/>
        <v>0</v>
      </c>
      <c r="L259" s="45">
        <f t="shared" si="49"/>
        <v>0</v>
      </c>
      <c r="M259" s="45">
        <f t="shared" si="49"/>
        <v>0</v>
      </c>
      <c r="N259" s="45">
        <f t="shared" si="49"/>
        <v>0</v>
      </c>
      <c r="O259" s="45">
        <f t="shared" si="49"/>
        <v>0</v>
      </c>
      <c r="P259" s="45">
        <f t="shared" si="49"/>
        <v>0</v>
      </c>
      <c r="Q259" s="45">
        <f t="shared" si="49"/>
        <v>681693.0499800524</v>
      </c>
      <c r="R259" s="45">
        <f t="shared" si="49"/>
        <v>700361.81954665552</v>
      </c>
      <c r="S259" s="45">
        <f t="shared" si="49"/>
        <v>724766.26970133092</v>
      </c>
      <c r="T259" s="45">
        <f t="shared" si="49"/>
        <v>749293.41057607846</v>
      </c>
      <c r="U259" s="45">
        <f t="shared" si="49"/>
        <v>778774.21797176159</v>
      </c>
      <c r="V259" s="45">
        <f t="shared" si="49"/>
        <v>808837.31019591435</v>
      </c>
    </row>
    <row r="260" spans="1:22">
      <c r="B260" s="4" t="s">
        <v>74</v>
      </c>
      <c r="D260" s="31" t="s">
        <v>60</v>
      </c>
      <c r="H260" s="45">
        <f>H238</f>
        <v>0</v>
      </c>
      <c r="I260" s="45">
        <f t="shared" ref="I260:V260" si="50">I238</f>
        <v>0</v>
      </c>
      <c r="J260" s="45">
        <f t="shared" si="50"/>
        <v>0</v>
      </c>
      <c r="K260" s="45">
        <f t="shared" si="50"/>
        <v>0</v>
      </c>
      <c r="L260" s="45">
        <f t="shared" si="50"/>
        <v>0</v>
      </c>
      <c r="M260" s="45">
        <f t="shared" si="50"/>
        <v>0</v>
      </c>
      <c r="N260" s="45">
        <f t="shared" si="50"/>
        <v>0</v>
      </c>
      <c r="O260" s="45">
        <f t="shared" si="50"/>
        <v>0</v>
      </c>
      <c r="P260" s="45">
        <f t="shared" si="50"/>
        <v>0</v>
      </c>
      <c r="Q260" s="45">
        <f t="shared" si="50"/>
        <v>0</v>
      </c>
      <c r="R260" s="45">
        <f t="shared" si="50"/>
        <v>0</v>
      </c>
      <c r="S260" s="45">
        <f t="shared" si="50"/>
        <v>0</v>
      </c>
      <c r="T260" s="45">
        <f t="shared" si="50"/>
        <v>0</v>
      </c>
      <c r="U260" s="45">
        <f t="shared" si="50"/>
        <v>0</v>
      </c>
      <c r="V260" s="45">
        <f t="shared" si="50"/>
        <v>0</v>
      </c>
    </row>
    <row r="261" spans="1:22">
      <c r="B261" s="4" t="s">
        <v>75</v>
      </c>
      <c r="D261" s="31" t="s">
        <v>60</v>
      </c>
      <c r="H261" s="45">
        <f>H252</f>
        <v>0</v>
      </c>
      <c r="I261" s="45">
        <f t="shared" ref="I261:V261" si="51">I252</f>
        <v>0</v>
      </c>
      <c r="J261" s="45">
        <f t="shared" si="51"/>
        <v>0</v>
      </c>
      <c r="K261" s="45">
        <f t="shared" si="51"/>
        <v>0</v>
      </c>
      <c r="L261" s="45">
        <f t="shared" si="51"/>
        <v>0</v>
      </c>
      <c r="M261" s="45">
        <f t="shared" si="51"/>
        <v>0</v>
      </c>
      <c r="N261" s="45">
        <f t="shared" si="51"/>
        <v>0</v>
      </c>
      <c r="O261" s="45">
        <f t="shared" si="51"/>
        <v>0</v>
      </c>
      <c r="P261" s="45">
        <f t="shared" si="51"/>
        <v>0</v>
      </c>
      <c r="Q261" s="45">
        <f t="shared" si="51"/>
        <v>0</v>
      </c>
      <c r="R261" s="45">
        <f t="shared" si="51"/>
        <v>0</v>
      </c>
      <c r="S261" s="45">
        <f t="shared" si="51"/>
        <v>0</v>
      </c>
      <c r="T261" s="45">
        <f t="shared" si="51"/>
        <v>0</v>
      </c>
      <c r="U261" s="45">
        <f t="shared" si="51"/>
        <v>0</v>
      </c>
      <c r="V261" s="45">
        <f t="shared" si="51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103</v>
      </c>
      <c r="D263" s="31" t="s">
        <v>60</v>
      </c>
      <c r="H263" s="37">
        <f>SUM(H259:H261)</f>
        <v>0</v>
      </c>
      <c r="I263" s="37">
        <f t="shared" ref="I263:V263" si="52">SUM(I259:I261)</f>
        <v>0</v>
      </c>
      <c r="J263" s="37">
        <f t="shared" si="52"/>
        <v>0</v>
      </c>
      <c r="K263" s="37">
        <f t="shared" si="52"/>
        <v>0</v>
      </c>
      <c r="L263" s="37">
        <f t="shared" si="52"/>
        <v>0</v>
      </c>
      <c r="M263" s="37">
        <f t="shared" si="52"/>
        <v>0</v>
      </c>
      <c r="N263" s="37">
        <f t="shared" si="52"/>
        <v>0</v>
      </c>
      <c r="O263" s="37">
        <f t="shared" si="52"/>
        <v>0</v>
      </c>
      <c r="P263" s="37">
        <f t="shared" si="52"/>
        <v>0</v>
      </c>
      <c r="Q263" s="37">
        <f t="shared" si="52"/>
        <v>681693.0499800524</v>
      </c>
      <c r="R263" s="37">
        <f t="shared" si="52"/>
        <v>700361.81954665552</v>
      </c>
      <c r="S263" s="37">
        <f t="shared" si="52"/>
        <v>724766.26970133092</v>
      </c>
      <c r="T263" s="37">
        <f t="shared" si="52"/>
        <v>749293.41057607846</v>
      </c>
      <c r="U263" s="37">
        <f t="shared" si="52"/>
        <v>778774.21797176159</v>
      </c>
      <c r="V263" s="37">
        <f t="shared" si="52"/>
        <v>808837.31019591435</v>
      </c>
    </row>
    <row r="264" spans="1:22">
      <c r="D264" s="31"/>
    </row>
    <row r="266" spans="1:22" s="66" customFormat="1">
      <c r="A266" s="65">
        <v>10</v>
      </c>
      <c r="B266" s="65" t="s">
        <v>121</v>
      </c>
    </row>
    <row r="268" spans="1:22">
      <c r="B268" s="69" t="s">
        <v>120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320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53">IFERROR(SUMPRODUCT($Z$73:$Z$87,Q$73:Q$87)/SUM(Q$73:Q$87)*Q$89,0)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62">
        <f t="shared" si="53"/>
        <v>0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54">IFERROR(SUMPRODUCT($AA$73:$AA$87,Q$73:Q$87)/SUM(Q$73:Q$87)*Q$89,0)</f>
        <v>0</v>
      </c>
      <c r="R277" s="57">
        <f t="shared" si="54"/>
        <v>0</v>
      </c>
      <c r="S277" s="57">
        <f t="shared" si="54"/>
        <v>0</v>
      </c>
      <c r="T277" s="57">
        <f t="shared" si="54"/>
        <v>0</v>
      </c>
      <c r="U277" s="57">
        <f t="shared" si="54"/>
        <v>0</v>
      </c>
      <c r="V277" s="62">
        <f t="shared" si="54"/>
        <v>0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5">IFERROR(SUMPRODUCT($AB$73:$AB$87,Q$73:Q$87)/SUM(Q$73:Q$87)*Q$89,0)</f>
        <v>0</v>
      </c>
      <c r="R278" s="57">
        <f t="shared" si="55"/>
        <v>0</v>
      </c>
      <c r="S278" s="57">
        <f t="shared" si="55"/>
        <v>0</v>
      </c>
      <c r="T278" s="57">
        <f t="shared" si="55"/>
        <v>0</v>
      </c>
      <c r="U278" s="57">
        <f t="shared" si="55"/>
        <v>0</v>
      </c>
      <c r="V278" s="62">
        <f t="shared" si="55"/>
        <v>0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6">IFERROR(SUMPRODUCT($AC$73:$AC$87,Q$73:Q$87)/SUM(Q$73:Q$87)*Q$89,0)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7">IFERROR(SUMPRODUCT($AD$73:$AD$87,Q$73:Q$87)/SUM(Q$73:Q$87)*Q$89,0)</f>
        <v>0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58">IFERROR(SUMPRODUCT($AE$73:$AE$87,Q$73:Q$87)/SUM(Q$73:Q$87)*Q$89,0)</f>
        <v>634226.46500729397</v>
      </c>
      <c r="R281" s="57">
        <f t="shared" si="58"/>
        <v>653218.51099310943</v>
      </c>
      <c r="S281" s="57">
        <f t="shared" si="58"/>
        <v>673409.94245660317</v>
      </c>
      <c r="T281" s="57">
        <f t="shared" si="58"/>
        <v>695447.25342974497</v>
      </c>
      <c r="U281" s="57">
        <f t="shared" si="58"/>
        <v>719943.54010496044</v>
      </c>
      <c r="V281" s="62">
        <f t="shared" si="58"/>
        <v>745889.74022034253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59">IFERROR(SUMPRODUCT($AF$73:$AF$87,Q$73:Q$87)/SUM(Q$73:Q$87)*Q$89,0)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0">IFERROR(SUMPRODUCT($AG$73:$AG$87,Q$73:Q$87)/SUM(Q$73:Q$87)*Q$89,0)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1">IFERROR(SUMPRODUCT($AH$73:$AH$87,Q$73:Q$87)/SUM(Q$73:Q$87)*Q$89,0)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62">IFERROR(SUMPRODUCT($AI$73:$AI$87,Q$73:Q$87)/SUM(Q$73:Q$87)*Q$89,0)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63">IFERROR(SUMPRODUCT($AJ$73:$AJ$87,Q$73:Q$87)/SUM(Q$73:Q$87)*Q$89,0)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634226.46500729397</v>
      </c>
      <c r="R288" s="37">
        <f t="shared" si="64"/>
        <v>653218.51099310943</v>
      </c>
      <c r="S288" s="37">
        <f t="shared" si="64"/>
        <v>673409.94245660317</v>
      </c>
      <c r="T288" s="37">
        <f t="shared" si="64"/>
        <v>695447.25342974497</v>
      </c>
      <c r="U288" s="37">
        <f t="shared" si="64"/>
        <v>719943.54010496044</v>
      </c>
      <c r="V288" s="64">
        <f t="shared" si="64"/>
        <v>745889.74022034253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255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P276*(1+P$208)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0</v>
      </c>
      <c r="R298" s="57">
        <f t="shared" si="65"/>
        <v>0</v>
      </c>
      <c r="S298" s="57">
        <f t="shared" si="65"/>
        <v>0</v>
      </c>
      <c r="T298" s="57">
        <f t="shared" si="65"/>
        <v>0</v>
      </c>
      <c r="U298" s="57">
        <f t="shared" si="65"/>
        <v>0</v>
      </c>
      <c r="V298" s="62">
        <f t="shared" si="65"/>
        <v>0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0</v>
      </c>
      <c r="R299" s="57">
        <f t="shared" si="65"/>
        <v>0</v>
      </c>
      <c r="S299" s="57">
        <f t="shared" si="65"/>
        <v>0</v>
      </c>
      <c r="T299" s="57">
        <f t="shared" si="65"/>
        <v>0</v>
      </c>
      <c r="U299" s="57">
        <f t="shared" si="65"/>
        <v>0</v>
      </c>
      <c r="V299" s="62">
        <f t="shared" si="65"/>
        <v>0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0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681693.0499800524</v>
      </c>
      <c r="R302" s="57">
        <f t="shared" si="65"/>
        <v>700361.81954665552</v>
      </c>
      <c r="S302" s="57">
        <f t="shared" si="65"/>
        <v>724766.26970133092</v>
      </c>
      <c r="T302" s="57">
        <f t="shared" si="65"/>
        <v>749293.41057607846</v>
      </c>
      <c r="U302" s="57">
        <f t="shared" si="65"/>
        <v>778774.21797176159</v>
      </c>
      <c r="V302" s="62">
        <f t="shared" si="65"/>
        <v>808837.31019591435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681693.0499800524</v>
      </c>
      <c r="R309" s="37">
        <f t="shared" si="66"/>
        <v>700361.81954665552</v>
      </c>
      <c r="S309" s="37">
        <f t="shared" si="66"/>
        <v>724766.26970133092</v>
      </c>
      <c r="T309" s="37">
        <f t="shared" si="66"/>
        <v>749293.41057607846</v>
      </c>
      <c r="U309" s="37">
        <f t="shared" si="66"/>
        <v>778774.21797176159</v>
      </c>
      <c r="V309" s="64">
        <f t="shared" si="66"/>
        <v>808837.31019591435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256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P297*(1-P$219)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0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0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0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681693.0499800524</v>
      </c>
      <c r="R323" s="57">
        <f t="shared" si="67"/>
        <v>700361.81954665552</v>
      </c>
      <c r="S323" s="57">
        <f t="shared" si="67"/>
        <v>724766.26970133092</v>
      </c>
      <c r="T323" s="57">
        <f t="shared" si="67"/>
        <v>749293.41057607846</v>
      </c>
      <c r="U323" s="57">
        <f t="shared" si="67"/>
        <v>778774.21797176159</v>
      </c>
      <c r="V323" s="62">
        <f t="shared" si="67"/>
        <v>808837.31019591435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681693.0499800524</v>
      </c>
      <c r="R330" s="37">
        <f t="shared" si="68"/>
        <v>700361.81954665552</v>
      </c>
      <c r="S330" s="37">
        <f t="shared" si="68"/>
        <v>724766.26970133092</v>
      </c>
      <c r="T330" s="37">
        <f t="shared" si="68"/>
        <v>749293.41057607846</v>
      </c>
      <c r="U330" s="37">
        <f t="shared" si="68"/>
        <v>778774.21797176159</v>
      </c>
      <c r="V330" s="64">
        <f t="shared" si="68"/>
        <v>808837.31019591435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257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69">Q297*Q$219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P298*P$219</f>
        <v>0</v>
      </c>
      <c r="Q340" s="57">
        <f t="shared" si="69"/>
        <v>0</v>
      </c>
      <c r="R340" s="57">
        <f t="shared" si="69"/>
        <v>0</v>
      </c>
      <c r="S340" s="57">
        <f t="shared" si="69"/>
        <v>0</v>
      </c>
      <c r="T340" s="57">
        <f t="shared" si="69"/>
        <v>0</v>
      </c>
      <c r="U340" s="57">
        <f t="shared" si="69"/>
        <v>0</v>
      </c>
      <c r="V340" s="62">
        <f t="shared" si="69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0</v>
      </c>
      <c r="R341" s="57">
        <f t="shared" si="69"/>
        <v>0</v>
      </c>
      <c r="S341" s="57">
        <f t="shared" si="69"/>
        <v>0</v>
      </c>
      <c r="T341" s="57">
        <f t="shared" si="69"/>
        <v>0</v>
      </c>
      <c r="U341" s="57">
        <f t="shared" si="69"/>
        <v>0</v>
      </c>
      <c r="V341" s="62">
        <f t="shared" si="69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0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0</v>
      </c>
      <c r="R344" s="57">
        <f t="shared" si="69"/>
        <v>0</v>
      </c>
      <c r="S344" s="57">
        <f t="shared" si="69"/>
        <v>0</v>
      </c>
      <c r="T344" s="57">
        <f t="shared" si="69"/>
        <v>0</v>
      </c>
      <c r="U344" s="57">
        <f t="shared" si="69"/>
        <v>0</v>
      </c>
      <c r="V344" s="62">
        <f t="shared" si="69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0</v>
      </c>
      <c r="R351" s="37">
        <f t="shared" si="71"/>
        <v>0</v>
      </c>
      <c r="S351" s="37">
        <f t="shared" si="71"/>
        <v>0</v>
      </c>
      <c r="T351" s="37">
        <f t="shared" si="71"/>
        <v>0</v>
      </c>
      <c r="U351" s="37">
        <f t="shared" si="71"/>
        <v>0</v>
      </c>
      <c r="V351" s="64">
        <f t="shared" si="7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255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72">IFERROR(SUMPRODUCT($AM$73:$AM$87,Q$73:Q$87)/SUM(Q$73:Q$87)*Q$89,0)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73">IFERROR(SUMPRODUCT($AN$73:$AN$87,Q$73:Q$87)/SUM(Q$73:Q$87)*Q$89,0)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74">IFERROR(SUMPRODUCT($AO$73:$AO$87,Q$73:Q$87)/SUM(Q$73:Q$87)*Q$89,0)</f>
        <v>0</v>
      </c>
      <c r="R364" s="57">
        <f t="shared" si="74"/>
        <v>0</v>
      </c>
      <c r="S364" s="57">
        <f t="shared" si="74"/>
        <v>0</v>
      </c>
      <c r="T364" s="57">
        <f t="shared" si="74"/>
        <v>0</v>
      </c>
      <c r="U364" s="57">
        <f t="shared" si="74"/>
        <v>0</v>
      </c>
      <c r="V364" s="62">
        <f t="shared" si="74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5">IFERROR(SUMPRODUCT($AP$73:$AP$87,Q$73:Q$87)/SUM(Q$73:Q$87)*Q$89,0)</f>
        <v>634226.46500729397</v>
      </c>
      <c r="R365" s="57">
        <f t="shared" si="75"/>
        <v>653218.51099310943</v>
      </c>
      <c r="S365" s="57">
        <f t="shared" si="75"/>
        <v>673409.94245660317</v>
      </c>
      <c r="T365" s="57">
        <f t="shared" si="75"/>
        <v>695447.25342974497</v>
      </c>
      <c r="U365" s="57">
        <f t="shared" si="75"/>
        <v>719943.54010496044</v>
      </c>
      <c r="V365" s="62">
        <f t="shared" si="75"/>
        <v>745889.74022034253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6">IFERROR(SUMPRODUCT($AQ$73:$AQ$87,Q$73:Q$87)/SUM(Q$73:Q$87)*Q$89,0)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7">IFERROR(SUMPRODUCT($AR$73:$AR$87,Q$73:Q$87)/SUM(Q$73:Q$87)*Q$89,0)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78">IFERROR(SUMPRODUCT($AS$73:$AS$87,Q$73:Q$87)/SUM(Q$73:Q$87)*Q$89,0)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79">IFERROR(SUMPRODUCT($AT$73:$AT$87,Q$73:Q$87)/SUM(Q$73:Q$87)*Q$89,0)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0">IFERROR(SUMPRODUCT($AU$73:$AU$87,Q$73:Q$87)/SUM(Q$73:Q$87)*Q$89,0)</f>
        <v>0</v>
      </c>
      <c r="R370" s="57">
        <f t="shared" si="80"/>
        <v>0</v>
      </c>
      <c r="S370" s="57">
        <f t="shared" si="80"/>
        <v>0</v>
      </c>
      <c r="T370" s="57">
        <f t="shared" si="80"/>
        <v>0</v>
      </c>
      <c r="U370" s="57">
        <f t="shared" si="80"/>
        <v>0</v>
      </c>
      <c r="V370" s="62">
        <f t="shared" si="80"/>
        <v>0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1">IFERROR(SUMPRODUCT($AV$73:$AV$87,Q$73:Q$87)/SUM(Q$73:Q$87)*Q$89,0)</f>
        <v>0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82">IFERROR(SUMPRODUCT($AW$73:$AW$87,Q$73:Q$87)/SUM(Q$73:Q$87)*Q$89,0)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83">Q238</f>
        <v>0</v>
      </c>
      <c r="R373" s="57">
        <f t="shared" si="83"/>
        <v>0</v>
      </c>
      <c r="S373" s="57">
        <f t="shared" si="83"/>
        <v>0</v>
      </c>
      <c r="T373" s="57">
        <f t="shared" si="83"/>
        <v>0</v>
      </c>
      <c r="U373" s="57">
        <f t="shared" si="83"/>
        <v>0</v>
      </c>
      <c r="V373" s="62">
        <f t="shared" si="83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84">Q252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85">SUM(Q362:Q372)*Q208</f>
        <v>47466.584972758399</v>
      </c>
      <c r="R375" s="57">
        <f t="shared" si="85"/>
        <v>47143.308553546158</v>
      </c>
      <c r="S375" s="57">
        <f t="shared" si="85"/>
        <v>51356.32724472777</v>
      </c>
      <c r="T375" s="57">
        <f t="shared" si="85"/>
        <v>53846.15714633352</v>
      </c>
      <c r="U375" s="57">
        <f t="shared" si="85"/>
        <v>58830.677866801074</v>
      </c>
      <c r="V375" s="57">
        <f t="shared" si="85"/>
        <v>62947.569975571882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681693.0499800524</v>
      </c>
      <c r="R377" s="37">
        <f t="shared" si="86"/>
        <v>700361.81954665564</v>
      </c>
      <c r="S377" s="37">
        <f t="shared" si="86"/>
        <v>724766.26970133092</v>
      </c>
      <c r="T377" s="37">
        <f t="shared" si="86"/>
        <v>749293.41057607846</v>
      </c>
      <c r="U377" s="37">
        <f t="shared" si="86"/>
        <v>778774.21797176148</v>
      </c>
      <c r="V377" s="64">
        <f t="shared" si="86"/>
        <v>808837.31019591447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255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7">IFERROR(SUMPRODUCT($BB$73:$BB$87,Q$73:Q$87)/SUM(Q$73:Q$87)*Q$89*(1+Q$208),0)</f>
        <v>0</v>
      </c>
      <c r="R388" s="57">
        <f t="shared" si="87"/>
        <v>0</v>
      </c>
      <c r="S388" s="57">
        <f t="shared" si="87"/>
        <v>0</v>
      </c>
      <c r="T388" s="57">
        <f t="shared" si="87"/>
        <v>0</v>
      </c>
      <c r="U388" s="57">
        <f t="shared" si="87"/>
        <v>0</v>
      </c>
      <c r="V388" s="62">
        <f t="shared" si="87"/>
        <v>0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88">IFERROR(SUMPRODUCT($BC$73:$BC$87,Q$73:Q$87)/SUM(Q$73:Q$87)*Q$89*(1+Q$208),0)</f>
        <v>681693.0499800524</v>
      </c>
      <c r="R389" s="57">
        <f t="shared" si="88"/>
        <v>700361.81954665552</v>
      </c>
      <c r="S389" s="57">
        <f t="shared" si="88"/>
        <v>724766.26970133092</v>
      </c>
      <c r="T389" s="57">
        <f t="shared" si="88"/>
        <v>749293.41057607846</v>
      </c>
      <c r="U389" s="57">
        <f t="shared" si="88"/>
        <v>778774.21797176159</v>
      </c>
      <c r="V389" s="62">
        <f t="shared" si="88"/>
        <v>808837.31019591435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89">IFERROR(SUMPRODUCT($BD$73:$BD$87,Q$73:Q$87)/SUM(Q$73:Q$87)*Q$89*(1+Q$208),0)</f>
        <v>0</v>
      </c>
      <c r="R390" s="57">
        <f t="shared" si="89"/>
        <v>0</v>
      </c>
      <c r="S390" s="57">
        <f t="shared" si="89"/>
        <v>0</v>
      </c>
      <c r="T390" s="57">
        <f t="shared" si="89"/>
        <v>0</v>
      </c>
      <c r="U390" s="57">
        <f t="shared" si="89"/>
        <v>0</v>
      </c>
      <c r="V390" s="62">
        <f t="shared" si="89"/>
        <v>0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0">IFERROR(SUMPRODUCT($BE$73:$BE$87,Q$73:Q$87)/SUM(Q$73:Q$87)*Q$89*(1+Q$208),0)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62">
        <f t="shared" si="90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1">IFERROR(SUMPRODUCT($BF$73:$BF$87,Q$73:Q$87)/SUM(Q$73:Q$87)*Q$89*(1+Q$208),0)</f>
        <v>0</v>
      </c>
      <c r="R392" s="57">
        <f t="shared" si="91"/>
        <v>0</v>
      </c>
      <c r="S392" s="57">
        <f t="shared" si="91"/>
        <v>0</v>
      </c>
      <c r="T392" s="57">
        <f t="shared" si="91"/>
        <v>0</v>
      </c>
      <c r="U392" s="57">
        <f t="shared" si="91"/>
        <v>0</v>
      </c>
      <c r="V392" s="62">
        <f t="shared" si="91"/>
        <v>0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92">IFERROR(SUMPRODUCT($BG$73:$BG$87,Q$73:Q$87)/SUM(Q$73:Q$87)*Q$89*(1+Q$208),0)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62">
        <f t="shared" si="92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93">IFERROR(SUMPRODUCT($BH$73:$BH$87,Q$73:Q$87)/SUM(Q$73:Q$87)*Q$89*(1+Q$208),0)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62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681693.0499800524</v>
      </c>
      <c r="R396" s="37">
        <f t="shared" si="94"/>
        <v>700361.81954665552</v>
      </c>
      <c r="S396" s="37">
        <f t="shared" si="94"/>
        <v>724766.26970133092</v>
      </c>
      <c r="T396" s="37">
        <f t="shared" si="94"/>
        <v>749293.41057607846</v>
      </c>
      <c r="U396" s="37">
        <f t="shared" si="94"/>
        <v>778774.21797176159</v>
      </c>
      <c r="V396" s="64">
        <f t="shared" si="94"/>
        <v>808837.31019591435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I399"/>
  <sheetViews>
    <sheetView topLeftCell="H10" workbookViewId="0">
      <selection activeCell="V34" sqref="V3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2</v>
      </c>
    </row>
    <row r="2" spans="1:7" s="1" customFormat="1">
      <c r="A2" s="3" t="s">
        <v>175</v>
      </c>
    </row>
    <row r="3" spans="1:7" s="1" customFormat="1">
      <c r="A3" s="3" t="s">
        <v>95</v>
      </c>
    </row>
    <row r="4" spans="1:7" s="1" customFormat="1">
      <c r="A4" s="22" t="s">
        <v>43</v>
      </c>
    </row>
    <row r="6" spans="1:7" s="1" customFormat="1">
      <c r="A6" s="2">
        <v>2</v>
      </c>
      <c r="B6" s="2" t="s">
        <v>45</v>
      </c>
    </row>
    <row r="9" spans="1:7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</row>
    <row r="10" spans="1:7">
      <c r="B10" s="8" t="s">
        <v>169</v>
      </c>
      <c r="D10" s="10">
        <v>0.01</v>
      </c>
      <c r="E10" s="10">
        <v>0.16</v>
      </c>
      <c r="F10" s="26">
        <f>D10+E10</f>
        <v>0.17</v>
      </c>
      <c r="G10" s="26">
        <f>1-F10</f>
        <v>0.83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51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90" t="s">
        <v>52</v>
      </c>
      <c r="I28" s="190"/>
      <c r="J28" s="190"/>
      <c r="K28" s="190"/>
      <c r="L28" s="190"/>
      <c r="M28" s="190" t="s">
        <v>53</v>
      </c>
      <c r="N28" s="190"/>
      <c r="O28" s="190"/>
      <c r="P28" s="190"/>
      <c r="Q28" s="190"/>
      <c r="R28" s="190" t="s">
        <v>54</v>
      </c>
      <c r="S28" s="190"/>
      <c r="T28" s="190"/>
      <c r="U28" s="190"/>
      <c r="V28" s="190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>IF(B10&lt;&gt;"",B10,"[blank]")</f>
        <v>Time Expired</v>
      </c>
      <c r="D31" s="31" t="s">
        <v>171</v>
      </c>
      <c r="E31" s="31"/>
      <c r="P31" s="104"/>
      <c r="Q31" s="184"/>
      <c r="R31" s="184"/>
      <c r="S31" s="184"/>
      <c r="T31" s="184"/>
      <c r="U31" s="184"/>
      <c r="V31" s="184"/>
      <c r="X31" s="20"/>
    </row>
    <row r="32" spans="1:24">
      <c r="B32" s="4" t="str">
        <f t="shared" ref="B32:B45" si="0">IF(B11&lt;&gt;"",B11,"[blank]")</f>
        <v>[blank]</v>
      </c>
      <c r="D32" s="31"/>
      <c r="E32" s="31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P34" s="67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</row>
    <row r="36" spans="1:24">
      <c r="B36" s="4" t="str">
        <f t="shared" si="0"/>
        <v>[blank]</v>
      </c>
      <c r="D36" s="31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7" spans="1:24" s="1" customFormat="1">
      <c r="A47" s="2">
        <v>4</v>
      </c>
      <c r="B47" s="2" t="s">
        <v>56</v>
      </c>
    </row>
    <row r="49" spans="2:24">
      <c r="H49" s="190" t="s">
        <v>52</v>
      </c>
      <c r="I49" s="190"/>
      <c r="J49" s="190"/>
      <c r="K49" s="190"/>
      <c r="L49" s="190"/>
      <c r="M49" s="190" t="s">
        <v>53</v>
      </c>
      <c r="N49" s="190"/>
      <c r="O49" s="190"/>
      <c r="P49" s="190"/>
      <c r="Q49" s="190"/>
      <c r="R49" s="190" t="s">
        <v>54</v>
      </c>
      <c r="S49" s="190"/>
      <c r="T49" s="190"/>
      <c r="U49" s="190"/>
      <c r="V49" s="190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46</v>
      </c>
      <c r="D51" s="29" t="s">
        <v>55</v>
      </c>
      <c r="H51" s="16" t="s">
        <v>12</v>
      </c>
      <c r="I51" s="16" t="s">
        <v>12</v>
      </c>
      <c r="J51" s="16" t="s">
        <v>12</v>
      </c>
      <c r="K51" s="16" t="s">
        <v>12</v>
      </c>
      <c r="L51" s="16" t="s">
        <v>12</v>
      </c>
      <c r="M51" s="16" t="s">
        <v>12</v>
      </c>
      <c r="N51" s="16" t="s">
        <v>12</v>
      </c>
      <c r="O51" s="16" t="s">
        <v>12</v>
      </c>
      <c r="P51" s="16" t="s">
        <v>13</v>
      </c>
      <c r="Q51" s="16" t="s">
        <v>13</v>
      </c>
      <c r="R51" s="16" t="s">
        <v>13</v>
      </c>
      <c r="S51" s="16" t="s">
        <v>13</v>
      </c>
      <c r="T51" s="16" t="s">
        <v>13</v>
      </c>
      <c r="U51" s="16" t="s">
        <v>13</v>
      </c>
      <c r="V51" s="16" t="s">
        <v>13</v>
      </c>
    </row>
    <row r="52" spans="2:24">
      <c r="B52" s="4" t="str">
        <f>IF(B10&lt;&gt;"",B10,"[blank]")</f>
        <v>Time Expired</v>
      </c>
      <c r="D52" s="31" t="s">
        <v>174</v>
      </c>
      <c r="P52" s="77"/>
      <c r="Q52" s="184"/>
      <c r="R52" s="184"/>
      <c r="S52" s="184"/>
      <c r="T52" s="184"/>
      <c r="U52" s="184"/>
      <c r="V52" s="184"/>
      <c r="X52" s="20"/>
    </row>
    <row r="53" spans="2:24">
      <c r="B53" s="4" t="str">
        <f t="shared" ref="B53:B66" si="1">IF(B11&lt;&gt;"",B11,"[blank]")</f>
        <v>[blank]</v>
      </c>
      <c r="D53" s="31"/>
      <c r="X53" s="20"/>
    </row>
    <row r="54" spans="2:24">
      <c r="B54" s="4" t="str">
        <f t="shared" si="1"/>
        <v>[blank]</v>
      </c>
      <c r="D54" s="31"/>
      <c r="X54" s="20"/>
    </row>
    <row r="55" spans="2:24">
      <c r="B55" s="4" t="str">
        <f t="shared" si="1"/>
        <v>[blank]</v>
      </c>
      <c r="D55" s="31"/>
      <c r="X55" s="20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61</v>
      </c>
    </row>
    <row r="69" spans="1:61">
      <c r="Z69" s="5" t="s">
        <v>73</v>
      </c>
      <c r="AM69" s="5" t="s">
        <v>110</v>
      </c>
      <c r="BB69" s="5" t="s">
        <v>133</v>
      </c>
    </row>
    <row r="70" spans="1:61">
      <c r="H70" s="190" t="s">
        <v>52</v>
      </c>
      <c r="I70" s="190"/>
      <c r="J70" s="190"/>
      <c r="K70" s="190"/>
      <c r="L70" s="190"/>
      <c r="M70" s="190" t="s">
        <v>53</v>
      </c>
      <c r="N70" s="190"/>
      <c r="O70" s="190"/>
      <c r="P70" s="190"/>
      <c r="Q70" s="190"/>
      <c r="R70" s="190" t="s">
        <v>54</v>
      </c>
      <c r="S70" s="190"/>
      <c r="T70" s="190"/>
      <c r="U70" s="190"/>
      <c r="V70" s="190"/>
      <c r="X70" s="38"/>
      <c r="Z70" s="39" t="s">
        <v>69</v>
      </c>
      <c r="AA70" s="39" t="s">
        <v>70</v>
      </c>
      <c r="AB70" s="39" t="s">
        <v>71</v>
      </c>
      <c r="AC70" s="39" t="s">
        <v>72</v>
      </c>
      <c r="AD70" s="39" t="s">
        <v>64</v>
      </c>
      <c r="AE70" s="39" t="s">
        <v>65</v>
      </c>
      <c r="AF70" s="39" t="s">
        <v>66</v>
      </c>
      <c r="AG70" s="39" t="s">
        <v>107</v>
      </c>
      <c r="AH70" s="39" t="s">
        <v>67</v>
      </c>
      <c r="AI70" s="39" t="s">
        <v>68</v>
      </c>
      <c r="AJ70" s="39" t="s">
        <v>108</v>
      </c>
      <c r="AM70" s="39" t="s">
        <v>111</v>
      </c>
      <c r="AN70" s="39" t="s">
        <v>112</v>
      </c>
      <c r="AO70" s="39" t="s">
        <v>113</v>
      </c>
      <c r="AP70" s="39" t="s">
        <v>114</v>
      </c>
      <c r="AQ70" s="39" t="s">
        <v>115</v>
      </c>
      <c r="AR70" s="39" t="s">
        <v>36</v>
      </c>
      <c r="AS70" s="39" t="s">
        <v>116</v>
      </c>
      <c r="AT70" s="39" t="s">
        <v>35</v>
      </c>
      <c r="AU70" s="39" t="s">
        <v>117</v>
      </c>
      <c r="AV70" s="39" t="s">
        <v>118</v>
      </c>
      <c r="AW70" s="39" t="s">
        <v>119</v>
      </c>
      <c r="AX70" s="39" t="s">
        <v>74</v>
      </c>
      <c r="AY70" s="39" t="s">
        <v>75</v>
      </c>
      <c r="BB70" s="39" t="s">
        <v>134</v>
      </c>
      <c r="BC70" s="39" t="s">
        <v>135</v>
      </c>
      <c r="BD70" s="39" t="s">
        <v>136</v>
      </c>
      <c r="BE70" s="39" t="s">
        <v>107</v>
      </c>
      <c r="BF70" s="39" t="s">
        <v>137</v>
      </c>
      <c r="BG70" s="39" t="s">
        <v>138</v>
      </c>
      <c r="BH70" s="39" t="s">
        <v>108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63</v>
      </c>
    </row>
    <row r="72" spans="1:61">
      <c r="B72" s="5" t="s">
        <v>46</v>
      </c>
      <c r="D72" s="29" t="s">
        <v>55</v>
      </c>
      <c r="H72" s="16" t="s">
        <v>12</v>
      </c>
      <c r="I72" s="16" t="s">
        <v>12</v>
      </c>
      <c r="J72" s="16" t="s">
        <v>12</v>
      </c>
      <c r="K72" s="16" t="s">
        <v>12</v>
      </c>
      <c r="L72" s="16" t="s">
        <v>12</v>
      </c>
      <c r="M72" s="16" t="s">
        <v>12</v>
      </c>
      <c r="N72" s="16" t="s">
        <v>12</v>
      </c>
      <c r="O72" s="16" t="s">
        <v>12</v>
      </c>
      <c r="P72" s="16" t="s">
        <v>13</v>
      </c>
      <c r="Q72" s="16" t="s">
        <v>13</v>
      </c>
      <c r="R72" s="16" t="s">
        <v>13</v>
      </c>
      <c r="S72" s="16" t="s">
        <v>13</v>
      </c>
      <c r="T72" s="16" t="s">
        <v>13</v>
      </c>
      <c r="U72" s="16" t="s">
        <v>13</v>
      </c>
      <c r="V72" s="16" t="s">
        <v>13</v>
      </c>
      <c r="X72" s="34" t="s">
        <v>13</v>
      </c>
    </row>
    <row r="73" spans="1:61">
      <c r="B73" s="4" t="str">
        <f>IF(B10&lt;&gt;"",B10,"[blank]")</f>
        <v>Time Expired</v>
      </c>
      <c r="D73" s="31" t="s">
        <v>60</v>
      </c>
      <c r="O73" s="35"/>
      <c r="P73" s="35">
        <v>0</v>
      </c>
      <c r="Q73" s="35">
        <v>615153.98046793579</v>
      </c>
      <c r="R73" s="35">
        <v>697913.97740609862</v>
      </c>
      <c r="S73" s="35">
        <v>791933.63403170288</v>
      </c>
      <c r="T73" s="35">
        <v>732792.10195605806</v>
      </c>
      <c r="U73" s="35">
        <v>624084.40514359297</v>
      </c>
      <c r="V73" s="35">
        <v>543172.61477197823</v>
      </c>
      <c r="X73" s="40">
        <f>SUM(R73:V73)</f>
        <v>3389896.733309431</v>
      </c>
      <c r="Z73" s="10"/>
      <c r="AA73" s="10"/>
      <c r="AB73" s="10"/>
      <c r="AC73" s="10"/>
      <c r="AD73" s="10"/>
      <c r="AE73" s="10">
        <v>1</v>
      </c>
      <c r="AF73" s="10"/>
      <c r="AG73" s="10"/>
      <c r="AH73" s="10"/>
      <c r="AI73" s="10"/>
      <c r="AJ73" s="10"/>
      <c r="AK73" s="41">
        <f t="shared" ref="AK73:AK87" si="2">SUM(Z73:AI73)</f>
        <v>1</v>
      </c>
      <c r="AM73" s="10"/>
      <c r="AN73" s="10"/>
      <c r="AO73" s="10"/>
      <c r="AP73" s="10"/>
      <c r="AQ73" s="10">
        <v>1</v>
      </c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3">SUM(AM73:AY73)</f>
        <v>1</v>
      </c>
      <c r="BB73" s="10"/>
      <c r="BC73" s="10"/>
      <c r="BD73" s="10">
        <v>1</v>
      </c>
      <c r="BE73" s="10"/>
      <c r="BF73" s="10"/>
      <c r="BG73" s="10"/>
      <c r="BH73" s="10"/>
      <c r="BI73" s="41">
        <f t="shared" ref="BI73:BI87" si="4">SUM(BB73:BH73)</f>
        <v>1</v>
      </c>
    </row>
    <row r="74" spans="1:61">
      <c r="B74" s="4" t="str">
        <f t="shared" ref="B74:B87" si="5">IF(B11&lt;&gt;"",B11,"[blank]")</f>
        <v>[blank]</v>
      </c>
      <c r="D74" s="31"/>
      <c r="O74" s="50"/>
      <c r="P74" s="35"/>
      <c r="Q74" s="35"/>
      <c r="R74" s="35"/>
      <c r="S74" s="35"/>
      <c r="T74" s="35"/>
      <c r="U74" s="35"/>
      <c r="V74" s="35"/>
      <c r="X74" s="40">
        <f t="shared" ref="X74:X89" si="6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2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3"/>
        <v>0</v>
      </c>
      <c r="BB74" s="10"/>
      <c r="BC74" s="10"/>
      <c r="BD74" s="10"/>
      <c r="BE74" s="10"/>
      <c r="BF74" s="10"/>
      <c r="BG74" s="10"/>
      <c r="BH74" s="10"/>
      <c r="BI74" s="41">
        <f t="shared" si="4"/>
        <v>0</v>
      </c>
    </row>
    <row r="75" spans="1:61">
      <c r="B75" s="4" t="str">
        <f t="shared" si="5"/>
        <v>[blank]</v>
      </c>
      <c r="P75" s="35"/>
      <c r="Q75" s="35"/>
      <c r="R75" s="35"/>
      <c r="S75" s="35"/>
      <c r="T75" s="35"/>
      <c r="U75" s="35"/>
      <c r="V75" s="35"/>
      <c r="X75" s="40">
        <f t="shared" si="6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2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3"/>
        <v>0</v>
      </c>
      <c r="BB75" s="10"/>
      <c r="BC75" s="10"/>
      <c r="BD75" s="10"/>
      <c r="BE75" s="10"/>
      <c r="BF75" s="10"/>
      <c r="BG75" s="10"/>
      <c r="BH75" s="10"/>
      <c r="BI75" s="41">
        <f t="shared" si="4"/>
        <v>0</v>
      </c>
    </row>
    <row r="76" spans="1:61">
      <c r="B76" s="4" t="str">
        <f t="shared" si="5"/>
        <v>[blank]</v>
      </c>
      <c r="P76" s="35"/>
      <c r="Q76" s="35"/>
      <c r="R76" s="35"/>
      <c r="S76" s="35"/>
      <c r="T76" s="35"/>
      <c r="U76" s="35"/>
      <c r="V76" s="35"/>
      <c r="X76" s="40">
        <f t="shared" si="6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2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3"/>
        <v>0</v>
      </c>
      <c r="BB76" s="10"/>
      <c r="BC76" s="10"/>
      <c r="BD76" s="10"/>
      <c r="BE76" s="10"/>
      <c r="BF76" s="10"/>
      <c r="BG76" s="10"/>
      <c r="BH76" s="10"/>
      <c r="BI76" s="41">
        <f t="shared" si="4"/>
        <v>0</v>
      </c>
    </row>
    <row r="77" spans="1:61">
      <c r="B77" s="4" t="str">
        <f t="shared" si="5"/>
        <v>[blank]</v>
      </c>
      <c r="P77" s="35"/>
      <c r="X77" s="40">
        <f t="shared" si="6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2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3"/>
        <v>0</v>
      </c>
      <c r="BB77" s="10"/>
      <c r="BC77" s="10"/>
      <c r="BD77" s="10"/>
      <c r="BE77" s="10"/>
      <c r="BF77" s="10"/>
      <c r="BG77" s="10"/>
      <c r="BH77" s="10"/>
      <c r="BI77" s="41">
        <f t="shared" si="4"/>
        <v>0</v>
      </c>
    </row>
    <row r="78" spans="1:61">
      <c r="B78" s="4" t="str">
        <f t="shared" si="5"/>
        <v>[blank]</v>
      </c>
      <c r="P78" s="35"/>
      <c r="X78" s="40">
        <f t="shared" si="6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2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3"/>
        <v>0</v>
      </c>
      <c r="BB78" s="10"/>
      <c r="BC78" s="10"/>
      <c r="BD78" s="10"/>
      <c r="BE78" s="10"/>
      <c r="BF78" s="10"/>
      <c r="BG78" s="10"/>
      <c r="BH78" s="10"/>
      <c r="BI78" s="41">
        <f t="shared" si="4"/>
        <v>0</v>
      </c>
    </row>
    <row r="79" spans="1:61">
      <c r="B79" s="4" t="str">
        <f t="shared" si="5"/>
        <v>[blank]</v>
      </c>
      <c r="P79" s="35"/>
      <c r="X79" s="40">
        <f t="shared" si="6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2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3"/>
        <v>0</v>
      </c>
      <c r="BB79" s="10"/>
      <c r="BC79" s="10"/>
      <c r="BD79" s="10"/>
      <c r="BE79" s="10"/>
      <c r="BF79" s="10"/>
      <c r="BG79" s="10"/>
      <c r="BH79" s="10"/>
      <c r="BI79" s="41">
        <f t="shared" si="4"/>
        <v>0</v>
      </c>
    </row>
    <row r="80" spans="1:61">
      <c r="B80" s="4" t="str">
        <f t="shared" si="5"/>
        <v>[blank]</v>
      </c>
      <c r="P80" s="35"/>
      <c r="X80" s="40">
        <f t="shared" si="6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2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3"/>
        <v>0</v>
      </c>
      <c r="BB80" s="10"/>
      <c r="BC80" s="10"/>
      <c r="BD80" s="10"/>
      <c r="BE80" s="10"/>
      <c r="BF80" s="10"/>
      <c r="BG80" s="10"/>
      <c r="BH80" s="10"/>
      <c r="BI80" s="41">
        <f t="shared" si="4"/>
        <v>0</v>
      </c>
    </row>
    <row r="81" spans="1:61">
      <c r="B81" s="4" t="str">
        <f t="shared" si="5"/>
        <v>[blank]</v>
      </c>
      <c r="P81" s="35"/>
      <c r="X81" s="40">
        <f t="shared" si="6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2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3"/>
        <v>0</v>
      </c>
      <c r="BB81" s="10"/>
      <c r="BC81" s="10"/>
      <c r="BD81" s="10"/>
      <c r="BE81" s="10"/>
      <c r="BF81" s="10"/>
      <c r="BG81" s="10"/>
      <c r="BH81" s="10"/>
      <c r="BI81" s="41">
        <f t="shared" si="4"/>
        <v>0</v>
      </c>
    </row>
    <row r="82" spans="1:61">
      <c r="B82" s="4" t="str">
        <f t="shared" si="5"/>
        <v>[blank]</v>
      </c>
      <c r="P82" s="35"/>
      <c r="X82" s="40">
        <f t="shared" si="6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2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3"/>
        <v>0</v>
      </c>
      <c r="BB82" s="10"/>
      <c r="BC82" s="10"/>
      <c r="BD82" s="10"/>
      <c r="BE82" s="10"/>
      <c r="BF82" s="10"/>
      <c r="BG82" s="10"/>
      <c r="BH82" s="10"/>
      <c r="BI82" s="41">
        <f t="shared" si="4"/>
        <v>0</v>
      </c>
    </row>
    <row r="83" spans="1:61">
      <c r="B83" s="4" t="str">
        <f t="shared" si="5"/>
        <v>[blank]</v>
      </c>
      <c r="P83" s="35"/>
      <c r="X83" s="40">
        <f t="shared" si="6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2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3"/>
        <v>0</v>
      </c>
      <c r="BB83" s="10"/>
      <c r="BC83" s="10"/>
      <c r="BD83" s="10"/>
      <c r="BE83" s="10"/>
      <c r="BF83" s="10"/>
      <c r="BG83" s="10"/>
      <c r="BH83" s="10"/>
      <c r="BI83" s="41">
        <f t="shared" si="4"/>
        <v>0</v>
      </c>
    </row>
    <row r="84" spans="1:61">
      <c r="B84" s="4" t="str">
        <f t="shared" si="5"/>
        <v>[blank]</v>
      </c>
      <c r="P84" s="35"/>
      <c r="X84" s="40">
        <f t="shared" si="6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2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3"/>
        <v>0</v>
      </c>
      <c r="BB84" s="10"/>
      <c r="BC84" s="10"/>
      <c r="BD84" s="10"/>
      <c r="BE84" s="10"/>
      <c r="BF84" s="10"/>
      <c r="BG84" s="10"/>
      <c r="BH84" s="10"/>
      <c r="BI84" s="41">
        <f t="shared" si="4"/>
        <v>0</v>
      </c>
    </row>
    <row r="85" spans="1:61">
      <c r="B85" s="4" t="str">
        <f t="shared" si="5"/>
        <v>[blank]</v>
      </c>
      <c r="P85" s="35"/>
      <c r="X85" s="40">
        <f t="shared" si="6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2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3"/>
        <v>0</v>
      </c>
      <c r="BB85" s="10"/>
      <c r="BC85" s="10"/>
      <c r="BD85" s="10"/>
      <c r="BE85" s="10"/>
      <c r="BF85" s="10"/>
      <c r="BG85" s="10"/>
      <c r="BH85" s="10"/>
      <c r="BI85" s="41">
        <f t="shared" si="4"/>
        <v>0</v>
      </c>
    </row>
    <row r="86" spans="1:61">
      <c r="B86" s="4" t="str">
        <f t="shared" si="5"/>
        <v>[blank]</v>
      </c>
      <c r="P86" s="35"/>
      <c r="X86" s="40">
        <f t="shared" si="6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2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3"/>
        <v>0</v>
      </c>
      <c r="BB86" s="10"/>
      <c r="BC86" s="10"/>
      <c r="BD86" s="10"/>
      <c r="BE86" s="10"/>
      <c r="BF86" s="10"/>
      <c r="BG86" s="10"/>
      <c r="BH86" s="10"/>
      <c r="BI86" s="41">
        <f t="shared" si="4"/>
        <v>0</v>
      </c>
    </row>
    <row r="87" spans="1:61">
      <c r="B87" s="4" t="str">
        <f t="shared" si="5"/>
        <v>[blank]</v>
      </c>
      <c r="P87" s="35"/>
      <c r="X87" s="40">
        <f t="shared" si="6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2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3"/>
        <v>0</v>
      </c>
      <c r="BB87" s="10"/>
      <c r="BC87" s="10"/>
      <c r="BD87" s="10"/>
      <c r="BE87" s="10"/>
      <c r="BF87" s="10"/>
      <c r="BG87" s="10"/>
      <c r="BH87" s="10"/>
      <c r="BI87" s="41">
        <f t="shared" si="4"/>
        <v>0</v>
      </c>
    </row>
    <row r="88" spans="1:61">
      <c r="P88" s="35"/>
    </row>
    <row r="89" spans="1:61" ht="12.75" thickBot="1">
      <c r="B89" s="5" t="s">
        <v>62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7">SUM(P73:P87)</f>
        <v>0</v>
      </c>
      <c r="Q89" s="37">
        <f t="shared" si="7"/>
        <v>615153.98046793579</v>
      </c>
      <c r="R89" s="37">
        <f t="shared" si="7"/>
        <v>697913.97740609862</v>
      </c>
      <c r="S89" s="37">
        <f t="shared" si="7"/>
        <v>791933.63403170288</v>
      </c>
      <c r="T89" s="37">
        <f t="shared" si="7"/>
        <v>732792.10195605806</v>
      </c>
      <c r="U89" s="37">
        <f t="shared" si="7"/>
        <v>624084.40514359297</v>
      </c>
      <c r="V89" s="37">
        <f t="shared" si="7"/>
        <v>543172.61477197823</v>
      </c>
      <c r="X89" s="37">
        <f t="shared" si="6"/>
        <v>3389896.733309431</v>
      </c>
    </row>
    <row r="91" spans="1:61">
      <c r="B91" s="5" t="s">
        <v>76</v>
      </c>
    </row>
    <row r="92" spans="1:61" s="1" customFormat="1">
      <c r="A92" s="4"/>
      <c r="B92" s="2" t="s">
        <v>77</v>
      </c>
    </row>
    <row r="94" spans="1:61">
      <c r="H94" s="190" t="s">
        <v>52</v>
      </c>
      <c r="I94" s="190"/>
      <c r="J94" s="190"/>
      <c r="K94" s="190"/>
      <c r="L94" s="190"/>
      <c r="M94" s="190" t="s">
        <v>53</v>
      </c>
      <c r="N94" s="190"/>
      <c r="O94" s="190"/>
      <c r="P94" s="190"/>
      <c r="Q94" s="190"/>
      <c r="R94" s="190" t="s">
        <v>54</v>
      </c>
      <c r="S94" s="190"/>
      <c r="T94" s="190"/>
      <c r="U94" s="190"/>
      <c r="V94" s="190"/>
      <c r="X94" s="38"/>
    </row>
    <row r="95" spans="1:61">
      <c r="B95" s="42" t="s">
        <v>79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63</v>
      </c>
    </row>
    <row r="96" spans="1:61">
      <c r="B96" s="5" t="s">
        <v>46</v>
      </c>
      <c r="D96" s="29" t="s">
        <v>55</v>
      </c>
      <c r="H96" s="16" t="s">
        <v>12</v>
      </c>
      <c r="I96" s="16" t="s">
        <v>12</v>
      </c>
      <c r="J96" s="16" t="s">
        <v>12</v>
      </c>
      <c r="K96" s="16" t="s">
        <v>12</v>
      </c>
      <c r="L96" s="16" t="s">
        <v>12</v>
      </c>
      <c r="M96" s="16" t="s">
        <v>12</v>
      </c>
      <c r="N96" s="16" t="s">
        <v>12</v>
      </c>
      <c r="O96" s="16" t="s">
        <v>12</v>
      </c>
      <c r="P96" s="16" t="s">
        <v>13</v>
      </c>
      <c r="Q96" s="16" t="s">
        <v>13</v>
      </c>
      <c r="R96" s="16" t="s">
        <v>13</v>
      </c>
      <c r="S96" s="16" t="s">
        <v>13</v>
      </c>
      <c r="T96" s="16" t="s">
        <v>13</v>
      </c>
      <c r="U96" s="16" t="s">
        <v>13</v>
      </c>
      <c r="V96" s="16" t="s">
        <v>13</v>
      </c>
      <c r="X96" s="34" t="s">
        <v>13</v>
      </c>
    </row>
    <row r="97" spans="2:24">
      <c r="B97" s="4" t="str">
        <f>IF(B10&lt;&gt;"",B10,"[blank]")</f>
        <v>Time Expired</v>
      </c>
      <c r="D97" s="31" t="s">
        <v>60</v>
      </c>
      <c r="O97" s="35"/>
      <c r="P97" s="35">
        <f>$D10*P73</f>
        <v>0</v>
      </c>
      <c r="Q97" s="35">
        <f t="shared" ref="Q97:V97" si="8">$D10*Q73</f>
        <v>6151.539804679358</v>
      </c>
      <c r="R97" s="35">
        <f t="shared" si="8"/>
        <v>6979.1397740609864</v>
      </c>
      <c r="S97" s="35">
        <f t="shared" si="8"/>
        <v>7919.3363403170288</v>
      </c>
      <c r="T97" s="35">
        <f t="shared" si="8"/>
        <v>7327.921019560581</v>
      </c>
      <c r="U97" s="35">
        <f t="shared" si="8"/>
        <v>6240.8440514359299</v>
      </c>
      <c r="V97" s="35">
        <f t="shared" si="8"/>
        <v>5431.7261477197826</v>
      </c>
      <c r="X97" s="40">
        <f>SUM(R97:V97)</f>
        <v>33898.967333094311</v>
      </c>
    </row>
    <row r="98" spans="2:24">
      <c r="B98" s="4" t="str">
        <f t="shared" ref="B98:B111" si="9">IF(B11&lt;&gt;"",B11,"[blank]")</f>
        <v>[blank]</v>
      </c>
      <c r="D98" s="31"/>
      <c r="O98" s="50"/>
      <c r="P98" s="35"/>
      <c r="Q98" s="35"/>
      <c r="R98" s="35"/>
      <c r="S98" s="35"/>
      <c r="T98" s="35"/>
      <c r="U98" s="35"/>
      <c r="V98" s="35"/>
      <c r="X98" s="40">
        <f t="shared" ref="X98:X111" si="10">SUM(R98:V98)</f>
        <v>0</v>
      </c>
    </row>
    <row r="99" spans="2:24">
      <c r="B99" s="4" t="str">
        <f t="shared" si="9"/>
        <v>[blank]</v>
      </c>
      <c r="P99" s="35"/>
      <c r="Q99" s="35"/>
      <c r="R99" s="35"/>
      <c r="S99" s="35"/>
      <c r="T99" s="35"/>
      <c r="U99" s="35"/>
      <c r="V99" s="35"/>
      <c r="X99" s="40">
        <f t="shared" si="10"/>
        <v>0</v>
      </c>
    </row>
    <row r="100" spans="2:24">
      <c r="B100" s="4" t="str">
        <f t="shared" si="9"/>
        <v>[blank]</v>
      </c>
      <c r="P100" s="35"/>
      <c r="Q100" s="35"/>
      <c r="R100" s="35"/>
      <c r="S100" s="35"/>
      <c r="T100" s="35"/>
      <c r="U100" s="35"/>
      <c r="V100" s="35"/>
      <c r="X100" s="40">
        <f t="shared" si="10"/>
        <v>0</v>
      </c>
    </row>
    <row r="101" spans="2:24">
      <c r="B101" s="4" t="str">
        <f t="shared" si="9"/>
        <v>[blank]</v>
      </c>
      <c r="X101" s="40">
        <f t="shared" si="10"/>
        <v>0</v>
      </c>
    </row>
    <row r="102" spans="2:24">
      <c r="B102" s="4" t="str">
        <f t="shared" si="9"/>
        <v>[blank]</v>
      </c>
      <c r="X102" s="40">
        <f t="shared" si="10"/>
        <v>0</v>
      </c>
    </row>
    <row r="103" spans="2:24">
      <c r="B103" s="4" t="str">
        <f t="shared" si="9"/>
        <v>[blank]</v>
      </c>
      <c r="X103" s="40">
        <f t="shared" si="10"/>
        <v>0</v>
      </c>
    </row>
    <row r="104" spans="2:24">
      <c r="B104" s="4" t="str">
        <f t="shared" si="9"/>
        <v>[blank]</v>
      </c>
      <c r="X104" s="40">
        <f t="shared" si="10"/>
        <v>0</v>
      </c>
    </row>
    <row r="105" spans="2:24">
      <c r="B105" s="4" t="str">
        <f t="shared" si="9"/>
        <v>[blank]</v>
      </c>
      <c r="X105" s="40">
        <f t="shared" si="10"/>
        <v>0</v>
      </c>
    </row>
    <row r="106" spans="2:24">
      <c r="B106" s="4" t="str">
        <f t="shared" si="9"/>
        <v>[blank]</v>
      </c>
      <c r="X106" s="40">
        <f t="shared" si="10"/>
        <v>0</v>
      </c>
    </row>
    <row r="107" spans="2:24">
      <c r="B107" s="4" t="str">
        <f t="shared" si="9"/>
        <v>[blank]</v>
      </c>
      <c r="X107" s="40">
        <f t="shared" si="10"/>
        <v>0</v>
      </c>
    </row>
    <row r="108" spans="2:24">
      <c r="B108" s="4" t="str">
        <f t="shared" si="9"/>
        <v>[blank]</v>
      </c>
      <c r="X108" s="40">
        <f t="shared" si="10"/>
        <v>0</v>
      </c>
    </row>
    <row r="109" spans="2:24">
      <c r="B109" s="4" t="str">
        <f t="shared" si="9"/>
        <v>[blank]</v>
      </c>
      <c r="X109" s="40">
        <f t="shared" si="10"/>
        <v>0</v>
      </c>
    </row>
    <row r="110" spans="2:24">
      <c r="B110" s="4" t="str">
        <f t="shared" si="9"/>
        <v>[blank]</v>
      </c>
      <c r="X110" s="40">
        <f t="shared" si="10"/>
        <v>0</v>
      </c>
    </row>
    <row r="111" spans="2:24">
      <c r="B111" s="4" t="str">
        <f t="shared" si="9"/>
        <v>[blank]</v>
      </c>
      <c r="X111" s="40">
        <f t="shared" si="10"/>
        <v>0</v>
      </c>
    </row>
    <row r="113" spans="1:24" ht="12.75" thickBot="1">
      <c r="B113" s="5" t="s">
        <v>78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1">SUM(P97:P111)</f>
        <v>0</v>
      </c>
      <c r="Q113" s="37">
        <f t="shared" si="11"/>
        <v>6151.539804679358</v>
      </c>
      <c r="R113" s="37">
        <f t="shared" si="11"/>
        <v>6979.1397740609864</v>
      </c>
      <c r="S113" s="37">
        <f t="shared" si="11"/>
        <v>7919.3363403170288</v>
      </c>
      <c r="T113" s="37">
        <f t="shared" si="11"/>
        <v>7327.921019560581</v>
      </c>
      <c r="U113" s="37">
        <f t="shared" si="11"/>
        <v>6240.8440514359299</v>
      </c>
      <c r="V113" s="37">
        <f t="shared" si="11"/>
        <v>5431.7261477197826</v>
      </c>
      <c r="X113" s="37">
        <f t="shared" ref="X113" si="12">SUM(R113:V113)</f>
        <v>33898.967333094311</v>
      </c>
    </row>
    <row r="115" spans="1:24" s="1" customFormat="1">
      <c r="A115" s="4"/>
      <c r="B115" s="2" t="s">
        <v>80</v>
      </c>
    </row>
    <row r="117" spans="1:24">
      <c r="H117" s="190" t="s">
        <v>52</v>
      </c>
      <c r="I117" s="190"/>
      <c r="J117" s="190"/>
      <c r="K117" s="190"/>
      <c r="L117" s="190"/>
      <c r="M117" s="190" t="s">
        <v>53</v>
      </c>
      <c r="N117" s="190"/>
      <c r="O117" s="190"/>
      <c r="P117" s="190"/>
      <c r="Q117" s="190"/>
      <c r="R117" s="190" t="s">
        <v>54</v>
      </c>
      <c r="S117" s="190"/>
      <c r="T117" s="190"/>
      <c r="U117" s="190"/>
      <c r="V117" s="190"/>
      <c r="X117" s="38"/>
    </row>
    <row r="118" spans="1:24">
      <c r="B118" s="43" t="s">
        <v>81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63</v>
      </c>
    </row>
    <row r="119" spans="1:24">
      <c r="B119" s="5" t="s">
        <v>46</v>
      </c>
      <c r="D119" s="29" t="s">
        <v>55</v>
      </c>
      <c r="H119" s="16" t="s">
        <v>12</v>
      </c>
      <c r="I119" s="16" t="s">
        <v>12</v>
      </c>
      <c r="J119" s="16" t="s">
        <v>12</v>
      </c>
      <c r="K119" s="16" t="s">
        <v>12</v>
      </c>
      <c r="L119" s="16" t="s">
        <v>12</v>
      </c>
      <c r="M119" s="16" t="s">
        <v>12</v>
      </c>
      <c r="N119" s="16" t="s">
        <v>12</v>
      </c>
      <c r="O119" s="16" t="s">
        <v>12</v>
      </c>
      <c r="P119" s="16" t="s">
        <v>13</v>
      </c>
      <c r="Q119" s="16" t="s">
        <v>13</v>
      </c>
      <c r="R119" s="16" t="s">
        <v>13</v>
      </c>
      <c r="S119" s="16" t="s">
        <v>13</v>
      </c>
      <c r="T119" s="16" t="s">
        <v>13</v>
      </c>
      <c r="U119" s="16" t="s">
        <v>13</v>
      </c>
      <c r="V119" s="16" t="s">
        <v>13</v>
      </c>
      <c r="X119" s="34" t="s">
        <v>13</v>
      </c>
    </row>
    <row r="120" spans="1:24">
      <c r="B120" s="4" t="str">
        <f>IF(B10&lt;&gt;"",B10,"[blank]")</f>
        <v>Time Expired</v>
      </c>
      <c r="D120" s="31" t="s">
        <v>60</v>
      </c>
      <c r="O120" s="35"/>
      <c r="P120" s="35">
        <f>$E10*P73</f>
        <v>0</v>
      </c>
      <c r="Q120" s="35">
        <f t="shared" ref="Q120:V120" si="13">$E10*Q73</f>
        <v>98424.636874869728</v>
      </c>
      <c r="R120" s="35">
        <f t="shared" si="13"/>
        <v>111666.23638497578</v>
      </c>
      <c r="S120" s="35">
        <f t="shared" si="13"/>
        <v>126709.38144507246</v>
      </c>
      <c r="T120" s="35">
        <f t="shared" si="13"/>
        <v>117246.7363129693</v>
      </c>
      <c r="U120" s="35">
        <f t="shared" si="13"/>
        <v>99853.504822974879</v>
      </c>
      <c r="V120" s="35">
        <f t="shared" si="13"/>
        <v>86907.618363516522</v>
      </c>
      <c r="X120" s="40">
        <f>SUM(R120:V120)</f>
        <v>542383.47732950898</v>
      </c>
    </row>
    <row r="121" spans="1:24">
      <c r="B121" s="4" t="str">
        <f t="shared" ref="B121:B134" si="14">IF(B11&lt;&gt;"",B11,"[blank]")</f>
        <v>[blank]</v>
      </c>
      <c r="D121" s="31"/>
      <c r="O121" s="50"/>
      <c r="P121" s="35">
        <f t="shared" ref="P121:V123" si="15">$E11*P74</f>
        <v>0</v>
      </c>
      <c r="Q121" s="35">
        <f t="shared" si="15"/>
        <v>0</v>
      </c>
      <c r="R121" s="35">
        <f t="shared" si="15"/>
        <v>0</v>
      </c>
      <c r="S121" s="35">
        <f t="shared" si="15"/>
        <v>0</v>
      </c>
      <c r="T121" s="35">
        <f t="shared" si="15"/>
        <v>0</v>
      </c>
      <c r="U121" s="35">
        <f t="shared" si="15"/>
        <v>0</v>
      </c>
      <c r="V121" s="35">
        <f t="shared" si="15"/>
        <v>0</v>
      </c>
      <c r="X121" s="40">
        <f t="shared" ref="X121:X134" si="16">SUM(R121:V121)</f>
        <v>0</v>
      </c>
    </row>
    <row r="122" spans="1:24">
      <c r="B122" s="4" t="str">
        <f t="shared" si="14"/>
        <v>[blank]</v>
      </c>
      <c r="P122" s="35">
        <f t="shared" si="15"/>
        <v>0</v>
      </c>
      <c r="Q122" s="35">
        <f t="shared" si="15"/>
        <v>0</v>
      </c>
      <c r="R122" s="35">
        <f t="shared" si="15"/>
        <v>0</v>
      </c>
      <c r="S122" s="35">
        <f t="shared" si="15"/>
        <v>0</v>
      </c>
      <c r="T122" s="35">
        <f t="shared" si="15"/>
        <v>0</v>
      </c>
      <c r="U122" s="35">
        <f t="shared" si="15"/>
        <v>0</v>
      </c>
      <c r="V122" s="35">
        <f t="shared" si="15"/>
        <v>0</v>
      </c>
      <c r="X122" s="40">
        <f t="shared" si="16"/>
        <v>0</v>
      </c>
    </row>
    <row r="123" spans="1:24">
      <c r="B123" s="4" t="str">
        <f t="shared" si="14"/>
        <v>[blank]</v>
      </c>
      <c r="P123" s="35">
        <f t="shared" si="15"/>
        <v>0</v>
      </c>
      <c r="Q123" s="35">
        <f t="shared" si="15"/>
        <v>0</v>
      </c>
      <c r="R123" s="35">
        <f t="shared" si="15"/>
        <v>0</v>
      </c>
      <c r="S123" s="35">
        <f t="shared" si="15"/>
        <v>0</v>
      </c>
      <c r="T123" s="35">
        <f t="shared" si="15"/>
        <v>0</v>
      </c>
      <c r="U123" s="35">
        <f t="shared" si="15"/>
        <v>0</v>
      </c>
      <c r="V123" s="35">
        <f t="shared" si="15"/>
        <v>0</v>
      </c>
      <c r="X123" s="40">
        <f t="shared" si="16"/>
        <v>0</v>
      </c>
    </row>
    <row r="124" spans="1:24">
      <c r="B124" s="4" t="str">
        <f t="shared" si="14"/>
        <v>[blank]</v>
      </c>
      <c r="X124" s="40">
        <f t="shared" si="16"/>
        <v>0</v>
      </c>
    </row>
    <row r="125" spans="1:24">
      <c r="B125" s="4" t="str">
        <f t="shared" si="14"/>
        <v>[blank]</v>
      </c>
      <c r="X125" s="40">
        <f t="shared" si="16"/>
        <v>0</v>
      </c>
    </row>
    <row r="126" spans="1:24">
      <c r="B126" s="4" t="str">
        <f t="shared" si="14"/>
        <v>[blank]</v>
      </c>
      <c r="X126" s="40">
        <f t="shared" si="16"/>
        <v>0</v>
      </c>
    </row>
    <row r="127" spans="1:24">
      <c r="B127" s="4" t="str">
        <f t="shared" si="14"/>
        <v>[blank]</v>
      </c>
      <c r="X127" s="40">
        <f t="shared" si="16"/>
        <v>0</v>
      </c>
    </row>
    <row r="128" spans="1:24">
      <c r="B128" s="4" t="str">
        <f t="shared" si="14"/>
        <v>[blank]</v>
      </c>
      <c r="X128" s="40">
        <f t="shared" si="16"/>
        <v>0</v>
      </c>
    </row>
    <row r="129" spans="1:24">
      <c r="B129" s="4" t="str">
        <f t="shared" si="14"/>
        <v>[blank]</v>
      </c>
      <c r="X129" s="40">
        <f t="shared" si="16"/>
        <v>0</v>
      </c>
    </row>
    <row r="130" spans="1:24">
      <c r="B130" s="4" t="str">
        <f t="shared" si="14"/>
        <v>[blank]</v>
      </c>
      <c r="X130" s="40">
        <f t="shared" si="16"/>
        <v>0</v>
      </c>
    </row>
    <row r="131" spans="1:24">
      <c r="B131" s="4" t="str">
        <f t="shared" si="14"/>
        <v>[blank]</v>
      </c>
      <c r="X131" s="40">
        <f t="shared" si="16"/>
        <v>0</v>
      </c>
    </row>
    <row r="132" spans="1:24">
      <c r="B132" s="4" t="str">
        <f t="shared" si="14"/>
        <v>[blank]</v>
      </c>
      <c r="X132" s="40">
        <f t="shared" si="16"/>
        <v>0</v>
      </c>
    </row>
    <row r="133" spans="1:24">
      <c r="B133" s="4" t="str">
        <f t="shared" si="14"/>
        <v>[blank]</v>
      </c>
      <c r="X133" s="40">
        <f t="shared" si="16"/>
        <v>0</v>
      </c>
    </row>
    <row r="134" spans="1:24">
      <c r="B134" s="4" t="str">
        <f t="shared" si="14"/>
        <v>[blank]</v>
      </c>
      <c r="X134" s="40">
        <f t="shared" si="16"/>
        <v>0</v>
      </c>
    </row>
    <row r="136" spans="1:24" ht="12.75" thickBot="1">
      <c r="B136" s="5" t="s">
        <v>82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98424.636874869728</v>
      </c>
      <c r="R136" s="37">
        <f t="shared" si="17"/>
        <v>111666.23638497578</v>
      </c>
      <c r="S136" s="37">
        <f t="shared" si="17"/>
        <v>126709.38144507246</v>
      </c>
      <c r="T136" s="37">
        <f t="shared" si="17"/>
        <v>117246.7363129693</v>
      </c>
      <c r="U136" s="37">
        <f t="shared" si="17"/>
        <v>99853.504822974879</v>
      </c>
      <c r="V136" s="37">
        <f t="shared" si="17"/>
        <v>86907.618363516522</v>
      </c>
      <c r="X136" s="37">
        <f t="shared" ref="X136" si="18">SUM(R136:V136)</f>
        <v>542383.47732950898</v>
      </c>
    </row>
    <row r="138" spans="1:24" s="1" customFormat="1">
      <c r="A138" s="4"/>
      <c r="B138" s="2" t="s">
        <v>83</v>
      </c>
    </row>
    <row r="140" spans="1:24">
      <c r="H140" s="190" t="s">
        <v>52</v>
      </c>
      <c r="I140" s="190"/>
      <c r="J140" s="190"/>
      <c r="K140" s="190"/>
      <c r="L140" s="190"/>
      <c r="M140" s="190" t="s">
        <v>53</v>
      </c>
      <c r="N140" s="190"/>
      <c r="O140" s="190"/>
      <c r="P140" s="190"/>
      <c r="Q140" s="190"/>
      <c r="R140" s="190" t="s">
        <v>54</v>
      </c>
      <c r="S140" s="190"/>
      <c r="T140" s="190"/>
      <c r="U140" s="190"/>
      <c r="V140" s="190"/>
      <c r="X140" s="38"/>
    </row>
    <row r="141" spans="1:24">
      <c r="B141" s="43" t="s">
        <v>84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63</v>
      </c>
    </row>
    <row r="142" spans="1:24">
      <c r="B142" s="5" t="s">
        <v>46</v>
      </c>
      <c r="D142" s="29" t="s">
        <v>55</v>
      </c>
      <c r="H142" s="16" t="s">
        <v>12</v>
      </c>
      <c r="I142" s="16" t="s">
        <v>12</v>
      </c>
      <c r="J142" s="16" t="s">
        <v>12</v>
      </c>
      <c r="K142" s="16" t="s">
        <v>12</v>
      </c>
      <c r="L142" s="16" t="s">
        <v>12</v>
      </c>
      <c r="M142" s="16" t="s">
        <v>12</v>
      </c>
      <c r="N142" s="16" t="s">
        <v>12</v>
      </c>
      <c r="O142" s="16" t="s">
        <v>12</v>
      </c>
      <c r="P142" s="16" t="s">
        <v>13</v>
      </c>
      <c r="Q142" s="16" t="s">
        <v>13</v>
      </c>
      <c r="R142" s="16" t="s">
        <v>13</v>
      </c>
      <c r="S142" s="16" t="s">
        <v>13</v>
      </c>
      <c r="T142" s="16" t="s">
        <v>13</v>
      </c>
      <c r="U142" s="16" t="s">
        <v>13</v>
      </c>
      <c r="V142" s="16" t="s">
        <v>13</v>
      </c>
      <c r="X142" s="34" t="s">
        <v>13</v>
      </c>
    </row>
    <row r="143" spans="1:24">
      <c r="B143" s="4" t="str">
        <f>IF(B10&lt;&gt;"",B10,"[blank]")</f>
        <v>Time Expired</v>
      </c>
      <c r="D143" s="31" t="s">
        <v>60</v>
      </c>
      <c r="O143" s="35"/>
      <c r="P143" s="35">
        <f>P97+P120</f>
        <v>0</v>
      </c>
      <c r="Q143" s="35">
        <f t="shared" ref="Q143:V143" si="19">Q97+Q120</f>
        <v>104576.17667954908</v>
      </c>
      <c r="R143" s="35">
        <f t="shared" si="19"/>
        <v>118645.37615903676</v>
      </c>
      <c r="S143" s="35">
        <f t="shared" si="19"/>
        <v>134628.71778538948</v>
      </c>
      <c r="T143" s="35">
        <f t="shared" si="19"/>
        <v>124574.65733252988</v>
      </c>
      <c r="U143" s="35">
        <f t="shared" si="19"/>
        <v>106094.3488744108</v>
      </c>
      <c r="V143" s="35">
        <f t="shared" si="19"/>
        <v>92339.344511236297</v>
      </c>
      <c r="X143" s="40">
        <f>SUM(R143:V143)</f>
        <v>576282.4446626032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35">
        <f t="shared" ref="P144:V146" si="21">P98+P121</f>
        <v>0</v>
      </c>
      <c r="Q144" s="35">
        <f t="shared" si="21"/>
        <v>0</v>
      </c>
      <c r="R144" s="35">
        <f t="shared" si="21"/>
        <v>0</v>
      </c>
      <c r="S144" s="35">
        <f t="shared" si="21"/>
        <v>0</v>
      </c>
      <c r="T144" s="35">
        <f t="shared" si="21"/>
        <v>0</v>
      </c>
      <c r="U144" s="35">
        <f t="shared" si="21"/>
        <v>0</v>
      </c>
      <c r="V144" s="35">
        <f t="shared" si="21"/>
        <v>0</v>
      </c>
      <c r="X144" s="40">
        <f t="shared" ref="X144:X157" si="22">SUM(R144:V144)</f>
        <v>0</v>
      </c>
    </row>
    <row r="145" spans="2:24">
      <c r="B145" s="4" t="str">
        <f t="shared" si="20"/>
        <v>[blank]</v>
      </c>
      <c r="P145" s="35">
        <f t="shared" si="21"/>
        <v>0</v>
      </c>
      <c r="Q145" s="35">
        <f t="shared" si="21"/>
        <v>0</v>
      </c>
      <c r="R145" s="35">
        <f t="shared" si="21"/>
        <v>0</v>
      </c>
      <c r="S145" s="35">
        <f t="shared" si="21"/>
        <v>0</v>
      </c>
      <c r="T145" s="35">
        <f t="shared" si="21"/>
        <v>0</v>
      </c>
      <c r="U145" s="35">
        <f t="shared" si="21"/>
        <v>0</v>
      </c>
      <c r="V145" s="35">
        <f t="shared" si="21"/>
        <v>0</v>
      </c>
      <c r="X145" s="40">
        <f t="shared" si="22"/>
        <v>0</v>
      </c>
    </row>
    <row r="146" spans="2:24">
      <c r="B146" s="4" t="str">
        <f t="shared" si="20"/>
        <v>[blank]</v>
      </c>
      <c r="P146" s="35">
        <f t="shared" si="21"/>
        <v>0</v>
      </c>
      <c r="Q146" s="35">
        <f t="shared" si="21"/>
        <v>0</v>
      </c>
      <c r="R146" s="35">
        <f t="shared" si="21"/>
        <v>0</v>
      </c>
      <c r="S146" s="35">
        <f t="shared" si="21"/>
        <v>0</v>
      </c>
      <c r="T146" s="35">
        <f t="shared" si="21"/>
        <v>0</v>
      </c>
      <c r="U146" s="35">
        <f t="shared" si="21"/>
        <v>0</v>
      </c>
      <c r="V146" s="35">
        <f t="shared" si="21"/>
        <v>0</v>
      </c>
      <c r="X146" s="40">
        <f t="shared" si="22"/>
        <v>0</v>
      </c>
    </row>
    <row r="147" spans="2:24">
      <c r="B147" s="4" t="str">
        <f t="shared" si="20"/>
        <v>[blank]</v>
      </c>
      <c r="X147" s="40">
        <f t="shared" si="22"/>
        <v>0</v>
      </c>
    </row>
    <row r="148" spans="2:24">
      <c r="B148" s="4" t="str">
        <f t="shared" si="20"/>
        <v>[blank]</v>
      </c>
      <c r="X148" s="40">
        <f t="shared" si="22"/>
        <v>0</v>
      </c>
    </row>
    <row r="149" spans="2:24">
      <c r="B149" s="4" t="str">
        <f t="shared" si="20"/>
        <v>[blank]</v>
      </c>
      <c r="X149" s="40">
        <f t="shared" si="22"/>
        <v>0</v>
      </c>
    </row>
    <row r="150" spans="2:24">
      <c r="B150" s="4" t="str">
        <f t="shared" si="20"/>
        <v>[blank]</v>
      </c>
      <c r="X150" s="40">
        <f t="shared" si="22"/>
        <v>0</v>
      </c>
    </row>
    <row r="151" spans="2:24">
      <c r="B151" s="4" t="str">
        <f t="shared" si="20"/>
        <v>[blank]</v>
      </c>
      <c r="X151" s="40">
        <f t="shared" si="22"/>
        <v>0</v>
      </c>
    </row>
    <row r="152" spans="2:24">
      <c r="B152" s="4" t="str">
        <f t="shared" si="20"/>
        <v>[blank]</v>
      </c>
      <c r="X152" s="40">
        <f t="shared" si="22"/>
        <v>0</v>
      </c>
    </row>
    <row r="153" spans="2:24">
      <c r="B153" s="4" t="str">
        <f t="shared" si="20"/>
        <v>[blank]</v>
      </c>
      <c r="X153" s="40">
        <f t="shared" si="22"/>
        <v>0</v>
      </c>
    </row>
    <row r="154" spans="2:24">
      <c r="B154" s="4" t="str">
        <f t="shared" si="20"/>
        <v>[blank]</v>
      </c>
      <c r="X154" s="40">
        <f t="shared" si="22"/>
        <v>0</v>
      </c>
    </row>
    <row r="155" spans="2:24">
      <c r="B155" s="4" t="str">
        <f t="shared" si="20"/>
        <v>[blank]</v>
      </c>
      <c r="X155" s="40">
        <f t="shared" si="22"/>
        <v>0</v>
      </c>
    </row>
    <row r="156" spans="2:24">
      <c r="B156" s="4" t="str">
        <f t="shared" si="20"/>
        <v>[blank]</v>
      </c>
      <c r="X156" s="40">
        <f t="shared" si="22"/>
        <v>0</v>
      </c>
    </row>
    <row r="157" spans="2:24">
      <c r="B157" s="4" t="str">
        <f t="shared" si="20"/>
        <v>[blank]</v>
      </c>
      <c r="X157" s="40">
        <f t="shared" si="22"/>
        <v>0</v>
      </c>
    </row>
    <row r="159" spans="2:24" ht="12.75" thickBot="1">
      <c r="B159" s="5" t="s">
        <v>85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3">SUM(Q143:Q157)</f>
        <v>104576.17667954908</v>
      </c>
      <c r="R159" s="37">
        <f t="shared" si="23"/>
        <v>118645.37615903676</v>
      </c>
      <c r="S159" s="37">
        <f t="shared" si="23"/>
        <v>134628.71778538948</v>
      </c>
      <c r="T159" s="37">
        <f t="shared" si="23"/>
        <v>124574.65733252988</v>
      </c>
      <c r="U159" s="37">
        <f t="shared" si="23"/>
        <v>106094.3488744108</v>
      </c>
      <c r="V159" s="37">
        <f t="shared" si="23"/>
        <v>92339.344511236297</v>
      </c>
      <c r="X159" s="37">
        <f t="shared" ref="X159" si="24">SUM(R159:V159)</f>
        <v>576282.4446626032</v>
      </c>
    </row>
    <row r="161" spans="1:24" s="1" customFormat="1">
      <c r="A161" s="4"/>
      <c r="B161" s="2" t="s">
        <v>86</v>
      </c>
    </row>
    <row r="163" spans="1:24">
      <c r="H163" s="190" t="s">
        <v>52</v>
      </c>
      <c r="I163" s="190"/>
      <c r="J163" s="190"/>
      <c r="K163" s="190"/>
      <c r="L163" s="190"/>
      <c r="M163" s="190" t="s">
        <v>53</v>
      </c>
      <c r="N163" s="190"/>
      <c r="O163" s="190"/>
      <c r="P163" s="190"/>
      <c r="Q163" s="190"/>
      <c r="R163" s="190" t="s">
        <v>54</v>
      </c>
      <c r="S163" s="190"/>
      <c r="T163" s="190"/>
      <c r="U163" s="190"/>
      <c r="V163" s="190"/>
      <c r="X163" s="38"/>
    </row>
    <row r="164" spans="1:24">
      <c r="B164" s="44" t="s">
        <v>50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63</v>
      </c>
    </row>
    <row r="165" spans="1:24">
      <c r="B165" s="5" t="s">
        <v>46</v>
      </c>
      <c r="D165" s="29" t="s">
        <v>55</v>
      </c>
      <c r="H165" s="16" t="s">
        <v>12</v>
      </c>
      <c r="I165" s="16" t="s">
        <v>12</v>
      </c>
      <c r="J165" s="16" t="s">
        <v>12</v>
      </c>
      <c r="K165" s="16" t="s">
        <v>12</v>
      </c>
      <c r="L165" s="16" t="s">
        <v>12</v>
      </c>
      <c r="M165" s="16" t="s">
        <v>12</v>
      </c>
      <c r="N165" s="16" t="s">
        <v>12</v>
      </c>
      <c r="O165" s="16" t="s">
        <v>12</v>
      </c>
      <c r="P165" s="16" t="s">
        <v>13</v>
      </c>
      <c r="Q165" s="16" t="s">
        <v>13</v>
      </c>
      <c r="R165" s="16" t="s">
        <v>13</v>
      </c>
      <c r="S165" s="16" t="s">
        <v>13</v>
      </c>
      <c r="T165" s="16" t="s">
        <v>13</v>
      </c>
      <c r="U165" s="16" t="s">
        <v>13</v>
      </c>
      <c r="V165" s="16" t="s">
        <v>13</v>
      </c>
      <c r="X165" s="34" t="s">
        <v>13</v>
      </c>
    </row>
    <row r="166" spans="1:24">
      <c r="B166" s="4" t="str">
        <f>IF(B10&lt;&gt;"",B10,"[blank]")</f>
        <v>Time Expired</v>
      </c>
      <c r="D166" s="31" t="s">
        <v>60</v>
      </c>
      <c r="O166" s="35"/>
      <c r="P166" s="35">
        <f>$G10*P73</f>
        <v>0</v>
      </c>
      <c r="Q166" s="35">
        <f t="shared" ref="Q166:V166" si="25">$G10*Q73</f>
        <v>510577.80378838669</v>
      </c>
      <c r="R166" s="35">
        <f t="shared" si="25"/>
        <v>579268.60124706186</v>
      </c>
      <c r="S166" s="35">
        <f t="shared" si="25"/>
        <v>657304.91624631337</v>
      </c>
      <c r="T166" s="35">
        <f t="shared" si="25"/>
        <v>608217.44462352816</v>
      </c>
      <c r="U166" s="35">
        <f t="shared" si="25"/>
        <v>517990.05626918213</v>
      </c>
      <c r="V166" s="35">
        <f t="shared" si="25"/>
        <v>450833.27026074193</v>
      </c>
      <c r="X166" s="40">
        <f>SUM(R166:V166)</f>
        <v>2813614.2886468275</v>
      </c>
    </row>
    <row r="167" spans="1:24">
      <c r="B167" s="4" t="str">
        <f t="shared" ref="B167:B180" si="26">IF(B11&lt;&gt;"",B11,"[blank]")</f>
        <v>[blank]</v>
      </c>
      <c r="D167" s="31"/>
      <c r="O167" s="50"/>
      <c r="P167" s="35">
        <f t="shared" ref="P167:V169" si="27">$G11*P74</f>
        <v>0</v>
      </c>
      <c r="Q167" s="35">
        <f t="shared" si="27"/>
        <v>0</v>
      </c>
      <c r="R167" s="35">
        <f t="shared" si="27"/>
        <v>0</v>
      </c>
      <c r="S167" s="35">
        <f t="shared" si="27"/>
        <v>0</v>
      </c>
      <c r="T167" s="35">
        <f t="shared" si="27"/>
        <v>0</v>
      </c>
      <c r="U167" s="35">
        <f t="shared" si="27"/>
        <v>0</v>
      </c>
      <c r="V167" s="35">
        <f t="shared" si="27"/>
        <v>0</v>
      </c>
      <c r="X167" s="40">
        <f t="shared" ref="X167:X180" si="28">SUM(R167:V167)</f>
        <v>0</v>
      </c>
    </row>
    <row r="168" spans="1:24">
      <c r="B168" s="4" t="str">
        <f t="shared" si="26"/>
        <v>[blank]</v>
      </c>
      <c r="P168" s="35">
        <f t="shared" si="27"/>
        <v>0</v>
      </c>
      <c r="Q168" s="35">
        <f t="shared" si="27"/>
        <v>0</v>
      </c>
      <c r="R168" s="35">
        <f t="shared" si="27"/>
        <v>0</v>
      </c>
      <c r="S168" s="35">
        <f t="shared" si="27"/>
        <v>0</v>
      </c>
      <c r="T168" s="35">
        <f t="shared" si="27"/>
        <v>0</v>
      </c>
      <c r="U168" s="35">
        <f t="shared" si="27"/>
        <v>0</v>
      </c>
      <c r="V168" s="35">
        <f t="shared" si="27"/>
        <v>0</v>
      </c>
      <c r="X168" s="40">
        <f t="shared" si="28"/>
        <v>0</v>
      </c>
    </row>
    <row r="169" spans="1:24">
      <c r="B169" s="4" t="str">
        <f t="shared" si="26"/>
        <v>[blank]</v>
      </c>
      <c r="P169" s="35">
        <f t="shared" si="27"/>
        <v>0</v>
      </c>
      <c r="Q169" s="35">
        <f t="shared" si="27"/>
        <v>0</v>
      </c>
      <c r="R169" s="35">
        <f t="shared" si="27"/>
        <v>0</v>
      </c>
      <c r="S169" s="35">
        <f t="shared" si="27"/>
        <v>0</v>
      </c>
      <c r="T169" s="35">
        <f t="shared" si="27"/>
        <v>0</v>
      </c>
      <c r="U169" s="35">
        <f t="shared" si="27"/>
        <v>0</v>
      </c>
      <c r="V169" s="35">
        <f t="shared" si="27"/>
        <v>0</v>
      </c>
      <c r="X169" s="40">
        <f t="shared" si="28"/>
        <v>0</v>
      </c>
    </row>
    <row r="170" spans="1:24">
      <c r="B170" s="4" t="str">
        <f t="shared" si="26"/>
        <v>[blank]</v>
      </c>
      <c r="X170" s="40">
        <f t="shared" si="28"/>
        <v>0</v>
      </c>
    </row>
    <row r="171" spans="1:24">
      <c r="B171" s="4" t="str">
        <f t="shared" si="26"/>
        <v>[blank]</v>
      </c>
      <c r="X171" s="40">
        <f t="shared" si="28"/>
        <v>0</v>
      </c>
    </row>
    <row r="172" spans="1:24">
      <c r="B172" s="4" t="str">
        <f t="shared" si="26"/>
        <v>[blank]</v>
      </c>
      <c r="X172" s="40">
        <f t="shared" si="28"/>
        <v>0</v>
      </c>
    </row>
    <row r="173" spans="1:24">
      <c r="B173" s="4" t="str">
        <f t="shared" si="26"/>
        <v>[blank]</v>
      </c>
      <c r="X173" s="40">
        <f t="shared" si="28"/>
        <v>0</v>
      </c>
    </row>
    <row r="174" spans="1:24">
      <c r="B174" s="4" t="str">
        <f t="shared" si="26"/>
        <v>[blank]</v>
      </c>
      <c r="X174" s="40">
        <f t="shared" si="28"/>
        <v>0</v>
      </c>
    </row>
    <row r="175" spans="1:24">
      <c r="B175" s="4" t="str">
        <f t="shared" si="26"/>
        <v>[blank]</v>
      </c>
      <c r="X175" s="40">
        <f t="shared" si="28"/>
        <v>0</v>
      </c>
    </row>
    <row r="176" spans="1:24">
      <c r="B176" s="4" t="str">
        <f t="shared" si="26"/>
        <v>[blank]</v>
      </c>
      <c r="X176" s="40">
        <f t="shared" si="28"/>
        <v>0</v>
      </c>
    </row>
    <row r="177" spans="1:24">
      <c r="B177" s="4" t="str">
        <f t="shared" si="26"/>
        <v>[blank]</v>
      </c>
      <c r="X177" s="40">
        <f t="shared" si="28"/>
        <v>0</v>
      </c>
    </row>
    <row r="178" spans="1:24">
      <c r="B178" s="4" t="str">
        <f t="shared" si="26"/>
        <v>[blank]</v>
      </c>
      <c r="X178" s="40">
        <f t="shared" si="28"/>
        <v>0</v>
      </c>
    </row>
    <row r="179" spans="1:24">
      <c r="B179" s="4" t="str">
        <f t="shared" si="26"/>
        <v>[blank]</v>
      </c>
      <c r="X179" s="40">
        <f t="shared" si="28"/>
        <v>0</v>
      </c>
    </row>
    <row r="180" spans="1:24">
      <c r="B180" s="4" t="str">
        <f t="shared" si="26"/>
        <v>[blank]</v>
      </c>
      <c r="X180" s="40">
        <f t="shared" si="28"/>
        <v>0</v>
      </c>
    </row>
    <row r="182" spans="1:24" ht="12.75" thickBot="1">
      <c r="B182" s="5" t="s">
        <v>87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9">SUM(Q166:Q180)</f>
        <v>510577.80378838669</v>
      </c>
      <c r="R182" s="37">
        <f t="shared" si="29"/>
        <v>579268.60124706186</v>
      </c>
      <c r="S182" s="37">
        <f t="shared" si="29"/>
        <v>657304.91624631337</v>
      </c>
      <c r="T182" s="37">
        <f t="shared" si="29"/>
        <v>608217.44462352816</v>
      </c>
      <c r="U182" s="37">
        <f t="shared" si="29"/>
        <v>517990.05626918213</v>
      </c>
      <c r="V182" s="37">
        <f t="shared" si="29"/>
        <v>450833.27026074193</v>
      </c>
      <c r="X182" s="37">
        <f t="shared" ref="X182" si="30">SUM(R182:V182)</f>
        <v>2813614.2886468275</v>
      </c>
    </row>
    <row r="184" spans="1:24" s="1" customFormat="1">
      <c r="A184" s="2">
        <v>6</v>
      </c>
      <c r="B184" s="2" t="s">
        <v>89</v>
      </c>
    </row>
    <row r="186" spans="1:24">
      <c r="H186" s="190" t="s">
        <v>52</v>
      </c>
      <c r="I186" s="190"/>
      <c r="J186" s="190"/>
      <c r="K186" s="190"/>
      <c r="L186" s="190"/>
      <c r="M186" s="190" t="s">
        <v>53</v>
      </c>
      <c r="N186" s="190"/>
      <c r="O186" s="190"/>
      <c r="P186" s="190"/>
      <c r="Q186" s="190"/>
      <c r="R186" s="190" t="s">
        <v>54</v>
      </c>
      <c r="S186" s="190"/>
      <c r="T186" s="190"/>
      <c r="U186" s="190"/>
      <c r="V186" s="190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63</v>
      </c>
    </row>
    <row r="188" spans="1:24">
      <c r="B188" s="5" t="s">
        <v>46</v>
      </c>
      <c r="D188" s="29" t="s">
        <v>55</v>
      </c>
      <c r="H188" s="16" t="s">
        <v>12</v>
      </c>
      <c r="I188" s="16" t="s">
        <v>12</v>
      </c>
      <c r="J188" s="16" t="s">
        <v>12</v>
      </c>
      <c r="K188" s="16" t="s">
        <v>12</v>
      </c>
      <c r="L188" s="16" t="s">
        <v>12</v>
      </c>
      <c r="M188" s="16" t="s">
        <v>12</v>
      </c>
      <c r="N188" s="16" t="s">
        <v>12</v>
      </c>
      <c r="O188" s="16" t="s">
        <v>12</v>
      </c>
      <c r="P188" s="16" t="s">
        <v>13</v>
      </c>
      <c r="Q188" s="16" t="s">
        <v>13</v>
      </c>
      <c r="R188" s="16" t="s">
        <v>13</v>
      </c>
      <c r="S188" s="16" t="s">
        <v>13</v>
      </c>
      <c r="T188" s="16" t="s">
        <v>13</v>
      </c>
      <c r="U188" s="16" t="s">
        <v>13</v>
      </c>
      <c r="V188" s="16" t="s">
        <v>13</v>
      </c>
      <c r="X188" s="34" t="s">
        <v>13</v>
      </c>
    </row>
    <row r="189" spans="1:24">
      <c r="B189" s="4" t="str">
        <f>IF(B10&lt;&gt;"",B10,"[blank]")</f>
        <v>Time Expired</v>
      </c>
      <c r="D189" s="31" t="s">
        <v>60</v>
      </c>
      <c r="O189" s="35"/>
      <c r="P189" s="35">
        <f>P73*P$208</f>
        <v>0</v>
      </c>
      <c r="Q189" s="35">
        <f t="shared" ref="Q189:V189" si="31">Q73*Q$208</f>
        <v>46039.167862343973</v>
      </c>
      <c r="R189" s="35">
        <f t="shared" si="31"/>
        <v>50369.016534247326</v>
      </c>
      <c r="S189" s="35">
        <f t="shared" si="31"/>
        <v>60395.310941016556</v>
      </c>
      <c r="T189" s="35">
        <f t="shared" si="31"/>
        <v>56737.64398798372</v>
      </c>
      <c r="U189" s="35">
        <f t="shared" si="31"/>
        <v>50997.483212842177</v>
      </c>
      <c r="V189" s="35">
        <f t="shared" si="31"/>
        <v>45839.745921525886</v>
      </c>
      <c r="X189" s="40">
        <f>SUM(R189:V189)</f>
        <v>264339.20059761568</v>
      </c>
    </row>
    <row r="190" spans="1:24">
      <c r="B190" s="4" t="str">
        <f t="shared" ref="B190:B203" si="32">IF(B11&lt;&gt;"",B11,"[blank]")</f>
        <v>[blank]</v>
      </c>
      <c r="D190" s="31"/>
      <c r="O190" s="50"/>
      <c r="P190" s="35">
        <f t="shared" ref="P190:V192" si="33">P74*P$208</f>
        <v>0</v>
      </c>
      <c r="Q190" s="35">
        <f t="shared" si="33"/>
        <v>0</v>
      </c>
      <c r="R190" s="35">
        <f t="shared" si="33"/>
        <v>0</v>
      </c>
      <c r="S190" s="35">
        <f t="shared" si="33"/>
        <v>0</v>
      </c>
      <c r="T190" s="35">
        <f t="shared" si="33"/>
        <v>0</v>
      </c>
      <c r="U190" s="35">
        <f t="shared" si="33"/>
        <v>0</v>
      </c>
      <c r="V190" s="35">
        <f t="shared" si="33"/>
        <v>0</v>
      </c>
      <c r="X190" s="40">
        <f t="shared" ref="X190:X203" si="34">SUM(R190:V190)</f>
        <v>0</v>
      </c>
    </row>
    <row r="191" spans="1:24">
      <c r="B191" s="4" t="str">
        <f t="shared" si="32"/>
        <v>[blank]</v>
      </c>
      <c r="P191" s="35">
        <f t="shared" si="33"/>
        <v>0</v>
      </c>
      <c r="Q191" s="35">
        <f t="shared" si="33"/>
        <v>0</v>
      </c>
      <c r="R191" s="35">
        <f t="shared" si="33"/>
        <v>0</v>
      </c>
      <c r="S191" s="35">
        <f t="shared" si="33"/>
        <v>0</v>
      </c>
      <c r="T191" s="35">
        <f t="shared" si="33"/>
        <v>0</v>
      </c>
      <c r="U191" s="35">
        <f t="shared" si="33"/>
        <v>0</v>
      </c>
      <c r="V191" s="35">
        <f t="shared" si="33"/>
        <v>0</v>
      </c>
      <c r="X191" s="40">
        <f t="shared" si="34"/>
        <v>0</v>
      </c>
    </row>
    <row r="192" spans="1:24">
      <c r="B192" s="4" t="str">
        <f t="shared" si="32"/>
        <v>[blank]</v>
      </c>
      <c r="P192" s="35">
        <f t="shared" si="33"/>
        <v>0</v>
      </c>
      <c r="Q192" s="35">
        <f t="shared" si="33"/>
        <v>0</v>
      </c>
      <c r="R192" s="35">
        <f t="shared" si="33"/>
        <v>0</v>
      </c>
      <c r="S192" s="35">
        <f t="shared" si="33"/>
        <v>0</v>
      </c>
      <c r="T192" s="35">
        <f t="shared" si="33"/>
        <v>0</v>
      </c>
      <c r="U192" s="35">
        <f t="shared" si="33"/>
        <v>0</v>
      </c>
      <c r="V192" s="35">
        <f t="shared" si="33"/>
        <v>0</v>
      </c>
      <c r="X192" s="40">
        <f t="shared" si="34"/>
        <v>0</v>
      </c>
    </row>
    <row r="193" spans="2:24">
      <c r="B193" s="4" t="str">
        <f t="shared" si="32"/>
        <v>[blank]</v>
      </c>
      <c r="X193" s="40">
        <f t="shared" si="34"/>
        <v>0</v>
      </c>
    </row>
    <row r="194" spans="2:24">
      <c r="B194" s="4" t="str">
        <f t="shared" si="32"/>
        <v>[blank]</v>
      </c>
      <c r="X194" s="40">
        <f t="shared" si="34"/>
        <v>0</v>
      </c>
    </row>
    <row r="195" spans="2:24">
      <c r="B195" s="4" t="str">
        <f t="shared" si="32"/>
        <v>[blank]</v>
      </c>
      <c r="X195" s="40">
        <f t="shared" si="34"/>
        <v>0</v>
      </c>
    </row>
    <row r="196" spans="2:24">
      <c r="B196" s="4" t="str">
        <f t="shared" si="32"/>
        <v>[blank]</v>
      </c>
      <c r="X196" s="40">
        <f t="shared" si="34"/>
        <v>0</v>
      </c>
    </row>
    <row r="197" spans="2:24">
      <c r="B197" s="4" t="str">
        <f t="shared" si="32"/>
        <v>[blank]</v>
      </c>
      <c r="X197" s="40">
        <f t="shared" si="34"/>
        <v>0</v>
      </c>
    </row>
    <row r="198" spans="2:24">
      <c r="B198" s="4" t="str">
        <f t="shared" si="32"/>
        <v>[blank]</v>
      </c>
      <c r="X198" s="40">
        <f t="shared" si="34"/>
        <v>0</v>
      </c>
    </row>
    <row r="199" spans="2:24">
      <c r="B199" s="4" t="str">
        <f t="shared" si="32"/>
        <v>[blank]</v>
      </c>
      <c r="X199" s="40">
        <f t="shared" si="34"/>
        <v>0</v>
      </c>
    </row>
    <row r="200" spans="2:24">
      <c r="B200" s="4" t="str">
        <f t="shared" si="32"/>
        <v>[blank]</v>
      </c>
      <c r="X200" s="40">
        <f t="shared" si="34"/>
        <v>0</v>
      </c>
    </row>
    <row r="201" spans="2:24">
      <c r="B201" s="4" t="str">
        <f t="shared" si="32"/>
        <v>[blank]</v>
      </c>
      <c r="X201" s="40">
        <f t="shared" si="34"/>
        <v>0</v>
      </c>
    </row>
    <row r="202" spans="2:24">
      <c r="B202" s="4" t="str">
        <f t="shared" si="32"/>
        <v>[blank]</v>
      </c>
      <c r="X202" s="40">
        <f t="shared" si="34"/>
        <v>0</v>
      </c>
    </row>
    <row r="203" spans="2:24">
      <c r="B203" s="4" t="str">
        <f t="shared" si="32"/>
        <v>[blank]</v>
      </c>
      <c r="X203" s="40">
        <f t="shared" si="34"/>
        <v>0</v>
      </c>
    </row>
    <row r="205" spans="2:24" ht="12.75" thickBot="1">
      <c r="B205" s="5" t="s">
        <v>88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5">SUM(Q189:Q203)</f>
        <v>46039.167862343973</v>
      </c>
      <c r="R205" s="37">
        <f t="shared" si="35"/>
        <v>50369.016534247326</v>
      </c>
      <c r="S205" s="37">
        <f t="shared" si="35"/>
        <v>60395.310941016556</v>
      </c>
      <c r="T205" s="37">
        <f t="shared" si="35"/>
        <v>56737.64398798372</v>
      </c>
      <c r="U205" s="37">
        <f t="shared" si="35"/>
        <v>50997.483212842177</v>
      </c>
      <c r="V205" s="37">
        <f t="shared" si="35"/>
        <v>45839.745921525886</v>
      </c>
      <c r="X205" s="37">
        <f t="shared" ref="X205" si="36">SUM(R205:V205)</f>
        <v>264339.20059761568</v>
      </c>
    </row>
    <row r="207" spans="2:24">
      <c r="B207" s="4" t="s">
        <v>92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7">Q89</f>
        <v>615153.98046793579</v>
      </c>
      <c r="R207" s="45">
        <f t="shared" si="37"/>
        <v>697913.97740609862</v>
      </c>
      <c r="S207" s="45">
        <f t="shared" si="37"/>
        <v>791933.63403170288</v>
      </c>
      <c r="T207" s="45">
        <f t="shared" si="37"/>
        <v>732792.10195605806</v>
      </c>
      <c r="U207" s="45">
        <f t="shared" si="37"/>
        <v>624084.40514359297</v>
      </c>
      <c r="V207" s="45">
        <f t="shared" si="37"/>
        <v>543172.61477197823</v>
      </c>
      <c r="W207" s="45"/>
      <c r="X207" s="40">
        <f t="shared" si="37"/>
        <v>3389896.733309431</v>
      </c>
    </row>
    <row r="208" spans="2:24">
      <c r="B208" s="4" t="s">
        <v>90</v>
      </c>
      <c r="H208" s="21" t="str">
        <f>IFERROR(H212/H207,"")</f>
        <v/>
      </c>
      <c r="I208" s="21" t="str">
        <f t="shared" ref="I208:O208" si="38">IFERROR(I212/I207,"")</f>
        <v/>
      </c>
      <c r="J208" s="21" t="str">
        <f t="shared" si="38"/>
        <v/>
      </c>
      <c r="K208" s="21" t="str">
        <f t="shared" si="38"/>
        <v/>
      </c>
      <c r="L208" s="21" t="str">
        <f t="shared" si="38"/>
        <v/>
      </c>
      <c r="M208" s="21" t="str">
        <f t="shared" si="38"/>
        <v/>
      </c>
      <c r="N208" s="21" t="str">
        <f t="shared" si="38"/>
        <v/>
      </c>
      <c r="O208" s="21" t="str">
        <f t="shared" si="38"/>
        <v/>
      </c>
      <c r="P208" s="21">
        <f>'General assumptions'!S55</f>
        <v>0</v>
      </c>
      <c r="Q208" s="21">
        <f>'General assumptions'!T55</f>
        <v>7.4841697077734692E-2</v>
      </c>
      <c r="R208" s="21">
        <f>'General assumptions'!U55</f>
        <v>7.2170809247081261E-2</v>
      </c>
      <c r="S208" s="21">
        <f>'General assumptions'!V55</f>
        <v>7.6263096231367788E-2</v>
      </c>
      <c r="T208" s="21">
        <f>'General assumptions'!W55</f>
        <v>7.7426658716070601E-2</v>
      </c>
      <c r="U208" s="21">
        <f>'General assumptions'!X55</f>
        <v>8.1715682674538839E-2</v>
      </c>
      <c r="V208" s="21">
        <f>'General assumptions'!Y55</f>
        <v>8.4392593946897035E-2</v>
      </c>
      <c r="W208" s="21"/>
    </row>
    <row r="210" spans="1:22" ht="12.75" thickBot="1">
      <c r="B210" s="5" t="s">
        <v>91</v>
      </c>
      <c r="H210" s="37">
        <f t="shared" ref="H210:N210" si="39">IF(H188="forecast",H207*(1+H208),H207+H212)</f>
        <v>0</v>
      </c>
      <c r="I210" s="37">
        <f t="shared" si="39"/>
        <v>0</v>
      </c>
      <c r="J210" s="37">
        <f t="shared" si="39"/>
        <v>0</v>
      </c>
      <c r="K210" s="37">
        <f t="shared" si="39"/>
        <v>0</v>
      </c>
      <c r="L210" s="37">
        <f t="shared" si="39"/>
        <v>0</v>
      </c>
      <c r="M210" s="37">
        <f t="shared" si="39"/>
        <v>0</v>
      </c>
      <c r="N210" s="37">
        <f t="shared" si="39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0">IF(Q188="forecast",Q207*(1+Q208),Q207+Q212)</f>
        <v>661193.14833027986</v>
      </c>
      <c r="R210" s="37">
        <f t="shared" si="40"/>
        <v>748282.99394034594</v>
      </c>
      <c r="S210" s="37">
        <f t="shared" si="40"/>
        <v>852328.94497271942</v>
      </c>
      <c r="T210" s="37">
        <f t="shared" si="40"/>
        <v>789529.74594404176</v>
      </c>
      <c r="U210" s="37">
        <f t="shared" si="40"/>
        <v>675081.88835643523</v>
      </c>
      <c r="V210" s="37">
        <f t="shared" si="40"/>
        <v>589012.3606935041</v>
      </c>
    </row>
    <row r="212" spans="1:22">
      <c r="B212" s="4" t="s">
        <v>18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41">Q210-Q207</f>
        <v>46039.167862344068</v>
      </c>
      <c r="R212" s="45">
        <f t="shared" si="41"/>
        <v>50369.016534247319</v>
      </c>
      <c r="S212" s="45">
        <f t="shared" si="41"/>
        <v>60395.310941016534</v>
      </c>
      <c r="T212" s="45">
        <f t="shared" si="41"/>
        <v>56737.643987983698</v>
      </c>
      <c r="U212" s="45">
        <f t="shared" si="41"/>
        <v>50997.483212842257</v>
      </c>
      <c r="V212" s="45">
        <f t="shared" si="41"/>
        <v>45839.745921525871</v>
      </c>
    </row>
    <row r="214" spans="1:22" s="1" customFormat="1">
      <c r="A214" s="2">
        <v>7</v>
      </c>
      <c r="B214" s="2" t="s">
        <v>74</v>
      </c>
    </row>
    <row r="216" spans="1:22">
      <c r="H216" s="190" t="s">
        <v>52</v>
      </c>
      <c r="I216" s="190"/>
      <c r="J216" s="190"/>
      <c r="K216" s="190"/>
      <c r="L216" s="190"/>
      <c r="M216" s="190" t="s">
        <v>53</v>
      </c>
      <c r="N216" s="190"/>
      <c r="O216" s="190"/>
      <c r="P216" s="190"/>
      <c r="Q216" s="190"/>
      <c r="R216" s="190" t="s">
        <v>54</v>
      </c>
      <c r="S216" s="190"/>
      <c r="T216" s="190"/>
      <c r="U216" s="190"/>
      <c r="V216" s="190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55</v>
      </c>
      <c r="H218" s="16" t="s">
        <v>12</v>
      </c>
      <c r="I218" s="16" t="s">
        <v>12</v>
      </c>
      <c r="J218" s="16" t="s">
        <v>12</v>
      </c>
      <c r="K218" s="16" t="s">
        <v>12</v>
      </c>
      <c r="L218" s="16" t="s">
        <v>12</v>
      </c>
      <c r="M218" s="16" t="s">
        <v>12</v>
      </c>
      <c r="N218" s="16" t="s">
        <v>12</v>
      </c>
      <c r="O218" s="16" t="s">
        <v>12</v>
      </c>
      <c r="P218" s="16" t="s">
        <v>13</v>
      </c>
      <c r="Q218" s="16" t="s">
        <v>13</v>
      </c>
      <c r="R218" s="16" t="s">
        <v>13</v>
      </c>
      <c r="S218" s="16" t="s">
        <v>13</v>
      </c>
      <c r="T218" s="16" t="s">
        <v>13</v>
      </c>
      <c r="U218" s="16" t="s">
        <v>13</v>
      </c>
      <c r="V218" s="16" t="s">
        <v>13</v>
      </c>
    </row>
    <row r="219" spans="1:22">
      <c r="B219" s="5" t="s">
        <v>94</v>
      </c>
      <c r="D219" s="31" t="s">
        <v>105</v>
      </c>
      <c r="H219" s="4" t="str">
        <f t="shared" ref="H219:O219" si="42">IFERROR(-H238/H210,"")</f>
        <v/>
      </c>
      <c r="I219" s="4" t="str">
        <f t="shared" si="42"/>
        <v/>
      </c>
      <c r="J219" s="4" t="str">
        <f t="shared" si="42"/>
        <v/>
      </c>
      <c r="K219" s="4" t="str">
        <f t="shared" si="42"/>
        <v/>
      </c>
      <c r="L219" s="4" t="str">
        <f t="shared" si="42"/>
        <v/>
      </c>
      <c r="M219" s="4" t="str">
        <f t="shared" si="42"/>
        <v/>
      </c>
      <c r="N219" s="4" t="str">
        <f t="shared" si="42"/>
        <v/>
      </c>
      <c r="O219" s="4" t="str">
        <f t="shared" si="42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46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Time Expired</v>
      </c>
      <c r="D222" s="31" t="s">
        <v>60</v>
      </c>
      <c r="P222" s="45">
        <f>(-P73*(1+P$208))*P$219</f>
        <v>0</v>
      </c>
      <c r="Q222" s="45">
        <f t="shared" ref="Q222:V222" si="43">(-Q73*(1+Q$208))*Q$219</f>
        <v>0</v>
      </c>
      <c r="R222" s="45">
        <f t="shared" si="43"/>
        <v>0</v>
      </c>
      <c r="S222" s="45">
        <f t="shared" si="43"/>
        <v>0</v>
      </c>
      <c r="T222" s="45">
        <f t="shared" si="43"/>
        <v>0</v>
      </c>
      <c r="U222" s="45">
        <f t="shared" si="43"/>
        <v>0</v>
      </c>
      <c r="V222" s="45">
        <f t="shared" si="43"/>
        <v>0</v>
      </c>
    </row>
    <row r="223" spans="1:22">
      <c r="B223" s="4" t="str">
        <f t="shared" ref="B223:B236" si="44">IF(B11&lt;&gt;"",B11,"[blank]")</f>
        <v>[blank]</v>
      </c>
      <c r="D223" s="31"/>
      <c r="P223" s="45">
        <f t="shared" ref="P223:V225" si="45">(-P74*(1+P$208))*P$219</f>
        <v>0</v>
      </c>
      <c r="Q223" s="45">
        <f t="shared" si="45"/>
        <v>0</v>
      </c>
      <c r="R223" s="45">
        <f t="shared" si="45"/>
        <v>0</v>
      </c>
      <c r="S223" s="45">
        <f t="shared" si="45"/>
        <v>0</v>
      </c>
      <c r="T223" s="45">
        <f t="shared" si="45"/>
        <v>0</v>
      </c>
      <c r="U223" s="45">
        <f t="shared" si="45"/>
        <v>0</v>
      </c>
      <c r="V223" s="45">
        <f t="shared" si="45"/>
        <v>0</v>
      </c>
    </row>
    <row r="224" spans="1:22">
      <c r="B224" s="4" t="str">
        <f t="shared" si="44"/>
        <v>[blank]</v>
      </c>
      <c r="P224" s="45">
        <f t="shared" si="45"/>
        <v>0</v>
      </c>
      <c r="Q224" s="45">
        <f t="shared" si="45"/>
        <v>0</v>
      </c>
      <c r="R224" s="45">
        <f t="shared" si="45"/>
        <v>0</v>
      </c>
      <c r="S224" s="45">
        <f t="shared" si="45"/>
        <v>0</v>
      </c>
      <c r="T224" s="45">
        <f t="shared" si="45"/>
        <v>0</v>
      </c>
      <c r="U224" s="45">
        <f t="shared" si="45"/>
        <v>0</v>
      </c>
      <c r="V224" s="45">
        <f t="shared" si="45"/>
        <v>0</v>
      </c>
    </row>
    <row r="225" spans="1:22">
      <c r="B225" s="4" t="str">
        <f t="shared" si="44"/>
        <v>[blank]</v>
      </c>
      <c r="P225" s="45">
        <f t="shared" si="45"/>
        <v>0</v>
      </c>
      <c r="Q225" s="45">
        <f t="shared" si="45"/>
        <v>0</v>
      </c>
      <c r="R225" s="45">
        <f t="shared" si="45"/>
        <v>0</v>
      </c>
      <c r="S225" s="45">
        <f t="shared" si="45"/>
        <v>0</v>
      </c>
      <c r="T225" s="45">
        <f t="shared" si="45"/>
        <v>0</v>
      </c>
      <c r="U225" s="45">
        <f t="shared" si="45"/>
        <v>0</v>
      </c>
      <c r="V225" s="45">
        <f t="shared" si="45"/>
        <v>0</v>
      </c>
    </row>
    <row r="226" spans="1:22">
      <c r="B226" s="4" t="str">
        <f t="shared" si="44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44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44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44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44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44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44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44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44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44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44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93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6">-P219*P210</f>
        <v>0</v>
      </c>
      <c r="Q238" s="37">
        <f t="shared" si="46"/>
        <v>0</v>
      </c>
      <c r="R238" s="37">
        <f t="shared" si="46"/>
        <v>0</v>
      </c>
      <c r="S238" s="37">
        <f t="shared" si="46"/>
        <v>0</v>
      </c>
      <c r="T238" s="37">
        <f t="shared" si="46"/>
        <v>0</v>
      </c>
      <c r="U238" s="37">
        <f t="shared" si="46"/>
        <v>0</v>
      </c>
      <c r="V238" s="37">
        <f t="shared" si="46"/>
        <v>0</v>
      </c>
    </row>
    <row r="240" spans="1:22" s="1" customFormat="1">
      <c r="A240" s="2">
        <v>8</v>
      </c>
      <c r="B240" s="2" t="s">
        <v>75</v>
      </c>
    </row>
    <row r="242" spans="1:22">
      <c r="H242" s="190" t="s">
        <v>52</v>
      </c>
      <c r="I242" s="190"/>
      <c r="J242" s="190"/>
      <c r="K242" s="190"/>
      <c r="L242" s="190"/>
      <c r="M242" s="190" t="s">
        <v>53</v>
      </c>
      <c r="N242" s="190"/>
      <c r="O242" s="190"/>
      <c r="P242" s="190"/>
      <c r="Q242" s="190"/>
      <c r="R242" s="190" t="s">
        <v>54</v>
      </c>
      <c r="S242" s="190"/>
      <c r="T242" s="190"/>
      <c r="U242" s="190"/>
      <c r="V242" s="190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55</v>
      </c>
      <c r="H244" s="16" t="s">
        <v>12</v>
      </c>
      <c r="I244" s="16" t="s">
        <v>12</v>
      </c>
      <c r="J244" s="16" t="s">
        <v>12</v>
      </c>
      <c r="K244" s="16" t="s">
        <v>12</v>
      </c>
      <c r="L244" s="16" t="s">
        <v>12</v>
      </c>
      <c r="M244" s="16" t="s">
        <v>12</v>
      </c>
      <c r="N244" s="16" t="s">
        <v>12</v>
      </c>
      <c r="O244" s="16" t="s">
        <v>12</v>
      </c>
      <c r="P244" s="16" t="s">
        <v>13</v>
      </c>
      <c r="Q244" s="16" t="s">
        <v>13</v>
      </c>
      <c r="R244" s="16" t="s">
        <v>13</v>
      </c>
      <c r="S244" s="16" t="s">
        <v>13</v>
      </c>
      <c r="T244" s="16" t="s">
        <v>13</v>
      </c>
      <c r="U244" s="16" t="s">
        <v>13</v>
      </c>
      <c r="V244" s="16" t="s">
        <v>13</v>
      </c>
    </row>
    <row r="245" spans="1:22">
      <c r="B245" s="38" t="s">
        <v>96</v>
      </c>
      <c r="D245" s="31"/>
    </row>
    <row r="246" spans="1:22">
      <c r="B246" s="47" t="s">
        <v>97</v>
      </c>
      <c r="D246" s="31" t="s">
        <v>60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98</v>
      </c>
      <c r="D247" s="31" t="s">
        <v>60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99</v>
      </c>
      <c r="D248" s="31" t="s">
        <v>60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100</v>
      </c>
      <c r="D249" s="31" t="s">
        <v>60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101</v>
      </c>
      <c r="D250" s="31" t="s">
        <v>60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102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7">SUM(Q246:Q250)</f>
        <v>0</v>
      </c>
      <c r="R252" s="49">
        <f t="shared" si="47"/>
        <v>0</v>
      </c>
      <c r="S252" s="49">
        <f t="shared" si="47"/>
        <v>0</v>
      </c>
      <c r="T252" s="49">
        <f t="shared" si="47"/>
        <v>0</v>
      </c>
      <c r="U252" s="49">
        <f t="shared" si="47"/>
        <v>0</v>
      </c>
      <c r="V252" s="49">
        <f t="shared" si="47"/>
        <v>0</v>
      </c>
    </row>
    <row r="254" spans="1:22" s="1" customFormat="1">
      <c r="A254" s="2">
        <v>9</v>
      </c>
      <c r="B254" s="2" t="s">
        <v>103</v>
      </c>
    </row>
    <row r="256" spans="1:22">
      <c r="H256" s="190" t="s">
        <v>52</v>
      </c>
      <c r="I256" s="190"/>
      <c r="J256" s="190"/>
      <c r="K256" s="190"/>
      <c r="L256" s="190"/>
      <c r="M256" s="190" t="s">
        <v>53</v>
      </c>
      <c r="N256" s="190"/>
      <c r="O256" s="190"/>
      <c r="P256" s="190"/>
      <c r="Q256" s="190"/>
      <c r="R256" s="190" t="s">
        <v>54</v>
      </c>
      <c r="S256" s="190"/>
      <c r="T256" s="190"/>
      <c r="U256" s="190"/>
      <c r="V256" s="190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55</v>
      </c>
      <c r="H258" s="16" t="s">
        <v>12</v>
      </c>
      <c r="I258" s="16" t="s">
        <v>12</v>
      </c>
      <c r="J258" s="16" t="s">
        <v>12</v>
      </c>
      <c r="K258" s="16" t="s">
        <v>12</v>
      </c>
      <c r="L258" s="16" t="s">
        <v>12</v>
      </c>
      <c r="M258" s="16" t="s">
        <v>12</v>
      </c>
      <c r="N258" s="16" t="s">
        <v>12</v>
      </c>
      <c r="O258" s="16" t="s">
        <v>12</v>
      </c>
      <c r="P258" s="16" t="s">
        <v>13</v>
      </c>
      <c r="Q258" s="16" t="s">
        <v>13</v>
      </c>
      <c r="R258" s="16" t="s">
        <v>13</v>
      </c>
      <c r="S258" s="16" t="s">
        <v>13</v>
      </c>
      <c r="T258" s="16" t="s">
        <v>13</v>
      </c>
      <c r="U258" s="16" t="s">
        <v>13</v>
      </c>
      <c r="V258" s="16" t="s">
        <v>13</v>
      </c>
    </row>
    <row r="259" spans="1:22">
      <c r="B259" s="4" t="s">
        <v>104</v>
      </c>
      <c r="D259" s="31" t="s">
        <v>60</v>
      </c>
      <c r="H259" s="45">
        <f t="shared" ref="H259:V259" si="48">H210</f>
        <v>0</v>
      </c>
      <c r="I259" s="45">
        <f t="shared" si="48"/>
        <v>0</v>
      </c>
      <c r="J259" s="45">
        <f t="shared" si="48"/>
        <v>0</v>
      </c>
      <c r="K259" s="45">
        <f t="shared" si="48"/>
        <v>0</v>
      </c>
      <c r="L259" s="45">
        <f t="shared" si="48"/>
        <v>0</v>
      </c>
      <c r="M259" s="45">
        <f t="shared" si="48"/>
        <v>0</v>
      </c>
      <c r="N259" s="45">
        <f t="shared" si="48"/>
        <v>0</v>
      </c>
      <c r="O259" s="45">
        <f t="shared" si="48"/>
        <v>0</v>
      </c>
      <c r="P259" s="45">
        <f t="shared" si="48"/>
        <v>0</v>
      </c>
      <c r="Q259" s="45">
        <f t="shared" si="48"/>
        <v>661193.14833027986</v>
      </c>
      <c r="R259" s="45">
        <f t="shared" si="48"/>
        <v>748282.99394034594</v>
      </c>
      <c r="S259" s="45">
        <f t="shared" si="48"/>
        <v>852328.94497271942</v>
      </c>
      <c r="T259" s="45">
        <f t="shared" si="48"/>
        <v>789529.74594404176</v>
      </c>
      <c r="U259" s="45">
        <f t="shared" si="48"/>
        <v>675081.88835643523</v>
      </c>
      <c r="V259" s="45">
        <f t="shared" si="48"/>
        <v>589012.3606935041</v>
      </c>
    </row>
    <row r="260" spans="1:22">
      <c r="B260" s="4" t="s">
        <v>74</v>
      </c>
      <c r="D260" s="31" t="s">
        <v>60</v>
      </c>
      <c r="H260" s="45">
        <f>H238</f>
        <v>0</v>
      </c>
      <c r="I260" s="45">
        <f t="shared" ref="I260:V260" si="49">I238</f>
        <v>0</v>
      </c>
      <c r="J260" s="45">
        <f t="shared" si="49"/>
        <v>0</v>
      </c>
      <c r="K260" s="45">
        <f t="shared" si="49"/>
        <v>0</v>
      </c>
      <c r="L260" s="45">
        <f t="shared" si="49"/>
        <v>0</v>
      </c>
      <c r="M260" s="45">
        <f t="shared" si="49"/>
        <v>0</v>
      </c>
      <c r="N260" s="45">
        <f t="shared" si="49"/>
        <v>0</v>
      </c>
      <c r="O260" s="45">
        <f t="shared" si="49"/>
        <v>0</v>
      </c>
      <c r="P260" s="45">
        <f t="shared" si="49"/>
        <v>0</v>
      </c>
      <c r="Q260" s="45">
        <f t="shared" si="49"/>
        <v>0</v>
      </c>
      <c r="R260" s="45">
        <f t="shared" si="49"/>
        <v>0</v>
      </c>
      <c r="S260" s="45">
        <f t="shared" si="49"/>
        <v>0</v>
      </c>
      <c r="T260" s="45">
        <f t="shared" si="49"/>
        <v>0</v>
      </c>
      <c r="U260" s="45">
        <f t="shared" si="49"/>
        <v>0</v>
      </c>
      <c r="V260" s="45">
        <f t="shared" si="49"/>
        <v>0</v>
      </c>
    </row>
    <row r="261" spans="1:22">
      <c r="B261" s="4" t="s">
        <v>75</v>
      </c>
      <c r="D261" s="31" t="s">
        <v>60</v>
      </c>
      <c r="H261" s="45">
        <f>H252</f>
        <v>0</v>
      </c>
      <c r="I261" s="45">
        <f t="shared" ref="I261:V261" si="50">I252</f>
        <v>0</v>
      </c>
      <c r="J261" s="45">
        <f t="shared" si="50"/>
        <v>0</v>
      </c>
      <c r="K261" s="45">
        <f t="shared" si="50"/>
        <v>0</v>
      </c>
      <c r="L261" s="45">
        <f t="shared" si="50"/>
        <v>0</v>
      </c>
      <c r="M261" s="45">
        <f t="shared" si="50"/>
        <v>0</v>
      </c>
      <c r="N261" s="45">
        <f t="shared" si="50"/>
        <v>0</v>
      </c>
      <c r="O261" s="45">
        <f t="shared" si="50"/>
        <v>0</v>
      </c>
      <c r="P261" s="45">
        <f t="shared" si="50"/>
        <v>0</v>
      </c>
      <c r="Q261" s="45">
        <f t="shared" si="50"/>
        <v>0</v>
      </c>
      <c r="R261" s="45">
        <f t="shared" si="50"/>
        <v>0</v>
      </c>
      <c r="S261" s="45">
        <f t="shared" si="50"/>
        <v>0</v>
      </c>
      <c r="T261" s="45">
        <f t="shared" si="50"/>
        <v>0</v>
      </c>
      <c r="U261" s="45">
        <f t="shared" si="50"/>
        <v>0</v>
      </c>
      <c r="V261" s="45">
        <f t="shared" si="50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103</v>
      </c>
      <c r="D263" s="31" t="s">
        <v>60</v>
      </c>
      <c r="H263" s="37">
        <f>SUM(H259:H261)</f>
        <v>0</v>
      </c>
      <c r="I263" s="37">
        <f t="shared" ref="I263:V263" si="51">SUM(I259:I261)</f>
        <v>0</v>
      </c>
      <c r="J263" s="37">
        <f t="shared" si="51"/>
        <v>0</v>
      </c>
      <c r="K263" s="37">
        <f t="shared" si="51"/>
        <v>0</v>
      </c>
      <c r="L263" s="37">
        <f t="shared" si="51"/>
        <v>0</v>
      </c>
      <c r="M263" s="37">
        <f t="shared" si="51"/>
        <v>0</v>
      </c>
      <c r="N263" s="37">
        <f t="shared" si="51"/>
        <v>0</v>
      </c>
      <c r="O263" s="37">
        <f t="shared" si="51"/>
        <v>0</v>
      </c>
      <c r="P263" s="37">
        <f t="shared" si="51"/>
        <v>0</v>
      </c>
      <c r="Q263" s="37">
        <f t="shared" si="51"/>
        <v>661193.14833027986</v>
      </c>
      <c r="R263" s="37">
        <f t="shared" si="51"/>
        <v>748282.99394034594</v>
      </c>
      <c r="S263" s="37">
        <f t="shared" si="51"/>
        <v>852328.94497271942</v>
      </c>
      <c r="T263" s="37">
        <f t="shared" si="51"/>
        <v>789529.74594404176</v>
      </c>
      <c r="U263" s="37">
        <f t="shared" si="51"/>
        <v>675081.88835643523</v>
      </c>
      <c r="V263" s="37">
        <f t="shared" si="51"/>
        <v>589012.3606935041</v>
      </c>
    </row>
    <row r="264" spans="1:22">
      <c r="D264" s="31"/>
    </row>
    <row r="266" spans="1:22" s="66" customFormat="1">
      <c r="A266" s="65">
        <v>10</v>
      </c>
      <c r="B266" s="65" t="s">
        <v>121</v>
      </c>
    </row>
    <row r="268" spans="1:22">
      <c r="B268" s="69" t="s">
        <v>120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321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52">IFERROR(SUMPRODUCT($Z$73:$Z$87,Q$73:Q$87)/SUM(Q$73:Q$87)*Q$89,0)</f>
        <v>0</v>
      </c>
      <c r="R276" s="57">
        <f t="shared" si="52"/>
        <v>0</v>
      </c>
      <c r="S276" s="57">
        <f t="shared" si="52"/>
        <v>0</v>
      </c>
      <c r="T276" s="57">
        <f t="shared" si="52"/>
        <v>0</v>
      </c>
      <c r="U276" s="57">
        <f t="shared" si="52"/>
        <v>0</v>
      </c>
      <c r="V276" s="62">
        <f t="shared" si="52"/>
        <v>0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53">IFERROR(SUMPRODUCT($AA$73:$AA$87,Q$73:Q$87)/SUM(Q$73:Q$87)*Q$89,0)</f>
        <v>0</v>
      </c>
      <c r="R277" s="57">
        <f t="shared" si="53"/>
        <v>0</v>
      </c>
      <c r="S277" s="57">
        <f t="shared" si="53"/>
        <v>0</v>
      </c>
      <c r="T277" s="57">
        <f t="shared" si="53"/>
        <v>0</v>
      </c>
      <c r="U277" s="57">
        <f t="shared" si="53"/>
        <v>0</v>
      </c>
      <c r="V277" s="62">
        <f t="shared" si="53"/>
        <v>0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4">IFERROR(SUMPRODUCT($AB$73:$AB$87,Q$73:Q$87)/SUM(Q$73:Q$87)*Q$89,0)</f>
        <v>0</v>
      </c>
      <c r="R278" s="57">
        <f t="shared" si="54"/>
        <v>0</v>
      </c>
      <c r="S278" s="57">
        <f t="shared" si="54"/>
        <v>0</v>
      </c>
      <c r="T278" s="57">
        <f t="shared" si="54"/>
        <v>0</v>
      </c>
      <c r="U278" s="57">
        <f t="shared" si="54"/>
        <v>0</v>
      </c>
      <c r="V278" s="62">
        <f t="shared" si="54"/>
        <v>0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5">IFERROR(SUMPRODUCT($AC$73:$AC$87,Q$73:Q$87)/SUM(Q$73:Q$87)*Q$89,0)</f>
        <v>0</v>
      </c>
      <c r="R279" s="57">
        <f t="shared" si="55"/>
        <v>0</v>
      </c>
      <c r="S279" s="57">
        <f t="shared" si="55"/>
        <v>0</v>
      </c>
      <c r="T279" s="57">
        <f t="shared" si="55"/>
        <v>0</v>
      </c>
      <c r="U279" s="57">
        <f t="shared" si="55"/>
        <v>0</v>
      </c>
      <c r="V279" s="62">
        <f t="shared" si="55"/>
        <v>0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6">IFERROR(SUMPRODUCT($AD$73:$AD$87,Q$73:Q$87)/SUM(Q$73:Q$87)*Q$89,0)</f>
        <v>0</v>
      </c>
      <c r="R280" s="57">
        <f t="shared" si="56"/>
        <v>0</v>
      </c>
      <c r="S280" s="57">
        <f t="shared" si="56"/>
        <v>0</v>
      </c>
      <c r="T280" s="57">
        <f t="shared" si="56"/>
        <v>0</v>
      </c>
      <c r="U280" s="57">
        <f t="shared" si="56"/>
        <v>0</v>
      </c>
      <c r="V280" s="62">
        <f t="shared" si="56"/>
        <v>0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57">IFERROR(SUMPRODUCT($AE$73:$AE$87,Q$73:Q$87)/SUM(Q$73:Q$87)*Q$89,0)</f>
        <v>615153.98046793579</v>
      </c>
      <c r="R281" s="57">
        <f t="shared" si="57"/>
        <v>697913.97740609862</v>
      </c>
      <c r="S281" s="57">
        <f t="shared" si="57"/>
        <v>791933.63403170288</v>
      </c>
      <c r="T281" s="57">
        <f t="shared" si="57"/>
        <v>732792.10195605806</v>
      </c>
      <c r="U281" s="57">
        <f t="shared" si="57"/>
        <v>624084.40514359297</v>
      </c>
      <c r="V281" s="62">
        <f t="shared" si="57"/>
        <v>543172.61477197823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58">IFERROR(SUMPRODUCT($AF$73:$AF$87,Q$73:Q$87)/SUM(Q$73:Q$87)*Q$89,0)</f>
        <v>0</v>
      </c>
      <c r="R282" s="57">
        <f t="shared" si="58"/>
        <v>0</v>
      </c>
      <c r="S282" s="57">
        <f t="shared" si="58"/>
        <v>0</v>
      </c>
      <c r="T282" s="57">
        <f t="shared" si="58"/>
        <v>0</v>
      </c>
      <c r="U282" s="57">
        <f t="shared" si="58"/>
        <v>0</v>
      </c>
      <c r="V282" s="62">
        <f t="shared" si="58"/>
        <v>0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59">IFERROR(SUMPRODUCT($AG$73:$AG$87,Q$73:Q$87)/SUM(Q$73:Q$87)*Q$89,0)</f>
        <v>0</v>
      </c>
      <c r="R283" s="57">
        <f t="shared" si="59"/>
        <v>0</v>
      </c>
      <c r="S283" s="57">
        <f t="shared" si="59"/>
        <v>0</v>
      </c>
      <c r="T283" s="57">
        <f t="shared" si="59"/>
        <v>0</v>
      </c>
      <c r="U283" s="57">
        <f t="shared" si="59"/>
        <v>0</v>
      </c>
      <c r="V283" s="62">
        <f t="shared" si="59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0">IFERROR(SUMPRODUCT($AH$73:$AH$87,Q$73:Q$87)/SUM(Q$73:Q$87)*Q$89,0)</f>
        <v>0</v>
      </c>
      <c r="R284" s="57">
        <f t="shared" si="60"/>
        <v>0</v>
      </c>
      <c r="S284" s="57">
        <f t="shared" si="60"/>
        <v>0</v>
      </c>
      <c r="T284" s="57">
        <f t="shared" si="60"/>
        <v>0</v>
      </c>
      <c r="U284" s="57">
        <f t="shared" si="60"/>
        <v>0</v>
      </c>
      <c r="V284" s="62">
        <f t="shared" si="60"/>
        <v>0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61">IFERROR(SUMPRODUCT($AI$73:$AI$87,Q$73:Q$87)/SUM(Q$73:Q$87)*Q$89,0)</f>
        <v>0</v>
      </c>
      <c r="R285" s="57">
        <f t="shared" si="61"/>
        <v>0</v>
      </c>
      <c r="S285" s="57">
        <f t="shared" si="61"/>
        <v>0</v>
      </c>
      <c r="T285" s="57">
        <f t="shared" si="61"/>
        <v>0</v>
      </c>
      <c r="U285" s="57">
        <f t="shared" si="61"/>
        <v>0</v>
      </c>
      <c r="V285" s="62">
        <f t="shared" si="61"/>
        <v>0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62">IFERROR(SUMPRODUCT($AJ$73:$AJ$87,Q$73:Q$87)/SUM(Q$73:Q$87)*Q$89,0)</f>
        <v>0</v>
      </c>
      <c r="R286" s="57">
        <f t="shared" si="62"/>
        <v>0</v>
      </c>
      <c r="S286" s="57">
        <f t="shared" si="62"/>
        <v>0</v>
      </c>
      <c r="T286" s="57">
        <f t="shared" si="62"/>
        <v>0</v>
      </c>
      <c r="U286" s="57">
        <f t="shared" si="62"/>
        <v>0</v>
      </c>
      <c r="V286" s="62">
        <f t="shared" si="62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3">SUM(Q276:Q286)</f>
        <v>615153.98046793579</v>
      </c>
      <c r="R288" s="37">
        <f t="shared" si="63"/>
        <v>697913.97740609862</v>
      </c>
      <c r="S288" s="37">
        <f t="shared" si="63"/>
        <v>791933.63403170288</v>
      </c>
      <c r="T288" s="37">
        <f t="shared" si="63"/>
        <v>732792.10195605806</v>
      </c>
      <c r="U288" s="37">
        <f t="shared" si="63"/>
        <v>624084.40514359297</v>
      </c>
      <c r="V288" s="64">
        <f t="shared" si="63"/>
        <v>543172.61477197823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258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4">P276*(1+P$208)</f>
        <v>0</v>
      </c>
      <c r="Q297" s="57">
        <f t="shared" si="64"/>
        <v>0</v>
      </c>
      <c r="R297" s="57">
        <f t="shared" si="64"/>
        <v>0</v>
      </c>
      <c r="S297" s="57">
        <f t="shared" si="64"/>
        <v>0</v>
      </c>
      <c r="T297" s="57">
        <f t="shared" si="64"/>
        <v>0</v>
      </c>
      <c r="U297" s="57">
        <f t="shared" si="64"/>
        <v>0</v>
      </c>
      <c r="V297" s="62">
        <f t="shared" si="64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4"/>
        <v>0</v>
      </c>
      <c r="Q298" s="57">
        <f t="shared" si="64"/>
        <v>0</v>
      </c>
      <c r="R298" s="57">
        <f t="shared" si="64"/>
        <v>0</v>
      </c>
      <c r="S298" s="57">
        <f t="shared" si="64"/>
        <v>0</v>
      </c>
      <c r="T298" s="57">
        <f t="shared" si="64"/>
        <v>0</v>
      </c>
      <c r="U298" s="57">
        <f t="shared" si="64"/>
        <v>0</v>
      </c>
      <c r="V298" s="62">
        <f t="shared" si="64"/>
        <v>0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4"/>
        <v>0</v>
      </c>
      <c r="Q299" s="57">
        <f t="shared" si="64"/>
        <v>0</v>
      </c>
      <c r="R299" s="57">
        <f t="shared" si="64"/>
        <v>0</v>
      </c>
      <c r="S299" s="57">
        <f t="shared" si="64"/>
        <v>0</v>
      </c>
      <c r="T299" s="57">
        <f t="shared" si="64"/>
        <v>0</v>
      </c>
      <c r="U299" s="57">
        <f t="shared" si="64"/>
        <v>0</v>
      </c>
      <c r="V299" s="62">
        <f t="shared" si="64"/>
        <v>0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4"/>
        <v>0</v>
      </c>
      <c r="Q300" s="57">
        <f t="shared" si="64"/>
        <v>0</v>
      </c>
      <c r="R300" s="57">
        <f t="shared" si="64"/>
        <v>0</v>
      </c>
      <c r="S300" s="57">
        <f t="shared" si="64"/>
        <v>0</v>
      </c>
      <c r="T300" s="57">
        <f t="shared" si="64"/>
        <v>0</v>
      </c>
      <c r="U300" s="57">
        <f t="shared" si="64"/>
        <v>0</v>
      </c>
      <c r="V300" s="62">
        <f t="shared" si="64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4"/>
        <v>0</v>
      </c>
      <c r="Q301" s="57">
        <f t="shared" si="64"/>
        <v>0</v>
      </c>
      <c r="R301" s="57">
        <f t="shared" si="64"/>
        <v>0</v>
      </c>
      <c r="S301" s="57">
        <f t="shared" si="64"/>
        <v>0</v>
      </c>
      <c r="T301" s="57">
        <f t="shared" si="64"/>
        <v>0</v>
      </c>
      <c r="U301" s="57">
        <f t="shared" si="64"/>
        <v>0</v>
      </c>
      <c r="V301" s="62">
        <f t="shared" si="64"/>
        <v>0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4"/>
        <v>0</v>
      </c>
      <c r="Q302" s="57">
        <f t="shared" si="64"/>
        <v>661193.14833027986</v>
      </c>
      <c r="R302" s="57">
        <f t="shared" si="64"/>
        <v>748282.99394034594</v>
      </c>
      <c r="S302" s="57">
        <f t="shared" si="64"/>
        <v>852328.94497271942</v>
      </c>
      <c r="T302" s="57">
        <f t="shared" si="64"/>
        <v>789529.74594404176</v>
      </c>
      <c r="U302" s="57">
        <f t="shared" si="64"/>
        <v>675081.88835643523</v>
      </c>
      <c r="V302" s="62">
        <f t="shared" si="64"/>
        <v>589012.3606935041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4"/>
        <v>0</v>
      </c>
      <c r="Q303" s="57">
        <f t="shared" si="64"/>
        <v>0</v>
      </c>
      <c r="R303" s="57">
        <f t="shared" si="64"/>
        <v>0</v>
      </c>
      <c r="S303" s="57">
        <f t="shared" si="64"/>
        <v>0</v>
      </c>
      <c r="T303" s="57">
        <f t="shared" si="64"/>
        <v>0</v>
      </c>
      <c r="U303" s="57">
        <f t="shared" si="64"/>
        <v>0</v>
      </c>
      <c r="V303" s="62">
        <f t="shared" si="64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4"/>
        <v>0</v>
      </c>
      <c r="Q304" s="57">
        <f t="shared" si="64"/>
        <v>0</v>
      </c>
      <c r="R304" s="57">
        <f t="shared" si="64"/>
        <v>0</v>
      </c>
      <c r="S304" s="57">
        <f t="shared" si="64"/>
        <v>0</v>
      </c>
      <c r="T304" s="57">
        <f t="shared" si="64"/>
        <v>0</v>
      </c>
      <c r="U304" s="57">
        <f t="shared" si="64"/>
        <v>0</v>
      </c>
      <c r="V304" s="62">
        <f t="shared" si="64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4"/>
        <v>0</v>
      </c>
      <c r="Q305" s="57">
        <f t="shared" si="64"/>
        <v>0</v>
      </c>
      <c r="R305" s="57">
        <f t="shared" si="64"/>
        <v>0</v>
      </c>
      <c r="S305" s="57">
        <f t="shared" si="64"/>
        <v>0</v>
      </c>
      <c r="T305" s="57">
        <f t="shared" si="64"/>
        <v>0</v>
      </c>
      <c r="U305" s="57">
        <f t="shared" si="64"/>
        <v>0</v>
      </c>
      <c r="V305" s="62">
        <f t="shared" si="64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4"/>
        <v>0</v>
      </c>
      <c r="Q306" s="57">
        <f t="shared" si="64"/>
        <v>0</v>
      </c>
      <c r="R306" s="57">
        <f t="shared" si="64"/>
        <v>0</v>
      </c>
      <c r="S306" s="57">
        <f t="shared" si="64"/>
        <v>0</v>
      </c>
      <c r="T306" s="57">
        <f t="shared" si="64"/>
        <v>0</v>
      </c>
      <c r="U306" s="57">
        <f t="shared" si="64"/>
        <v>0</v>
      </c>
      <c r="V306" s="62">
        <f t="shared" si="64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4"/>
        <v>0</v>
      </c>
      <c r="Q307" s="57">
        <f t="shared" si="64"/>
        <v>0</v>
      </c>
      <c r="R307" s="57">
        <f t="shared" si="64"/>
        <v>0</v>
      </c>
      <c r="S307" s="57">
        <f t="shared" si="64"/>
        <v>0</v>
      </c>
      <c r="T307" s="57">
        <f t="shared" si="64"/>
        <v>0</v>
      </c>
      <c r="U307" s="57">
        <f t="shared" si="64"/>
        <v>0</v>
      </c>
      <c r="V307" s="62">
        <f t="shared" si="64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5">SUM(Q297:Q307)</f>
        <v>661193.14833027986</v>
      </c>
      <c r="R309" s="37">
        <f t="shared" si="65"/>
        <v>748282.99394034594</v>
      </c>
      <c r="S309" s="37">
        <f t="shared" si="65"/>
        <v>852328.94497271942</v>
      </c>
      <c r="T309" s="37">
        <f t="shared" si="65"/>
        <v>789529.74594404176</v>
      </c>
      <c r="U309" s="37">
        <f t="shared" si="65"/>
        <v>675081.88835643523</v>
      </c>
      <c r="V309" s="64">
        <f t="shared" si="65"/>
        <v>589012.3606935041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259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6">P297*(1-P$219)</f>
        <v>0</v>
      </c>
      <c r="Q318" s="57">
        <f t="shared" si="66"/>
        <v>0</v>
      </c>
      <c r="R318" s="57">
        <f t="shared" si="66"/>
        <v>0</v>
      </c>
      <c r="S318" s="57">
        <f t="shared" si="66"/>
        <v>0</v>
      </c>
      <c r="T318" s="57">
        <f t="shared" si="66"/>
        <v>0</v>
      </c>
      <c r="U318" s="57">
        <f t="shared" si="66"/>
        <v>0</v>
      </c>
      <c r="V318" s="62">
        <f t="shared" si="66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6"/>
        <v>0</v>
      </c>
      <c r="Q319" s="57">
        <f t="shared" si="66"/>
        <v>0</v>
      </c>
      <c r="R319" s="57">
        <f t="shared" si="66"/>
        <v>0</v>
      </c>
      <c r="S319" s="57">
        <f t="shared" si="66"/>
        <v>0</v>
      </c>
      <c r="T319" s="57">
        <f t="shared" si="66"/>
        <v>0</v>
      </c>
      <c r="U319" s="57">
        <f t="shared" si="66"/>
        <v>0</v>
      </c>
      <c r="V319" s="62">
        <f t="shared" si="66"/>
        <v>0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6"/>
        <v>0</v>
      </c>
      <c r="Q320" s="57">
        <f t="shared" si="66"/>
        <v>0</v>
      </c>
      <c r="R320" s="57">
        <f t="shared" si="66"/>
        <v>0</v>
      </c>
      <c r="S320" s="57">
        <f t="shared" si="66"/>
        <v>0</v>
      </c>
      <c r="T320" s="57">
        <f t="shared" si="66"/>
        <v>0</v>
      </c>
      <c r="U320" s="57">
        <f t="shared" si="66"/>
        <v>0</v>
      </c>
      <c r="V320" s="62">
        <f t="shared" si="66"/>
        <v>0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6"/>
        <v>0</v>
      </c>
      <c r="Q321" s="57">
        <f t="shared" si="66"/>
        <v>0</v>
      </c>
      <c r="R321" s="57">
        <f t="shared" si="66"/>
        <v>0</v>
      </c>
      <c r="S321" s="57">
        <f t="shared" si="66"/>
        <v>0</v>
      </c>
      <c r="T321" s="57">
        <f t="shared" si="66"/>
        <v>0</v>
      </c>
      <c r="U321" s="57">
        <f t="shared" si="66"/>
        <v>0</v>
      </c>
      <c r="V321" s="62">
        <f t="shared" si="66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6"/>
        <v>0</v>
      </c>
      <c r="Q322" s="57">
        <f t="shared" si="66"/>
        <v>0</v>
      </c>
      <c r="R322" s="57">
        <f t="shared" si="66"/>
        <v>0</v>
      </c>
      <c r="S322" s="57">
        <f t="shared" si="66"/>
        <v>0</v>
      </c>
      <c r="T322" s="57">
        <f t="shared" si="66"/>
        <v>0</v>
      </c>
      <c r="U322" s="57">
        <f t="shared" si="66"/>
        <v>0</v>
      </c>
      <c r="V322" s="62">
        <f t="shared" si="66"/>
        <v>0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6"/>
        <v>0</v>
      </c>
      <c r="Q323" s="57">
        <f t="shared" si="66"/>
        <v>661193.14833027986</v>
      </c>
      <c r="R323" s="57">
        <f t="shared" si="66"/>
        <v>748282.99394034594</v>
      </c>
      <c r="S323" s="57">
        <f t="shared" si="66"/>
        <v>852328.94497271942</v>
      </c>
      <c r="T323" s="57">
        <f t="shared" si="66"/>
        <v>789529.74594404176</v>
      </c>
      <c r="U323" s="57">
        <f t="shared" si="66"/>
        <v>675081.88835643523</v>
      </c>
      <c r="V323" s="62">
        <f t="shared" si="66"/>
        <v>589012.3606935041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6"/>
        <v>0</v>
      </c>
      <c r="Q324" s="57">
        <f t="shared" si="66"/>
        <v>0</v>
      </c>
      <c r="R324" s="57">
        <f t="shared" si="66"/>
        <v>0</v>
      </c>
      <c r="S324" s="57">
        <f t="shared" si="66"/>
        <v>0</v>
      </c>
      <c r="T324" s="57">
        <f t="shared" si="66"/>
        <v>0</v>
      </c>
      <c r="U324" s="57">
        <f t="shared" si="66"/>
        <v>0</v>
      </c>
      <c r="V324" s="62">
        <f t="shared" si="66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6"/>
        <v>0</v>
      </c>
      <c r="Q325" s="57">
        <f t="shared" si="66"/>
        <v>0</v>
      </c>
      <c r="R325" s="57">
        <f t="shared" si="66"/>
        <v>0</v>
      </c>
      <c r="S325" s="57">
        <f t="shared" si="66"/>
        <v>0</v>
      </c>
      <c r="T325" s="57">
        <f t="shared" si="66"/>
        <v>0</v>
      </c>
      <c r="U325" s="57">
        <f t="shared" si="66"/>
        <v>0</v>
      </c>
      <c r="V325" s="62">
        <f t="shared" si="66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6"/>
        <v>0</v>
      </c>
      <c r="Q326" s="57">
        <f t="shared" si="66"/>
        <v>0</v>
      </c>
      <c r="R326" s="57">
        <f t="shared" si="66"/>
        <v>0</v>
      </c>
      <c r="S326" s="57">
        <f t="shared" si="66"/>
        <v>0</v>
      </c>
      <c r="T326" s="57">
        <f t="shared" si="66"/>
        <v>0</v>
      </c>
      <c r="U326" s="57">
        <f t="shared" si="66"/>
        <v>0</v>
      </c>
      <c r="V326" s="62">
        <f t="shared" si="66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6"/>
        <v>0</v>
      </c>
      <c r="Q327" s="57">
        <f t="shared" si="66"/>
        <v>0</v>
      </c>
      <c r="R327" s="57">
        <f t="shared" si="66"/>
        <v>0</v>
      </c>
      <c r="S327" s="57">
        <f t="shared" si="66"/>
        <v>0</v>
      </c>
      <c r="T327" s="57">
        <f t="shared" si="66"/>
        <v>0</v>
      </c>
      <c r="U327" s="57">
        <f t="shared" si="66"/>
        <v>0</v>
      </c>
      <c r="V327" s="62">
        <f t="shared" si="66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6"/>
        <v>0</v>
      </c>
      <c r="Q328" s="57">
        <f t="shared" si="66"/>
        <v>0</v>
      </c>
      <c r="R328" s="57">
        <f t="shared" si="66"/>
        <v>0</v>
      </c>
      <c r="S328" s="57">
        <f t="shared" si="66"/>
        <v>0</v>
      </c>
      <c r="T328" s="57">
        <f t="shared" si="66"/>
        <v>0</v>
      </c>
      <c r="U328" s="57">
        <f t="shared" si="66"/>
        <v>0</v>
      </c>
      <c r="V328" s="62">
        <f t="shared" si="66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7">SUM(Q318:Q328)</f>
        <v>661193.14833027986</v>
      </c>
      <c r="R330" s="37">
        <f t="shared" si="67"/>
        <v>748282.99394034594</v>
      </c>
      <c r="S330" s="37">
        <f t="shared" si="67"/>
        <v>852328.94497271942</v>
      </c>
      <c r="T330" s="37">
        <f t="shared" si="67"/>
        <v>789529.74594404176</v>
      </c>
      <c r="U330" s="37">
        <f t="shared" si="67"/>
        <v>675081.88835643523</v>
      </c>
      <c r="V330" s="64">
        <f t="shared" si="67"/>
        <v>589012.3606935041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260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68">Q297*Q$219</f>
        <v>0</v>
      </c>
      <c r="R339" s="57">
        <f t="shared" si="68"/>
        <v>0</v>
      </c>
      <c r="S339" s="57">
        <f t="shared" si="68"/>
        <v>0</v>
      </c>
      <c r="T339" s="57">
        <f t="shared" si="68"/>
        <v>0</v>
      </c>
      <c r="U339" s="57">
        <f t="shared" si="68"/>
        <v>0</v>
      </c>
      <c r="V339" s="62">
        <f t="shared" si="68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69">P298*P$219</f>
        <v>0</v>
      </c>
      <c r="Q340" s="57">
        <f t="shared" si="68"/>
        <v>0</v>
      </c>
      <c r="R340" s="57">
        <f t="shared" si="68"/>
        <v>0</v>
      </c>
      <c r="S340" s="57">
        <f t="shared" si="68"/>
        <v>0</v>
      </c>
      <c r="T340" s="57">
        <f t="shared" si="68"/>
        <v>0</v>
      </c>
      <c r="U340" s="57">
        <f t="shared" si="68"/>
        <v>0</v>
      </c>
      <c r="V340" s="62">
        <f t="shared" si="68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69"/>
        <v>0</v>
      </c>
      <c r="Q341" s="57">
        <f t="shared" si="68"/>
        <v>0</v>
      </c>
      <c r="R341" s="57">
        <f t="shared" si="68"/>
        <v>0</v>
      </c>
      <c r="S341" s="57">
        <f t="shared" si="68"/>
        <v>0</v>
      </c>
      <c r="T341" s="57">
        <f t="shared" si="68"/>
        <v>0</v>
      </c>
      <c r="U341" s="57">
        <f t="shared" si="68"/>
        <v>0</v>
      </c>
      <c r="V341" s="62">
        <f t="shared" si="68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69"/>
        <v>0</v>
      </c>
      <c r="Q342" s="57">
        <f t="shared" si="68"/>
        <v>0</v>
      </c>
      <c r="R342" s="57">
        <f t="shared" si="68"/>
        <v>0</v>
      </c>
      <c r="S342" s="57">
        <f t="shared" si="68"/>
        <v>0</v>
      </c>
      <c r="T342" s="57">
        <f t="shared" si="68"/>
        <v>0</v>
      </c>
      <c r="U342" s="57">
        <f t="shared" si="68"/>
        <v>0</v>
      </c>
      <c r="V342" s="62">
        <f t="shared" si="68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69"/>
        <v>0</v>
      </c>
      <c r="Q343" s="57">
        <f t="shared" si="68"/>
        <v>0</v>
      </c>
      <c r="R343" s="57">
        <f t="shared" si="68"/>
        <v>0</v>
      </c>
      <c r="S343" s="57">
        <f t="shared" si="68"/>
        <v>0</v>
      </c>
      <c r="T343" s="57">
        <f t="shared" si="68"/>
        <v>0</v>
      </c>
      <c r="U343" s="57">
        <f t="shared" si="68"/>
        <v>0</v>
      </c>
      <c r="V343" s="62">
        <f t="shared" si="68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69"/>
        <v>0</v>
      </c>
      <c r="Q344" s="57">
        <f t="shared" si="68"/>
        <v>0</v>
      </c>
      <c r="R344" s="57">
        <f t="shared" si="68"/>
        <v>0</v>
      </c>
      <c r="S344" s="57">
        <f t="shared" si="68"/>
        <v>0</v>
      </c>
      <c r="T344" s="57">
        <f t="shared" si="68"/>
        <v>0</v>
      </c>
      <c r="U344" s="57">
        <f t="shared" si="68"/>
        <v>0</v>
      </c>
      <c r="V344" s="62">
        <f t="shared" si="68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69"/>
        <v>0</v>
      </c>
      <c r="Q345" s="57">
        <f t="shared" si="68"/>
        <v>0</v>
      </c>
      <c r="R345" s="57">
        <f t="shared" si="68"/>
        <v>0</v>
      </c>
      <c r="S345" s="57">
        <f t="shared" si="68"/>
        <v>0</v>
      </c>
      <c r="T345" s="57">
        <f t="shared" si="68"/>
        <v>0</v>
      </c>
      <c r="U345" s="57">
        <f t="shared" si="68"/>
        <v>0</v>
      </c>
      <c r="V345" s="62">
        <f t="shared" si="68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69"/>
        <v>0</v>
      </c>
      <c r="Q346" s="57">
        <f t="shared" si="68"/>
        <v>0</v>
      </c>
      <c r="R346" s="57">
        <f t="shared" si="68"/>
        <v>0</v>
      </c>
      <c r="S346" s="57">
        <f t="shared" si="68"/>
        <v>0</v>
      </c>
      <c r="T346" s="57">
        <f t="shared" si="68"/>
        <v>0</v>
      </c>
      <c r="U346" s="57">
        <f t="shared" si="68"/>
        <v>0</v>
      </c>
      <c r="V346" s="62">
        <f t="shared" si="68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69"/>
        <v>0</v>
      </c>
      <c r="Q347" s="57">
        <f t="shared" si="68"/>
        <v>0</v>
      </c>
      <c r="R347" s="57">
        <f t="shared" si="68"/>
        <v>0</v>
      </c>
      <c r="S347" s="57">
        <f t="shared" si="68"/>
        <v>0</v>
      </c>
      <c r="T347" s="57">
        <f t="shared" si="68"/>
        <v>0</v>
      </c>
      <c r="U347" s="57">
        <f t="shared" si="68"/>
        <v>0</v>
      </c>
      <c r="V347" s="62">
        <f t="shared" si="68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69"/>
        <v>0</v>
      </c>
      <c r="Q348" s="57">
        <f t="shared" si="68"/>
        <v>0</v>
      </c>
      <c r="R348" s="57">
        <f t="shared" si="68"/>
        <v>0</v>
      </c>
      <c r="S348" s="57">
        <f t="shared" si="68"/>
        <v>0</v>
      </c>
      <c r="T348" s="57">
        <f t="shared" si="68"/>
        <v>0</v>
      </c>
      <c r="U348" s="57">
        <f t="shared" si="68"/>
        <v>0</v>
      </c>
      <c r="V348" s="62">
        <f t="shared" si="68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69"/>
        <v>0</v>
      </c>
      <c r="Q349" s="57">
        <f t="shared" si="68"/>
        <v>0</v>
      </c>
      <c r="R349" s="57">
        <f t="shared" si="68"/>
        <v>0</v>
      </c>
      <c r="S349" s="57">
        <f t="shared" si="68"/>
        <v>0</v>
      </c>
      <c r="T349" s="57">
        <f t="shared" si="68"/>
        <v>0</v>
      </c>
      <c r="U349" s="57">
        <f t="shared" si="68"/>
        <v>0</v>
      </c>
      <c r="V349" s="62">
        <f t="shared" si="68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0">SUM(Q339:Q349)</f>
        <v>0</v>
      </c>
      <c r="R351" s="37">
        <f t="shared" si="70"/>
        <v>0</v>
      </c>
      <c r="S351" s="37">
        <f t="shared" si="70"/>
        <v>0</v>
      </c>
      <c r="T351" s="37">
        <f t="shared" si="70"/>
        <v>0</v>
      </c>
      <c r="U351" s="37">
        <f t="shared" si="70"/>
        <v>0</v>
      </c>
      <c r="V351" s="64">
        <f t="shared" si="70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258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71">IFERROR(SUMPRODUCT($AM$73:$AM$87,Q$73:Q$87)/SUM(Q$73:Q$87)*Q$89,0)</f>
        <v>0</v>
      </c>
      <c r="R362" s="57">
        <f t="shared" si="71"/>
        <v>0</v>
      </c>
      <c r="S362" s="57">
        <f t="shared" si="71"/>
        <v>0</v>
      </c>
      <c r="T362" s="57">
        <f t="shared" si="71"/>
        <v>0</v>
      </c>
      <c r="U362" s="57">
        <f t="shared" si="71"/>
        <v>0</v>
      </c>
      <c r="V362" s="62">
        <f t="shared" si="71"/>
        <v>0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72">IFERROR(SUMPRODUCT($AN$73:$AN$87,Q$73:Q$87)/SUM(Q$73:Q$87)*Q$89,0)</f>
        <v>0</v>
      </c>
      <c r="R363" s="57">
        <f t="shared" si="72"/>
        <v>0</v>
      </c>
      <c r="S363" s="57">
        <f t="shared" si="72"/>
        <v>0</v>
      </c>
      <c r="T363" s="57">
        <f t="shared" si="72"/>
        <v>0</v>
      </c>
      <c r="U363" s="57">
        <f t="shared" si="72"/>
        <v>0</v>
      </c>
      <c r="V363" s="62">
        <f t="shared" si="72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73">IFERROR(SUMPRODUCT($AO$73:$AO$87,Q$73:Q$87)/SUM(Q$73:Q$87)*Q$89,0)</f>
        <v>0</v>
      </c>
      <c r="R364" s="57">
        <f t="shared" si="73"/>
        <v>0</v>
      </c>
      <c r="S364" s="57">
        <f t="shared" si="73"/>
        <v>0</v>
      </c>
      <c r="T364" s="57">
        <f t="shared" si="73"/>
        <v>0</v>
      </c>
      <c r="U364" s="57">
        <f t="shared" si="73"/>
        <v>0</v>
      </c>
      <c r="V364" s="62">
        <f t="shared" si="73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4">IFERROR(SUMPRODUCT($AP$73:$AP$87,Q$73:Q$87)/SUM(Q$73:Q$87)*Q$89,0)</f>
        <v>0</v>
      </c>
      <c r="R365" s="57">
        <f t="shared" si="74"/>
        <v>0</v>
      </c>
      <c r="S365" s="57">
        <f t="shared" si="74"/>
        <v>0</v>
      </c>
      <c r="T365" s="57">
        <f t="shared" si="74"/>
        <v>0</v>
      </c>
      <c r="U365" s="57">
        <f t="shared" si="74"/>
        <v>0</v>
      </c>
      <c r="V365" s="62">
        <f t="shared" si="74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5">IFERROR(SUMPRODUCT($AQ$73:$AQ$87,Q$73:Q$87)/SUM(Q$73:Q$87)*Q$89,0)</f>
        <v>615153.98046793579</v>
      </c>
      <c r="R366" s="57">
        <f t="shared" si="75"/>
        <v>697913.97740609862</v>
      </c>
      <c r="S366" s="57">
        <f t="shared" si="75"/>
        <v>791933.63403170288</v>
      </c>
      <c r="T366" s="57">
        <f t="shared" si="75"/>
        <v>732792.10195605806</v>
      </c>
      <c r="U366" s="57">
        <f t="shared" si="75"/>
        <v>624084.40514359297</v>
      </c>
      <c r="V366" s="62">
        <f t="shared" si="75"/>
        <v>543172.61477197823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6">IFERROR(SUMPRODUCT($AR$73:$AR$87,Q$73:Q$87)/SUM(Q$73:Q$87)*Q$89,0)</f>
        <v>0</v>
      </c>
      <c r="R367" s="57">
        <f t="shared" si="76"/>
        <v>0</v>
      </c>
      <c r="S367" s="57">
        <f t="shared" si="76"/>
        <v>0</v>
      </c>
      <c r="T367" s="57">
        <f t="shared" si="76"/>
        <v>0</v>
      </c>
      <c r="U367" s="57">
        <f t="shared" si="76"/>
        <v>0</v>
      </c>
      <c r="V367" s="62">
        <f t="shared" si="76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77">IFERROR(SUMPRODUCT($AS$73:$AS$87,Q$73:Q$87)/SUM(Q$73:Q$87)*Q$89,0)</f>
        <v>0</v>
      </c>
      <c r="R368" s="57">
        <f t="shared" si="77"/>
        <v>0</v>
      </c>
      <c r="S368" s="57">
        <f t="shared" si="77"/>
        <v>0</v>
      </c>
      <c r="T368" s="57">
        <f t="shared" si="77"/>
        <v>0</v>
      </c>
      <c r="U368" s="57">
        <f t="shared" si="77"/>
        <v>0</v>
      </c>
      <c r="V368" s="62">
        <f t="shared" si="77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78">IFERROR(SUMPRODUCT($AT$73:$AT$87,Q$73:Q$87)/SUM(Q$73:Q$87)*Q$89,0)</f>
        <v>0</v>
      </c>
      <c r="R369" s="57">
        <f t="shared" si="78"/>
        <v>0</v>
      </c>
      <c r="S369" s="57">
        <f t="shared" si="78"/>
        <v>0</v>
      </c>
      <c r="T369" s="57">
        <f t="shared" si="78"/>
        <v>0</v>
      </c>
      <c r="U369" s="57">
        <f t="shared" si="78"/>
        <v>0</v>
      </c>
      <c r="V369" s="62">
        <f t="shared" si="78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79">IFERROR(SUMPRODUCT($AU$73:$AU$87,Q$73:Q$87)/SUM(Q$73:Q$87)*Q$89,0)</f>
        <v>0</v>
      </c>
      <c r="R370" s="57">
        <f t="shared" si="79"/>
        <v>0</v>
      </c>
      <c r="S370" s="57">
        <f t="shared" si="79"/>
        <v>0</v>
      </c>
      <c r="T370" s="57">
        <f t="shared" si="79"/>
        <v>0</v>
      </c>
      <c r="U370" s="57">
        <f t="shared" si="79"/>
        <v>0</v>
      </c>
      <c r="V370" s="62">
        <f t="shared" si="79"/>
        <v>0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0">IFERROR(SUMPRODUCT($AV$73:$AV$87,Q$73:Q$87)/SUM(Q$73:Q$87)*Q$89,0)</f>
        <v>0</v>
      </c>
      <c r="R371" s="57">
        <f t="shared" si="80"/>
        <v>0</v>
      </c>
      <c r="S371" s="57">
        <f t="shared" si="80"/>
        <v>0</v>
      </c>
      <c r="T371" s="57">
        <f t="shared" si="80"/>
        <v>0</v>
      </c>
      <c r="U371" s="57">
        <f t="shared" si="80"/>
        <v>0</v>
      </c>
      <c r="V371" s="62">
        <f t="shared" si="80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81">IFERROR(SUMPRODUCT($AW$73:$AW$87,Q$73:Q$87)/SUM(Q$73:Q$87)*Q$89,0)</f>
        <v>0</v>
      </c>
      <c r="R372" s="57">
        <f t="shared" si="81"/>
        <v>0</v>
      </c>
      <c r="S372" s="57">
        <f t="shared" si="81"/>
        <v>0</v>
      </c>
      <c r="T372" s="57">
        <f t="shared" si="81"/>
        <v>0</v>
      </c>
      <c r="U372" s="57">
        <f t="shared" si="81"/>
        <v>0</v>
      </c>
      <c r="V372" s="62">
        <f t="shared" si="81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82">Q238</f>
        <v>0</v>
      </c>
      <c r="R373" s="57">
        <f t="shared" si="82"/>
        <v>0</v>
      </c>
      <c r="S373" s="57">
        <f t="shared" si="82"/>
        <v>0</v>
      </c>
      <c r="T373" s="57">
        <f t="shared" si="82"/>
        <v>0</v>
      </c>
      <c r="U373" s="57">
        <f t="shared" si="82"/>
        <v>0</v>
      </c>
      <c r="V373" s="62">
        <f t="shared" si="82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83">Q252</f>
        <v>0</v>
      </c>
      <c r="R374" s="57">
        <f t="shared" si="83"/>
        <v>0</v>
      </c>
      <c r="S374" s="57">
        <f t="shared" si="83"/>
        <v>0</v>
      </c>
      <c r="T374" s="57">
        <f t="shared" si="83"/>
        <v>0</v>
      </c>
      <c r="U374" s="57">
        <f t="shared" si="83"/>
        <v>0</v>
      </c>
      <c r="V374" s="62">
        <f t="shared" si="83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84">SUM(Q362:Q372)*Q208</f>
        <v>46039.167862343973</v>
      </c>
      <c r="R375" s="57">
        <f t="shared" si="84"/>
        <v>50369.016534247326</v>
      </c>
      <c r="S375" s="57">
        <f t="shared" si="84"/>
        <v>60395.310941016556</v>
      </c>
      <c r="T375" s="57">
        <f t="shared" si="84"/>
        <v>56737.64398798372</v>
      </c>
      <c r="U375" s="57">
        <f t="shared" si="84"/>
        <v>50997.483212842177</v>
      </c>
      <c r="V375" s="57">
        <f t="shared" si="84"/>
        <v>45839.745921525886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5">SUM(P362:P375)</f>
        <v>0</v>
      </c>
      <c r="Q377" s="37">
        <f t="shared" si="85"/>
        <v>661193.14833027974</v>
      </c>
      <c r="R377" s="37">
        <f t="shared" si="85"/>
        <v>748282.99394034594</v>
      </c>
      <c r="S377" s="37">
        <f t="shared" si="85"/>
        <v>852328.94497271942</v>
      </c>
      <c r="T377" s="37">
        <f t="shared" si="85"/>
        <v>789529.74594404176</v>
      </c>
      <c r="U377" s="37">
        <f t="shared" si="85"/>
        <v>675081.88835643511</v>
      </c>
      <c r="V377" s="64">
        <f t="shared" si="85"/>
        <v>589012.3606935041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258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6">IFERROR(SUMPRODUCT($BB$73:$BB$87,Q$73:Q$87)/SUM(Q$73:Q$87)*Q$89*(1+Q$208),0)</f>
        <v>0</v>
      </c>
      <c r="R388" s="57">
        <f t="shared" si="86"/>
        <v>0</v>
      </c>
      <c r="S388" s="57">
        <f t="shared" si="86"/>
        <v>0</v>
      </c>
      <c r="T388" s="57">
        <f t="shared" si="86"/>
        <v>0</v>
      </c>
      <c r="U388" s="57">
        <f t="shared" si="86"/>
        <v>0</v>
      </c>
      <c r="V388" s="62">
        <f t="shared" si="86"/>
        <v>0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87">IFERROR(SUMPRODUCT($BC$73:$BC$87,Q$73:Q$87)/SUM(Q$73:Q$87)*Q$89*(1+Q$208),0)</f>
        <v>0</v>
      </c>
      <c r="R389" s="57">
        <f t="shared" si="87"/>
        <v>0</v>
      </c>
      <c r="S389" s="57">
        <f t="shared" si="87"/>
        <v>0</v>
      </c>
      <c r="T389" s="57">
        <f t="shared" si="87"/>
        <v>0</v>
      </c>
      <c r="U389" s="57">
        <f t="shared" si="87"/>
        <v>0</v>
      </c>
      <c r="V389" s="62">
        <f t="shared" si="87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88">IFERROR(SUMPRODUCT($BD$73:$BD$87,Q$73:Q$87)/SUM(Q$73:Q$87)*Q$89*(1+Q$208),0)</f>
        <v>661193.14833027986</v>
      </c>
      <c r="R390" s="57">
        <f t="shared" si="88"/>
        <v>748282.99394034594</v>
      </c>
      <c r="S390" s="57">
        <f t="shared" si="88"/>
        <v>852328.94497271942</v>
      </c>
      <c r="T390" s="57">
        <f t="shared" si="88"/>
        <v>789529.74594404176</v>
      </c>
      <c r="U390" s="57">
        <f t="shared" si="88"/>
        <v>675081.88835643523</v>
      </c>
      <c r="V390" s="62">
        <f t="shared" si="88"/>
        <v>589012.3606935041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89">IFERROR(SUMPRODUCT($BE$73:$BE$87,Q$73:Q$87)/SUM(Q$73:Q$87)*Q$89*(1+Q$208),0)</f>
        <v>0</v>
      </c>
      <c r="R391" s="57">
        <f t="shared" si="89"/>
        <v>0</v>
      </c>
      <c r="S391" s="57">
        <f t="shared" si="89"/>
        <v>0</v>
      </c>
      <c r="T391" s="57">
        <f t="shared" si="89"/>
        <v>0</v>
      </c>
      <c r="U391" s="57">
        <f t="shared" si="89"/>
        <v>0</v>
      </c>
      <c r="V391" s="62">
        <f t="shared" si="89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0">IFERROR(SUMPRODUCT($BF$73:$BF$87,Q$73:Q$87)/SUM(Q$73:Q$87)*Q$89*(1+Q$208),0)</f>
        <v>0</v>
      </c>
      <c r="R392" s="57">
        <f t="shared" si="90"/>
        <v>0</v>
      </c>
      <c r="S392" s="57">
        <f t="shared" si="90"/>
        <v>0</v>
      </c>
      <c r="T392" s="57">
        <f t="shared" si="90"/>
        <v>0</v>
      </c>
      <c r="U392" s="57">
        <f t="shared" si="90"/>
        <v>0</v>
      </c>
      <c r="V392" s="62">
        <f t="shared" si="90"/>
        <v>0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91">IFERROR(SUMPRODUCT($BG$73:$BG$87,Q$73:Q$87)/SUM(Q$73:Q$87)*Q$89*(1+Q$208),0)</f>
        <v>0</v>
      </c>
      <c r="R393" s="57">
        <f t="shared" si="91"/>
        <v>0</v>
      </c>
      <c r="S393" s="57">
        <f t="shared" si="91"/>
        <v>0</v>
      </c>
      <c r="T393" s="57">
        <f t="shared" si="91"/>
        <v>0</v>
      </c>
      <c r="U393" s="57">
        <f t="shared" si="91"/>
        <v>0</v>
      </c>
      <c r="V393" s="62">
        <f t="shared" si="91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92">IFERROR(SUMPRODUCT($BH$73:$BH$87,Q$73:Q$87)/SUM(Q$73:Q$87)*Q$89*(1+Q$208),0)</f>
        <v>0</v>
      </c>
      <c r="R394" s="57">
        <f t="shared" si="92"/>
        <v>0</v>
      </c>
      <c r="S394" s="57">
        <f t="shared" si="92"/>
        <v>0</v>
      </c>
      <c r="T394" s="57">
        <f t="shared" si="92"/>
        <v>0</v>
      </c>
      <c r="U394" s="57">
        <f t="shared" si="92"/>
        <v>0</v>
      </c>
      <c r="V394" s="62">
        <f t="shared" si="92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3">SUM(P388:P394)</f>
        <v>0</v>
      </c>
      <c r="Q396" s="37">
        <f t="shared" si="93"/>
        <v>661193.14833027986</v>
      </c>
      <c r="R396" s="37">
        <f t="shared" si="93"/>
        <v>748282.99394034594</v>
      </c>
      <c r="S396" s="37">
        <f t="shared" si="93"/>
        <v>852328.94497271942</v>
      </c>
      <c r="T396" s="37">
        <f t="shared" si="93"/>
        <v>789529.74594404176</v>
      </c>
      <c r="U396" s="37">
        <f t="shared" si="93"/>
        <v>675081.88835643523</v>
      </c>
      <c r="V396" s="64">
        <f t="shared" si="93"/>
        <v>589012.3606935041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I399"/>
  <sheetViews>
    <sheetView topLeftCell="E1" workbookViewId="0">
      <selection activeCell="R33" sqref="R33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2</v>
      </c>
    </row>
    <row r="2" spans="1:7" s="1" customFormat="1">
      <c r="A2" s="3" t="s">
        <v>176</v>
      </c>
    </row>
    <row r="3" spans="1:7" s="1" customFormat="1">
      <c r="A3" s="3" t="s">
        <v>95</v>
      </c>
    </row>
    <row r="4" spans="1:7" s="1" customFormat="1">
      <c r="A4" s="22" t="s">
        <v>43</v>
      </c>
    </row>
    <row r="6" spans="1:7" s="1" customFormat="1">
      <c r="A6" s="2">
        <v>2</v>
      </c>
      <c r="B6" s="2" t="s">
        <v>45</v>
      </c>
    </row>
    <row r="9" spans="1:7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</row>
    <row r="10" spans="1:7">
      <c r="B10" s="8" t="s">
        <v>177</v>
      </c>
      <c r="D10" s="10">
        <v>0.01</v>
      </c>
      <c r="E10" s="10">
        <v>0.25</v>
      </c>
      <c r="F10" s="26">
        <f>D10+E10</f>
        <v>0.26</v>
      </c>
      <c r="G10" s="26">
        <f>1-F10</f>
        <v>0.74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7">
      <c r="B17" s="8"/>
      <c r="D17" s="10"/>
      <c r="E17" s="10"/>
      <c r="F17" s="27"/>
      <c r="G17" s="27"/>
    </row>
    <row r="18" spans="1:27">
      <c r="B18" s="8"/>
      <c r="D18" s="10"/>
      <c r="E18" s="10"/>
      <c r="F18" s="27"/>
      <c r="G18" s="27"/>
    </row>
    <row r="19" spans="1:27">
      <c r="B19" s="8"/>
      <c r="D19" s="10"/>
      <c r="E19" s="10"/>
      <c r="F19" s="27"/>
      <c r="G19" s="27"/>
    </row>
    <row r="20" spans="1:27">
      <c r="B20" s="8"/>
      <c r="D20" s="10"/>
      <c r="E20" s="10"/>
      <c r="F20" s="27"/>
      <c r="G20" s="27"/>
    </row>
    <row r="21" spans="1:27">
      <c r="B21" s="8"/>
      <c r="D21" s="10"/>
      <c r="E21" s="10"/>
      <c r="F21" s="27"/>
      <c r="G21" s="27"/>
    </row>
    <row r="22" spans="1:27">
      <c r="B22" s="8"/>
      <c r="D22" s="10"/>
      <c r="E22" s="10"/>
      <c r="F22" s="27"/>
      <c r="G22" s="27"/>
    </row>
    <row r="23" spans="1:27">
      <c r="B23" s="8"/>
      <c r="D23" s="10"/>
      <c r="E23" s="10"/>
      <c r="F23" s="27"/>
      <c r="G23" s="27"/>
    </row>
    <row r="24" spans="1:27">
      <c r="B24" s="8"/>
      <c r="D24" s="10"/>
      <c r="E24" s="10"/>
      <c r="F24" s="27"/>
      <c r="G24" s="27"/>
    </row>
    <row r="26" spans="1:27" s="1" customFormat="1">
      <c r="A26" s="2">
        <v>3</v>
      </c>
      <c r="B26" s="2" t="s">
        <v>51</v>
      </c>
    </row>
    <row r="27" spans="1:27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7">
      <c r="G28" s="30"/>
      <c r="H28" s="190" t="s">
        <v>52</v>
      </c>
      <c r="I28" s="190"/>
      <c r="J28" s="190"/>
      <c r="K28" s="190"/>
      <c r="L28" s="190"/>
      <c r="M28" s="190" t="s">
        <v>53</v>
      </c>
      <c r="N28" s="190"/>
      <c r="O28" s="190"/>
      <c r="P28" s="190"/>
      <c r="Q28" s="190"/>
      <c r="R28" s="190" t="s">
        <v>54</v>
      </c>
      <c r="S28" s="190"/>
      <c r="T28" s="190"/>
      <c r="U28" s="190"/>
      <c r="V28" s="190"/>
    </row>
    <row r="29" spans="1:27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  <c r="X29" s="94"/>
      <c r="Y29" s="94"/>
      <c r="Z29" s="94"/>
      <c r="AA29" s="94"/>
    </row>
    <row r="30" spans="1:27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  <c r="X30" s="94"/>
      <c r="Y30" s="94"/>
      <c r="Z30" s="94"/>
      <c r="AA30" s="94"/>
    </row>
    <row r="31" spans="1:27">
      <c r="B31" s="4" t="str">
        <f>IF(B10&lt;&gt;"",B10,"[blank]")</f>
        <v>Meter Faults - I&amp;C</v>
      </c>
      <c r="D31" s="31" t="s">
        <v>171</v>
      </c>
      <c r="E31" s="31"/>
      <c r="P31" s="184"/>
      <c r="Q31" s="184"/>
      <c r="R31" s="184"/>
      <c r="S31" s="184"/>
      <c r="T31" s="184"/>
      <c r="U31" s="184"/>
      <c r="V31" s="184"/>
      <c r="X31" s="20"/>
      <c r="Y31" s="94"/>
      <c r="Z31" s="94"/>
      <c r="AA31" s="94"/>
    </row>
    <row r="32" spans="1:27">
      <c r="B32" s="4" t="str">
        <f t="shared" ref="B32:B45" si="0">IF(B11&lt;&gt;"",B11,"[blank]")</f>
        <v>[blank]</v>
      </c>
      <c r="D32" s="31"/>
      <c r="E32" s="31"/>
      <c r="Q32" s="67"/>
      <c r="R32" s="67"/>
      <c r="S32" s="67"/>
      <c r="T32" s="67"/>
      <c r="U32" s="67"/>
      <c r="V32" s="67"/>
      <c r="X32" s="20"/>
      <c r="Y32" s="94"/>
      <c r="Z32" s="94"/>
      <c r="AA32" s="94"/>
    </row>
    <row r="33" spans="1:27">
      <c r="B33" s="4" t="str">
        <f t="shared" si="0"/>
        <v>[blank]</v>
      </c>
      <c r="D33" s="31"/>
      <c r="Q33" s="67"/>
      <c r="R33" s="67"/>
      <c r="S33" s="67"/>
      <c r="T33" s="67"/>
      <c r="U33" s="67"/>
      <c r="V33" s="67"/>
      <c r="X33" s="20"/>
      <c r="Y33" s="94"/>
      <c r="Z33" s="94"/>
      <c r="AA33" s="94"/>
    </row>
    <row r="34" spans="1:27">
      <c r="B34" s="4" t="str">
        <f t="shared" si="0"/>
        <v>[blank]</v>
      </c>
      <c r="D34" s="31"/>
      <c r="P34" s="67"/>
      <c r="Q34" s="67"/>
      <c r="R34" s="67"/>
      <c r="S34" s="67"/>
      <c r="T34" s="67"/>
      <c r="U34" s="67"/>
      <c r="V34" s="67"/>
      <c r="X34" s="20"/>
      <c r="Y34" s="94"/>
      <c r="Z34" s="94"/>
      <c r="AA34" s="94"/>
    </row>
    <row r="35" spans="1:27">
      <c r="B35" s="4" t="str">
        <f t="shared" si="0"/>
        <v>[blank]</v>
      </c>
      <c r="D35" s="31"/>
      <c r="X35" s="94"/>
      <c r="Y35" s="94"/>
      <c r="Z35" s="94"/>
      <c r="AA35" s="94"/>
    </row>
    <row r="36" spans="1:27">
      <c r="B36" s="4" t="str">
        <f t="shared" si="0"/>
        <v>[blank]</v>
      </c>
      <c r="D36" s="31"/>
    </row>
    <row r="37" spans="1:27">
      <c r="B37" s="4" t="str">
        <f t="shared" si="0"/>
        <v>[blank]</v>
      </c>
      <c r="D37" s="31"/>
    </row>
    <row r="38" spans="1:27">
      <c r="B38" s="4" t="str">
        <f t="shared" si="0"/>
        <v>[blank]</v>
      </c>
      <c r="D38" s="31"/>
    </row>
    <row r="39" spans="1:27">
      <c r="B39" s="4" t="str">
        <f t="shared" si="0"/>
        <v>[blank]</v>
      </c>
      <c r="D39" s="31"/>
    </row>
    <row r="40" spans="1:27">
      <c r="B40" s="4" t="str">
        <f t="shared" si="0"/>
        <v>[blank]</v>
      </c>
      <c r="D40" s="31"/>
    </row>
    <row r="41" spans="1:27">
      <c r="B41" s="4" t="str">
        <f t="shared" si="0"/>
        <v>[blank]</v>
      </c>
      <c r="D41" s="31"/>
    </row>
    <row r="42" spans="1:27">
      <c r="B42" s="4" t="str">
        <f t="shared" si="0"/>
        <v>[blank]</v>
      </c>
      <c r="D42" s="31"/>
    </row>
    <row r="43" spans="1:27">
      <c r="B43" s="4" t="str">
        <f t="shared" si="0"/>
        <v>[blank]</v>
      </c>
      <c r="D43" s="31"/>
    </row>
    <row r="44" spans="1:27">
      <c r="B44" s="4" t="str">
        <f t="shared" si="0"/>
        <v>[blank]</v>
      </c>
      <c r="D44" s="31"/>
    </row>
    <row r="45" spans="1:27">
      <c r="B45" s="4" t="str">
        <f t="shared" si="0"/>
        <v>[blank]</v>
      </c>
      <c r="D45" s="31"/>
    </row>
    <row r="47" spans="1:27" s="1" customFormat="1">
      <c r="A47" s="2">
        <v>4</v>
      </c>
      <c r="B47" s="2" t="s">
        <v>56</v>
      </c>
    </row>
    <row r="49" spans="2:24">
      <c r="H49" s="190" t="s">
        <v>52</v>
      </c>
      <c r="I49" s="190"/>
      <c r="J49" s="190"/>
      <c r="K49" s="190"/>
      <c r="L49" s="190"/>
      <c r="M49" s="190" t="s">
        <v>53</v>
      </c>
      <c r="N49" s="190"/>
      <c r="O49" s="190"/>
      <c r="P49" s="190"/>
      <c r="Q49" s="190"/>
      <c r="R49" s="190" t="s">
        <v>54</v>
      </c>
      <c r="S49" s="190"/>
      <c r="T49" s="190"/>
      <c r="U49" s="190"/>
      <c r="V49" s="190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46</v>
      </c>
      <c r="D51" s="29" t="s">
        <v>55</v>
      </c>
      <c r="H51" s="16" t="s">
        <v>12</v>
      </c>
      <c r="I51" s="16" t="s">
        <v>12</v>
      </c>
      <c r="J51" s="16" t="s">
        <v>12</v>
      </c>
      <c r="K51" s="16" t="s">
        <v>12</v>
      </c>
      <c r="L51" s="16" t="s">
        <v>12</v>
      </c>
      <c r="M51" s="16" t="s">
        <v>12</v>
      </c>
      <c r="N51" s="16" t="s">
        <v>12</v>
      </c>
      <c r="O51" s="16" t="s">
        <v>12</v>
      </c>
      <c r="P51" s="16" t="s">
        <v>13</v>
      </c>
      <c r="Q51" s="16" t="s">
        <v>13</v>
      </c>
      <c r="R51" s="16" t="s">
        <v>13</v>
      </c>
      <c r="S51" s="16" t="s">
        <v>13</v>
      </c>
      <c r="T51" s="16" t="s">
        <v>13</v>
      </c>
      <c r="U51" s="16" t="s">
        <v>13</v>
      </c>
      <c r="V51" s="16" t="s">
        <v>13</v>
      </c>
    </row>
    <row r="52" spans="2:24">
      <c r="B52" s="4" t="str">
        <f>IF(B10&lt;&gt;"",B10,"[blank]")</f>
        <v>Meter Faults - I&amp;C</v>
      </c>
      <c r="D52" s="31" t="s">
        <v>174</v>
      </c>
      <c r="P52" s="77"/>
      <c r="Q52" s="184"/>
      <c r="R52" s="184"/>
      <c r="S52" s="184"/>
      <c r="T52" s="184"/>
      <c r="U52" s="184"/>
      <c r="V52" s="184"/>
      <c r="X52" s="20"/>
    </row>
    <row r="53" spans="2:24">
      <c r="B53" s="4" t="str">
        <f t="shared" ref="B53:B66" si="1">IF(B11&lt;&gt;"",B11,"[blank]")</f>
        <v>[blank]</v>
      </c>
      <c r="D53" s="31"/>
      <c r="X53" s="20"/>
    </row>
    <row r="54" spans="2:24">
      <c r="B54" s="4" t="str">
        <f t="shared" si="1"/>
        <v>[blank]</v>
      </c>
      <c r="D54" s="31"/>
      <c r="X54" s="20"/>
    </row>
    <row r="55" spans="2:24">
      <c r="B55" s="4" t="str">
        <f t="shared" si="1"/>
        <v>[blank]</v>
      </c>
      <c r="D55" s="31"/>
      <c r="X55" s="20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61</v>
      </c>
    </row>
    <row r="69" spans="1:61">
      <c r="Z69" s="5" t="s">
        <v>73</v>
      </c>
      <c r="AM69" s="5" t="s">
        <v>110</v>
      </c>
      <c r="BB69" s="5" t="s">
        <v>133</v>
      </c>
    </row>
    <row r="70" spans="1:61">
      <c r="H70" s="190" t="s">
        <v>52</v>
      </c>
      <c r="I70" s="190"/>
      <c r="J70" s="190"/>
      <c r="K70" s="190"/>
      <c r="L70" s="190"/>
      <c r="M70" s="190" t="s">
        <v>53</v>
      </c>
      <c r="N70" s="190"/>
      <c r="O70" s="190"/>
      <c r="P70" s="190"/>
      <c r="Q70" s="190"/>
      <c r="R70" s="190" t="s">
        <v>54</v>
      </c>
      <c r="S70" s="190"/>
      <c r="T70" s="190"/>
      <c r="U70" s="190"/>
      <c r="V70" s="190"/>
      <c r="X70" s="38"/>
      <c r="Z70" s="39" t="s">
        <v>69</v>
      </c>
      <c r="AA70" s="39" t="s">
        <v>70</v>
      </c>
      <c r="AB70" s="39" t="s">
        <v>71</v>
      </c>
      <c r="AC70" s="39" t="s">
        <v>72</v>
      </c>
      <c r="AD70" s="39" t="s">
        <v>64</v>
      </c>
      <c r="AE70" s="39" t="s">
        <v>65</v>
      </c>
      <c r="AF70" s="39" t="s">
        <v>66</v>
      </c>
      <c r="AG70" s="39" t="s">
        <v>107</v>
      </c>
      <c r="AH70" s="39" t="s">
        <v>67</v>
      </c>
      <c r="AI70" s="39" t="s">
        <v>68</v>
      </c>
      <c r="AJ70" s="39" t="s">
        <v>108</v>
      </c>
      <c r="AM70" s="39" t="s">
        <v>111</v>
      </c>
      <c r="AN70" s="39" t="s">
        <v>112</v>
      </c>
      <c r="AO70" s="39" t="s">
        <v>113</v>
      </c>
      <c r="AP70" s="39" t="s">
        <v>114</v>
      </c>
      <c r="AQ70" s="39" t="s">
        <v>115</v>
      </c>
      <c r="AR70" s="39" t="s">
        <v>36</v>
      </c>
      <c r="AS70" s="39" t="s">
        <v>116</v>
      </c>
      <c r="AT70" s="39" t="s">
        <v>35</v>
      </c>
      <c r="AU70" s="39" t="s">
        <v>117</v>
      </c>
      <c r="AV70" s="39" t="s">
        <v>118</v>
      </c>
      <c r="AW70" s="39" t="s">
        <v>119</v>
      </c>
      <c r="AX70" s="39" t="s">
        <v>74</v>
      </c>
      <c r="AY70" s="39" t="s">
        <v>75</v>
      </c>
      <c r="BB70" s="39" t="s">
        <v>134</v>
      </c>
      <c r="BC70" s="39" t="s">
        <v>135</v>
      </c>
      <c r="BD70" s="39" t="s">
        <v>136</v>
      </c>
      <c r="BE70" s="39" t="s">
        <v>107</v>
      </c>
      <c r="BF70" s="39" t="s">
        <v>137</v>
      </c>
      <c r="BG70" s="39" t="s">
        <v>138</v>
      </c>
      <c r="BH70" s="39" t="s">
        <v>108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63</v>
      </c>
    </row>
    <row r="72" spans="1:61">
      <c r="B72" s="5" t="s">
        <v>46</v>
      </c>
      <c r="D72" s="29" t="s">
        <v>55</v>
      </c>
      <c r="H72" s="16" t="s">
        <v>12</v>
      </c>
      <c r="I72" s="16" t="s">
        <v>12</v>
      </c>
      <c r="J72" s="16" t="s">
        <v>12</v>
      </c>
      <c r="K72" s="16" t="s">
        <v>12</v>
      </c>
      <c r="L72" s="16" t="s">
        <v>12</v>
      </c>
      <c r="M72" s="16" t="s">
        <v>12</v>
      </c>
      <c r="N72" s="16" t="s">
        <v>12</v>
      </c>
      <c r="O72" s="16" t="s">
        <v>12</v>
      </c>
      <c r="P72" s="16" t="s">
        <v>13</v>
      </c>
      <c r="Q72" s="16" t="s">
        <v>13</v>
      </c>
      <c r="R72" s="16" t="s">
        <v>13</v>
      </c>
      <c r="S72" s="16" t="s">
        <v>13</v>
      </c>
      <c r="T72" s="16" t="s">
        <v>13</v>
      </c>
      <c r="U72" s="16" t="s">
        <v>13</v>
      </c>
      <c r="V72" s="16" t="s">
        <v>13</v>
      </c>
      <c r="X72" s="34" t="s">
        <v>13</v>
      </c>
    </row>
    <row r="73" spans="1:61">
      <c r="B73" s="4" t="str">
        <f>IF(B10&lt;&gt;"",B10,"[blank]")</f>
        <v>Meter Faults - I&amp;C</v>
      </c>
      <c r="D73" s="31" t="s">
        <v>60</v>
      </c>
      <c r="O73" s="35"/>
      <c r="P73" s="35">
        <f t="shared" ref="P73" si="2">P31*P52</f>
        <v>0</v>
      </c>
      <c r="Q73" s="35">
        <v>237104.93040533355</v>
      </c>
      <c r="R73" s="35">
        <v>245845.46473367678</v>
      </c>
      <c r="S73" s="35">
        <v>256127.2641409841</v>
      </c>
      <c r="T73" s="35">
        <v>266641.24724115978</v>
      </c>
      <c r="U73" s="35">
        <v>278883.13800746459</v>
      </c>
      <c r="V73" s="35">
        <v>289917.10117547819</v>
      </c>
      <c r="X73" s="40">
        <f>SUM(R73:V73)</f>
        <v>1337414.2152987635</v>
      </c>
      <c r="Z73" s="10"/>
      <c r="AA73" s="10"/>
      <c r="AB73" s="10"/>
      <c r="AC73" s="10"/>
      <c r="AD73" s="10"/>
      <c r="AE73" s="10">
        <v>1</v>
      </c>
      <c r="AF73" s="10"/>
      <c r="AG73" s="10"/>
      <c r="AH73" s="10"/>
      <c r="AI73" s="10"/>
      <c r="AJ73" s="10"/>
      <c r="AK73" s="41">
        <f t="shared" ref="AK73:AK87" si="3">SUM(Z73:AI73)</f>
        <v>1</v>
      </c>
      <c r="AM73" s="10"/>
      <c r="AN73" s="10"/>
      <c r="AO73" s="10"/>
      <c r="AP73" s="10"/>
      <c r="AQ73" s="10">
        <v>1</v>
      </c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1</v>
      </c>
      <c r="BB73" s="10"/>
      <c r="BC73" s="10"/>
      <c r="BD73" s="10">
        <v>1</v>
      </c>
      <c r="BE73" s="10"/>
      <c r="BF73" s="10"/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/>
      <c r="O74" s="50"/>
      <c r="P74" s="35"/>
      <c r="Q74" s="35"/>
      <c r="R74" s="35"/>
      <c r="S74" s="35"/>
      <c r="T74" s="35"/>
      <c r="U74" s="35"/>
      <c r="V74" s="35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P75" s="35"/>
      <c r="Q75" s="35"/>
      <c r="R75" s="35"/>
      <c r="S75" s="35"/>
      <c r="T75" s="35"/>
      <c r="U75" s="35"/>
      <c r="V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P76" s="35"/>
      <c r="Q76" s="35"/>
      <c r="R76" s="35"/>
      <c r="S76" s="35"/>
      <c r="T76" s="35"/>
      <c r="U76" s="35"/>
      <c r="V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P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62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237104.93040533355</v>
      </c>
      <c r="R89" s="37">
        <f t="shared" si="8"/>
        <v>245845.46473367678</v>
      </c>
      <c r="S89" s="37">
        <f t="shared" si="8"/>
        <v>256127.2641409841</v>
      </c>
      <c r="T89" s="37">
        <f t="shared" si="8"/>
        <v>266641.24724115978</v>
      </c>
      <c r="U89" s="37">
        <f t="shared" si="8"/>
        <v>278883.13800746459</v>
      </c>
      <c r="V89" s="37">
        <f t="shared" si="8"/>
        <v>289917.10117547819</v>
      </c>
      <c r="X89" s="37">
        <f t="shared" si="7"/>
        <v>1337414.2152987635</v>
      </c>
    </row>
    <row r="91" spans="1:61">
      <c r="B91" s="5" t="s">
        <v>76</v>
      </c>
    </row>
    <row r="92" spans="1:61" s="1" customFormat="1">
      <c r="A92" s="4"/>
      <c r="B92" s="2" t="s">
        <v>77</v>
      </c>
    </row>
    <row r="94" spans="1:61">
      <c r="H94" s="190" t="s">
        <v>52</v>
      </c>
      <c r="I94" s="190"/>
      <c r="J94" s="190"/>
      <c r="K94" s="190"/>
      <c r="L94" s="190"/>
      <c r="M94" s="190" t="s">
        <v>53</v>
      </c>
      <c r="N94" s="190"/>
      <c r="O94" s="190"/>
      <c r="P94" s="190"/>
      <c r="Q94" s="190"/>
      <c r="R94" s="190" t="s">
        <v>54</v>
      </c>
      <c r="S94" s="190"/>
      <c r="T94" s="190"/>
      <c r="U94" s="190"/>
      <c r="V94" s="190"/>
      <c r="X94" s="38"/>
    </row>
    <row r="95" spans="1:61">
      <c r="B95" s="42" t="s">
        <v>79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63</v>
      </c>
    </row>
    <row r="96" spans="1:61">
      <c r="B96" s="5" t="s">
        <v>46</v>
      </c>
      <c r="D96" s="29" t="s">
        <v>55</v>
      </c>
      <c r="H96" s="16" t="s">
        <v>12</v>
      </c>
      <c r="I96" s="16" t="s">
        <v>12</v>
      </c>
      <c r="J96" s="16" t="s">
        <v>12</v>
      </c>
      <c r="K96" s="16" t="s">
        <v>12</v>
      </c>
      <c r="L96" s="16" t="s">
        <v>12</v>
      </c>
      <c r="M96" s="16" t="s">
        <v>12</v>
      </c>
      <c r="N96" s="16" t="s">
        <v>12</v>
      </c>
      <c r="O96" s="16" t="s">
        <v>12</v>
      </c>
      <c r="P96" s="16" t="s">
        <v>13</v>
      </c>
      <c r="Q96" s="16" t="s">
        <v>13</v>
      </c>
      <c r="R96" s="16" t="s">
        <v>13</v>
      </c>
      <c r="S96" s="16" t="s">
        <v>13</v>
      </c>
      <c r="T96" s="16" t="s">
        <v>13</v>
      </c>
      <c r="U96" s="16" t="s">
        <v>13</v>
      </c>
      <c r="V96" s="16" t="s">
        <v>13</v>
      </c>
      <c r="X96" s="34" t="s">
        <v>13</v>
      </c>
    </row>
    <row r="97" spans="2:24">
      <c r="B97" s="4" t="str">
        <f>IF(B10&lt;&gt;"",B10,"[blank]")</f>
        <v>Meter Faults - I&amp;C</v>
      </c>
      <c r="D97" s="31" t="s">
        <v>60</v>
      </c>
      <c r="O97" s="35"/>
      <c r="P97" s="35">
        <f>$D10*P73</f>
        <v>0</v>
      </c>
      <c r="Q97" s="35">
        <f t="shared" ref="Q97:V97" si="9">$D10*Q73</f>
        <v>2371.0493040533356</v>
      </c>
      <c r="R97" s="35">
        <f t="shared" si="9"/>
        <v>2458.4546473367677</v>
      </c>
      <c r="S97" s="35">
        <f t="shared" si="9"/>
        <v>2561.2726414098411</v>
      </c>
      <c r="T97" s="35">
        <f t="shared" si="9"/>
        <v>2666.4124724115977</v>
      </c>
      <c r="U97" s="35">
        <f t="shared" si="9"/>
        <v>2788.8313800746459</v>
      </c>
      <c r="V97" s="35">
        <f t="shared" si="9"/>
        <v>2899.1710117547818</v>
      </c>
      <c r="X97" s="40">
        <f>SUM(R97:V97)</f>
        <v>13374.142152987635</v>
      </c>
    </row>
    <row r="98" spans="2:24">
      <c r="B98" s="4" t="str">
        <f t="shared" ref="B98:B111" si="10">IF(B11&lt;&gt;"",B11,"[blank]")</f>
        <v>[blank]</v>
      </c>
      <c r="D98" s="31"/>
      <c r="O98" s="50"/>
      <c r="P98" s="35"/>
      <c r="Q98" s="35"/>
      <c r="R98" s="35"/>
      <c r="S98" s="35"/>
      <c r="T98" s="35"/>
      <c r="U98" s="35"/>
      <c r="V98" s="35"/>
      <c r="X98" s="40">
        <f t="shared" ref="X98:X111" si="11">SUM(R98:V98)</f>
        <v>0</v>
      </c>
    </row>
    <row r="99" spans="2:24">
      <c r="B99" s="4" t="str">
        <f t="shared" si="10"/>
        <v>[blank]</v>
      </c>
      <c r="P99" s="35"/>
      <c r="Q99" s="35"/>
      <c r="R99" s="35"/>
      <c r="S99" s="35"/>
      <c r="T99" s="35"/>
      <c r="U99" s="35"/>
      <c r="V99" s="35"/>
      <c r="X99" s="40">
        <f t="shared" si="11"/>
        <v>0</v>
      </c>
    </row>
    <row r="100" spans="2:24">
      <c r="B100" s="4" t="str">
        <f t="shared" si="10"/>
        <v>[blank]</v>
      </c>
      <c r="P100" s="35"/>
      <c r="Q100" s="35"/>
      <c r="R100" s="35"/>
      <c r="S100" s="35"/>
      <c r="T100" s="35"/>
      <c r="U100" s="35"/>
      <c r="V100" s="35"/>
      <c r="X100" s="40">
        <f t="shared" si="11"/>
        <v>0</v>
      </c>
    </row>
    <row r="101" spans="2:24">
      <c r="B101" s="4" t="str">
        <f t="shared" si="10"/>
        <v>[blank]</v>
      </c>
      <c r="X101" s="40">
        <f t="shared" si="11"/>
        <v>0</v>
      </c>
    </row>
    <row r="102" spans="2:24">
      <c r="B102" s="4" t="str">
        <f t="shared" si="10"/>
        <v>[blank]</v>
      </c>
      <c r="X102" s="40">
        <f t="shared" si="11"/>
        <v>0</v>
      </c>
    </row>
    <row r="103" spans="2:24">
      <c r="B103" s="4" t="str">
        <f t="shared" si="10"/>
        <v>[blank]</v>
      </c>
      <c r="X103" s="40">
        <f t="shared" si="11"/>
        <v>0</v>
      </c>
    </row>
    <row r="104" spans="2:24">
      <c r="B104" s="4" t="str">
        <f t="shared" si="10"/>
        <v>[blank]</v>
      </c>
      <c r="X104" s="40">
        <f t="shared" si="11"/>
        <v>0</v>
      </c>
    </row>
    <row r="105" spans="2:24">
      <c r="B105" s="4" t="str">
        <f t="shared" si="10"/>
        <v>[blank]</v>
      </c>
      <c r="X105" s="40">
        <f t="shared" si="11"/>
        <v>0</v>
      </c>
    </row>
    <row r="106" spans="2:24">
      <c r="B106" s="4" t="str">
        <f t="shared" si="10"/>
        <v>[blank]</v>
      </c>
      <c r="X106" s="40">
        <f t="shared" si="11"/>
        <v>0</v>
      </c>
    </row>
    <row r="107" spans="2:24">
      <c r="B107" s="4" t="str">
        <f t="shared" si="10"/>
        <v>[blank]</v>
      </c>
      <c r="X107" s="40">
        <f t="shared" si="11"/>
        <v>0</v>
      </c>
    </row>
    <row r="108" spans="2:24">
      <c r="B108" s="4" t="str">
        <f t="shared" si="10"/>
        <v>[blank]</v>
      </c>
      <c r="X108" s="40">
        <f t="shared" si="11"/>
        <v>0</v>
      </c>
    </row>
    <row r="109" spans="2:24">
      <c r="B109" s="4" t="str">
        <f t="shared" si="10"/>
        <v>[blank]</v>
      </c>
      <c r="X109" s="40">
        <f t="shared" si="11"/>
        <v>0</v>
      </c>
    </row>
    <row r="110" spans="2:24">
      <c r="B110" s="4" t="str">
        <f t="shared" si="10"/>
        <v>[blank]</v>
      </c>
      <c r="X110" s="40">
        <f t="shared" si="11"/>
        <v>0</v>
      </c>
    </row>
    <row r="111" spans="2:24">
      <c r="B111" s="4" t="str">
        <f t="shared" si="10"/>
        <v>[blank]</v>
      </c>
      <c r="X111" s="40">
        <f t="shared" si="11"/>
        <v>0</v>
      </c>
    </row>
    <row r="113" spans="1:24" ht="12.75" thickBot="1">
      <c r="B113" s="5" t="s">
        <v>78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2">SUM(P97:P111)</f>
        <v>0</v>
      </c>
      <c r="Q113" s="37">
        <f t="shared" si="12"/>
        <v>2371.0493040533356</v>
      </c>
      <c r="R113" s="37">
        <f t="shared" si="12"/>
        <v>2458.4546473367677</v>
      </c>
      <c r="S113" s="37">
        <f t="shared" si="12"/>
        <v>2561.2726414098411</v>
      </c>
      <c r="T113" s="37">
        <f t="shared" si="12"/>
        <v>2666.4124724115977</v>
      </c>
      <c r="U113" s="37">
        <f t="shared" si="12"/>
        <v>2788.8313800746459</v>
      </c>
      <c r="V113" s="37">
        <f t="shared" si="12"/>
        <v>2899.1710117547818</v>
      </c>
      <c r="X113" s="37">
        <f t="shared" ref="X113" si="13">SUM(R113:V113)</f>
        <v>13374.142152987635</v>
      </c>
    </row>
    <row r="115" spans="1:24" s="1" customFormat="1">
      <c r="A115" s="4"/>
      <c r="B115" s="2" t="s">
        <v>80</v>
      </c>
    </row>
    <row r="117" spans="1:24">
      <c r="H117" s="190" t="s">
        <v>52</v>
      </c>
      <c r="I117" s="190"/>
      <c r="J117" s="190"/>
      <c r="K117" s="190"/>
      <c r="L117" s="190"/>
      <c r="M117" s="190" t="s">
        <v>53</v>
      </c>
      <c r="N117" s="190"/>
      <c r="O117" s="190"/>
      <c r="P117" s="190"/>
      <c r="Q117" s="190"/>
      <c r="R117" s="190" t="s">
        <v>54</v>
      </c>
      <c r="S117" s="190"/>
      <c r="T117" s="190"/>
      <c r="U117" s="190"/>
      <c r="V117" s="190"/>
      <c r="X117" s="38"/>
    </row>
    <row r="118" spans="1:24">
      <c r="B118" s="43" t="s">
        <v>81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63</v>
      </c>
    </row>
    <row r="119" spans="1:24">
      <c r="B119" s="5" t="s">
        <v>46</v>
      </c>
      <c r="D119" s="29" t="s">
        <v>55</v>
      </c>
      <c r="H119" s="16" t="s">
        <v>12</v>
      </c>
      <c r="I119" s="16" t="s">
        <v>12</v>
      </c>
      <c r="J119" s="16" t="s">
        <v>12</v>
      </c>
      <c r="K119" s="16" t="s">
        <v>12</v>
      </c>
      <c r="L119" s="16" t="s">
        <v>12</v>
      </c>
      <c r="M119" s="16" t="s">
        <v>12</v>
      </c>
      <c r="N119" s="16" t="s">
        <v>12</v>
      </c>
      <c r="O119" s="16" t="s">
        <v>12</v>
      </c>
      <c r="P119" s="16" t="s">
        <v>13</v>
      </c>
      <c r="Q119" s="16" t="s">
        <v>13</v>
      </c>
      <c r="R119" s="16" t="s">
        <v>13</v>
      </c>
      <c r="S119" s="16" t="s">
        <v>13</v>
      </c>
      <c r="T119" s="16" t="s">
        <v>13</v>
      </c>
      <c r="U119" s="16" t="s">
        <v>13</v>
      </c>
      <c r="V119" s="16" t="s">
        <v>13</v>
      </c>
      <c r="X119" s="34" t="s">
        <v>13</v>
      </c>
    </row>
    <row r="120" spans="1:24">
      <c r="B120" s="4" t="str">
        <f>IF(B10&lt;&gt;"",B10,"[blank]")</f>
        <v>Meter Faults - I&amp;C</v>
      </c>
      <c r="D120" s="31" t="s">
        <v>60</v>
      </c>
      <c r="O120" s="35"/>
      <c r="P120" s="35">
        <f>$E10*P73</f>
        <v>0</v>
      </c>
      <c r="Q120" s="35">
        <f t="shared" ref="Q120:V120" si="14">$E10*Q73</f>
        <v>59276.232601333388</v>
      </c>
      <c r="R120" s="35">
        <f t="shared" si="14"/>
        <v>61461.366183419195</v>
      </c>
      <c r="S120" s="35">
        <f t="shared" si="14"/>
        <v>64031.816035246025</v>
      </c>
      <c r="T120" s="35">
        <f t="shared" si="14"/>
        <v>66660.311810289946</v>
      </c>
      <c r="U120" s="35">
        <f t="shared" si="14"/>
        <v>69720.784501866146</v>
      </c>
      <c r="V120" s="35">
        <f t="shared" si="14"/>
        <v>72479.275293869548</v>
      </c>
      <c r="X120" s="40">
        <f>SUM(R120:V120)</f>
        <v>334353.55382469087</v>
      </c>
    </row>
    <row r="121" spans="1:24">
      <c r="B121" s="4" t="str">
        <f t="shared" ref="B121:B134" si="15">IF(B11&lt;&gt;"",B11,"[blank]")</f>
        <v>[blank]</v>
      </c>
      <c r="D121" s="31"/>
      <c r="O121" s="50"/>
      <c r="P121" s="35"/>
      <c r="Q121" s="35"/>
      <c r="R121" s="35"/>
      <c r="S121" s="35"/>
      <c r="T121" s="35"/>
      <c r="U121" s="35"/>
      <c r="V121" s="35"/>
      <c r="X121" s="40">
        <f t="shared" ref="X121:X134" si="16">SUM(R121:V121)</f>
        <v>0</v>
      </c>
    </row>
    <row r="122" spans="1:24">
      <c r="B122" s="4" t="str">
        <f t="shared" si="15"/>
        <v>[blank]</v>
      </c>
      <c r="P122" s="35"/>
      <c r="Q122" s="35"/>
      <c r="R122" s="35"/>
      <c r="S122" s="35"/>
      <c r="T122" s="35"/>
      <c r="U122" s="35"/>
      <c r="V122" s="35"/>
      <c r="X122" s="40">
        <f t="shared" si="16"/>
        <v>0</v>
      </c>
    </row>
    <row r="123" spans="1:24">
      <c r="B123" s="4" t="str">
        <f t="shared" si="15"/>
        <v>[blank]</v>
      </c>
      <c r="P123" s="35"/>
      <c r="Q123" s="35"/>
      <c r="R123" s="35"/>
      <c r="S123" s="35"/>
      <c r="T123" s="35"/>
      <c r="U123" s="35"/>
      <c r="V123" s="35"/>
      <c r="X123" s="40">
        <f t="shared" si="16"/>
        <v>0</v>
      </c>
    </row>
    <row r="124" spans="1:24">
      <c r="B124" s="4" t="str">
        <f t="shared" si="15"/>
        <v>[blank]</v>
      </c>
      <c r="X124" s="40">
        <f t="shared" si="16"/>
        <v>0</v>
      </c>
    </row>
    <row r="125" spans="1:24">
      <c r="B125" s="4" t="str">
        <f t="shared" si="15"/>
        <v>[blank]</v>
      </c>
      <c r="X125" s="40">
        <f t="shared" si="16"/>
        <v>0</v>
      </c>
    </row>
    <row r="126" spans="1:24">
      <c r="B126" s="4" t="str">
        <f t="shared" si="15"/>
        <v>[blank]</v>
      </c>
      <c r="X126" s="40">
        <f t="shared" si="16"/>
        <v>0</v>
      </c>
    </row>
    <row r="127" spans="1:24">
      <c r="B127" s="4" t="str">
        <f t="shared" si="15"/>
        <v>[blank]</v>
      </c>
      <c r="X127" s="40">
        <f t="shared" si="16"/>
        <v>0</v>
      </c>
    </row>
    <row r="128" spans="1:24">
      <c r="B128" s="4" t="str">
        <f t="shared" si="15"/>
        <v>[blank]</v>
      </c>
      <c r="X128" s="40">
        <f t="shared" si="16"/>
        <v>0</v>
      </c>
    </row>
    <row r="129" spans="1:24">
      <c r="B129" s="4" t="str">
        <f t="shared" si="15"/>
        <v>[blank]</v>
      </c>
      <c r="X129" s="40">
        <f t="shared" si="16"/>
        <v>0</v>
      </c>
    </row>
    <row r="130" spans="1:24">
      <c r="B130" s="4" t="str">
        <f t="shared" si="15"/>
        <v>[blank]</v>
      </c>
      <c r="X130" s="40">
        <f t="shared" si="16"/>
        <v>0</v>
      </c>
    </row>
    <row r="131" spans="1:24">
      <c r="B131" s="4" t="str">
        <f t="shared" si="15"/>
        <v>[blank]</v>
      </c>
      <c r="X131" s="40">
        <f t="shared" si="16"/>
        <v>0</v>
      </c>
    </row>
    <row r="132" spans="1:24">
      <c r="B132" s="4" t="str">
        <f t="shared" si="15"/>
        <v>[blank]</v>
      </c>
      <c r="X132" s="40">
        <f t="shared" si="16"/>
        <v>0</v>
      </c>
    </row>
    <row r="133" spans="1:24">
      <c r="B133" s="4" t="str">
        <f t="shared" si="15"/>
        <v>[blank]</v>
      </c>
      <c r="X133" s="40">
        <f t="shared" si="16"/>
        <v>0</v>
      </c>
    </row>
    <row r="134" spans="1:24">
      <c r="B134" s="4" t="str">
        <f t="shared" si="15"/>
        <v>[blank]</v>
      </c>
      <c r="X134" s="40">
        <f t="shared" si="16"/>
        <v>0</v>
      </c>
    </row>
    <row r="136" spans="1:24" ht="12.75" thickBot="1">
      <c r="B136" s="5" t="s">
        <v>82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59276.232601333388</v>
      </c>
      <c r="R136" s="37">
        <f t="shared" si="17"/>
        <v>61461.366183419195</v>
      </c>
      <c r="S136" s="37">
        <f t="shared" si="17"/>
        <v>64031.816035246025</v>
      </c>
      <c r="T136" s="37">
        <f t="shared" si="17"/>
        <v>66660.311810289946</v>
      </c>
      <c r="U136" s="37">
        <f t="shared" si="17"/>
        <v>69720.784501866146</v>
      </c>
      <c r="V136" s="37">
        <f t="shared" si="17"/>
        <v>72479.275293869548</v>
      </c>
      <c r="X136" s="37">
        <f t="shared" ref="X136" si="18">SUM(R136:V136)</f>
        <v>334353.55382469087</v>
      </c>
    </row>
    <row r="138" spans="1:24" s="1" customFormat="1">
      <c r="A138" s="4"/>
      <c r="B138" s="2" t="s">
        <v>83</v>
      </c>
    </row>
    <row r="140" spans="1:24">
      <c r="H140" s="190" t="s">
        <v>52</v>
      </c>
      <c r="I140" s="190"/>
      <c r="J140" s="190"/>
      <c r="K140" s="190"/>
      <c r="L140" s="190"/>
      <c r="M140" s="190" t="s">
        <v>53</v>
      </c>
      <c r="N140" s="190"/>
      <c r="O140" s="190"/>
      <c r="P140" s="190"/>
      <c r="Q140" s="190"/>
      <c r="R140" s="190" t="s">
        <v>54</v>
      </c>
      <c r="S140" s="190"/>
      <c r="T140" s="190"/>
      <c r="U140" s="190"/>
      <c r="V140" s="190"/>
      <c r="X140" s="38"/>
    </row>
    <row r="141" spans="1:24">
      <c r="B141" s="43" t="s">
        <v>84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63</v>
      </c>
    </row>
    <row r="142" spans="1:24">
      <c r="B142" s="5" t="s">
        <v>46</v>
      </c>
      <c r="D142" s="29" t="s">
        <v>55</v>
      </c>
      <c r="H142" s="16" t="s">
        <v>12</v>
      </c>
      <c r="I142" s="16" t="s">
        <v>12</v>
      </c>
      <c r="J142" s="16" t="s">
        <v>12</v>
      </c>
      <c r="K142" s="16" t="s">
        <v>12</v>
      </c>
      <c r="L142" s="16" t="s">
        <v>12</v>
      </c>
      <c r="M142" s="16" t="s">
        <v>12</v>
      </c>
      <c r="N142" s="16" t="s">
        <v>12</v>
      </c>
      <c r="O142" s="16" t="s">
        <v>12</v>
      </c>
      <c r="P142" s="16" t="s">
        <v>13</v>
      </c>
      <c r="Q142" s="16" t="s">
        <v>13</v>
      </c>
      <c r="R142" s="16" t="s">
        <v>13</v>
      </c>
      <c r="S142" s="16" t="s">
        <v>13</v>
      </c>
      <c r="T142" s="16" t="s">
        <v>13</v>
      </c>
      <c r="U142" s="16" t="s">
        <v>13</v>
      </c>
      <c r="V142" s="16" t="s">
        <v>13</v>
      </c>
      <c r="X142" s="34" t="s">
        <v>13</v>
      </c>
    </row>
    <row r="143" spans="1:24">
      <c r="B143" s="4" t="str">
        <f>IF(B10&lt;&gt;"",B10,"[blank]")</f>
        <v>Meter Faults - I&amp;C</v>
      </c>
      <c r="D143" s="31" t="s">
        <v>60</v>
      </c>
      <c r="O143" s="35"/>
      <c r="P143" s="35">
        <f>P97+P120</f>
        <v>0</v>
      </c>
      <c r="Q143" s="35">
        <f t="shared" ref="Q143:V143" si="19">Q97+Q120</f>
        <v>61647.281905386721</v>
      </c>
      <c r="R143" s="35">
        <f t="shared" si="19"/>
        <v>63919.820830755962</v>
      </c>
      <c r="S143" s="35">
        <f t="shared" si="19"/>
        <v>66593.088676655869</v>
      </c>
      <c r="T143" s="35">
        <f t="shared" si="19"/>
        <v>69326.724282701543</v>
      </c>
      <c r="U143" s="35">
        <f t="shared" si="19"/>
        <v>72509.615881940786</v>
      </c>
      <c r="V143" s="35">
        <f t="shared" si="19"/>
        <v>75378.446305624326</v>
      </c>
      <c r="X143" s="40">
        <f>SUM(R143:V143)</f>
        <v>347727.69597767852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35"/>
      <c r="Q144" s="35"/>
      <c r="R144" s="35"/>
      <c r="S144" s="35"/>
      <c r="T144" s="35"/>
      <c r="U144" s="35"/>
      <c r="V144" s="35"/>
      <c r="X144" s="40">
        <f t="shared" ref="X144:X157" si="21">SUM(R144:V144)</f>
        <v>0</v>
      </c>
    </row>
    <row r="145" spans="2:24">
      <c r="B145" s="4" t="str">
        <f t="shared" si="20"/>
        <v>[blank]</v>
      </c>
      <c r="P145" s="35"/>
      <c r="Q145" s="35"/>
      <c r="R145" s="35"/>
      <c r="S145" s="35"/>
      <c r="T145" s="35"/>
      <c r="U145" s="35"/>
      <c r="V145" s="35"/>
      <c r="X145" s="40">
        <f t="shared" si="21"/>
        <v>0</v>
      </c>
    </row>
    <row r="146" spans="2:24">
      <c r="B146" s="4" t="str">
        <f t="shared" si="20"/>
        <v>[blank]</v>
      </c>
      <c r="P146" s="35"/>
      <c r="Q146" s="35"/>
      <c r="R146" s="35"/>
      <c r="S146" s="35"/>
      <c r="T146" s="35"/>
      <c r="U146" s="35"/>
      <c r="V146" s="35"/>
      <c r="X146" s="40">
        <f t="shared" si="21"/>
        <v>0</v>
      </c>
    </row>
    <row r="147" spans="2:24">
      <c r="B147" s="4" t="str">
        <f t="shared" si="20"/>
        <v>[blank]</v>
      </c>
      <c r="X147" s="40">
        <f t="shared" si="21"/>
        <v>0</v>
      </c>
    </row>
    <row r="148" spans="2:24">
      <c r="B148" s="4" t="str">
        <f t="shared" si="20"/>
        <v>[blank]</v>
      </c>
      <c r="X148" s="40">
        <f t="shared" si="21"/>
        <v>0</v>
      </c>
    </row>
    <row r="149" spans="2:24">
      <c r="B149" s="4" t="str">
        <f t="shared" si="20"/>
        <v>[blank]</v>
      </c>
      <c r="X149" s="40">
        <f t="shared" si="21"/>
        <v>0</v>
      </c>
    </row>
    <row r="150" spans="2:24">
      <c r="B150" s="4" t="str">
        <f t="shared" si="20"/>
        <v>[blank]</v>
      </c>
      <c r="X150" s="40">
        <f t="shared" si="21"/>
        <v>0</v>
      </c>
    </row>
    <row r="151" spans="2:24">
      <c r="B151" s="4" t="str">
        <f t="shared" si="20"/>
        <v>[blank]</v>
      </c>
      <c r="X151" s="40">
        <f t="shared" si="21"/>
        <v>0</v>
      </c>
    </row>
    <row r="152" spans="2:24">
      <c r="B152" s="4" t="str">
        <f t="shared" si="20"/>
        <v>[blank]</v>
      </c>
      <c r="X152" s="40">
        <f t="shared" si="21"/>
        <v>0</v>
      </c>
    </row>
    <row r="153" spans="2:24">
      <c r="B153" s="4" t="str">
        <f t="shared" si="20"/>
        <v>[blank]</v>
      </c>
      <c r="X153" s="40">
        <f t="shared" si="21"/>
        <v>0</v>
      </c>
    </row>
    <row r="154" spans="2:24">
      <c r="B154" s="4" t="str">
        <f t="shared" si="20"/>
        <v>[blank]</v>
      </c>
      <c r="X154" s="40">
        <f t="shared" si="21"/>
        <v>0</v>
      </c>
    </row>
    <row r="155" spans="2:24">
      <c r="B155" s="4" t="str">
        <f t="shared" si="20"/>
        <v>[blank]</v>
      </c>
      <c r="X155" s="40">
        <f t="shared" si="21"/>
        <v>0</v>
      </c>
    </row>
    <row r="156" spans="2:24">
      <c r="B156" s="4" t="str">
        <f t="shared" si="20"/>
        <v>[blank]</v>
      </c>
      <c r="X156" s="40">
        <f t="shared" si="21"/>
        <v>0</v>
      </c>
    </row>
    <row r="157" spans="2:24">
      <c r="B157" s="4" t="str">
        <f t="shared" si="20"/>
        <v>[blank]</v>
      </c>
      <c r="X157" s="40">
        <f t="shared" si="21"/>
        <v>0</v>
      </c>
    </row>
    <row r="159" spans="2:24" ht="12.75" thickBot="1">
      <c r="B159" s="5" t="s">
        <v>85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2">SUM(Q143:Q157)</f>
        <v>61647.281905386721</v>
      </c>
      <c r="R159" s="37">
        <f t="shared" si="22"/>
        <v>63919.820830755962</v>
      </c>
      <c r="S159" s="37">
        <f t="shared" si="22"/>
        <v>66593.088676655869</v>
      </c>
      <c r="T159" s="37">
        <f t="shared" si="22"/>
        <v>69326.724282701543</v>
      </c>
      <c r="U159" s="37">
        <f t="shared" si="22"/>
        <v>72509.615881940786</v>
      </c>
      <c r="V159" s="37">
        <f t="shared" si="22"/>
        <v>75378.446305624326</v>
      </c>
      <c r="X159" s="37">
        <f t="shared" ref="X159" si="23">SUM(R159:V159)</f>
        <v>347727.69597767852</v>
      </c>
    </row>
    <row r="161" spans="1:24" s="1" customFormat="1">
      <c r="A161" s="4"/>
      <c r="B161" s="2" t="s">
        <v>86</v>
      </c>
    </row>
    <row r="163" spans="1:24">
      <c r="H163" s="190" t="s">
        <v>52</v>
      </c>
      <c r="I163" s="190"/>
      <c r="J163" s="190"/>
      <c r="K163" s="190"/>
      <c r="L163" s="190"/>
      <c r="M163" s="190" t="s">
        <v>53</v>
      </c>
      <c r="N163" s="190"/>
      <c r="O163" s="190"/>
      <c r="P163" s="190"/>
      <c r="Q163" s="190"/>
      <c r="R163" s="190" t="s">
        <v>54</v>
      </c>
      <c r="S163" s="190"/>
      <c r="T163" s="190"/>
      <c r="U163" s="190"/>
      <c r="V163" s="190"/>
      <c r="X163" s="38"/>
    </row>
    <row r="164" spans="1:24">
      <c r="B164" s="44" t="s">
        <v>50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63</v>
      </c>
    </row>
    <row r="165" spans="1:24">
      <c r="B165" s="5" t="s">
        <v>46</v>
      </c>
      <c r="D165" s="29" t="s">
        <v>55</v>
      </c>
      <c r="H165" s="16" t="s">
        <v>12</v>
      </c>
      <c r="I165" s="16" t="s">
        <v>12</v>
      </c>
      <c r="J165" s="16" t="s">
        <v>12</v>
      </c>
      <c r="K165" s="16" t="s">
        <v>12</v>
      </c>
      <c r="L165" s="16" t="s">
        <v>12</v>
      </c>
      <c r="M165" s="16" t="s">
        <v>12</v>
      </c>
      <c r="N165" s="16" t="s">
        <v>12</v>
      </c>
      <c r="O165" s="16" t="s">
        <v>12</v>
      </c>
      <c r="P165" s="16" t="s">
        <v>13</v>
      </c>
      <c r="Q165" s="16" t="s">
        <v>13</v>
      </c>
      <c r="R165" s="16" t="s">
        <v>13</v>
      </c>
      <c r="S165" s="16" t="s">
        <v>13</v>
      </c>
      <c r="T165" s="16" t="s">
        <v>13</v>
      </c>
      <c r="U165" s="16" t="s">
        <v>13</v>
      </c>
      <c r="V165" s="16" t="s">
        <v>13</v>
      </c>
      <c r="X165" s="34" t="s">
        <v>13</v>
      </c>
    </row>
    <row r="166" spans="1:24">
      <c r="B166" s="4" t="str">
        <f>IF(B10&lt;&gt;"",B10,"[blank]")</f>
        <v>Meter Faults - I&amp;C</v>
      </c>
      <c r="D166" s="31" t="s">
        <v>60</v>
      </c>
      <c r="O166" s="35"/>
      <c r="P166" s="35">
        <f>$G10*P73</f>
        <v>0</v>
      </c>
      <c r="Q166" s="35">
        <f t="shared" ref="Q166:V166" si="24">$G10*Q73</f>
        <v>175457.64849994684</v>
      </c>
      <c r="R166" s="35">
        <f t="shared" si="24"/>
        <v>181925.64390292083</v>
      </c>
      <c r="S166" s="35">
        <f t="shared" si="24"/>
        <v>189534.17546432823</v>
      </c>
      <c r="T166" s="35">
        <f t="shared" si="24"/>
        <v>197314.52295845823</v>
      </c>
      <c r="U166" s="35">
        <f t="shared" si="24"/>
        <v>206373.5221255238</v>
      </c>
      <c r="V166" s="35">
        <f t="shared" si="24"/>
        <v>214538.65486985387</v>
      </c>
      <c r="X166" s="40">
        <f>SUM(R166:V166)</f>
        <v>989686.51932108484</v>
      </c>
    </row>
    <row r="167" spans="1:24">
      <c r="B167" s="4" t="str">
        <f t="shared" ref="B167:B180" si="25">IF(B11&lt;&gt;"",B11,"[blank]")</f>
        <v>[blank]</v>
      </c>
      <c r="D167" s="31"/>
      <c r="O167" s="50"/>
      <c r="P167" s="35"/>
      <c r="Q167" s="35"/>
      <c r="R167" s="35"/>
      <c r="S167" s="35"/>
      <c r="T167" s="35"/>
      <c r="U167" s="35"/>
      <c r="V167" s="35"/>
      <c r="X167" s="40">
        <f t="shared" ref="X167:X180" si="26">SUM(R167:V167)</f>
        <v>0</v>
      </c>
    </row>
    <row r="168" spans="1:24">
      <c r="B168" s="4" t="str">
        <f t="shared" si="25"/>
        <v>[blank]</v>
      </c>
      <c r="P168" s="35"/>
      <c r="Q168" s="35"/>
      <c r="R168" s="35"/>
      <c r="S168" s="35"/>
      <c r="T168" s="35"/>
      <c r="U168" s="35"/>
      <c r="V168" s="35"/>
      <c r="X168" s="40">
        <f t="shared" si="26"/>
        <v>0</v>
      </c>
    </row>
    <row r="169" spans="1:24">
      <c r="B169" s="4" t="str">
        <f t="shared" si="25"/>
        <v>[blank]</v>
      </c>
      <c r="P169" s="35"/>
      <c r="Q169" s="35"/>
      <c r="R169" s="35"/>
      <c r="S169" s="35"/>
      <c r="T169" s="35"/>
      <c r="U169" s="35"/>
      <c r="V169" s="35"/>
      <c r="X169" s="40">
        <f t="shared" si="26"/>
        <v>0</v>
      </c>
    </row>
    <row r="170" spans="1:24">
      <c r="B170" s="4" t="str">
        <f t="shared" si="25"/>
        <v>[blank]</v>
      </c>
      <c r="X170" s="40">
        <f t="shared" si="26"/>
        <v>0</v>
      </c>
    </row>
    <row r="171" spans="1:24">
      <c r="B171" s="4" t="str">
        <f t="shared" si="25"/>
        <v>[blank]</v>
      </c>
      <c r="X171" s="40">
        <f t="shared" si="26"/>
        <v>0</v>
      </c>
    </row>
    <row r="172" spans="1:24">
      <c r="B172" s="4" t="str">
        <f t="shared" si="25"/>
        <v>[blank]</v>
      </c>
      <c r="X172" s="40">
        <f t="shared" si="26"/>
        <v>0</v>
      </c>
    </row>
    <row r="173" spans="1:24">
      <c r="B173" s="4" t="str">
        <f t="shared" si="25"/>
        <v>[blank]</v>
      </c>
      <c r="X173" s="40">
        <f t="shared" si="26"/>
        <v>0</v>
      </c>
    </row>
    <row r="174" spans="1:24">
      <c r="B174" s="4" t="str">
        <f t="shared" si="25"/>
        <v>[blank]</v>
      </c>
      <c r="X174" s="40">
        <f t="shared" si="26"/>
        <v>0</v>
      </c>
    </row>
    <row r="175" spans="1:24">
      <c r="B175" s="4" t="str">
        <f t="shared" si="25"/>
        <v>[blank]</v>
      </c>
      <c r="X175" s="40">
        <f t="shared" si="26"/>
        <v>0</v>
      </c>
    </row>
    <row r="176" spans="1:24">
      <c r="B176" s="4" t="str">
        <f t="shared" si="25"/>
        <v>[blank]</v>
      </c>
      <c r="X176" s="40">
        <f t="shared" si="26"/>
        <v>0</v>
      </c>
    </row>
    <row r="177" spans="1:24">
      <c r="B177" s="4" t="str">
        <f t="shared" si="25"/>
        <v>[blank]</v>
      </c>
      <c r="X177" s="40">
        <f t="shared" si="26"/>
        <v>0</v>
      </c>
    </row>
    <row r="178" spans="1:24">
      <c r="B178" s="4" t="str">
        <f t="shared" si="25"/>
        <v>[blank]</v>
      </c>
      <c r="X178" s="40">
        <f t="shared" si="26"/>
        <v>0</v>
      </c>
    </row>
    <row r="179" spans="1:24">
      <c r="B179" s="4" t="str">
        <f t="shared" si="25"/>
        <v>[blank]</v>
      </c>
      <c r="X179" s="40">
        <f t="shared" si="26"/>
        <v>0</v>
      </c>
    </row>
    <row r="180" spans="1:24">
      <c r="B180" s="4" t="str">
        <f t="shared" si="25"/>
        <v>[blank]</v>
      </c>
      <c r="X180" s="40">
        <f t="shared" si="26"/>
        <v>0</v>
      </c>
    </row>
    <row r="182" spans="1:24" ht="12.75" thickBot="1">
      <c r="B182" s="5" t="s">
        <v>87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7">SUM(Q166:Q180)</f>
        <v>175457.64849994684</v>
      </c>
      <c r="R182" s="37">
        <f t="shared" si="27"/>
        <v>181925.64390292083</v>
      </c>
      <c r="S182" s="37">
        <f t="shared" si="27"/>
        <v>189534.17546432823</v>
      </c>
      <c r="T182" s="37">
        <f t="shared" si="27"/>
        <v>197314.52295845823</v>
      </c>
      <c r="U182" s="37">
        <f t="shared" si="27"/>
        <v>206373.5221255238</v>
      </c>
      <c r="V182" s="37">
        <f t="shared" si="27"/>
        <v>214538.65486985387</v>
      </c>
      <c r="X182" s="37">
        <f t="shared" ref="X182" si="28">SUM(R182:V182)</f>
        <v>989686.51932108484</v>
      </c>
    </row>
    <row r="184" spans="1:24" s="1" customFormat="1">
      <c r="A184" s="2">
        <v>6</v>
      </c>
      <c r="B184" s="2" t="s">
        <v>89</v>
      </c>
    </row>
    <row r="186" spans="1:24">
      <c r="H186" s="190" t="s">
        <v>52</v>
      </c>
      <c r="I186" s="190"/>
      <c r="J186" s="190"/>
      <c r="K186" s="190"/>
      <c r="L186" s="190"/>
      <c r="M186" s="190" t="s">
        <v>53</v>
      </c>
      <c r="N186" s="190"/>
      <c r="O186" s="190"/>
      <c r="P186" s="190"/>
      <c r="Q186" s="190"/>
      <c r="R186" s="190" t="s">
        <v>54</v>
      </c>
      <c r="S186" s="190"/>
      <c r="T186" s="190"/>
      <c r="U186" s="190"/>
      <c r="V186" s="190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63</v>
      </c>
    </row>
    <row r="188" spans="1:24">
      <c r="B188" s="5" t="s">
        <v>46</v>
      </c>
      <c r="D188" s="29" t="s">
        <v>55</v>
      </c>
      <c r="H188" s="16" t="s">
        <v>12</v>
      </c>
      <c r="I188" s="16" t="s">
        <v>12</v>
      </c>
      <c r="J188" s="16" t="s">
        <v>12</v>
      </c>
      <c r="K188" s="16" t="s">
        <v>12</v>
      </c>
      <c r="L188" s="16" t="s">
        <v>12</v>
      </c>
      <c r="M188" s="16" t="s">
        <v>12</v>
      </c>
      <c r="N188" s="16" t="s">
        <v>12</v>
      </c>
      <c r="O188" s="16" t="s">
        <v>12</v>
      </c>
      <c r="P188" s="16" t="s">
        <v>13</v>
      </c>
      <c r="Q188" s="16" t="s">
        <v>13</v>
      </c>
      <c r="R188" s="16" t="s">
        <v>13</v>
      </c>
      <c r="S188" s="16" t="s">
        <v>13</v>
      </c>
      <c r="T188" s="16" t="s">
        <v>13</v>
      </c>
      <c r="U188" s="16" t="s">
        <v>13</v>
      </c>
      <c r="V188" s="16" t="s">
        <v>13</v>
      </c>
      <c r="X188" s="34" t="s">
        <v>13</v>
      </c>
    </row>
    <row r="189" spans="1:24">
      <c r="B189" s="4" t="str">
        <f>IF(B10&lt;&gt;"",B10,"[blank]")</f>
        <v>Meter Faults - I&amp;C</v>
      </c>
      <c r="D189" s="31" t="s">
        <v>60</v>
      </c>
      <c r="O189" s="35"/>
      <c r="P189" s="35">
        <f>P73*P$208</f>
        <v>0</v>
      </c>
      <c r="Q189" s="35">
        <f t="shared" ref="Q189:V189" si="29">Q73*Q$208</f>
        <v>17745.335377033338</v>
      </c>
      <c r="R189" s="35">
        <f t="shared" si="29"/>
        <v>17742.866139554229</v>
      </c>
      <c r="S189" s="35">
        <f t="shared" si="29"/>
        <v>19533.058192660828</v>
      </c>
      <c r="T189" s="35">
        <f t="shared" si="29"/>
        <v>20645.140849768679</v>
      </c>
      <c r="U189" s="35">
        <f t="shared" si="29"/>
        <v>22789.126008697596</v>
      </c>
      <c r="V189" s="35">
        <f t="shared" si="29"/>
        <v>24466.856197763595</v>
      </c>
      <c r="X189" s="40">
        <f>SUM(R189:V189)</f>
        <v>105177.04738844493</v>
      </c>
    </row>
    <row r="190" spans="1:24">
      <c r="B190" s="4" t="str">
        <f t="shared" ref="B190:B203" si="30">IF(B11&lt;&gt;"",B11,"[blank]")</f>
        <v>[blank]</v>
      </c>
      <c r="D190" s="31"/>
      <c r="O190" s="50"/>
      <c r="P190" s="35"/>
      <c r="Q190" s="35"/>
      <c r="R190" s="35"/>
      <c r="S190" s="35"/>
      <c r="T190" s="35"/>
      <c r="U190" s="35"/>
      <c r="V190" s="35"/>
      <c r="X190" s="40">
        <f t="shared" ref="X190:X203" si="31">SUM(R190:V190)</f>
        <v>0</v>
      </c>
    </row>
    <row r="191" spans="1:24">
      <c r="B191" s="4" t="str">
        <f t="shared" si="30"/>
        <v>[blank]</v>
      </c>
      <c r="P191" s="35"/>
      <c r="Q191" s="35"/>
      <c r="R191" s="35"/>
      <c r="S191" s="35"/>
      <c r="T191" s="35"/>
      <c r="U191" s="35"/>
      <c r="V191" s="35"/>
      <c r="X191" s="40">
        <f t="shared" si="31"/>
        <v>0</v>
      </c>
    </row>
    <row r="192" spans="1:24">
      <c r="B192" s="4" t="str">
        <f t="shared" si="30"/>
        <v>[blank]</v>
      </c>
      <c r="P192" s="35"/>
      <c r="Q192" s="35"/>
      <c r="R192" s="35"/>
      <c r="S192" s="35"/>
      <c r="T192" s="35"/>
      <c r="U192" s="35"/>
      <c r="V192" s="35"/>
      <c r="X192" s="40">
        <f t="shared" si="31"/>
        <v>0</v>
      </c>
    </row>
    <row r="193" spans="2:24">
      <c r="B193" s="4" t="str">
        <f t="shared" si="30"/>
        <v>[blank]</v>
      </c>
      <c r="X193" s="40">
        <f t="shared" si="31"/>
        <v>0</v>
      </c>
    </row>
    <row r="194" spans="2:24">
      <c r="B194" s="4" t="str">
        <f t="shared" si="30"/>
        <v>[blank]</v>
      </c>
      <c r="X194" s="40">
        <f t="shared" si="31"/>
        <v>0</v>
      </c>
    </row>
    <row r="195" spans="2:24">
      <c r="B195" s="4" t="str">
        <f t="shared" si="30"/>
        <v>[blank]</v>
      </c>
      <c r="X195" s="40">
        <f t="shared" si="31"/>
        <v>0</v>
      </c>
    </row>
    <row r="196" spans="2:24">
      <c r="B196" s="4" t="str">
        <f t="shared" si="30"/>
        <v>[blank]</v>
      </c>
      <c r="X196" s="40">
        <f t="shared" si="31"/>
        <v>0</v>
      </c>
    </row>
    <row r="197" spans="2:24">
      <c r="B197" s="4" t="str">
        <f t="shared" si="30"/>
        <v>[blank]</v>
      </c>
      <c r="X197" s="40">
        <f t="shared" si="31"/>
        <v>0</v>
      </c>
    </row>
    <row r="198" spans="2:24">
      <c r="B198" s="4" t="str">
        <f t="shared" si="30"/>
        <v>[blank]</v>
      </c>
      <c r="X198" s="40">
        <f t="shared" si="31"/>
        <v>0</v>
      </c>
    </row>
    <row r="199" spans="2:24">
      <c r="B199" s="4" t="str">
        <f t="shared" si="30"/>
        <v>[blank]</v>
      </c>
      <c r="X199" s="40">
        <f t="shared" si="31"/>
        <v>0</v>
      </c>
    </row>
    <row r="200" spans="2:24">
      <c r="B200" s="4" t="str">
        <f t="shared" si="30"/>
        <v>[blank]</v>
      </c>
      <c r="X200" s="40">
        <f t="shared" si="31"/>
        <v>0</v>
      </c>
    </row>
    <row r="201" spans="2:24">
      <c r="B201" s="4" t="str">
        <f t="shared" si="30"/>
        <v>[blank]</v>
      </c>
      <c r="X201" s="40">
        <f t="shared" si="31"/>
        <v>0</v>
      </c>
    </row>
    <row r="202" spans="2:24">
      <c r="B202" s="4" t="str">
        <f t="shared" si="30"/>
        <v>[blank]</v>
      </c>
      <c r="X202" s="40">
        <f t="shared" si="31"/>
        <v>0</v>
      </c>
    </row>
    <row r="203" spans="2:24">
      <c r="B203" s="4" t="str">
        <f t="shared" si="30"/>
        <v>[blank]</v>
      </c>
      <c r="X203" s="40">
        <f t="shared" si="31"/>
        <v>0</v>
      </c>
    </row>
    <row r="205" spans="2:24" ht="12.75" thickBot="1">
      <c r="B205" s="5" t="s">
        <v>88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2">SUM(Q189:Q203)</f>
        <v>17745.335377033338</v>
      </c>
      <c r="R205" s="37">
        <f t="shared" si="32"/>
        <v>17742.866139554229</v>
      </c>
      <c r="S205" s="37">
        <f t="shared" si="32"/>
        <v>19533.058192660828</v>
      </c>
      <c r="T205" s="37">
        <f t="shared" si="32"/>
        <v>20645.140849768679</v>
      </c>
      <c r="U205" s="37">
        <f t="shared" si="32"/>
        <v>22789.126008697596</v>
      </c>
      <c r="V205" s="37">
        <f t="shared" si="32"/>
        <v>24466.856197763595</v>
      </c>
      <c r="X205" s="37">
        <f t="shared" ref="X205" si="33">SUM(R205:V205)</f>
        <v>105177.04738844493</v>
      </c>
    </row>
    <row r="207" spans="2:24">
      <c r="B207" s="4" t="s">
        <v>92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4">Q89</f>
        <v>237104.93040533355</v>
      </c>
      <c r="R207" s="45">
        <f t="shared" si="34"/>
        <v>245845.46473367678</v>
      </c>
      <c r="S207" s="45">
        <f t="shared" si="34"/>
        <v>256127.2641409841</v>
      </c>
      <c r="T207" s="45">
        <f t="shared" si="34"/>
        <v>266641.24724115978</v>
      </c>
      <c r="U207" s="45">
        <f t="shared" si="34"/>
        <v>278883.13800746459</v>
      </c>
      <c r="V207" s="45">
        <f t="shared" si="34"/>
        <v>289917.10117547819</v>
      </c>
      <c r="W207" s="45"/>
      <c r="X207" s="40">
        <f t="shared" si="34"/>
        <v>1337414.2152987635</v>
      </c>
    </row>
    <row r="208" spans="2:24">
      <c r="B208" s="4" t="s">
        <v>90</v>
      </c>
      <c r="H208" s="21" t="str">
        <f>IFERROR(H212/H207,"")</f>
        <v/>
      </c>
      <c r="I208" s="21" t="str">
        <f t="shared" ref="I208:O208" si="35">IFERROR(I212/I207,"")</f>
        <v/>
      </c>
      <c r="J208" s="21" t="str">
        <f t="shared" si="35"/>
        <v/>
      </c>
      <c r="K208" s="21" t="str">
        <f t="shared" si="35"/>
        <v/>
      </c>
      <c r="L208" s="21" t="str">
        <f t="shared" si="35"/>
        <v/>
      </c>
      <c r="M208" s="21" t="str">
        <f t="shared" si="35"/>
        <v/>
      </c>
      <c r="N208" s="21" t="str">
        <f t="shared" si="35"/>
        <v/>
      </c>
      <c r="O208" s="21" t="str">
        <f t="shared" si="35"/>
        <v/>
      </c>
      <c r="P208" s="21">
        <f>'General assumptions'!S56</f>
        <v>0</v>
      </c>
      <c r="Q208" s="21">
        <f>'General assumptions'!T56</f>
        <v>7.4841697077734692E-2</v>
      </c>
      <c r="R208" s="21">
        <f>'General assumptions'!U56</f>
        <v>7.2170809247081261E-2</v>
      </c>
      <c r="S208" s="21">
        <f>'General assumptions'!V56</f>
        <v>7.6263096231367788E-2</v>
      </c>
      <c r="T208" s="21">
        <f>'General assumptions'!W56</f>
        <v>7.7426658716070601E-2</v>
      </c>
      <c r="U208" s="21">
        <f>'General assumptions'!X56</f>
        <v>8.1715682674538839E-2</v>
      </c>
      <c r="V208" s="21">
        <f>'General assumptions'!Y56</f>
        <v>8.4392593946897035E-2</v>
      </c>
      <c r="W208" s="21"/>
      <c r="X208" s="75">
        <f>X205/X207</f>
        <v>7.8642088730116827E-2</v>
      </c>
    </row>
    <row r="210" spans="1:24" ht="12.75" thickBot="1">
      <c r="B210" s="5" t="s">
        <v>91</v>
      </c>
      <c r="H210" s="37">
        <f t="shared" ref="H210:N210" si="36">IF(H188="forecast",H207*(1+H208),H207+H212)</f>
        <v>0</v>
      </c>
      <c r="I210" s="37">
        <f t="shared" si="36"/>
        <v>0</v>
      </c>
      <c r="J210" s="37">
        <f t="shared" si="36"/>
        <v>0</v>
      </c>
      <c r="K210" s="37">
        <f t="shared" si="36"/>
        <v>0</v>
      </c>
      <c r="L210" s="37">
        <f t="shared" si="36"/>
        <v>0</v>
      </c>
      <c r="M210" s="37">
        <f t="shared" si="36"/>
        <v>0</v>
      </c>
      <c r="N210" s="37">
        <f t="shared" si="36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37">IF(Q188="forecast",Q207*(1+Q208),Q207+Q212)</f>
        <v>254850.26578236691</v>
      </c>
      <c r="R210" s="37">
        <f t="shared" si="37"/>
        <v>263588.330873231</v>
      </c>
      <c r="S210" s="37">
        <f t="shared" si="37"/>
        <v>275660.3223336449</v>
      </c>
      <c r="T210" s="37">
        <f t="shared" si="37"/>
        <v>287286.38809092843</v>
      </c>
      <c r="U210" s="37">
        <f t="shared" si="37"/>
        <v>301672.2640161622</v>
      </c>
      <c r="V210" s="37">
        <f t="shared" si="37"/>
        <v>314383.95737324178</v>
      </c>
      <c r="X210" s="37">
        <f t="shared" ref="X210" si="38">IF(X188="forecast",X207*(1+X208),X207+X212)</f>
        <v>1442591.2626872086</v>
      </c>
    </row>
    <row r="212" spans="1:24">
      <c r="B212" s="4" t="s">
        <v>18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39">Q210-Q207</f>
        <v>17745.335377033363</v>
      </c>
      <c r="R212" s="45">
        <f t="shared" si="39"/>
        <v>17742.866139554215</v>
      </c>
      <c r="S212" s="45">
        <f t="shared" si="39"/>
        <v>19533.058192660799</v>
      </c>
      <c r="T212" s="45">
        <f t="shared" si="39"/>
        <v>20645.14084976865</v>
      </c>
      <c r="U212" s="45">
        <f t="shared" si="39"/>
        <v>22789.126008697611</v>
      </c>
      <c r="V212" s="45">
        <f t="shared" si="39"/>
        <v>24466.856197763584</v>
      </c>
      <c r="X212" s="40">
        <f t="shared" ref="X212" si="40">X210-X207</f>
        <v>105177.04738844512</v>
      </c>
    </row>
    <row r="214" spans="1:24" s="1" customFormat="1">
      <c r="A214" s="2">
        <v>7</v>
      </c>
      <c r="B214" s="2" t="s">
        <v>74</v>
      </c>
    </row>
    <row r="216" spans="1:24">
      <c r="H216" s="190" t="s">
        <v>52</v>
      </c>
      <c r="I216" s="190"/>
      <c r="J216" s="190"/>
      <c r="K216" s="190"/>
      <c r="L216" s="190"/>
      <c r="M216" s="190" t="s">
        <v>53</v>
      </c>
      <c r="N216" s="190"/>
      <c r="O216" s="190"/>
      <c r="P216" s="190"/>
      <c r="Q216" s="190"/>
      <c r="R216" s="190" t="s">
        <v>54</v>
      </c>
      <c r="S216" s="190"/>
      <c r="T216" s="190"/>
      <c r="U216" s="190"/>
      <c r="V216" s="190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63</v>
      </c>
    </row>
    <row r="218" spans="1:24">
      <c r="D218" s="29" t="s">
        <v>55</v>
      </c>
      <c r="H218" s="16" t="s">
        <v>12</v>
      </c>
      <c r="I218" s="16" t="s">
        <v>12</v>
      </c>
      <c r="J218" s="16" t="s">
        <v>12</v>
      </c>
      <c r="K218" s="16" t="s">
        <v>12</v>
      </c>
      <c r="L218" s="16" t="s">
        <v>12</v>
      </c>
      <c r="M218" s="16" t="s">
        <v>12</v>
      </c>
      <c r="N218" s="16" t="s">
        <v>12</v>
      </c>
      <c r="O218" s="16" t="s">
        <v>12</v>
      </c>
      <c r="P218" s="16" t="s">
        <v>13</v>
      </c>
      <c r="Q218" s="16" t="s">
        <v>13</v>
      </c>
      <c r="R218" s="16" t="s">
        <v>13</v>
      </c>
      <c r="S218" s="16" t="s">
        <v>13</v>
      </c>
      <c r="T218" s="16" t="s">
        <v>13</v>
      </c>
      <c r="U218" s="16" t="s">
        <v>13</v>
      </c>
      <c r="V218" s="16" t="s">
        <v>13</v>
      </c>
      <c r="X218" s="34" t="s">
        <v>13</v>
      </c>
    </row>
    <row r="219" spans="1:24">
      <c r="B219" s="5" t="s">
        <v>94</v>
      </c>
      <c r="D219" s="31" t="s">
        <v>105</v>
      </c>
      <c r="H219" s="4" t="str">
        <f t="shared" ref="H219:O219" si="41">IFERROR(-H238/H210,"")</f>
        <v/>
      </c>
      <c r="I219" s="4" t="str">
        <f t="shared" si="41"/>
        <v/>
      </c>
      <c r="J219" s="4" t="str">
        <f t="shared" si="41"/>
        <v/>
      </c>
      <c r="K219" s="4" t="str">
        <f t="shared" si="41"/>
        <v/>
      </c>
      <c r="L219" s="4" t="str">
        <f t="shared" si="41"/>
        <v/>
      </c>
      <c r="M219" s="4" t="str">
        <f t="shared" si="41"/>
        <v/>
      </c>
      <c r="N219" s="4" t="str">
        <f t="shared" si="41"/>
        <v/>
      </c>
      <c r="O219" s="4" t="str">
        <f t="shared" si="41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46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Meter Faults - I&amp;C</v>
      </c>
      <c r="D222" s="31" t="s">
        <v>60</v>
      </c>
      <c r="P222" s="45">
        <f>(-P73*(1+P$208))*P$219</f>
        <v>0</v>
      </c>
      <c r="Q222" s="45">
        <f t="shared" ref="Q222:V222" si="42">(-Q73*(1+Q$208))*Q$219</f>
        <v>0</v>
      </c>
      <c r="R222" s="45">
        <f t="shared" si="42"/>
        <v>0</v>
      </c>
      <c r="S222" s="45">
        <f t="shared" si="42"/>
        <v>0</v>
      </c>
      <c r="T222" s="45">
        <f t="shared" si="42"/>
        <v>0</v>
      </c>
      <c r="U222" s="45">
        <f t="shared" si="42"/>
        <v>0</v>
      </c>
      <c r="V222" s="45">
        <f t="shared" si="42"/>
        <v>0</v>
      </c>
      <c r="X222" s="40">
        <f t="shared" ref="X222" si="43">SUM(R222:V222)</f>
        <v>0</v>
      </c>
    </row>
    <row r="223" spans="1:24">
      <c r="B223" s="4" t="str">
        <f t="shared" ref="B223:B236" si="44">IF(B11&lt;&gt;"",B11,"[blank]")</f>
        <v>[blank]</v>
      </c>
      <c r="D223" s="31"/>
      <c r="P223" s="45"/>
      <c r="Q223" s="45"/>
      <c r="R223" s="45"/>
      <c r="S223" s="45"/>
      <c r="T223" s="45"/>
      <c r="U223" s="45"/>
      <c r="V223" s="45"/>
      <c r="X223" s="40"/>
    </row>
    <row r="224" spans="1:24">
      <c r="B224" s="4" t="str">
        <f t="shared" si="44"/>
        <v>[blank]</v>
      </c>
      <c r="P224" s="45"/>
      <c r="Q224" s="45"/>
      <c r="R224" s="45"/>
      <c r="S224" s="45"/>
      <c r="T224" s="45"/>
      <c r="U224" s="45"/>
      <c r="V224" s="45"/>
      <c r="X224" s="40"/>
    </row>
    <row r="225" spans="1:24">
      <c r="B225" s="4" t="str">
        <f t="shared" si="44"/>
        <v>[blank]</v>
      </c>
      <c r="P225" s="45"/>
      <c r="Q225" s="45"/>
      <c r="R225" s="45"/>
      <c r="S225" s="45"/>
      <c r="T225" s="45"/>
      <c r="U225" s="45"/>
      <c r="V225" s="45"/>
      <c r="X225" s="40"/>
    </row>
    <row r="226" spans="1:24">
      <c r="B226" s="4" t="str">
        <f t="shared" si="44"/>
        <v>[blank]</v>
      </c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44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44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44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44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44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44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44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44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44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44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93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5">-P219*P210</f>
        <v>0</v>
      </c>
      <c r="Q238" s="37">
        <f t="shared" si="45"/>
        <v>0</v>
      </c>
      <c r="R238" s="37">
        <f t="shared" si="45"/>
        <v>0</v>
      </c>
      <c r="S238" s="37">
        <f t="shared" si="45"/>
        <v>0</v>
      </c>
      <c r="T238" s="37">
        <f t="shared" si="45"/>
        <v>0</v>
      </c>
      <c r="U238" s="37">
        <f t="shared" si="45"/>
        <v>0</v>
      </c>
      <c r="V238" s="37">
        <f t="shared" si="45"/>
        <v>0</v>
      </c>
      <c r="X238" s="37">
        <f t="shared" ref="X238" si="46">SUM(R238:V238)</f>
        <v>0</v>
      </c>
    </row>
    <row r="240" spans="1:24" s="1" customFormat="1">
      <c r="A240" s="2">
        <v>8</v>
      </c>
      <c r="B240" s="2" t="s">
        <v>75</v>
      </c>
    </row>
    <row r="242" spans="1:24">
      <c r="H242" s="190" t="s">
        <v>52</v>
      </c>
      <c r="I242" s="190"/>
      <c r="J242" s="190"/>
      <c r="K242" s="190"/>
      <c r="L242" s="190"/>
      <c r="M242" s="190" t="s">
        <v>53</v>
      </c>
      <c r="N242" s="190"/>
      <c r="O242" s="190"/>
      <c r="P242" s="190"/>
      <c r="Q242" s="190"/>
      <c r="R242" s="190" t="s">
        <v>54</v>
      </c>
      <c r="S242" s="190"/>
      <c r="T242" s="190"/>
      <c r="U242" s="190"/>
      <c r="V242" s="190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63</v>
      </c>
    </row>
    <row r="244" spans="1:24">
      <c r="D244" s="29" t="s">
        <v>55</v>
      </c>
      <c r="H244" s="16" t="s">
        <v>12</v>
      </c>
      <c r="I244" s="16" t="s">
        <v>12</v>
      </c>
      <c r="J244" s="16" t="s">
        <v>12</v>
      </c>
      <c r="K244" s="16" t="s">
        <v>12</v>
      </c>
      <c r="L244" s="16" t="s">
        <v>12</v>
      </c>
      <c r="M244" s="16" t="s">
        <v>12</v>
      </c>
      <c r="N244" s="16" t="s">
        <v>12</v>
      </c>
      <c r="O244" s="16" t="s">
        <v>12</v>
      </c>
      <c r="P244" s="16" t="s">
        <v>13</v>
      </c>
      <c r="Q244" s="16" t="s">
        <v>13</v>
      </c>
      <c r="R244" s="16" t="s">
        <v>13</v>
      </c>
      <c r="S244" s="16" t="s">
        <v>13</v>
      </c>
      <c r="T244" s="16" t="s">
        <v>13</v>
      </c>
      <c r="U244" s="16" t="s">
        <v>13</v>
      </c>
      <c r="V244" s="16" t="s">
        <v>13</v>
      </c>
      <c r="X244" s="34" t="s">
        <v>13</v>
      </c>
    </row>
    <row r="245" spans="1:24">
      <c r="B245" s="38" t="s">
        <v>96</v>
      </c>
      <c r="D245" s="31"/>
      <c r="X245" s="40"/>
    </row>
    <row r="246" spans="1:24">
      <c r="B246" s="47" t="s">
        <v>97</v>
      </c>
      <c r="D246" s="31" t="s">
        <v>60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47">SUM(R246:V246)</f>
        <v>0</v>
      </c>
    </row>
    <row r="247" spans="1:24">
      <c r="B247" s="47" t="s">
        <v>98</v>
      </c>
      <c r="D247" s="31" t="s">
        <v>60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47"/>
        <v>0</v>
      </c>
    </row>
    <row r="248" spans="1:24">
      <c r="B248" s="47" t="s">
        <v>99</v>
      </c>
      <c r="D248" s="31" t="s">
        <v>60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47"/>
        <v>0</v>
      </c>
    </row>
    <row r="249" spans="1:24">
      <c r="B249" s="47" t="s">
        <v>100</v>
      </c>
      <c r="D249" s="31" t="s">
        <v>60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47"/>
        <v>0</v>
      </c>
    </row>
    <row r="250" spans="1:24">
      <c r="B250" s="47" t="s">
        <v>101</v>
      </c>
      <c r="D250" s="31" t="s">
        <v>60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47"/>
        <v>0</v>
      </c>
    </row>
    <row r="252" spans="1:24" ht="12.75" thickBot="1">
      <c r="B252" s="5" t="s">
        <v>102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8">SUM(Q246:Q250)</f>
        <v>0</v>
      </c>
      <c r="R252" s="49">
        <f t="shared" si="48"/>
        <v>0</v>
      </c>
      <c r="S252" s="49">
        <f t="shared" si="48"/>
        <v>0</v>
      </c>
      <c r="T252" s="49">
        <f t="shared" si="48"/>
        <v>0</v>
      </c>
      <c r="U252" s="49">
        <f t="shared" si="48"/>
        <v>0</v>
      </c>
      <c r="V252" s="49">
        <f t="shared" si="48"/>
        <v>0</v>
      </c>
      <c r="X252" s="37">
        <f t="shared" si="47"/>
        <v>0</v>
      </c>
    </row>
    <row r="254" spans="1:24" s="1" customFormat="1">
      <c r="A254" s="2">
        <v>9</v>
      </c>
      <c r="B254" s="2" t="s">
        <v>103</v>
      </c>
    </row>
    <row r="256" spans="1:24">
      <c r="H256" s="190" t="s">
        <v>52</v>
      </c>
      <c r="I256" s="190"/>
      <c r="J256" s="190"/>
      <c r="K256" s="190"/>
      <c r="L256" s="190"/>
      <c r="M256" s="190" t="s">
        <v>53</v>
      </c>
      <c r="N256" s="190"/>
      <c r="O256" s="190"/>
      <c r="P256" s="190"/>
      <c r="Q256" s="190"/>
      <c r="R256" s="190" t="s">
        <v>54</v>
      </c>
      <c r="S256" s="190"/>
      <c r="T256" s="190"/>
      <c r="U256" s="190"/>
      <c r="V256" s="190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63</v>
      </c>
    </row>
    <row r="258" spans="1:24">
      <c r="D258" s="29" t="s">
        <v>55</v>
      </c>
      <c r="H258" s="16" t="s">
        <v>12</v>
      </c>
      <c r="I258" s="16" t="s">
        <v>12</v>
      </c>
      <c r="J258" s="16" t="s">
        <v>12</v>
      </c>
      <c r="K258" s="16" t="s">
        <v>12</v>
      </c>
      <c r="L258" s="16" t="s">
        <v>12</v>
      </c>
      <c r="M258" s="16" t="s">
        <v>12</v>
      </c>
      <c r="N258" s="16" t="s">
        <v>12</v>
      </c>
      <c r="O258" s="16" t="s">
        <v>12</v>
      </c>
      <c r="P258" s="16" t="s">
        <v>13</v>
      </c>
      <c r="Q258" s="16" t="s">
        <v>13</v>
      </c>
      <c r="R258" s="16" t="s">
        <v>13</v>
      </c>
      <c r="S258" s="16" t="s">
        <v>13</v>
      </c>
      <c r="T258" s="16" t="s">
        <v>13</v>
      </c>
      <c r="U258" s="16" t="s">
        <v>13</v>
      </c>
      <c r="V258" s="16" t="s">
        <v>13</v>
      </c>
      <c r="X258" s="34" t="s">
        <v>13</v>
      </c>
    </row>
    <row r="259" spans="1:24">
      <c r="B259" s="4" t="s">
        <v>104</v>
      </c>
      <c r="D259" s="31" t="s">
        <v>60</v>
      </c>
      <c r="H259" s="45">
        <f t="shared" ref="H259:V259" si="49">H210</f>
        <v>0</v>
      </c>
      <c r="I259" s="45">
        <f t="shared" si="49"/>
        <v>0</v>
      </c>
      <c r="J259" s="45">
        <f t="shared" si="49"/>
        <v>0</v>
      </c>
      <c r="K259" s="45">
        <f t="shared" si="49"/>
        <v>0</v>
      </c>
      <c r="L259" s="45">
        <f t="shared" si="49"/>
        <v>0</v>
      </c>
      <c r="M259" s="45">
        <f t="shared" si="49"/>
        <v>0</v>
      </c>
      <c r="N259" s="45">
        <f t="shared" si="49"/>
        <v>0</v>
      </c>
      <c r="O259" s="45">
        <f t="shared" si="49"/>
        <v>0</v>
      </c>
      <c r="P259" s="45">
        <f t="shared" si="49"/>
        <v>0</v>
      </c>
      <c r="Q259" s="45">
        <f t="shared" si="49"/>
        <v>254850.26578236691</v>
      </c>
      <c r="R259" s="45">
        <f t="shared" si="49"/>
        <v>263588.330873231</v>
      </c>
      <c r="S259" s="45">
        <f t="shared" si="49"/>
        <v>275660.3223336449</v>
      </c>
      <c r="T259" s="45">
        <f t="shared" si="49"/>
        <v>287286.38809092843</v>
      </c>
      <c r="U259" s="45">
        <f t="shared" si="49"/>
        <v>301672.2640161622</v>
      </c>
      <c r="V259" s="45">
        <f t="shared" si="49"/>
        <v>314383.95737324178</v>
      </c>
      <c r="X259" s="40">
        <f t="shared" ref="X259:X261" si="50">SUM(R259:V259)</f>
        <v>1442591.2626872081</v>
      </c>
    </row>
    <row r="260" spans="1:24">
      <c r="B260" s="4" t="s">
        <v>74</v>
      </c>
      <c r="D260" s="31" t="s">
        <v>60</v>
      </c>
      <c r="H260" s="45">
        <f>H238</f>
        <v>0</v>
      </c>
      <c r="I260" s="45">
        <f t="shared" ref="I260:V260" si="51">I238</f>
        <v>0</v>
      </c>
      <c r="J260" s="45">
        <f t="shared" si="51"/>
        <v>0</v>
      </c>
      <c r="K260" s="45">
        <f t="shared" si="51"/>
        <v>0</v>
      </c>
      <c r="L260" s="45">
        <f t="shared" si="51"/>
        <v>0</v>
      </c>
      <c r="M260" s="45">
        <f t="shared" si="51"/>
        <v>0</v>
      </c>
      <c r="N260" s="45">
        <f t="shared" si="51"/>
        <v>0</v>
      </c>
      <c r="O260" s="45">
        <f t="shared" si="51"/>
        <v>0</v>
      </c>
      <c r="P260" s="45">
        <f t="shared" si="51"/>
        <v>0</v>
      </c>
      <c r="Q260" s="45">
        <f t="shared" si="51"/>
        <v>0</v>
      </c>
      <c r="R260" s="45">
        <f t="shared" si="51"/>
        <v>0</v>
      </c>
      <c r="S260" s="45">
        <f t="shared" si="51"/>
        <v>0</v>
      </c>
      <c r="T260" s="45">
        <f t="shared" si="51"/>
        <v>0</v>
      </c>
      <c r="U260" s="45">
        <f t="shared" si="51"/>
        <v>0</v>
      </c>
      <c r="V260" s="45">
        <f t="shared" si="51"/>
        <v>0</v>
      </c>
      <c r="X260" s="40">
        <f t="shared" si="50"/>
        <v>0</v>
      </c>
    </row>
    <row r="261" spans="1:24">
      <c r="B261" s="4" t="s">
        <v>75</v>
      </c>
      <c r="D261" s="31" t="s">
        <v>60</v>
      </c>
      <c r="H261" s="45">
        <f>H252</f>
        <v>0</v>
      </c>
      <c r="I261" s="45">
        <f t="shared" ref="I261:V261" si="52">I252</f>
        <v>0</v>
      </c>
      <c r="J261" s="45">
        <f t="shared" si="52"/>
        <v>0</v>
      </c>
      <c r="K261" s="45">
        <f t="shared" si="52"/>
        <v>0</v>
      </c>
      <c r="L261" s="45">
        <f t="shared" si="52"/>
        <v>0</v>
      </c>
      <c r="M261" s="45">
        <f t="shared" si="52"/>
        <v>0</v>
      </c>
      <c r="N261" s="45">
        <f t="shared" si="52"/>
        <v>0</v>
      </c>
      <c r="O261" s="45">
        <f t="shared" si="52"/>
        <v>0</v>
      </c>
      <c r="P261" s="45">
        <f t="shared" si="52"/>
        <v>0</v>
      </c>
      <c r="Q261" s="45">
        <f t="shared" si="52"/>
        <v>0</v>
      </c>
      <c r="R261" s="45">
        <f t="shared" si="52"/>
        <v>0</v>
      </c>
      <c r="S261" s="45">
        <f t="shared" si="52"/>
        <v>0</v>
      </c>
      <c r="T261" s="45">
        <f t="shared" si="52"/>
        <v>0</v>
      </c>
      <c r="U261" s="45">
        <f t="shared" si="52"/>
        <v>0</v>
      </c>
      <c r="V261" s="45">
        <f t="shared" si="52"/>
        <v>0</v>
      </c>
      <c r="X261" s="40">
        <f t="shared" si="50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103</v>
      </c>
      <c r="D263" s="31" t="s">
        <v>60</v>
      </c>
      <c r="H263" s="37">
        <f>SUM(H259:H261)</f>
        <v>0</v>
      </c>
      <c r="I263" s="37">
        <f t="shared" ref="I263:V263" si="53">SUM(I259:I261)</f>
        <v>0</v>
      </c>
      <c r="J263" s="37">
        <f t="shared" si="53"/>
        <v>0</v>
      </c>
      <c r="K263" s="37">
        <f t="shared" si="53"/>
        <v>0</v>
      </c>
      <c r="L263" s="37">
        <f t="shared" si="53"/>
        <v>0</v>
      </c>
      <c r="M263" s="37">
        <f t="shared" si="53"/>
        <v>0</v>
      </c>
      <c r="N263" s="37">
        <f t="shared" si="53"/>
        <v>0</v>
      </c>
      <c r="O263" s="37">
        <f t="shared" si="53"/>
        <v>0</v>
      </c>
      <c r="P263" s="37">
        <f t="shared" si="53"/>
        <v>0</v>
      </c>
      <c r="Q263" s="37">
        <f t="shared" si="53"/>
        <v>254850.26578236691</v>
      </c>
      <c r="R263" s="37">
        <f t="shared" si="53"/>
        <v>263588.330873231</v>
      </c>
      <c r="S263" s="37">
        <f t="shared" si="53"/>
        <v>275660.3223336449</v>
      </c>
      <c r="T263" s="37">
        <f t="shared" si="53"/>
        <v>287286.38809092843</v>
      </c>
      <c r="U263" s="37">
        <f t="shared" si="53"/>
        <v>301672.2640161622</v>
      </c>
      <c r="V263" s="37">
        <f t="shared" si="53"/>
        <v>314383.95737324178</v>
      </c>
      <c r="X263" s="37">
        <f t="shared" ref="X263" si="54">SUM(R263:V263)</f>
        <v>1442591.2626872081</v>
      </c>
    </row>
    <row r="264" spans="1:24">
      <c r="D264" s="31"/>
    </row>
    <row r="266" spans="1:24" s="66" customFormat="1">
      <c r="A266" s="65">
        <v>10</v>
      </c>
      <c r="B266" s="65" t="s">
        <v>121</v>
      </c>
    </row>
    <row r="268" spans="1:24">
      <c r="B268" s="69" t="s">
        <v>120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322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55">IFERROR(SUMPRODUCT($Z$73:$Z$87,Q$73:Q$87)/SUM(Q$73:Q$87)*Q$89,0)</f>
        <v>0</v>
      </c>
      <c r="R276" s="57">
        <f t="shared" si="55"/>
        <v>0</v>
      </c>
      <c r="S276" s="57">
        <f t="shared" si="55"/>
        <v>0</v>
      </c>
      <c r="T276" s="57">
        <f t="shared" si="55"/>
        <v>0</v>
      </c>
      <c r="U276" s="57">
        <f t="shared" si="55"/>
        <v>0</v>
      </c>
      <c r="V276" s="57">
        <f t="shared" si="55"/>
        <v>0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56">IFERROR(SUMPRODUCT($AA$73:$AA$87,Q$73:Q$87)/SUM(Q$73:Q$87)*Q$89,0)</f>
        <v>0</v>
      </c>
      <c r="R277" s="57">
        <f t="shared" si="56"/>
        <v>0</v>
      </c>
      <c r="S277" s="57">
        <f t="shared" si="56"/>
        <v>0</v>
      </c>
      <c r="T277" s="57">
        <f t="shared" si="56"/>
        <v>0</v>
      </c>
      <c r="U277" s="57">
        <f t="shared" si="56"/>
        <v>0</v>
      </c>
      <c r="V277" s="57">
        <f t="shared" si="56"/>
        <v>0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7">IFERROR(SUMPRODUCT($AB$73:$AB$87,Q$73:Q$87)/SUM(Q$73:Q$87)*Q$89,0)</f>
        <v>0</v>
      </c>
      <c r="R278" s="57">
        <f t="shared" si="57"/>
        <v>0</v>
      </c>
      <c r="S278" s="57">
        <f t="shared" si="57"/>
        <v>0</v>
      </c>
      <c r="T278" s="57">
        <f t="shared" si="57"/>
        <v>0</v>
      </c>
      <c r="U278" s="57">
        <f t="shared" si="57"/>
        <v>0</v>
      </c>
      <c r="V278" s="57">
        <f t="shared" si="57"/>
        <v>0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8">IFERROR(SUMPRODUCT($AC$73:$AC$87,Q$73:Q$87)/SUM(Q$73:Q$87)*Q$89,0)</f>
        <v>0</v>
      </c>
      <c r="R279" s="57">
        <f t="shared" si="58"/>
        <v>0</v>
      </c>
      <c r="S279" s="57">
        <f t="shared" si="58"/>
        <v>0</v>
      </c>
      <c r="T279" s="57">
        <f t="shared" si="58"/>
        <v>0</v>
      </c>
      <c r="U279" s="57">
        <f t="shared" si="58"/>
        <v>0</v>
      </c>
      <c r="V279" s="57">
        <f t="shared" si="58"/>
        <v>0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9">IFERROR(SUMPRODUCT($AD$73:$AD$87,Q$73:Q$87)/SUM(Q$73:Q$87)*Q$89,0)</f>
        <v>0</v>
      </c>
      <c r="R280" s="57">
        <f t="shared" si="59"/>
        <v>0</v>
      </c>
      <c r="S280" s="57">
        <f t="shared" si="59"/>
        <v>0</v>
      </c>
      <c r="T280" s="57">
        <f t="shared" si="59"/>
        <v>0</v>
      </c>
      <c r="U280" s="57">
        <f t="shared" si="59"/>
        <v>0</v>
      </c>
      <c r="V280" s="57">
        <f t="shared" si="59"/>
        <v>0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60">IFERROR(SUMPRODUCT($AE$73:$AE$87,Q$73:Q$87)/SUM(Q$73:Q$87)*Q$89,0)</f>
        <v>237104.93040533355</v>
      </c>
      <c r="R281" s="57">
        <f t="shared" si="60"/>
        <v>245845.46473367678</v>
      </c>
      <c r="S281" s="57">
        <f t="shared" si="60"/>
        <v>256127.2641409841</v>
      </c>
      <c r="T281" s="57">
        <f t="shared" si="60"/>
        <v>266641.24724115978</v>
      </c>
      <c r="U281" s="57">
        <f t="shared" si="60"/>
        <v>278883.13800746459</v>
      </c>
      <c r="V281" s="57">
        <f t="shared" si="60"/>
        <v>289917.10117547819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1">IFERROR(SUMPRODUCT($AF$73:$AF$87,Q$73:Q$87)/SUM(Q$73:Q$87)*Q$89,0)</f>
        <v>0</v>
      </c>
      <c r="R282" s="57">
        <f t="shared" si="61"/>
        <v>0</v>
      </c>
      <c r="S282" s="57">
        <f t="shared" si="61"/>
        <v>0</v>
      </c>
      <c r="T282" s="57">
        <f t="shared" si="61"/>
        <v>0</v>
      </c>
      <c r="U282" s="57">
        <f t="shared" si="61"/>
        <v>0</v>
      </c>
      <c r="V282" s="57">
        <f t="shared" si="61"/>
        <v>0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2">IFERROR(SUMPRODUCT($AG$73:$AG$87,Q$73:Q$87)/SUM(Q$73:Q$87)*Q$89,0)</f>
        <v>0</v>
      </c>
      <c r="R283" s="57">
        <f t="shared" si="62"/>
        <v>0</v>
      </c>
      <c r="S283" s="57">
        <f t="shared" si="62"/>
        <v>0</v>
      </c>
      <c r="T283" s="57">
        <f t="shared" si="62"/>
        <v>0</v>
      </c>
      <c r="U283" s="57">
        <f t="shared" si="62"/>
        <v>0</v>
      </c>
      <c r="V283" s="57">
        <f t="shared" si="62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3">IFERROR(SUMPRODUCT($AH$73:$AH$87,Q$73:Q$87)/SUM(Q$73:Q$87)*Q$89,0)</f>
        <v>0</v>
      </c>
      <c r="R284" s="57">
        <f t="shared" si="63"/>
        <v>0</v>
      </c>
      <c r="S284" s="57">
        <f t="shared" si="63"/>
        <v>0</v>
      </c>
      <c r="T284" s="57">
        <f t="shared" si="63"/>
        <v>0</v>
      </c>
      <c r="U284" s="57">
        <f t="shared" si="63"/>
        <v>0</v>
      </c>
      <c r="V284" s="57">
        <f t="shared" si="63"/>
        <v>0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64">IFERROR(SUMPRODUCT($AI$73:$AI$87,Q$73:Q$87)/SUM(Q$73:Q$87)*Q$89,0)</f>
        <v>0</v>
      </c>
      <c r="R285" s="57">
        <f t="shared" si="64"/>
        <v>0</v>
      </c>
      <c r="S285" s="57">
        <f t="shared" si="64"/>
        <v>0</v>
      </c>
      <c r="T285" s="57">
        <f t="shared" si="64"/>
        <v>0</v>
      </c>
      <c r="U285" s="57">
        <f t="shared" si="64"/>
        <v>0</v>
      </c>
      <c r="V285" s="57">
        <f t="shared" si="64"/>
        <v>0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65">IFERROR(SUMPRODUCT($AJ$73:$AJ$87,Q$73:Q$87)/SUM(Q$73:Q$87)*Q$89,0)</f>
        <v>0</v>
      </c>
      <c r="R286" s="57">
        <f t="shared" si="65"/>
        <v>0</v>
      </c>
      <c r="S286" s="57">
        <f t="shared" si="65"/>
        <v>0</v>
      </c>
      <c r="T286" s="57">
        <f t="shared" si="65"/>
        <v>0</v>
      </c>
      <c r="U286" s="57">
        <f t="shared" si="65"/>
        <v>0</v>
      </c>
      <c r="V286" s="57">
        <f t="shared" si="65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6">SUM(Q276:Q286)</f>
        <v>237104.93040533355</v>
      </c>
      <c r="R288" s="37">
        <f t="shared" si="66"/>
        <v>245845.46473367678</v>
      </c>
      <c r="S288" s="37">
        <f t="shared" si="66"/>
        <v>256127.2641409841</v>
      </c>
      <c r="T288" s="37">
        <f t="shared" si="66"/>
        <v>266641.24724115978</v>
      </c>
      <c r="U288" s="37">
        <f t="shared" si="66"/>
        <v>278883.13800746459</v>
      </c>
      <c r="V288" s="64">
        <f t="shared" si="66"/>
        <v>289917.10117547819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261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7">P276*(1+P$208)</f>
        <v>0</v>
      </c>
      <c r="Q297" s="57">
        <f t="shared" si="67"/>
        <v>0</v>
      </c>
      <c r="R297" s="57">
        <f t="shared" si="67"/>
        <v>0</v>
      </c>
      <c r="S297" s="57">
        <f t="shared" si="67"/>
        <v>0</v>
      </c>
      <c r="T297" s="57">
        <f t="shared" si="67"/>
        <v>0</v>
      </c>
      <c r="U297" s="57">
        <f t="shared" si="67"/>
        <v>0</v>
      </c>
      <c r="V297" s="62">
        <f t="shared" si="67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7"/>
        <v>0</v>
      </c>
      <c r="Q298" s="57">
        <f t="shared" si="67"/>
        <v>0</v>
      </c>
      <c r="R298" s="57">
        <f t="shared" si="67"/>
        <v>0</v>
      </c>
      <c r="S298" s="57">
        <f t="shared" si="67"/>
        <v>0</v>
      </c>
      <c r="T298" s="57">
        <f t="shared" si="67"/>
        <v>0</v>
      </c>
      <c r="U298" s="57">
        <f t="shared" si="67"/>
        <v>0</v>
      </c>
      <c r="V298" s="62">
        <f t="shared" si="67"/>
        <v>0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7"/>
        <v>0</v>
      </c>
      <c r="Q299" s="57">
        <f t="shared" si="67"/>
        <v>0</v>
      </c>
      <c r="R299" s="57">
        <f t="shared" si="67"/>
        <v>0</v>
      </c>
      <c r="S299" s="57">
        <f t="shared" si="67"/>
        <v>0</v>
      </c>
      <c r="T299" s="57">
        <f t="shared" si="67"/>
        <v>0</v>
      </c>
      <c r="U299" s="57">
        <f t="shared" si="67"/>
        <v>0</v>
      </c>
      <c r="V299" s="62">
        <f t="shared" si="67"/>
        <v>0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7"/>
        <v>0</v>
      </c>
      <c r="Q300" s="57">
        <f t="shared" si="67"/>
        <v>0</v>
      </c>
      <c r="R300" s="57">
        <f t="shared" si="67"/>
        <v>0</v>
      </c>
      <c r="S300" s="57">
        <f t="shared" si="67"/>
        <v>0</v>
      </c>
      <c r="T300" s="57">
        <f t="shared" si="67"/>
        <v>0</v>
      </c>
      <c r="U300" s="57">
        <f t="shared" si="67"/>
        <v>0</v>
      </c>
      <c r="V300" s="62">
        <f t="shared" si="67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7"/>
        <v>0</v>
      </c>
      <c r="Q301" s="57">
        <f t="shared" si="67"/>
        <v>0</v>
      </c>
      <c r="R301" s="57">
        <f t="shared" si="67"/>
        <v>0</v>
      </c>
      <c r="S301" s="57">
        <f t="shared" si="67"/>
        <v>0</v>
      </c>
      <c r="T301" s="57">
        <f t="shared" si="67"/>
        <v>0</v>
      </c>
      <c r="U301" s="57">
        <f t="shared" si="67"/>
        <v>0</v>
      </c>
      <c r="V301" s="62">
        <f t="shared" si="67"/>
        <v>0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7"/>
        <v>0</v>
      </c>
      <c r="Q302" s="57">
        <f t="shared" si="67"/>
        <v>254850.26578236691</v>
      </c>
      <c r="R302" s="57">
        <f t="shared" si="67"/>
        <v>263588.330873231</v>
      </c>
      <c r="S302" s="57">
        <f t="shared" si="67"/>
        <v>275660.3223336449</v>
      </c>
      <c r="T302" s="57">
        <f t="shared" si="67"/>
        <v>287286.38809092843</v>
      </c>
      <c r="U302" s="57">
        <f t="shared" si="67"/>
        <v>301672.2640161622</v>
      </c>
      <c r="V302" s="62">
        <f t="shared" si="67"/>
        <v>314383.95737324178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7"/>
        <v>0</v>
      </c>
      <c r="Q303" s="57">
        <f t="shared" si="67"/>
        <v>0</v>
      </c>
      <c r="R303" s="57">
        <f t="shared" si="67"/>
        <v>0</v>
      </c>
      <c r="S303" s="57">
        <f t="shared" si="67"/>
        <v>0</v>
      </c>
      <c r="T303" s="57">
        <f t="shared" si="67"/>
        <v>0</v>
      </c>
      <c r="U303" s="57">
        <f t="shared" si="67"/>
        <v>0</v>
      </c>
      <c r="V303" s="62">
        <f t="shared" si="67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7"/>
        <v>0</v>
      </c>
      <c r="Q304" s="57">
        <f t="shared" si="67"/>
        <v>0</v>
      </c>
      <c r="R304" s="57">
        <f t="shared" si="67"/>
        <v>0</v>
      </c>
      <c r="S304" s="57">
        <f t="shared" si="67"/>
        <v>0</v>
      </c>
      <c r="T304" s="57">
        <f t="shared" si="67"/>
        <v>0</v>
      </c>
      <c r="U304" s="57">
        <f t="shared" si="67"/>
        <v>0</v>
      </c>
      <c r="V304" s="62">
        <f t="shared" si="67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7"/>
        <v>0</v>
      </c>
      <c r="Q305" s="57">
        <f t="shared" si="67"/>
        <v>0</v>
      </c>
      <c r="R305" s="57">
        <f t="shared" si="67"/>
        <v>0</v>
      </c>
      <c r="S305" s="57">
        <f t="shared" si="67"/>
        <v>0</v>
      </c>
      <c r="T305" s="57">
        <f t="shared" si="67"/>
        <v>0</v>
      </c>
      <c r="U305" s="57">
        <f t="shared" si="67"/>
        <v>0</v>
      </c>
      <c r="V305" s="62">
        <f t="shared" si="67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7"/>
        <v>0</v>
      </c>
      <c r="Q306" s="57">
        <f t="shared" si="67"/>
        <v>0</v>
      </c>
      <c r="R306" s="57">
        <f t="shared" si="67"/>
        <v>0</v>
      </c>
      <c r="S306" s="57">
        <f t="shared" si="67"/>
        <v>0</v>
      </c>
      <c r="T306" s="57">
        <f t="shared" si="67"/>
        <v>0</v>
      </c>
      <c r="U306" s="57">
        <f t="shared" si="67"/>
        <v>0</v>
      </c>
      <c r="V306" s="62">
        <f t="shared" si="67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7"/>
        <v>0</v>
      </c>
      <c r="Q307" s="57">
        <f t="shared" si="67"/>
        <v>0</v>
      </c>
      <c r="R307" s="57">
        <f t="shared" si="67"/>
        <v>0</v>
      </c>
      <c r="S307" s="57">
        <f t="shared" si="67"/>
        <v>0</v>
      </c>
      <c r="T307" s="57">
        <f t="shared" si="67"/>
        <v>0</v>
      </c>
      <c r="U307" s="57">
        <f t="shared" si="67"/>
        <v>0</v>
      </c>
      <c r="V307" s="62">
        <f t="shared" si="67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8">SUM(Q297:Q307)</f>
        <v>254850.26578236691</v>
      </c>
      <c r="R309" s="37">
        <f t="shared" si="68"/>
        <v>263588.330873231</v>
      </c>
      <c r="S309" s="37">
        <f t="shared" si="68"/>
        <v>275660.3223336449</v>
      </c>
      <c r="T309" s="37">
        <f t="shared" si="68"/>
        <v>287286.38809092843</v>
      </c>
      <c r="U309" s="37">
        <f t="shared" si="68"/>
        <v>301672.2640161622</v>
      </c>
      <c r="V309" s="64">
        <f t="shared" si="68"/>
        <v>314383.95737324178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262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9">P297*(1-P$219)</f>
        <v>0</v>
      </c>
      <c r="Q318" s="57">
        <f t="shared" si="69"/>
        <v>0</v>
      </c>
      <c r="R318" s="57">
        <f t="shared" si="69"/>
        <v>0</v>
      </c>
      <c r="S318" s="57">
        <f t="shared" si="69"/>
        <v>0</v>
      </c>
      <c r="T318" s="57">
        <f t="shared" si="69"/>
        <v>0</v>
      </c>
      <c r="U318" s="57">
        <f t="shared" si="69"/>
        <v>0</v>
      </c>
      <c r="V318" s="62">
        <f t="shared" si="69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9"/>
        <v>0</v>
      </c>
      <c r="Q319" s="57">
        <f t="shared" si="69"/>
        <v>0</v>
      </c>
      <c r="R319" s="57">
        <f t="shared" si="69"/>
        <v>0</v>
      </c>
      <c r="S319" s="57">
        <f t="shared" si="69"/>
        <v>0</v>
      </c>
      <c r="T319" s="57">
        <f t="shared" si="69"/>
        <v>0</v>
      </c>
      <c r="U319" s="57">
        <f t="shared" si="69"/>
        <v>0</v>
      </c>
      <c r="V319" s="62">
        <f t="shared" si="69"/>
        <v>0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9"/>
        <v>0</v>
      </c>
      <c r="Q320" s="57">
        <f t="shared" si="69"/>
        <v>0</v>
      </c>
      <c r="R320" s="57">
        <f t="shared" si="69"/>
        <v>0</v>
      </c>
      <c r="S320" s="57">
        <f t="shared" si="69"/>
        <v>0</v>
      </c>
      <c r="T320" s="57">
        <f t="shared" si="69"/>
        <v>0</v>
      </c>
      <c r="U320" s="57">
        <f t="shared" si="69"/>
        <v>0</v>
      </c>
      <c r="V320" s="62">
        <f t="shared" si="69"/>
        <v>0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9"/>
        <v>0</v>
      </c>
      <c r="Q321" s="57">
        <f t="shared" si="69"/>
        <v>0</v>
      </c>
      <c r="R321" s="57">
        <f t="shared" si="69"/>
        <v>0</v>
      </c>
      <c r="S321" s="57">
        <f t="shared" si="69"/>
        <v>0</v>
      </c>
      <c r="T321" s="57">
        <f t="shared" si="69"/>
        <v>0</v>
      </c>
      <c r="U321" s="57">
        <f t="shared" si="69"/>
        <v>0</v>
      </c>
      <c r="V321" s="62">
        <f t="shared" si="69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9"/>
        <v>0</v>
      </c>
      <c r="Q322" s="57">
        <f t="shared" si="69"/>
        <v>0</v>
      </c>
      <c r="R322" s="57">
        <f t="shared" si="69"/>
        <v>0</v>
      </c>
      <c r="S322" s="57">
        <f t="shared" si="69"/>
        <v>0</v>
      </c>
      <c r="T322" s="57">
        <f t="shared" si="69"/>
        <v>0</v>
      </c>
      <c r="U322" s="57">
        <f t="shared" si="69"/>
        <v>0</v>
      </c>
      <c r="V322" s="62">
        <f t="shared" si="69"/>
        <v>0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9"/>
        <v>0</v>
      </c>
      <c r="Q323" s="57">
        <f t="shared" si="69"/>
        <v>254850.26578236691</v>
      </c>
      <c r="R323" s="57">
        <f t="shared" si="69"/>
        <v>263588.330873231</v>
      </c>
      <c r="S323" s="57">
        <f t="shared" si="69"/>
        <v>275660.3223336449</v>
      </c>
      <c r="T323" s="57">
        <f t="shared" si="69"/>
        <v>287286.38809092843</v>
      </c>
      <c r="U323" s="57">
        <f t="shared" si="69"/>
        <v>301672.2640161622</v>
      </c>
      <c r="V323" s="62">
        <f t="shared" si="69"/>
        <v>314383.95737324178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9"/>
        <v>0</v>
      </c>
      <c r="Q324" s="57">
        <f t="shared" si="69"/>
        <v>0</v>
      </c>
      <c r="R324" s="57">
        <f t="shared" si="69"/>
        <v>0</v>
      </c>
      <c r="S324" s="57">
        <f t="shared" si="69"/>
        <v>0</v>
      </c>
      <c r="T324" s="57">
        <f t="shared" si="69"/>
        <v>0</v>
      </c>
      <c r="U324" s="57">
        <f t="shared" si="69"/>
        <v>0</v>
      </c>
      <c r="V324" s="62">
        <f t="shared" si="69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9"/>
        <v>0</v>
      </c>
      <c r="Q325" s="57">
        <f t="shared" si="69"/>
        <v>0</v>
      </c>
      <c r="R325" s="57">
        <f t="shared" si="69"/>
        <v>0</v>
      </c>
      <c r="S325" s="57">
        <f t="shared" si="69"/>
        <v>0</v>
      </c>
      <c r="T325" s="57">
        <f t="shared" si="69"/>
        <v>0</v>
      </c>
      <c r="U325" s="57">
        <f t="shared" si="69"/>
        <v>0</v>
      </c>
      <c r="V325" s="62">
        <f t="shared" si="69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9"/>
        <v>0</v>
      </c>
      <c r="Q326" s="57">
        <f t="shared" si="69"/>
        <v>0</v>
      </c>
      <c r="R326" s="57">
        <f t="shared" si="69"/>
        <v>0</v>
      </c>
      <c r="S326" s="57">
        <f t="shared" si="69"/>
        <v>0</v>
      </c>
      <c r="T326" s="57">
        <f t="shared" si="69"/>
        <v>0</v>
      </c>
      <c r="U326" s="57">
        <f t="shared" si="69"/>
        <v>0</v>
      </c>
      <c r="V326" s="62">
        <f t="shared" si="69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9"/>
        <v>0</v>
      </c>
      <c r="Q327" s="57">
        <f t="shared" si="69"/>
        <v>0</v>
      </c>
      <c r="R327" s="57">
        <f t="shared" si="69"/>
        <v>0</v>
      </c>
      <c r="S327" s="57">
        <f t="shared" si="69"/>
        <v>0</v>
      </c>
      <c r="T327" s="57">
        <f t="shared" si="69"/>
        <v>0</v>
      </c>
      <c r="U327" s="57">
        <f t="shared" si="69"/>
        <v>0</v>
      </c>
      <c r="V327" s="62">
        <f t="shared" si="69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9"/>
        <v>0</v>
      </c>
      <c r="Q328" s="57">
        <f t="shared" si="69"/>
        <v>0</v>
      </c>
      <c r="R328" s="57">
        <f t="shared" si="69"/>
        <v>0</v>
      </c>
      <c r="S328" s="57">
        <f t="shared" si="69"/>
        <v>0</v>
      </c>
      <c r="T328" s="57">
        <f t="shared" si="69"/>
        <v>0</v>
      </c>
      <c r="U328" s="57">
        <f t="shared" si="69"/>
        <v>0</v>
      </c>
      <c r="V328" s="62">
        <f t="shared" si="69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0">SUM(Q318:Q328)</f>
        <v>254850.26578236691</v>
      </c>
      <c r="R330" s="37">
        <f t="shared" si="70"/>
        <v>263588.330873231</v>
      </c>
      <c r="S330" s="37">
        <f t="shared" si="70"/>
        <v>275660.3223336449</v>
      </c>
      <c r="T330" s="37">
        <f t="shared" si="70"/>
        <v>287286.38809092843</v>
      </c>
      <c r="U330" s="37">
        <f t="shared" si="70"/>
        <v>301672.2640161622</v>
      </c>
      <c r="V330" s="64">
        <f t="shared" si="70"/>
        <v>314383.95737324178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263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1">Q297*Q$219</f>
        <v>0</v>
      </c>
      <c r="R339" s="57">
        <f t="shared" si="71"/>
        <v>0</v>
      </c>
      <c r="S339" s="57">
        <f t="shared" si="71"/>
        <v>0</v>
      </c>
      <c r="T339" s="57">
        <f t="shared" si="71"/>
        <v>0</v>
      </c>
      <c r="U339" s="57">
        <f t="shared" si="71"/>
        <v>0</v>
      </c>
      <c r="V339" s="62">
        <f t="shared" si="71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2">P298*P$219</f>
        <v>0</v>
      </c>
      <c r="Q340" s="57">
        <f t="shared" si="71"/>
        <v>0</v>
      </c>
      <c r="R340" s="57">
        <f t="shared" si="71"/>
        <v>0</v>
      </c>
      <c r="S340" s="57">
        <f t="shared" si="71"/>
        <v>0</v>
      </c>
      <c r="T340" s="57">
        <f t="shared" si="71"/>
        <v>0</v>
      </c>
      <c r="U340" s="57">
        <f t="shared" si="71"/>
        <v>0</v>
      </c>
      <c r="V340" s="62">
        <f t="shared" si="71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2"/>
        <v>0</v>
      </c>
      <c r="Q341" s="57">
        <f t="shared" si="71"/>
        <v>0</v>
      </c>
      <c r="R341" s="57">
        <f t="shared" si="71"/>
        <v>0</v>
      </c>
      <c r="S341" s="57">
        <f t="shared" si="71"/>
        <v>0</v>
      </c>
      <c r="T341" s="57">
        <f t="shared" si="71"/>
        <v>0</v>
      </c>
      <c r="U341" s="57">
        <f t="shared" si="71"/>
        <v>0</v>
      </c>
      <c r="V341" s="62">
        <f t="shared" si="71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2"/>
        <v>0</v>
      </c>
      <c r="Q342" s="57">
        <f t="shared" si="71"/>
        <v>0</v>
      </c>
      <c r="R342" s="57">
        <f t="shared" si="71"/>
        <v>0</v>
      </c>
      <c r="S342" s="57">
        <f t="shared" si="71"/>
        <v>0</v>
      </c>
      <c r="T342" s="57">
        <f t="shared" si="71"/>
        <v>0</v>
      </c>
      <c r="U342" s="57">
        <f t="shared" si="71"/>
        <v>0</v>
      </c>
      <c r="V342" s="62">
        <f t="shared" si="71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2"/>
        <v>0</v>
      </c>
      <c r="Q343" s="57">
        <f t="shared" si="71"/>
        <v>0</v>
      </c>
      <c r="R343" s="57">
        <f t="shared" si="71"/>
        <v>0</v>
      </c>
      <c r="S343" s="57">
        <f t="shared" si="71"/>
        <v>0</v>
      </c>
      <c r="T343" s="57">
        <f t="shared" si="71"/>
        <v>0</v>
      </c>
      <c r="U343" s="57">
        <f t="shared" si="71"/>
        <v>0</v>
      </c>
      <c r="V343" s="62">
        <f t="shared" si="71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2"/>
        <v>0</v>
      </c>
      <c r="Q344" s="57">
        <f t="shared" si="71"/>
        <v>0</v>
      </c>
      <c r="R344" s="57">
        <f t="shared" si="71"/>
        <v>0</v>
      </c>
      <c r="S344" s="57">
        <f t="shared" si="71"/>
        <v>0</v>
      </c>
      <c r="T344" s="57">
        <f t="shared" si="71"/>
        <v>0</v>
      </c>
      <c r="U344" s="57">
        <f t="shared" si="71"/>
        <v>0</v>
      </c>
      <c r="V344" s="62">
        <f t="shared" si="71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2"/>
        <v>0</v>
      </c>
      <c r="Q345" s="57">
        <f t="shared" si="71"/>
        <v>0</v>
      </c>
      <c r="R345" s="57">
        <f t="shared" si="71"/>
        <v>0</v>
      </c>
      <c r="S345" s="57">
        <f t="shared" si="71"/>
        <v>0</v>
      </c>
      <c r="T345" s="57">
        <f t="shared" si="71"/>
        <v>0</v>
      </c>
      <c r="U345" s="57">
        <f t="shared" si="71"/>
        <v>0</v>
      </c>
      <c r="V345" s="62">
        <f t="shared" si="71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2"/>
        <v>0</v>
      </c>
      <c r="Q346" s="57">
        <f t="shared" si="71"/>
        <v>0</v>
      </c>
      <c r="R346" s="57">
        <f t="shared" si="71"/>
        <v>0</v>
      </c>
      <c r="S346" s="57">
        <f t="shared" si="71"/>
        <v>0</v>
      </c>
      <c r="T346" s="57">
        <f t="shared" si="71"/>
        <v>0</v>
      </c>
      <c r="U346" s="57">
        <f t="shared" si="71"/>
        <v>0</v>
      </c>
      <c r="V346" s="62">
        <f t="shared" si="71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2"/>
        <v>0</v>
      </c>
      <c r="Q347" s="57">
        <f t="shared" si="71"/>
        <v>0</v>
      </c>
      <c r="R347" s="57">
        <f t="shared" si="71"/>
        <v>0</v>
      </c>
      <c r="S347" s="57">
        <f t="shared" si="71"/>
        <v>0</v>
      </c>
      <c r="T347" s="57">
        <f t="shared" si="71"/>
        <v>0</v>
      </c>
      <c r="U347" s="57">
        <f t="shared" si="71"/>
        <v>0</v>
      </c>
      <c r="V347" s="62">
        <f t="shared" si="71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2"/>
        <v>0</v>
      </c>
      <c r="Q348" s="57">
        <f t="shared" si="71"/>
        <v>0</v>
      </c>
      <c r="R348" s="57">
        <f t="shared" si="71"/>
        <v>0</v>
      </c>
      <c r="S348" s="57">
        <f t="shared" si="71"/>
        <v>0</v>
      </c>
      <c r="T348" s="57">
        <f t="shared" si="71"/>
        <v>0</v>
      </c>
      <c r="U348" s="57">
        <f t="shared" si="71"/>
        <v>0</v>
      </c>
      <c r="V348" s="62">
        <f t="shared" si="71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2"/>
        <v>0</v>
      </c>
      <c r="Q349" s="57">
        <f t="shared" si="71"/>
        <v>0</v>
      </c>
      <c r="R349" s="57">
        <f t="shared" si="71"/>
        <v>0</v>
      </c>
      <c r="S349" s="57">
        <f t="shared" si="71"/>
        <v>0</v>
      </c>
      <c r="T349" s="57">
        <f t="shared" si="71"/>
        <v>0</v>
      </c>
      <c r="U349" s="57">
        <f t="shared" si="71"/>
        <v>0</v>
      </c>
      <c r="V349" s="62">
        <f t="shared" si="71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3">SUM(Q339:Q349)</f>
        <v>0</v>
      </c>
      <c r="R351" s="37">
        <f t="shared" si="73"/>
        <v>0</v>
      </c>
      <c r="S351" s="37">
        <f t="shared" si="73"/>
        <v>0</v>
      </c>
      <c r="T351" s="37">
        <f t="shared" si="73"/>
        <v>0</v>
      </c>
      <c r="U351" s="37">
        <f t="shared" si="73"/>
        <v>0</v>
      </c>
      <c r="V351" s="64">
        <f t="shared" si="73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261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74">IFERROR(SUMPRODUCT($AM$73:$AM$87,Q$73:Q$87)/SUM(Q$73:Q$87)*Q$89,0)</f>
        <v>0</v>
      </c>
      <c r="R362" s="57">
        <f t="shared" si="74"/>
        <v>0</v>
      </c>
      <c r="S362" s="57">
        <f t="shared" si="74"/>
        <v>0</v>
      </c>
      <c r="T362" s="57">
        <f t="shared" si="74"/>
        <v>0</v>
      </c>
      <c r="U362" s="57">
        <f t="shared" si="74"/>
        <v>0</v>
      </c>
      <c r="V362" s="62">
        <f t="shared" si="74"/>
        <v>0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75">IFERROR(SUMPRODUCT($AN$73:$AN$87,Q$73:Q$87)/SUM(Q$73:Q$87)*Q$89,0)</f>
        <v>0</v>
      </c>
      <c r="R363" s="57">
        <f t="shared" si="75"/>
        <v>0</v>
      </c>
      <c r="S363" s="57">
        <f t="shared" si="75"/>
        <v>0</v>
      </c>
      <c r="T363" s="57">
        <f t="shared" si="75"/>
        <v>0</v>
      </c>
      <c r="U363" s="57">
        <f t="shared" si="75"/>
        <v>0</v>
      </c>
      <c r="V363" s="62">
        <f t="shared" si="75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76">IFERROR(SUMPRODUCT($AO$73:$AO$87,Q$73:Q$87)/SUM(Q$73:Q$87)*Q$89,0)</f>
        <v>0</v>
      </c>
      <c r="R364" s="57">
        <f t="shared" si="76"/>
        <v>0</v>
      </c>
      <c r="S364" s="57">
        <f t="shared" si="76"/>
        <v>0</v>
      </c>
      <c r="T364" s="57">
        <f t="shared" si="76"/>
        <v>0</v>
      </c>
      <c r="U364" s="57">
        <f t="shared" si="76"/>
        <v>0</v>
      </c>
      <c r="V364" s="62">
        <f t="shared" si="76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7">IFERROR(SUMPRODUCT($AP$73:$AP$87,Q$73:Q$87)/SUM(Q$73:Q$87)*Q$89,0)</f>
        <v>0</v>
      </c>
      <c r="R365" s="57">
        <f t="shared" si="77"/>
        <v>0</v>
      </c>
      <c r="S365" s="57">
        <f t="shared" si="77"/>
        <v>0</v>
      </c>
      <c r="T365" s="57">
        <f t="shared" si="77"/>
        <v>0</v>
      </c>
      <c r="U365" s="57">
        <f t="shared" si="77"/>
        <v>0</v>
      </c>
      <c r="V365" s="62">
        <f t="shared" si="77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8">IFERROR(SUMPRODUCT($AQ$73:$AQ$87,Q$73:Q$87)/SUM(Q$73:Q$87)*Q$89,0)</f>
        <v>237104.93040533355</v>
      </c>
      <c r="R366" s="57">
        <f t="shared" si="78"/>
        <v>245845.46473367678</v>
      </c>
      <c r="S366" s="57">
        <f t="shared" si="78"/>
        <v>256127.2641409841</v>
      </c>
      <c r="T366" s="57">
        <f t="shared" si="78"/>
        <v>266641.24724115978</v>
      </c>
      <c r="U366" s="57">
        <f t="shared" si="78"/>
        <v>278883.13800746459</v>
      </c>
      <c r="V366" s="62">
        <f t="shared" si="78"/>
        <v>289917.10117547819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9">IFERROR(SUMPRODUCT($AR$73:$AR$87,Q$73:Q$87)/SUM(Q$73:Q$87)*Q$89,0)</f>
        <v>0</v>
      </c>
      <c r="R367" s="57">
        <f t="shared" si="79"/>
        <v>0</v>
      </c>
      <c r="S367" s="57">
        <f t="shared" si="79"/>
        <v>0</v>
      </c>
      <c r="T367" s="57">
        <f t="shared" si="79"/>
        <v>0</v>
      </c>
      <c r="U367" s="57">
        <f t="shared" si="79"/>
        <v>0</v>
      </c>
      <c r="V367" s="62">
        <f t="shared" si="79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0">IFERROR(SUMPRODUCT($AS$73:$AS$87,Q$73:Q$87)/SUM(Q$73:Q$87)*Q$89,0)</f>
        <v>0</v>
      </c>
      <c r="R368" s="57">
        <f t="shared" si="80"/>
        <v>0</v>
      </c>
      <c r="S368" s="57">
        <f t="shared" si="80"/>
        <v>0</v>
      </c>
      <c r="T368" s="57">
        <f t="shared" si="80"/>
        <v>0</v>
      </c>
      <c r="U368" s="57">
        <f t="shared" si="80"/>
        <v>0</v>
      </c>
      <c r="V368" s="62">
        <f t="shared" si="80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1">IFERROR(SUMPRODUCT($AT$73:$AT$87,Q$73:Q$87)/SUM(Q$73:Q$87)*Q$89,0)</f>
        <v>0</v>
      </c>
      <c r="R369" s="57">
        <f t="shared" si="81"/>
        <v>0</v>
      </c>
      <c r="S369" s="57">
        <f t="shared" si="81"/>
        <v>0</v>
      </c>
      <c r="T369" s="57">
        <f t="shared" si="81"/>
        <v>0</v>
      </c>
      <c r="U369" s="57">
        <f t="shared" si="81"/>
        <v>0</v>
      </c>
      <c r="V369" s="62">
        <f t="shared" si="81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2">IFERROR(SUMPRODUCT($AU$73:$AU$87,Q$73:Q$87)/SUM(Q$73:Q$87)*Q$89,0)</f>
        <v>0</v>
      </c>
      <c r="R370" s="57">
        <f t="shared" si="82"/>
        <v>0</v>
      </c>
      <c r="S370" s="57">
        <f t="shared" si="82"/>
        <v>0</v>
      </c>
      <c r="T370" s="57">
        <f t="shared" si="82"/>
        <v>0</v>
      </c>
      <c r="U370" s="57">
        <f t="shared" si="82"/>
        <v>0</v>
      </c>
      <c r="V370" s="62">
        <f t="shared" si="82"/>
        <v>0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3">IFERROR(SUMPRODUCT($AV$73:$AV$87,Q$73:Q$87)/SUM(Q$73:Q$87)*Q$89,0)</f>
        <v>0</v>
      </c>
      <c r="R371" s="57">
        <f t="shared" si="83"/>
        <v>0</v>
      </c>
      <c r="S371" s="57">
        <f t="shared" si="83"/>
        <v>0</v>
      </c>
      <c r="T371" s="57">
        <f t="shared" si="83"/>
        <v>0</v>
      </c>
      <c r="U371" s="57">
        <f t="shared" si="83"/>
        <v>0</v>
      </c>
      <c r="V371" s="62">
        <f t="shared" si="83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84">IFERROR(SUMPRODUCT($AW$73:$AW$87,Q$73:Q$87)/SUM(Q$73:Q$87)*Q$89,0)</f>
        <v>0</v>
      </c>
      <c r="R372" s="57">
        <f t="shared" si="84"/>
        <v>0</v>
      </c>
      <c r="S372" s="57">
        <f t="shared" si="84"/>
        <v>0</v>
      </c>
      <c r="T372" s="57">
        <f t="shared" si="84"/>
        <v>0</v>
      </c>
      <c r="U372" s="57">
        <f t="shared" si="84"/>
        <v>0</v>
      </c>
      <c r="V372" s="62">
        <f t="shared" si="84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85">Q238</f>
        <v>0</v>
      </c>
      <c r="R373" s="57">
        <f t="shared" si="85"/>
        <v>0</v>
      </c>
      <c r="S373" s="57">
        <f t="shared" si="85"/>
        <v>0</v>
      </c>
      <c r="T373" s="57">
        <f t="shared" si="85"/>
        <v>0</v>
      </c>
      <c r="U373" s="57">
        <f t="shared" si="85"/>
        <v>0</v>
      </c>
      <c r="V373" s="62">
        <f t="shared" si="85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86">Q252</f>
        <v>0</v>
      </c>
      <c r="R374" s="57">
        <f t="shared" si="86"/>
        <v>0</v>
      </c>
      <c r="S374" s="57">
        <f t="shared" si="86"/>
        <v>0</v>
      </c>
      <c r="T374" s="57">
        <f t="shared" si="86"/>
        <v>0</v>
      </c>
      <c r="U374" s="57">
        <f t="shared" si="86"/>
        <v>0</v>
      </c>
      <c r="V374" s="62">
        <f t="shared" si="86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87">SUM(Q362:Q372)*Q208</f>
        <v>17745.335377033338</v>
      </c>
      <c r="R375" s="57">
        <f t="shared" si="87"/>
        <v>17742.866139554229</v>
      </c>
      <c r="S375" s="57">
        <f t="shared" si="87"/>
        <v>19533.058192660828</v>
      </c>
      <c r="T375" s="57">
        <f t="shared" si="87"/>
        <v>20645.140849768679</v>
      </c>
      <c r="U375" s="57">
        <f t="shared" si="87"/>
        <v>22789.126008697596</v>
      </c>
      <c r="V375" s="57">
        <f t="shared" si="87"/>
        <v>24466.856197763595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8">SUM(P362:P375)</f>
        <v>0</v>
      </c>
      <c r="Q377" s="37">
        <f t="shared" si="88"/>
        <v>254850.26578236689</v>
      </c>
      <c r="R377" s="37">
        <f t="shared" si="88"/>
        <v>263588.330873231</v>
      </c>
      <c r="S377" s="37">
        <f t="shared" si="88"/>
        <v>275660.32233364496</v>
      </c>
      <c r="T377" s="37">
        <f t="shared" si="88"/>
        <v>287286.38809092843</v>
      </c>
      <c r="U377" s="37">
        <f t="shared" si="88"/>
        <v>301672.2640161622</v>
      </c>
      <c r="V377" s="64">
        <f t="shared" si="88"/>
        <v>314383.95737324178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261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9">IFERROR(SUMPRODUCT($BB$73:$BB$87,Q$73:Q$87)/SUM(Q$73:Q$87)*Q$89*(1+Q$208),0)</f>
        <v>0</v>
      </c>
      <c r="R388" s="57">
        <f t="shared" si="89"/>
        <v>0</v>
      </c>
      <c r="S388" s="57">
        <f t="shared" si="89"/>
        <v>0</v>
      </c>
      <c r="T388" s="57">
        <f t="shared" si="89"/>
        <v>0</v>
      </c>
      <c r="U388" s="57">
        <f t="shared" si="89"/>
        <v>0</v>
      </c>
      <c r="V388" s="62">
        <f t="shared" si="89"/>
        <v>0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90">IFERROR(SUMPRODUCT($BC$73:$BC$87,Q$73:Q$87)/SUM(Q$73:Q$87)*Q$89*(1+Q$208),0)</f>
        <v>0</v>
      </c>
      <c r="R389" s="57">
        <f t="shared" si="90"/>
        <v>0</v>
      </c>
      <c r="S389" s="57">
        <f t="shared" si="90"/>
        <v>0</v>
      </c>
      <c r="T389" s="57">
        <f t="shared" si="90"/>
        <v>0</v>
      </c>
      <c r="U389" s="57">
        <f t="shared" si="90"/>
        <v>0</v>
      </c>
      <c r="V389" s="62">
        <f t="shared" si="90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1">IFERROR(SUMPRODUCT($BD$73:$BD$87,Q$73:Q$87)/SUM(Q$73:Q$87)*Q$89*(1+Q$208),0)</f>
        <v>254850.26578236691</v>
      </c>
      <c r="R390" s="57">
        <f t="shared" si="91"/>
        <v>263588.330873231</v>
      </c>
      <c r="S390" s="57">
        <f t="shared" si="91"/>
        <v>275660.3223336449</v>
      </c>
      <c r="T390" s="57">
        <f t="shared" si="91"/>
        <v>287286.38809092843</v>
      </c>
      <c r="U390" s="57">
        <f t="shared" si="91"/>
        <v>301672.2640161622</v>
      </c>
      <c r="V390" s="62">
        <f t="shared" si="91"/>
        <v>314383.95737324178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2">IFERROR(SUMPRODUCT($BE$73:$BE$87,Q$73:Q$87)/SUM(Q$73:Q$87)*Q$89*(1+Q$208),0)</f>
        <v>0</v>
      </c>
      <c r="R391" s="57">
        <f t="shared" si="92"/>
        <v>0</v>
      </c>
      <c r="S391" s="57">
        <f t="shared" si="92"/>
        <v>0</v>
      </c>
      <c r="T391" s="57">
        <f t="shared" si="92"/>
        <v>0</v>
      </c>
      <c r="U391" s="57">
        <f t="shared" si="92"/>
        <v>0</v>
      </c>
      <c r="V391" s="62">
        <f t="shared" si="92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3">IFERROR(SUMPRODUCT($BF$73:$BF$87,Q$73:Q$87)/SUM(Q$73:Q$87)*Q$89*(1+Q$208),0)</f>
        <v>0</v>
      </c>
      <c r="R392" s="57">
        <f t="shared" si="93"/>
        <v>0</v>
      </c>
      <c r="S392" s="57">
        <f t="shared" si="93"/>
        <v>0</v>
      </c>
      <c r="T392" s="57">
        <f t="shared" si="93"/>
        <v>0</v>
      </c>
      <c r="U392" s="57">
        <f t="shared" si="93"/>
        <v>0</v>
      </c>
      <c r="V392" s="62">
        <f t="shared" si="93"/>
        <v>0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94">IFERROR(SUMPRODUCT($BG$73:$BG$87,Q$73:Q$87)/SUM(Q$73:Q$87)*Q$89*(1+Q$208),0)</f>
        <v>0</v>
      </c>
      <c r="R393" s="57">
        <f t="shared" si="94"/>
        <v>0</v>
      </c>
      <c r="S393" s="57">
        <f t="shared" si="94"/>
        <v>0</v>
      </c>
      <c r="T393" s="57">
        <f t="shared" si="94"/>
        <v>0</v>
      </c>
      <c r="U393" s="57">
        <f t="shared" si="94"/>
        <v>0</v>
      </c>
      <c r="V393" s="62">
        <f t="shared" si="94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95">IFERROR(SUMPRODUCT($BH$73:$BH$87,Q$73:Q$87)/SUM(Q$73:Q$87)*Q$89*(1+Q$208),0)</f>
        <v>0</v>
      </c>
      <c r="R394" s="57">
        <f t="shared" si="95"/>
        <v>0</v>
      </c>
      <c r="S394" s="57">
        <f t="shared" si="95"/>
        <v>0</v>
      </c>
      <c r="T394" s="57">
        <f t="shared" si="95"/>
        <v>0</v>
      </c>
      <c r="U394" s="57">
        <f t="shared" si="95"/>
        <v>0</v>
      </c>
      <c r="V394" s="62">
        <f t="shared" si="95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6">SUM(P388:P394)</f>
        <v>0</v>
      </c>
      <c r="Q396" s="37">
        <f t="shared" si="96"/>
        <v>254850.26578236691</v>
      </c>
      <c r="R396" s="37">
        <f t="shared" si="96"/>
        <v>263588.330873231</v>
      </c>
      <c r="S396" s="37">
        <f t="shared" si="96"/>
        <v>275660.3223336449</v>
      </c>
      <c r="T396" s="37">
        <f t="shared" si="96"/>
        <v>287286.38809092843</v>
      </c>
      <c r="U396" s="37">
        <f t="shared" si="96"/>
        <v>301672.2640161622</v>
      </c>
      <c r="V396" s="64">
        <f t="shared" si="96"/>
        <v>314383.95737324178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I399"/>
  <sheetViews>
    <sheetView topLeftCell="E19" workbookViewId="0">
      <selection activeCell="Q89" sqref="Q89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2</v>
      </c>
    </row>
    <row r="2" spans="1:7" s="1" customFormat="1">
      <c r="A2" s="3" t="s">
        <v>178</v>
      </c>
    </row>
    <row r="3" spans="1:7" s="1" customFormat="1">
      <c r="A3" s="3" t="s">
        <v>95</v>
      </c>
    </row>
    <row r="4" spans="1:7" s="1" customFormat="1">
      <c r="A4" s="22" t="s">
        <v>43</v>
      </c>
    </row>
    <row r="6" spans="1:7" s="1" customFormat="1">
      <c r="A6" s="2">
        <v>2</v>
      </c>
      <c r="B6" s="2" t="s">
        <v>45</v>
      </c>
    </row>
    <row r="9" spans="1:7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</row>
    <row r="10" spans="1:7">
      <c r="B10" s="8" t="s">
        <v>181</v>
      </c>
      <c r="D10" s="10">
        <v>0.02</v>
      </c>
      <c r="E10" s="10">
        <v>0.38</v>
      </c>
      <c r="F10" s="26">
        <f>D10+E10</f>
        <v>0.4</v>
      </c>
      <c r="G10" s="26">
        <f>1-F10</f>
        <v>0.6</v>
      </c>
    </row>
    <row r="11" spans="1:7">
      <c r="B11" s="8" t="s">
        <v>182</v>
      </c>
      <c r="D11" s="10">
        <v>0.02</v>
      </c>
      <c r="E11" s="10">
        <v>0.38</v>
      </c>
      <c r="F11" s="26">
        <f t="shared" ref="F11:F17" si="0">D11+E11</f>
        <v>0.4</v>
      </c>
      <c r="G11" s="26">
        <f t="shared" ref="G11:G17" si="1">1-F11</f>
        <v>0.6</v>
      </c>
    </row>
    <row r="12" spans="1:7">
      <c r="B12" s="8" t="s">
        <v>352</v>
      </c>
      <c r="D12" s="10">
        <v>0.02</v>
      </c>
      <c r="E12" s="10">
        <v>0.38</v>
      </c>
      <c r="F12" s="26">
        <f t="shared" si="0"/>
        <v>0.4</v>
      </c>
      <c r="G12" s="26">
        <f t="shared" si="1"/>
        <v>0.6</v>
      </c>
    </row>
    <row r="13" spans="1:7" s="94" customFormat="1">
      <c r="B13" s="8" t="s">
        <v>353</v>
      </c>
      <c r="D13" s="10">
        <v>0.02</v>
      </c>
      <c r="E13" s="10">
        <v>0.38</v>
      </c>
      <c r="F13" s="26">
        <f t="shared" si="0"/>
        <v>0.4</v>
      </c>
      <c r="G13" s="26">
        <f t="shared" si="1"/>
        <v>0.6</v>
      </c>
    </row>
    <row r="14" spans="1:7">
      <c r="B14" s="8" t="s">
        <v>354</v>
      </c>
      <c r="D14" s="10">
        <v>0.02</v>
      </c>
      <c r="E14" s="10">
        <v>0.38</v>
      </c>
      <c r="F14" s="26">
        <f t="shared" si="0"/>
        <v>0.4</v>
      </c>
      <c r="G14" s="26">
        <f t="shared" si="1"/>
        <v>0.6</v>
      </c>
    </row>
    <row r="15" spans="1:7">
      <c r="B15" s="8" t="s">
        <v>355</v>
      </c>
      <c r="D15" s="10">
        <v>0.02</v>
      </c>
      <c r="E15" s="10">
        <v>0.38</v>
      </c>
      <c r="F15" s="26">
        <f t="shared" si="0"/>
        <v>0.4</v>
      </c>
      <c r="G15" s="26">
        <f t="shared" si="1"/>
        <v>0.6</v>
      </c>
    </row>
    <row r="16" spans="1:7">
      <c r="B16" s="8" t="s">
        <v>356</v>
      </c>
      <c r="D16" s="10">
        <v>0.02</v>
      </c>
      <c r="E16" s="10">
        <v>0.38</v>
      </c>
      <c r="F16" s="26">
        <f t="shared" si="0"/>
        <v>0.4</v>
      </c>
      <c r="G16" s="26">
        <f t="shared" si="1"/>
        <v>0.6</v>
      </c>
    </row>
    <row r="17" spans="1:24">
      <c r="B17" s="8" t="s">
        <v>357</v>
      </c>
      <c r="D17" s="10">
        <v>0.02</v>
      </c>
      <c r="E17" s="10">
        <v>0.38</v>
      </c>
      <c r="F17" s="26">
        <f t="shared" si="0"/>
        <v>0.4</v>
      </c>
      <c r="G17" s="26">
        <f t="shared" si="1"/>
        <v>0.6</v>
      </c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51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90" t="s">
        <v>52</v>
      </c>
      <c r="I28" s="190"/>
      <c r="J28" s="190"/>
      <c r="K28" s="190"/>
      <c r="L28" s="190"/>
      <c r="M28" s="190" t="s">
        <v>53</v>
      </c>
      <c r="N28" s="190"/>
      <c r="O28" s="190"/>
      <c r="P28" s="190"/>
      <c r="Q28" s="190"/>
      <c r="R28" s="190" t="s">
        <v>54</v>
      </c>
      <c r="S28" s="190"/>
      <c r="T28" s="190"/>
      <c r="U28" s="190"/>
      <c r="V28" s="190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>IF(B10&lt;&gt;"",B10,"[blank]")</f>
        <v>Grove Regulator Replacement - City Gates</v>
      </c>
      <c r="D31" s="31" t="s">
        <v>179</v>
      </c>
      <c r="E31" s="31"/>
      <c r="P31" s="33">
        <f>'AMP inputs'!F33*'General assumptions'!S21</f>
        <v>204257.14330189067</v>
      </c>
      <c r="Q31" s="67">
        <f>$P31*($D10*'General assumptions'!T$35+$E10*'General assumptions'!T$36+$G10*'General assumptions'!T$42)</f>
        <v>204210.63121766859</v>
      </c>
      <c r="R31" s="67">
        <f>$P31*($D10*'General assumptions'!U$35+$E10*'General assumptions'!U$36+$G10*'General assumptions'!U$42)</f>
        <v>204812.41694831624</v>
      </c>
      <c r="S31" s="67">
        <f>$P31*($D10*'General assumptions'!V$35+$E10*'General assumptions'!V$36+$G10*'General assumptions'!V$42)</f>
        <v>205568.54596896056</v>
      </c>
      <c r="T31" s="67">
        <f>$P31*($D10*'General assumptions'!W$35+$E10*'General assumptions'!W$36+$G10*'General assumptions'!W$42)</f>
        <v>206544.72721248385</v>
      </c>
      <c r="U31" s="67">
        <f>$P31*($D10*'General assumptions'!X$35+$E10*'General assumptions'!X$36+$G10*'General assumptions'!X$42)</f>
        <v>207833.07668651018</v>
      </c>
      <c r="V31" s="67">
        <f>$P31*($D10*'General assumptions'!Y$35+$E10*'General assumptions'!Y$36+$G10*'General assumptions'!Y$42)</f>
        <v>209233.76585190051</v>
      </c>
      <c r="X31" s="20"/>
    </row>
    <row r="32" spans="1:24">
      <c r="B32" s="94" t="str">
        <f t="shared" ref="B32:B45" si="2">IF(B11&lt;&gt;"",B11,"[blank]")</f>
        <v>Grove Regulator Replacement - Field Regulators</v>
      </c>
      <c r="D32" s="31" t="s">
        <v>179</v>
      </c>
      <c r="E32" s="31"/>
      <c r="P32" s="33">
        <f>'AMP inputs'!F34*'General assumptions'!S21</f>
        <v>132767.14314622892</v>
      </c>
      <c r="Q32" s="67">
        <f>$P32*($D11*'General assumptions'!T$35+$E11*'General assumptions'!T$36+$G11*'General assumptions'!T$42)</f>
        <v>132736.91029148456</v>
      </c>
      <c r="R32" s="67">
        <f>$P32*($D11*'General assumptions'!U$35+$E11*'General assumptions'!U$36+$G11*'General assumptions'!U$42)</f>
        <v>133128.07101640553</v>
      </c>
      <c r="S32" s="67">
        <f>$P32*($D11*'General assumptions'!V$35+$E11*'General assumptions'!V$36+$G11*'General assumptions'!V$42)</f>
        <v>133619.55487982434</v>
      </c>
      <c r="T32" s="67">
        <f>$P32*($D11*'General assumptions'!W$35+$E11*'General assumptions'!W$36+$G11*'General assumptions'!W$42)</f>
        <v>134254.07268811448</v>
      </c>
      <c r="U32" s="67">
        <f>$P32*($D11*'General assumptions'!X$35+$E11*'General assumptions'!X$36+$G11*'General assumptions'!X$42)</f>
        <v>135091.4998462316</v>
      </c>
      <c r="V32" s="67">
        <f>$P32*($D11*'General assumptions'!Y$35+$E11*'General assumptions'!Y$36+$G11*'General assumptions'!Y$42)</f>
        <v>136001.9478037353</v>
      </c>
      <c r="X32" s="20"/>
    </row>
    <row r="33" spans="1:24">
      <c r="B33" s="94" t="str">
        <f t="shared" si="2"/>
        <v>Welker Jet  Regulator Upgrade Program - $200k</v>
      </c>
      <c r="D33" s="31" t="s">
        <v>179</v>
      </c>
      <c r="P33" s="33">
        <f>'AMP inputs'!F35*'General assumptions'!S21</f>
        <v>204257.14330189067</v>
      </c>
      <c r="Q33" s="67">
        <f>$P33*($D12*'General assumptions'!T$35+$E12*'General assumptions'!T$36+$G12*'General assumptions'!T$42)</f>
        <v>204210.63121766859</v>
      </c>
      <c r="R33" s="67">
        <f>$P33*($D12*'General assumptions'!U$35+$E12*'General assumptions'!U$36+$G12*'General assumptions'!U$42)</f>
        <v>204812.41694831624</v>
      </c>
      <c r="S33" s="67">
        <f>$P33*($D12*'General assumptions'!V$35+$E12*'General assumptions'!V$36+$G12*'General assumptions'!V$42)</f>
        <v>205568.54596896056</v>
      </c>
      <c r="T33" s="67">
        <f>$P33*($D12*'General assumptions'!W$35+$E12*'General assumptions'!W$36+$G12*'General assumptions'!W$42)</f>
        <v>206544.72721248385</v>
      </c>
      <c r="U33" s="67">
        <f>$P33*($D12*'General assumptions'!X$35+$E12*'General assumptions'!X$36+$G12*'General assumptions'!X$42)</f>
        <v>207833.07668651018</v>
      </c>
      <c r="V33" s="67">
        <f>$P33*($D12*'General assumptions'!Y$35+$E12*'General assumptions'!Y$36+$G12*'General assumptions'!Y$42)</f>
        <v>209233.76585190051</v>
      </c>
      <c r="X33" s="20"/>
    </row>
    <row r="34" spans="1:24">
      <c r="B34" s="94" t="str">
        <f t="shared" si="2"/>
        <v>Welker Jet  Regulator Upgrade Program - $150k</v>
      </c>
      <c r="D34" s="31" t="s">
        <v>179</v>
      </c>
      <c r="P34" s="33">
        <f>'AMP inputs'!F36*'General assumptions'!S21</f>
        <v>153192.85747641799</v>
      </c>
      <c r="Q34" s="67">
        <f>$P34*($D13*'General assumptions'!T$35+$E13*'General assumptions'!T$36+$G13*'General assumptions'!T$42)</f>
        <v>153157.97341325143</v>
      </c>
      <c r="R34" s="67">
        <f>$P34*($D13*'General assumptions'!U$35+$E13*'General assumptions'!U$36+$G13*'General assumptions'!U$42)</f>
        <v>153609.31271123717</v>
      </c>
      <c r="S34" s="67">
        <f>$P34*($D13*'General assumptions'!V$35+$E13*'General assumptions'!V$36+$G13*'General assumptions'!V$42)</f>
        <v>154176.40947672041</v>
      </c>
      <c r="T34" s="67">
        <f>$P34*($D13*'General assumptions'!W$35+$E13*'General assumptions'!W$36+$G13*'General assumptions'!W$42)</f>
        <v>154908.54540936288</v>
      </c>
      <c r="U34" s="67">
        <f>$P34*($D13*'General assumptions'!X$35+$E13*'General assumptions'!X$36+$G13*'General assumptions'!X$42)</f>
        <v>155874.80751488262</v>
      </c>
      <c r="V34" s="67">
        <f>$P34*($D13*'General assumptions'!Y$35+$E13*'General assumptions'!Y$36+$G13*'General assumptions'!Y$42)</f>
        <v>156925.32438892536</v>
      </c>
      <c r="X34" s="20"/>
    </row>
    <row r="35" spans="1:24">
      <c r="B35" s="94" t="str">
        <f t="shared" si="2"/>
        <v>City Gate Heater Replacements - $50k</v>
      </c>
      <c r="D35" s="31" t="s">
        <v>184</v>
      </c>
      <c r="O35" s="94"/>
      <c r="P35" s="33">
        <f>'AMP inputs'!F37*'General assumptions'!S21</f>
        <v>51064.285825472667</v>
      </c>
      <c r="Q35" s="67">
        <f>$P35*($D14*'General assumptions'!T$35+$E14*'General assumptions'!T$36+$G14*'General assumptions'!T$42)</f>
        <v>51052.657804417147</v>
      </c>
      <c r="R35" s="67">
        <f>$P35*($D14*'General assumptions'!U$35+$E14*'General assumptions'!U$36+$G14*'General assumptions'!U$42)</f>
        <v>51203.10423707906</v>
      </c>
      <c r="S35" s="67">
        <f>$P35*($D14*'General assumptions'!V$35+$E14*'General assumptions'!V$36+$G14*'General assumptions'!V$42)</f>
        <v>51392.136492240141</v>
      </c>
      <c r="T35" s="67">
        <f>$P35*($D14*'General assumptions'!W$35+$E14*'General assumptions'!W$36+$G14*'General assumptions'!W$42)</f>
        <v>51636.181803120962</v>
      </c>
      <c r="U35" s="67">
        <f>$P35*($D14*'General assumptions'!X$35+$E14*'General assumptions'!X$36+$G14*'General assumptions'!X$42)</f>
        <v>51958.269171627544</v>
      </c>
      <c r="V35" s="67">
        <f>$P35*($D14*'General assumptions'!Y$35+$E14*'General assumptions'!Y$36+$G14*'General assumptions'!Y$42)</f>
        <v>52308.441462975126</v>
      </c>
      <c r="X35" s="20"/>
    </row>
    <row r="36" spans="1:24">
      <c r="B36" s="94" t="str">
        <f t="shared" si="2"/>
        <v>City Gate Heater Replacements - $80k</v>
      </c>
      <c r="D36" s="31" t="s">
        <v>184</v>
      </c>
      <c r="O36" s="94"/>
      <c r="P36" s="33">
        <f>'AMP inputs'!F38*'General assumptions'!S21</f>
        <v>81702.857320756273</v>
      </c>
      <c r="Q36" s="67">
        <f>$P36*($D15*'General assumptions'!T$35+$E15*'General assumptions'!T$36+$G15*'General assumptions'!T$42)</f>
        <v>81684.252487067439</v>
      </c>
      <c r="R36" s="67">
        <f>$P36*($D15*'General assumptions'!U$35+$E15*'General assumptions'!U$36+$G15*'General assumptions'!U$42)</f>
        <v>81924.966779326511</v>
      </c>
      <c r="S36" s="67">
        <f>$P36*($D15*'General assumptions'!V$35+$E15*'General assumptions'!V$36+$G15*'General assumptions'!V$42)</f>
        <v>82227.418387584228</v>
      </c>
      <c r="T36" s="67">
        <f>$P36*($D15*'General assumptions'!W$35+$E15*'General assumptions'!W$36+$G15*'General assumptions'!W$42)</f>
        <v>82617.890884993554</v>
      </c>
      <c r="U36" s="67">
        <f>$P36*($D15*'General assumptions'!X$35+$E15*'General assumptions'!X$36+$G15*'General assumptions'!X$42)</f>
        <v>83133.23067460407</v>
      </c>
      <c r="V36" s="67">
        <f>$P36*($D15*'General assumptions'!Y$35+$E15*'General assumptions'!Y$36+$G15*'General assumptions'!Y$42)</f>
        <v>83693.506340760199</v>
      </c>
      <c r="X36" s="20"/>
    </row>
    <row r="37" spans="1:24">
      <c r="B37" s="94" t="str">
        <f t="shared" si="2"/>
        <v>City Gate Heater Replacements - $500k</v>
      </c>
      <c r="D37" s="31" t="s">
        <v>184</v>
      </c>
      <c r="O37" s="94"/>
      <c r="P37" s="33">
        <f>'AMP inputs'!F39*'General assumptions'!S21</f>
        <v>510642.85825472669</v>
      </c>
      <c r="Q37" s="67">
        <f>$P37*($D16*'General assumptions'!T$35+$E16*'General assumptions'!T$36+$G16*'General assumptions'!T$42)</f>
        <v>510526.57804417145</v>
      </c>
      <c r="R37" s="67">
        <f>$P37*($D16*'General assumptions'!U$35+$E16*'General assumptions'!U$36+$G16*'General assumptions'!U$42)</f>
        <v>512031.04237079067</v>
      </c>
      <c r="S37" s="67">
        <f>$P37*($D16*'General assumptions'!V$35+$E16*'General assumptions'!V$36+$G16*'General assumptions'!V$42)</f>
        <v>513921.36492240138</v>
      </c>
      <c r="T37" s="67">
        <f>$P37*($D16*'General assumptions'!W$35+$E16*'General assumptions'!W$36+$G16*'General assumptions'!W$42)</f>
        <v>516361.81803120964</v>
      </c>
      <c r="U37" s="67">
        <f>$P37*($D16*'General assumptions'!X$35+$E16*'General assumptions'!X$36+$G16*'General assumptions'!X$42)</f>
        <v>519582.69171627547</v>
      </c>
      <c r="V37" s="67">
        <f>$P37*($D16*'General assumptions'!Y$35+$E16*'General assumptions'!Y$36+$G16*'General assumptions'!Y$42)</f>
        <v>523084.41462975123</v>
      </c>
      <c r="X37" s="20"/>
    </row>
    <row r="38" spans="1:24">
      <c r="B38" s="94" t="str">
        <f t="shared" si="2"/>
        <v>City Gate Heater Replacements - $600k</v>
      </c>
      <c r="D38" s="31" t="s">
        <v>184</v>
      </c>
      <c r="P38" s="33">
        <f>'AMP inputs'!F40*'General assumptions'!S21</f>
        <v>612771.42990567198</v>
      </c>
      <c r="Q38" s="67">
        <f>$P38*($D17*'General assumptions'!T$35+$E17*'General assumptions'!T$36+$G17*'General assumptions'!T$42)</f>
        <v>612631.89365300571</v>
      </c>
      <c r="R38" s="67">
        <f>$P38*($D17*'General assumptions'!U$35+$E17*'General assumptions'!U$36+$G17*'General assumptions'!U$42)</f>
        <v>614437.25084494869</v>
      </c>
      <c r="S38" s="67">
        <f>$P38*($D17*'General assumptions'!V$35+$E17*'General assumptions'!V$36+$G17*'General assumptions'!V$42)</f>
        <v>616705.63790688163</v>
      </c>
      <c r="T38" s="67">
        <f>$P38*($D17*'General assumptions'!W$35+$E17*'General assumptions'!W$36+$G17*'General assumptions'!W$42)</f>
        <v>619634.18163745152</v>
      </c>
      <c r="U38" s="67">
        <f>$P38*($D17*'General assumptions'!X$35+$E17*'General assumptions'!X$36+$G17*'General assumptions'!X$42)</f>
        <v>623499.23005953047</v>
      </c>
      <c r="V38" s="67">
        <f>$P38*($D17*'General assumptions'!Y$35+$E17*'General assumptions'!Y$36+$G17*'General assumptions'!Y$42)</f>
        <v>627701.29755570146</v>
      </c>
      <c r="X38" s="20"/>
    </row>
    <row r="39" spans="1:24">
      <c r="B39" s="94" t="str">
        <f t="shared" si="2"/>
        <v>[blank]</v>
      </c>
      <c r="D39" s="31"/>
    </row>
    <row r="40" spans="1:24">
      <c r="B40" s="94" t="str">
        <f t="shared" si="2"/>
        <v>[blank]</v>
      </c>
      <c r="D40" s="31"/>
    </row>
    <row r="41" spans="1:24">
      <c r="B41" s="94" t="str">
        <f t="shared" si="2"/>
        <v>[blank]</v>
      </c>
      <c r="D41" s="31"/>
    </row>
    <row r="42" spans="1:24">
      <c r="B42" s="94" t="str">
        <f t="shared" si="2"/>
        <v>[blank]</v>
      </c>
      <c r="D42" s="31"/>
    </row>
    <row r="43" spans="1:24">
      <c r="B43" s="94" t="str">
        <f t="shared" si="2"/>
        <v>[blank]</v>
      </c>
      <c r="D43" s="31"/>
    </row>
    <row r="44" spans="1:24">
      <c r="B44" s="94" t="str">
        <f t="shared" si="2"/>
        <v>[blank]</v>
      </c>
      <c r="D44" s="31"/>
    </row>
    <row r="45" spans="1:24">
      <c r="B45" s="94" t="str">
        <f t="shared" si="2"/>
        <v>[blank]</v>
      </c>
      <c r="D45" s="31"/>
    </row>
    <row r="47" spans="1:24" s="1" customFormat="1">
      <c r="A47" s="2">
        <v>4</v>
      </c>
      <c r="B47" s="2" t="s">
        <v>56</v>
      </c>
    </row>
    <row r="49" spans="2:24">
      <c r="H49" s="190" t="s">
        <v>52</v>
      </c>
      <c r="I49" s="190"/>
      <c r="J49" s="190"/>
      <c r="K49" s="190"/>
      <c r="L49" s="190"/>
      <c r="M49" s="190" t="s">
        <v>53</v>
      </c>
      <c r="N49" s="190"/>
      <c r="O49" s="190"/>
      <c r="P49" s="190"/>
      <c r="Q49" s="190"/>
      <c r="R49" s="190" t="s">
        <v>54</v>
      </c>
      <c r="S49" s="190"/>
      <c r="T49" s="190"/>
      <c r="U49" s="190"/>
      <c r="V49" s="190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46</v>
      </c>
      <c r="D51" s="29" t="s">
        <v>55</v>
      </c>
      <c r="H51" s="16" t="s">
        <v>12</v>
      </c>
      <c r="I51" s="16" t="s">
        <v>12</v>
      </c>
      <c r="J51" s="16" t="s">
        <v>12</v>
      </c>
      <c r="K51" s="16" t="s">
        <v>12</v>
      </c>
      <c r="L51" s="16" t="s">
        <v>12</v>
      </c>
      <c r="M51" s="16" t="s">
        <v>12</v>
      </c>
      <c r="N51" s="16" t="s">
        <v>12</v>
      </c>
      <c r="O51" s="16" t="s">
        <v>12</v>
      </c>
      <c r="P51" s="16" t="s">
        <v>13</v>
      </c>
      <c r="Q51" s="16" t="s">
        <v>13</v>
      </c>
      <c r="R51" s="16" t="s">
        <v>13</v>
      </c>
      <c r="S51" s="16" t="s">
        <v>13</v>
      </c>
      <c r="T51" s="16" t="s">
        <v>13</v>
      </c>
      <c r="U51" s="16" t="s">
        <v>13</v>
      </c>
      <c r="V51" s="16" t="s">
        <v>13</v>
      </c>
    </row>
    <row r="52" spans="2:24">
      <c r="B52" s="4" t="str">
        <f>IF(B10&lt;&gt;"",B10,"[blank]")</f>
        <v>Grove Regulator Replacement - City Gates</v>
      </c>
      <c r="D52" s="31" t="s">
        <v>180</v>
      </c>
      <c r="P52" s="77"/>
      <c r="Q52" s="33">
        <f>'AMP inputs'!N33</f>
        <v>0</v>
      </c>
      <c r="R52" s="33">
        <f>'AMP inputs'!O33</f>
        <v>0</v>
      </c>
      <c r="S52" s="33">
        <f>'AMP inputs'!P33</f>
        <v>0</v>
      </c>
      <c r="T52" s="33">
        <f>'AMP inputs'!Q33</f>
        <v>0</v>
      </c>
      <c r="U52" s="33">
        <f>'AMP inputs'!R33</f>
        <v>2</v>
      </c>
      <c r="V52" s="33">
        <f>'AMP inputs'!S33</f>
        <v>1</v>
      </c>
      <c r="X52" s="20"/>
    </row>
    <row r="53" spans="2:24">
      <c r="B53" s="94" t="str">
        <f t="shared" ref="B53:B66" si="3">IF(B11&lt;&gt;"",B11,"[blank]")</f>
        <v>Grove Regulator Replacement - Field Regulators</v>
      </c>
      <c r="D53" s="31" t="s">
        <v>180</v>
      </c>
      <c r="P53" s="77"/>
      <c r="Q53" s="33">
        <f>'AMP inputs'!N34</f>
        <v>2</v>
      </c>
      <c r="R53" s="33">
        <f>'AMP inputs'!O34</f>
        <v>3</v>
      </c>
      <c r="S53" s="33">
        <f>'AMP inputs'!P34</f>
        <v>3</v>
      </c>
      <c r="T53" s="33">
        <f>'AMP inputs'!Q34</f>
        <v>3</v>
      </c>
      <c r="U53" s="33">
        <f>'AMP inputs'!R34</f>
        <v>5</v>
      </c>
      <c r="V53" s="33">
        <f>'AMP inputs'!S34</f>
        <v>5</v>
      </c>
      <c r="X53" s="20"/>
    </row>
    <row r="54" spans="2:24">
      <c r="B54" s="94" t="str">
        <f t="shared" si="3"/>
        <v>Welker Jet  Regulator Upgrade Program - $200k</v>
      </c>
      <c r="D54" s="31" t="s">
        <v>180</v>
      </c>
      <c r="P54" s="77"/>
      <c r="Q54" s="33">
        <f>'AMP inputs'!N35</f>
        <v>2</v>
      </c>
      <c r="R54" s="33">
        <f>'AMP inputs'!O35</f>
        <v>2</v>
      </c>
      <c r="S54" s="33">
        <f>'AMP inputs'!P35</f>
        <v>2</v>
      </c>
      <c r="T54" s="33">
        <f>'AMP inputs'!Q35</f>
        <v>1</v>
      </c>
      <c r="U54" s="33">
        <f>'AMP inputs'!R35</f>
        <v>0</v>
      </c>
      <c r="V54" s="33">
        <f>'AMP inputs'!S35</f>
        <v>0</v>
      </c>
      <c r="X54" s="20"/>
    </row>
    <row r="55" spans="2:24">
      <c r="B55" s="94" t="str">
        <f t="shared" si="3"/>
        <v>Welker Jet  Regulator Upgrade Program - $150k</v>
      </c>
      <c r="D55" s="31" t="s">
        <v>180</v>
      </c>
      <c r="P55" s="77"/>
      <c r="Q55" s="33">
        <f>'AMP inputs'!N36</f>
        <v>0</v>
      </c>
      <c r="R55" s="33">
        <f>'AMP inputs'!O36</f>
        <v>0</v>
      </c>
      <c r="S55" s="33">
        <f>'AMP inputs'!P36</f>
        <v>0</v>
      </c>
      <c r="T55" s="33">
        <f>'AMP inputs'!Q36</f>
        <v>1</v>
      </c>
      <c r="U55" s="33">
        <f>'AMP inputs'!R36</f>
        <v>0</v>
      </c>
      <c r="V55" s="33">
        <f>'AMP inputs'!S36</f>
        <v>0</v>
      </c>
      <c r="X55" s="20"/>
    </row>
    <row r="56" spans="2:24">
      <c r="B56" s="94" t="str">
        <f t="shared" si="3"/>
        <v>City Gate Heater Replacements - $50k</v>
      </c>
      <c r="D56" s="31" t="s">
        <v>183</v>
      </c>
      <c r="P56" s="77"/>
      <c r="Q56" s="33">
        <f>'AMP inputs'!N37</f>
        <v>0</v>
      </c>
      <c r="R56" s="33">
        <f>'AMP inputs'!O37</f>
        <v>1</v>
      </c>
      <c r="S56" s="33">
        <f>'AMP inputs'!P37</f>
        <v>0</v>
      </c>
      <c r="T56" s="33">
        <f>'AMP inputs'!Q37</f>
        <v>0</v>
      </c>
      <c r="U56" s="33">
        <f>'AMP inputs'!R37</f>
        <v>0</v>
      </c>
      <c r="V56" s="33">
        <f>'AMP inputs'!S37</f>
        <v>0</v>
      </c>
      <c r="X56" s="20"/>
    </row>
    <row r="57" spans="2:24">
      <c r="B57" s="94" t="str">
        <f t="shared" si="3"/>
        <v>City Gate Heater Replacements - $80k</v>
      </c>
      <c r="D57" s="31" t="s">
        <v>183</v>
      </c>
      <c r="P57" s="77"/>
      <c r="Q57" s="33">
        <f>'AMP inputs'!N38</f>
        <v>0</v>
      </c>
      <c r="R57" s="33">
        <f>'AMP inputs'!O38</f>
        <v>3</v>
      </c>
      <c r="S57" s="33">
        <f>'AMP inputs'!P38</f>
        <v>1</v>
      </c>
      <c r="T57" s="33">
        <f>'AMP inputs'!Q38</f>
        <v>0</v>
      </c>
      <c r="U57" s="33">
        <f>'AMP inputs'!R38</f>
        <v>0</v>
      </c>
      <c r="V57" s="33">
        <f>'AMP inputs'!S38</f>
        <v>0</v>
      </c>
      <c r="X57" s="20"/>
    </row>
    <row r="58" spans="2:24">
      <c r="B58" s="94" t="str">
        <f t="shared" si="3"/>
        <v>City Gate Heater Replacements - $500k</v>
      </c>
      <c r="D58" s="31" t="s">
        <v>183</v>
      </c>
      <c r="P58" s="77"/>
      <c r="Q58" s="33">
        <f>'AMP inputs'!N39</f>
        <v>0</v>
      </c>
      <c r="R58" s="33">
        <f>'AMP inputs'!O39</f>
        <v>0</v>
      </c>
      <c r="S58" s="33">
        <f>'AMP inputs'!P39</f>
        <v>1</v>
      </c>
      <c r="T58" s="33">
        <f>'AMP inputs'!Q39</f>
        <v>1</v>
      </c>
      <c r="U58" s="33">
        <f>'AMP inputs'!R39</f>
        <v>0</v>
      </c>
      <c r="V58" s="33">
        <f>'AMP inputs'!S39</f>
        <v>0</v>
      </c>
      <c r="X58" s="20"/>
    </row>
    <row r="59" spans="2:24">
      <c r="B59" s="94" t="str">
        <f t="shared" si="3"/>
        <v>City Gate Heater Replacements - $600k</v>
      </c>
      <c r="D59" s="31" t="s">
        <v>183</v>
      </c>
      <c r="P59" s="77"/>
      <c r="Q59" s="33">
        <f>'AMP inputs'!N40</f>
        <v>0</v>
      </c>
      <c r="R59" s="33">
        <f>'AMP inputs'!O40</f>
        <v>1</v>
      </c>
      <c r="S59" s="33">
        <f>'AMP inputs'!P40</f>
        <v>1</v>
      </c>
      <c r="T59" s="33">
        <f>'AMP inputs'!Q40</f>
        <v>0</v>
      </c>
      <c r="U59" s="33">
        <f>'AMP inputs'!R40</f>
        <v>0</v>
      </c>
      <c r="V59" s="33">
        <f>'AMP inputs'!S40</f>
        <v>0</v>
      </c>
      <c r="X59" s="20"/>
    </row>
    <row r="60" spans="2:24">
      <c r="B60" s="94" t="str">
        <f t="shared" si="3"/>
        <v>[blank]</v>
      </c>
      <c r="D60" s="31"/>
    </row>
    <row r="61" spans="2:24">
      <c r="B61" s="94" t="str">
        <f t="shared" si="3"/>
        <v>[blank]</v>
      </c>
      <c r="D61" s="31"/>
    </row>
    <row r="62" spans="2:24">
      <c r="B62" s="94" t="str">
        <f t="shared" si="3"/>
        <v>[blank]</v>
      </c>
      <c r="D62" s="31"/>
    </row>
    <row r="63" spans="2:24">
      <c r="B63" s="94" t="str">
        <f t="shared" si="3"/>
        <v>[blank]</v>
      </c>
      <c r="D63" s="31"/>
    </row>
    <row r="64" spans="2:24">
      <c r="B64" s="94" t="str">
        <f t="shared" si="3"/>
        <v>[blank]</v>
      </c>
      <c r="D64" s="31"/>
    </row>
    <row r="65" spans="1:61">
      <c r="B65" s="94" t="str">
        <f t="shared" si="3"/>
        <v>[blank]</v>
      </c>
      <c r="D65" s="31"/>
    </row>
    <row r="66" spans="1:61">
      <c r="B66" s="94" t="str">
        <f t="shared" si="3"/>
        <v>[blank]</v>
      </c>
      <c r="D66" s="31"/>
    </row>
    <row r="68" spans="1:61" s="1" customFormat="1">
      <c r="A68" s="2">
        <v>5</v>
      </c>
      <c r="B68" s="2" t="s">
        <v>61</v>
      </c>
    </row>
    <row r="69" spans="1:61">
      <c r="Z69" s="5" t="s">
        <v>73</v>
      </c>
      <c r="AM69" s="5" t="s">
        <v>110</v>
      </c>
      <c r="BB69" s="5" t="s">
        <v>133</v>
      </c>
    </row>
    <row r="70" spans="1:61">
      <c r="H70" s="190" t="s">
        <v>52</v>
      </c>
      <c r="I70" s="190"/>
      <c r="J70" s="190"/>
      <c r="K70" s="190"/>
      <c r="L70" s="190"/>
      <c r="M70" s="190" t="s">
        <v>53</v>
      </c>
      <c r="N70" s="190"/>
      <c r="O70" s="190"/>
      <c r="P70" s="190"/>
      <c r="Q70" s="190"/>
      <c r="R70" s="190" t="s">
        <v>54</v>
      </c>
      <c r="S70" s="190"/>
      <c r="T70" s="190"/>
      <c r="U70" s="190"/>
      <c r="V70" s="190"/>
      <c r="X70" s="38"/>
      <c r="Z70" s="39" t="s">
        <v>69</v>
      </c>
      <c r="AA70" s="39" t="s">
        <v>70</v>
      </c>
      <c r="AB70" s="39" t="s">
        <v>71</v>
      </c>
      <c r="AC70" s="39" t="s">
        <v>72</v>
      </c>
      <c r="AD70" s="39" t="s">
        <v>64</v>
      </c>
      <c r="AE70" s="39" t="s">
        <v>65</v>
      </c>
      <c r="AF70" s="39" t="s">
        <v>66</v>
      </c>
      <c r="AG70" s="39" t="s">
        <v>107</v>
      </c>
      <c r="AH70" s="39" t="s">
        <v>67</v>
      </c>
      <c r="AI70" s="39" t="s">
        <v>68</v>
      </c>
      <c r="AJ70" s="39" t="s">
        <v>108</v>
      </c>
      <c r="AM70" s="39" t="s">
        <v>111</v>
      </c>
      <c r="AN70" s="39" t="s">
        <v>112</v>
      </c>
      <c r="AO70" s="39" t="s">
        <v>113</v>
      </c>
      <c r="AP70" s="39" t="s">
        <v>114</v>
      </c>
      <c r="AQ70" s="39" t="s">
        <v>115</v>
      </c>
      <c r="AR70" s="39" t="s">
        <v>36</v>
      </c>
      <c r="AS70" s="39" t="s">
        <v>116</v>
      </c>
      <c r="AT70" s="39" t="s">
        <v>35</v>
      </c>
      <c r="AU70" s="39" t="s">
        <v>117</v>
      </c>
      <c r="AV70" s="39" t="s">
        <v>118</v>
      </c>
      <c r="AW70" s="39" t="s">
        <v>119</v>
      </c>
      <c r="AX70" s="39" t="s">
        <v>74</v>
      </c>
      <c r="AY70" s="39" t="s">
        <v>75</v>
      </c>
      <c r="BB70" s="39" t="s">
        <v>134</v>
      </c>
      <c r="BC70" s="39" t="s">
        <v>135</v>
      </c>
      <c r="BD70" s="39" t="s">
        <v>136</v>
      </c>
      <c r="BE70" s="39" t="s">
        <v>107</v>
      </c>
      <c r="BF70" s="39" t="s">
        <v>137</v>
      </c>
      <c r="BG70" s="39" t="s">
        <v>138</v>
      </c>
      <c r="BH70" s="39" t="s">
        <v>108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63</v>
      </c>
    </row>
    <row r="72" spans="1:61">
      <c r="B72" s="5" t="s">
        <v>46</v>
      </c>
      <c r="D72" s="29" t="s">
        <v>55</v>
      </c>
      <c r="H72" s="16" t="s">
        <v>12</v>
      </c>
      <c r="I72" s="16" t="s">
        <v>12</v>
      </c>
      <c r="J72" s="16" t="s">
        <v>12</v>
      </c>
      <c r="K72" s="16" t="s">
        <v>12</v>
      </c>
      <c r="L72" s="16" t="s">
        <v>12</v>
      </c>
      <c r="M72" s="16" t="s">
        <v>12</v>
      </c>
      <c r="N72" s="16" t="s">
        <v>12</v>
      </c>
      <c r="O72" s="16" t="s">
        <v>12</v>
      </c>
      <c r="P72" s="16" t="s">
        <v>13</v>
      </c>
      <c r="Q72" s="16" t="s">
        <v>13</v>
      </c>
      <c r="R72" s="16" t="s">
        <v>13</v>
      </c>
      <c r="S72" s="16" t="s">
        <v>13</v>
      </c>
      <c r="T72" s="16" t="s">
        <v>13</v>
      </c>
      <c r="U72" s="16" t="s">
        <v>13</v>
      </c>
      <c r="V72" s="16" t="s">
        <v>13</v>
      </c>
      <c r="X72" s="34" t="s">
        <v>13</v>
      </c>
    </row>
    <row r="73" spans="1:61">
      <c r="B73" s="4" t="str">
        <f>IF(B10&lt;&gt;"",B10,"[blank]")</f>
        <v>Grove Regulator Replacement - City Gates</v>
      </c>
      <c r="D73" s="31" t="s">
        <v>60</v>
      </c>
      <c r="O73" s="35"/>
      <c r="P73" s="35">
        <f t="shared" ref="P73:V80" si="4">P31*P52</f>
        <v>0</v>
      </c>
      <c r="Q73" s="35">
        <f t="shared" si="4"/>
        <v>0</v>
      </c>
      <c r="R73" s="35">
        <f t="shared" si="4"/>
        <v>0</v>
      </c>
      <c r="S73" s="35">
        <f t="shared" si="4"/>
        <v>0</v>
      </c>
      <c r="T73" s="35">
        <f t="shared" si="4"/>
        <v>0</v>
      </c>
      <c r="U73" s="35">
        <f t="shared" si="4"/>
        <v>415666.15337302035</v>
      </c>
      <c r="V73" s="35">
        <f t="shared" si="4"/>
        <v>209233.76585190051</v>
      </c>
      <c r="W73" s="35"/>
      <c r="X73" s="40">
        <f>SUM(R73:V73)</f>
        <v>624899.91922492092</v>
      </c>
      <c r="Z73" s="10"/>
      <c r="AA73" s="10"/>
      <c r="AB73" s="10"/>
      <c r="AC73" s="10"/>
      <c r="AD73" s="10">
        <v>1</v>
      </c>
      <c r="AE73" s="10"/>
      <c r="AF73" s="10"/>
      <c r="AG73" s="10"/>
      <c r="AH73" s="10"/>
      <c r="AI73" s="10"/>
      <c r="AJ73" s="10"/>
      <c r="AK73" s="41">
        <f t="shared" ref="AK73:AK87" si="5">SUM(Z73:AI73)</f>
        <v>1</v>
      </c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41">
        <f t="shared" ref="AZ73:AZ87" si="6">SUM(AM73:AY73)</f>
        <v>1</v>
      </c>
      <c r="BB73" s="10"/>
      <c r="BC73" s="10"/>
      <c r="BD73" s="10"/>
      <c r="BE73" s="10"/>
      <c r="BF73" s="10">
        <v>1</v>
      </c>
      <c r="BG73" s="10"/>
      <c r="BH73" s="10"/>
      <c r="BI73" s="41">
        <f t="shared" ref="BI73:BI87" si="7">SUM(BB73:BH73)</f>
        <v>1</v>
      </c>
    </row>
    <row r="74" spans="1:61">
      <c r="B74" s="94" t="str">
        <f t="shared" ref="B74:B87" si="8">IF(B11&lt;&gt;"",B11,"[blank]")</f>
        <v>Grove Regulator Replacement - Field Regulators</v>
      </c>
      <c r="D74" s="31" t="s">
        <v>60</v>
      </c>
      <c r="O74" s="50"/>
      <c r="P74" s="35">
        <f t="shared" si="4"/>
        <v>0</v>
      </c>
      <c r="Q74" s="35">
        <f t="shared" si="4"/>
        <v>265473.82058296911</v>
      </c>
      <c r="R74" s="35">
        <f t="shared" si="4"/>
        <v>399384.2130492166</v>
      </c>
      <c r="S74" s="35">
        <f t="shared" si="4"/>
        <v>400858.66463947302</v>
      </c>
      <c r="T74" s="35">
        <f t="shared" si="4"/>
        <v>402762.21806434344</v>
      </c>
      <c r="U74" s="35">
        <f t="shared" si="4"/>
        <v>675457.49923115806</v>
      </c>
      <c r="V74" s="35">
        <f t="shared" si="4"/>
        <v>680009.73901867645</v>
      </c>
      <c r="W74" s="35"/>
      <c r="X74" s="40">
        <f t="shared" ref="X74:X89" si="9">SUM(R74:V74)</f>
        <v>2558472.3340028678</v>
      </c>
      <c r="Z74" s="10"/>
      <c r="AA74" s="10"/>
      <c r="AB74" s="10"/>
      <c r="AC74" s="10"/>
      <c r="AD74" s="10">
        <v>1</v>
      </c>
      <c r="AE74" s="10"/>
      <c r="AF74" s="10"/>
      <c r="AG74" s="10"/>
      <c r="AH74" s="10"/>
      <c r="AI74" s="10"/>
      <c r="AJ74" s="10"/>
      <c r="AK74" s="41">
        <f t="shared" si="5"/>
        <v>1</v>
      </c>
      <c r="AM74" s="10"/>
      <c r="AN74" s="10"/>
      <c r="AO74" s="10"/>
      <c r="AP74" s="10"/>
      <c r="AQ74" s="10"/>
      <c r="AR74" s="10"/>
      <c r="AS74" s="10"/>
      <c r="AT74" s="10"/>
      <c r="AU74" s="10">
        <v>1</v>
      </c>
      <c r="AV74" s="10"/>
      <c r="AW74" s="10"/>
      <c r="AX74" s="10"/>
      <c r="AY74" s="10"/>
      <c r="AZ74" s="41">
        <f t="shared" si="6"/>
        <v>1</v>
      </c>
      <c r="BB74" s="10"/>
      <c r="BC74" s="10"/>
      <c r="BD74" s="10"/>
      <c r="BE74" s="10"/>
      <c r="BF74" s="10">
        <v>1</v>
      </c>
      <c r="BG74" s="10"/>
      <c r="BH74" s="10"/>
      <c r="BI74" s="41">
        <f t="shared" si="7"/>
        <v>1</v>
      </c>
    </row>
    <row r="75" spans="1:61">
      <c r="B75" s="94" t="str">
        <f t="shared" si="8"/>
        <v>Welker Jet  Regulator Upgrade Program - $200k</v>
      </c>
      <c r="D75" s="31" t="s">
        <v>60</v>
      </c>
      <c r="P75" s="35">
        <f t="shared" si="4"/>
        <v>0</v>
      </c>
      <c r="Q75" s="35">
        <f t="shared" si="4"/>
        <v>408421.26243533718</v>
      </c>
      <c r="R75" s="35">
        <f t="shared" si="4"/>
        <v>409624.83389663248</v>
      </c>
      <c r="S75" s="35">
        <f t="shared" si="4"/>
        <v>411137.09193792113</v>
      </c>
      <c r="T75" s="35">
        <f t="shared" si="4"/>
        <v>206544.72721248385</v>
      </c>
      <c r="U75" s="35">
        <f t="shared" si="4"/>
        <v>0</v>
      </c>
      <c r="V75" s="35">
        <f t="shared" si="4"/>
        <v>0</v>
      </c>
      <c r="W75" s="35"/>
      <c r="X75" s="40">
        <f t="shared" si="9"/>
        <v>1027306.6530470374</v>
      </c>
      <c r="Z75" s="10"/>
      <c r="AA75" s="10"/>
      <c r="AB75" s="10"/>
      <c r="AC75" s="10"/>
      <c r="AD75" s="10">
        <v>1</v>
      </c>
      <c r="AE75" s="10"/>
      <c r="AF75" s="10"/>
      <c r="AG75" s="10"/>
      <c r="AH75" s="10"/>
      <c r="AI75" s="10"/>
      <c r="AJ75" s="10"/>
      <c r="AK75" s="41">
        <f t="shared" si="5"/>
        <v>1</v>
      </c>
      <c r="AM75" s="10"/>
      <c r="AN75" s="10"/>
      <c r="AO75" s="10"/>
      <c r="AP75" s="10"/>
      <c r="AQ75" s="10"/>
      <c r="AR75" s="10"/>
      <c r="AS75" s="10"/>
      <c r="AT75" s="10"/>
      <c r="AU75" s="10">
        <v>1</v>
      </c>
      <c r="AV75" s="10"/>
      <c r="AW75" s="10"/>
      <c r="AX75" s="10"/>
      <c r="AY75" s="10"/>
      <c r="AZ75" s="41">
        <f t="shared" si="6"/>
        <v>1</v>
      </c>
      <c r="BB75" s="10"/>
      <c r="BC75" s="10"/>
      <c r="BD75" s="10"/>
      <c r="BE75" s="10"/>
      <c r="BF75" s="10">
        <v>1</v>
      </c>
      <c r="BG75" s="10"/>
      <c r="BH75" s="10"/>
      <c r="BI75" s="41">
        <f t="shared" si="7"/>
        <v>1</v>
      </c>
    </row>
    <row r="76" spans="1:61">
      <c r="B76" s="94" t="str">
        <f t="shared" si="8"/>
        <v>Welker Jet  Regulator Upgrade Program - $150k</v>
      </c>
      <c r="D76" s="31" t="s">
        <v>60</v>
      </c>
      <c r="P76" s="35">
        <f t="shared" si="4"/>
        <v>0</v>
      </c>
      <c r="Q76" s="35">
        <f t="shared" si="4"/>
        <v>0</v>
      </c>
      <c r="R76" s="35">
        <f t="shared" si="4"/>
        <v>0</v>
      </c>
      <c r="S76" s="35">
        <f t="shared" si="4"/>
        <v>0</v>
      </c>
      <c r="T76" s="35">
        <f t="shared" si="4"/>
        <v>154908.54540936288</v>
      </c>
      <c r="U76" s="35">
        <f t="shared" si="4"/>
        <v>0</v>
      </c>
      <c r="V76" s="35">
        <f t="shared" si="4"/>
        <v>0</v>
      </c>
      <c r="W76" s="35"/>
      <c r="X76" s="40">
        <f t="shared" si="9"/>
        <v>154908.54540936288</v>
      </c>
      <c r="Z76" s="10"/>
      <c r="AA76" s="10"/>
      <c r="AB76" s="10"/>
      <c r="AC76" s="10"/>
      <c r="AD76" s="10">
        <v>1</v>
      </c>
      <c r="AE76" s="10"/>
      <c r="AF76" s="10"/>
      <c r="AG76" s="10"/>
      <c r="AH76" s="10"/>
      <c r="AI76" s="10"/>
      <c r="AJ76" s="10"/>
      <c r="AK76" s="41">
        <f t="shared" si="5"/>
        <v>1</v>
      </c>
      <c r="AM76" s="10"/>
      <c r="AN76" s="10"/>
      <c r="AO76" s="10"/>
      <c r="AP76" s="10"/>
      <c r="AQ76" s="10"/>
      <c r="AR76" s="10"/>
      <c r="AS76" s="10"/>
      <c r="AT76" s="10"/>
      <c r="AU76" s="10">
        <v>1</v>
      </c>
      <c r="AV76" s="10"/>
      <c r="AW76" s="10"/>
      <c r="AX76" s="10"/>
      <c r="AY76" s="10"/>
      <c r="AZ76" s="41">
        <f t="shared" si="6"/>
        <v>1</v>
      </c>
      <c r="BB76" s="10"/>
      <c r="BC76" s="10"/>
      <c r="BD76" s="10"/>
      <c r="BE76" s="10"/>
      <c r="BF76" s="10">
        <v>1</v>
      </c>
      <c r="BG76" s="10"/>
      <c r="BH76" s="10"/>
      <c r="BI76" s="41">
        <f t="shared" si="7"/>
        <v>1</v>
      </c>
    </row>
    <row r="77" spans="1:61">
      <c r="B77" s="94" t="str">
        <f t="shared" si="8"/>
        <v>City Gate Heater Replacements - $50k</v>
      </c>
      <c r="D77" s="31" t="s">
        <v>60</v>
      </c>
      <c r="P77" s="35">
        <f t="shared" si="4"/>
        <v>0</v>
      </c>
      <c r="Q77" s="35">
        <f t="shared" si="4"/>
        <v>0</v>
      </c>
      <c r="R77" s="35">
        <f t="shared" si="4"/>
        <v>51203.10423707906</v>
      </c>
      <c r="S77" s="35">
        <f t="shared" si="4"/>
        <v>0</v>
      </c>
      <c r="T77" s="35">
        <f t="shared" si="4"/>
        <v>0</v>
      </c>
      <c r="U77" s="35">
        <f t="shared" si="4"/>
        <v>0</v>
      </c>
      <c r="V77" s="35">
        <f t="shared" si="4"/>
        <v>0</v>
      </c>
      <c r="X77" s="40">
        <f t="shared" si="9"/>
        <v>51203.10423707906</v>
      </c>
      <c r="Z77" s="10"/>
      <c r="AA77" s="10"/>
      <c r="AB77" s="10"/>
      <c r="AC77" s="10"/>
      <c r="AD77" s="10">
        <v>1</v>
      </c>
      <c r="AE77" s="10"/>
      <c r="AF77" s="10"/>
      <c r="AG77" s="10"/>
      <c r="AH77" s="10"/>
      <c r="AI77" s="10"/>
      <c r="AJ77" s="10"/>
      <c r="AK77" s="41">
        <f t="shared" si="5"/>
        <v>1</v>
      </c>
      <c r="AM77" s="10"/>
      <c r="AN77" s="10"/>
      <c r="AO77" s="10"/>
      <c r="AP77" s="10"/>
      <c r="AQ77" s="10"/>
      <c r="AR77" s="10"/>
      <c r="AS77" s="10"/>
      <c r="AT77" s="10"/>
      <c r="AU77" s="10">
        <v>1</v>
      </c>
      <c r="AV77" s="10"/>
      <c r="AW77" s="10"/>
      <c r="AX77" s="10"/>
      <c r="AY77" s="10"/>
      <c r="AZ77" s="41">
        <f t="shared" si="6"/>
        <v>1</v>
      </c>
      <c r="BB77" s="10"/>
      <c r="BC77" s="10"/>
      <c r="BD77" s="10"/>
      <c r="BE77" s="10"/>
      <c r="BF77" s="10">
        <v>1</v>
      </c>
      <c r="BG77" s="10"/>
      <c r="BH77" s="10"/>
      <c r="BI77" s="41">
        <f t="shared" si="7"/>
        <v>1</v>
      </c>
    </row>
    <row r="78" spans="1:61">
      <c r="B78" s="94" t="str">
        <f t="shared" si="8"/>
        <v>City Gate Heater Replacements - $80k</v>
      </c>
      <c r="D78" s="31" t="s">
        <v>60</v>
      </c>
      <c r="P78" s="35">
        <f t="shared" si="4"/>
        <v>0</v>
      </c>
      <c r="Q78" s="35">
        <f t="shared" si="4"/>
        <v>0</v>
      </c>
      <c r="R78" s="35">
        <f t="shared" si="4"/>
        <v>245774.90033797955</v>
      </c>
      <c r="S78" s="35">
        <f t="shared" si="4"/>
        <v>82227.418387584228</v>
      </c>
      <c r="T78" s="35">
        <f t="shared" si="4"/>
        <v>0</v>
      </c>
      <c r="U78" s="35">
        <f t="shared" si="4"/>
        <v>0</v>
      </c>
      <c r="V78" s="35">
        <f t="shared" si="4"/>
        <v>0</v>
      </c>
      <c r="X78" s="40">
        <f t="shared" si="9"/>
        <v>328002.31872556376</v>
      </c>
      <c r="Z78" s="10"/>
      <c r="AA78" s="10"/>
      <c r="AB78" s="10"/>
      <c r="AC78" s="10"/>
      <c r="AD78" s="10">
        <v>1</v>
      </c>
      <c r="AE78" s="10"/>
      <c r="AF78" s="10"/>
      <c r="AG78" s="10"/>
      <c r="AH78" s="10"/>
      <c r="AI78" s="10"/>
      <c r="AJ78" s="10"/>
      <c r="AK78" s="41">
        <f t="shared" si="5"/>
        <v>1</v>
      </c>
      <c r="AM78" s="10"/>
      <c r="AN78" s="10"/>
      <c r="AO78" s="10"/>
      <c r="AP78" s="10"/>
      <c r="AQ78" s="10"/>
      <c r="AR78" s="10"/>
      <c r="AS78" s="10"/>
      <c r="AT78" s="10"/>
      <c r="AU78" s="10">
        <v>1</v>
      </c>
      <c r="AV78" s="10"/>
      <c r="AW78" s="10"/>
      <c r="AX78" s="10"/>
      <c r="AY78" s="10"/>
      <c r="AZ78" s="41">
        <f t="shared" si="6"/>
        <v>1</v>
      </c>
      <c r="BB78" s="10"/>
      <c r="BC78" s="10"/>
      <c r="BD78" s="10"/>
      <c r="BE78" s="10"/>
      <c r="BF78" s="10">
        <v>1</v>
      </c>
      <c r="BG78" s="10"/>
      <c r="BH78" s="10"/>
      <c r="BI78" s="41">
        <f t="shared" si="7"/>
        <v>1</v>
      </c>
    </row>
    <row r="79" spans="1:61">
      <c r="B79" s="94" t="str">
        <f t="shared" si="8"/>
        <v>City Gate Heater Replacements - $500k</v>
      </c>
      <c r="D79" s="31" t="s">
        <v>60</v>
      </c>
      <c r="P79" s="35">
        <f t="shared" si="4"/>
        <v>0</v>
      </c>
      <c r="Q79" s="35">
        <f t="shared" si="4"/>
        <v>0</v>
      </c>
      <c r="R79" s="35">
        <f t="shared" si="4"/>
        <v>0</v>
      </c>
      <c r="S79" s="35">
        <f t="shared" si="4"/>
        <v>513921.36492240138</v>
      </c>
      <c r="T79" s="35">
        <f t="shared" si="4"/>
        <v>516361.81803120964</v>
      </c>
      <c r="U79" s="35">
        <f t="shared" si="4"/>
        <v>0</v>
      </c>
      <c r="V79" s="35">
        <f t="shared" si="4"/>
        <v>0</v>
      </c>
      <c r="X79" s="40">
        <f t="shared" si="9"/>
        <v>1030283.182953611</v>
      </c>
      <c r="Z79" s="10"/>
      <c r="AA79" s="10"/>
      <c r="AB79" s="10"/>
      <c r="AC79" s="10"/>
      <c r="AD79" s="10">
        <v>1</v>
      </c>
      <c r="AE79" s="10"/>
      <c r="AF79" s="10"/>
      <c r="AG79" s="10"/>
      <c r="AH79" s="10"/>
      <c r="AI79" s="10"/>
      <c r="AJ79" s="10"/>
      <c r="AK79" s="41">
        <f t="shared" si="5"/>
        <v>1</v>
      </c>
      <c r="AM79" s="10"/>
      <c r="AN79" s="10"/>
      <c r="AO79" s="10"/>
      <c r="AP79" s="10"/>
      <c r="AQ79" s="10"/>
      <c r="AR79" s="10"/>
      <c r="AS79" s="10"/>
      <c r="AT79" s="10"/>
      <c r="AU79" s="10">
        <v>1</v>
      </c>
      <c r="AV79" s="10"/>
      <c r="AW79" s="10"/>
      <c r="AX79" s="10"/>
      <c r="AY79" s="10"/>
      <c r="AZ79" s="41">
        <f t="shared" si="6"/>
        <v>1</v>
      </c>
      <c r="BB79" s="10"/>
      <c r="BC79" s="10"/>
      <c r="BD79" s="10"/>
      <c r="BE79" s="10"/>
      <c r="BF79" s="10">
        <v>1</v>
      </c>
      <c r="BG79" s="10"/>
      <c r="BH79" s="10"/>
      <c r="BI79" s="41">
        <f t="shared" si="7"/>
        <v>1</v>
      </c>
    </row>
    <row r="80" spans="1:61">
      <c r="B80" s="94" t="str">
        <f t="shared" si="8"/>
        <v>City Gate Heater Replacements - $600k</v>
      </c>
      <c r="D80" s="31" t="s">
        <v>60</v>
      </c>
      <c r="P80" s="35">
        <f t="shared" si="4"/>
        <v>0</v>
      </c>
      <c r="Q80" s="35">
        <f t="shared" si="4"/>
        <v>0</v>
      </c>
      <c r="R80" s="35">
        <f t="shared" si="4"/>
        <v>614437.25084494869</v>
      </c>
      <c r="S80" s="35">
        <f t="shared" si="4"/>
        <v>616705.63790688163</v>
      </c>
      <c r="T80" s="35">
        <f t="shared" si="4"/>
        <v>0</v>
      </c>
      <c r="U80" s="35">
        <f t="shared" si="4"/>
        <v>0</v>
      </c>
      <c r="V80" s="35">
        <f t="shared" si="4"/>
        <v>0</v>
      </c>
      <c r="X80" s="40">
        <f t="shared" si="9"/>
        <v>1231142.8887518304</v>
      </c>
      <c r="Z80" s="10"/>
      <c r="AA80" s="10"/>
      <c r="AB80" s="10"/>
      <c r="AC80" s="10"/>
      <c r="AD80" s="10">
        <v>1</v>
      </c>
      <c r="AE80" s="10"/>
      <c r="AF80" s="10"/>
      <c r="AG80" s="10"/>
      <c r="AH80" s="10"/>
      <c r="AI80" s="10"/>
      <c r="AJ80" s="10"/>
      <c r="AK80" s="41">
        <f t="shared" si="5"/>
        <v>1</v>
      </c>
      <c r="AM80" s="10"/>
      <c r="AN80" s="10"/>
      <c r="AO80" s="10"/>
      <c r="AP80" s="10"/>
      <c r="AQ80" s="10"/>
      <c r="AR80" s="10"/>
      <c r="AS80" s="10"/>
      <c r="AT80" s="10"/>
      <c r="AU80" s="10">
        <v>1</v>
      </c>
      <c r="AV80" s="10"/>
      <c r="AW80" s="10"/>
      <c r="AX80" s="10"/>
      <c r="AY80" s="10"/>
      <c r="AZ80" s="41">
        <f t="shared" si="6"/>
        <v>1</v>
      </c>
      <c r="BB80" s="10"/>
      <c r="BC80" s="10"/>
      <c r="BD80" s="10"/>
      <c r="BE80" s="10"/>
      <c r="BF80" s="10">
        <v>1</v>
      </c>
      <c r="BG80" s="10"/>
      <c r="BH80" s="10"/>
      <c r="BI80" s="41">
        <f t="shared" si="7"/>
        <v>1</v>
      </c>
    </row>
    <row r="81" spans="1:61">
      <c r="B81" s="94" t="str">
        <f t="shared" si="8"/>
        <v>[blank]</v>
      </c>
      <c r="P81" s="35"/>
      <c r="X81" s="40">
        <f t="shared" si="9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5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6"/>
        <v>0</v>
      </c>
      <c r="BB81" s="10"/>
      <c r="BC81" s="10"/>
      <c r="BD81" s="10"/>
      <c r="BE81" s="10"/>
      <c r="BF81" s="10"/>
      <c r="BG81" s="10"/>
      <c r="BH81" s="10"/>
      <c r="BI81" s="41">
        <f t="shared" si="7"/>
        <v>0</v>
      </c>
    </row>
    <row r="82" spans="1:61">
      <c r="B82" s="94" t="str">
        <f t="shared" si="8"/>
        <v>[blank]</v>
      </c>
      <c r="P82" s="35"/>
      <c r="X82" s="40">
        <f t="shared" si="9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5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6"/>
        <v>0</v>
      </c>
      <c r="BB82" s="10"/>
      <c r="BC82" s="10"/>
      <c r="BD82" s="10"/>
      <c r="BE82" s="10"/>
      <c r="BF82" s="10"/>
      <c r="BG82" s="10"/>
      <c r="BH82" s="10"/>
      <c r="BI82" s="41">
        <f t="shared" si="7"/>
        <v>0</v>
      </c>
    </row>
    <row r="83" spans="1:61">
      <c r="B83" s="94" t="str">
        <f t="shared" si="8"/>
        <v>[blank]</v>
      </c>
      <c r="P83" s="35"/>
      <c r="X83" s="40">
        <f t="shared" si="9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5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6"/>
        <v>0</v>
      </c>
      <c r="BB83" s="10"/>
      <c r="BC83" s="10"/>
      <c r="BD83" s="10"/>
      <c r="BE83" s="10"/>
      <c r="BF83" s="10"/>
      <c r="BG83" s="10"/>
      <c r="BH83" s="10"/>
      <c r="BI83" s="41">
        <f t="shared" si="7"/>
        <v>0</v>
      </c>
    </row>
    <row r="84" spans="1:61">
      <c r="B84" s="94" t="str">
        <f t="shared" si="8"/>
        <v>[blank]</v>
      </c>
      <c r="P84" s="35"/>
      <c r="X84" s="40">
        <f t="shared" si="9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5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6"/>
        <v>0</v>
      </c>
      <c r="BB84" s="10"/>
      <c r="BC84" s="10"/>
      <c r="BD84" s="10"/>
      <c r="BE84" s="10"/>
      <c r="BF84" s="10"/>
      <c r="BG84" s="10"/>
      <c r="BH84" s="10"/>
      <c r="BI84" s="41">
        <f t="shared" si="7"/>
        <v>0</v>
      </c>
    </row>
    <row r="85" spans="1:61">
      <c r="B85" s="94" t="str">
        <f t="shared" si="8"/>
        <v>[blank]</v>
      </c>
      <c r="P85" s="35"/>
      <c r="X85" s="40">
        <f t="shared" si="9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5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6"/>
        <v>0</v>
      </c>
      <c r="BB85" s="10"/>
      <c r="BC85" s="10"/>
      <c r="BD85" s="10"/>
      <c r="BE85" s="10"/>
      <c r="BF85" s="10"/>
      <c r="BG85" s="10"/>
      <c r="BH85" s="10"/>
      <c r="BI85" s="41">
        <f t="shared" si="7"/>
        <v>0</v>
      </c>
    </row>
    <row r="86" spans="1:61">
      <c r="B86" s="94" t="str">
        <f t="shared" si="8"/>
        <v>[blank]</v>
      </c>
      <c r="P86" s="35"/>
      <c r="X86" s="40">
        <f t="shared" si="9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5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6"/>
        <v>0</v>
      </c>
      <c r="BB86" s="10"/>
      <c r="BC86" s="10"/>
      <c r="BD86" s="10"/>
      <c r="BE86" s="10"/>
      <c r="BF86" s="10"/>
      <c r="BG86" s="10"/>
      <c r="BH86" s="10"/>
      <c r="BI86" s="41">
        <f t="shared" si="7"/>
        <v>0</v>
      </c>
    </row>
    <row r="87" spans="1:61">
      <c r="B87" s="94" t="str">
        <f t="shared" si="8"/>
        <v>[blank]</v>
      </c>
      <c r="P87" s="35"/>
      <c r="X87" s="40">
        <f t="shared" si="9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5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6"/>
        <v>0</v>
      </c>
      <c r="BB87" s="10"/>
      <c r="BC87" s="10"/>
      <c r="BD87" s="10"/>
      <c r="BE87" s="10"/>
      <c r="BF87" s="10"/>
      <c r="BG87" s="10"/>
      <c r="BH87" s="10"/>
      <c r="BI87" s="41">
        <f t="shared" si="7"/>
        <v>0</v>
      </c>
    </row>
    <row r="88" spans="1:61">
      <c r="P88" s="35"/>
    </row>
    <row r="89" spans="1:61" ht="12.75" thickBot="1">
      <c r="B89" s="5" t="s">
        <v>62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10">SUM(P73:P87)</f>
        <v>0</v>
      </c>
      <c r="Q89" s="37">
        <f t="shared" si="10"/>
        <v>673895.08301830629</v>
      </c>
      <c r="R89" s="37">
        <f t="shared" si="10"/>
        <v>1720424.3023658565</v>
      </c>
      <c r="S89" s="37">
        <f t="shared" si="10"/>
        <v>2024850.1777942614</v>
      </c>
      <c r="T89" s="37">
        <f t="shared" si="10"/>
        <v>1280577.3087173998</v>
      </c>
      <c r="U89" s="37">
        <f t="shared" si="10"/>
        <v>1091123.6526041785</v>
      </c>
      <c r="V89" s="37">
        <f t="shared" si="10"/>
        <v>889243.50487057702</v>
      </c>
      <c r="X89" s="37">
        <f t="shared" si="9"/>
        <v>7006218.9463522732</v>
      </c>
    </row>
    <row r="91" spans="1:61">
      <c r="B91" s="5" t="s">
        <v>76</v>
      </c>
    </row>
    <row r="92" spans="1:61" s="1" customFormat="1">
      <c r="A92" s="4"/>
      <c r="B92" s="2" t="s">
        <v>77</v>
      </c>
    </row>
    <row r="94" spans="1:61">
      <c r="H94" s="190" t="s">
        <v>52</v>
      </c>
      <c r="I94" s="190"/>
      <c r="J94" s="190"/>
      <c r="K94" s="190"/>
      <c r="L94" s="190"/>
      <c r="M94" s="190" t="s">
        <v>53</v>
      </c>
      <c r="N94" s="190"/>
      <c r="O94" s="190"/>
      <c r="P94" s="190"/>
      <c r="Q94" s="190"/>
      <c r="R94" s="190" t="s">
        <v>54</v>
      </c>
      <c r="S94" s="190"/>
      <c r="T94" s="190"/>
      <c r="U94" s="190"/>
      <c r="V94" s="190"/>
      <c r="X94" s="38"/>
    </row>
    <row r="95" spans="1:61">
      <c r="B95" s="42" t="s">
        <v>79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63</v>
      </c>
    </row>
    <row r="96" spans="1:61">
      <c r="B96" s="5" t="s">
        <v>46</v>
      </c>
      <c r="D96" s="29" t="s">
        <v>55</v>
      </c>
      <c r="H96" s="16" t="s">
        <v>12</v>
      </c>
      <c r="I96" s="16" t="s">
        <v>12</v>
      </c>
      <c r="J96" s="16" t="s">
        <v>12</v>
      </c>
      <c r="K96" s="16" t="s">
        <v>12</v>
      </c>
      <c r="L96" s="16" t="s">
        <v>12</v>
      </c>
      <c r="M96" s="16" t="s">
        <v>12</v>
      </c>
      <c r="N96" s="16" t="s">
        <v>12</v>
      </c>
      <c r="O96" s="16" t="s">
        <v>12</v>
      </c>
      <c r="P96" s="16" t="s">
        <v>13</v>
      </c>
      <c r="Q96" s="16" t="s">
        <v>13</v>
      </c>
      <c r="R96" s="16" t="s">
        <v>13</v>
      </c>
      <c r="S96" s="16" t="s">
        <v>13</v>
      </c>
      <c r="T96" s="16" t="s">
        <v>13</v>
      </c>
      <c r="U96" s="16" t="s">
        <v>13</v>
      </c>
      <c r="V96" s="16" t="s">
        <v>13</v>
      </c>
      <c r="X96" s="34" t="s">
        <v>13</v>
      </c>
    </row>
    <row r="97" spans="2:24">
      <c r="B97" s="4" t="str">
        <f>IF(B10&lt;&gt;"",B10,"[blank]")</f>
        <v>Grove Regulator Replacement - City Gates</v>
      </c>
      <c r="D97" s="31" t="s">
        <v>60</v>
      </c>
      <c r="O97" s="35"/>
      <c r="P97" s="35">
        <f>$D10*P73</f>
        <v>0</v>
      </c>
      <c r="Q97" s="35">
        <f t="shared" ref="Q97:V97" si="11">$D10*Q73</f>
        <v>0</v>
      </c>
      <c r="R97" s="35">
        <f t="shared" si="11"/>
        <v>0</v>
      </c>
      <c r="S97" s="35">
        <f t="shared" si="11"/>
        <v>0</v>
      </c>
      <c r="T97" s="35">
        <f t="shared" si="11"/>
        <v>0</v>
      </c>
      <c r="U97" s="35">
        <f t="shared" si="11"/>
        <v>8313.3230674604074</v>
      </c>
      <c r="V97" s="35">
        <f t="shared" si="11"/>
        <v>4184.6753170380098</v>
      </c>
      <c r="X97" s="40">
        <f>SUM(R97:V97)</f>
        <v>12497.998384498416</v>
      </c>
    </row>
    <row r="98" spans="2:24">
      <c r="B98" s="94" t="str">
        <f t="shared" ref="B98:B111" si="12">IF(B11&lt;&gt;"",B11,"[blank]")</f>
        <v>Grove Regulator Replacement - Field Regulators</v>
      </c>
      <c r="D98" s="31" t="s">
        <v>60</v>
      </c>
      <c r="O98" s="50"/>
      <c r="P98" s="35">
        <f t="shared" ref="P98:V98" si="13">$D11*P74</f>
        <v>0</v>
      </c>
      <c r="Q98" s="35">
        <f t="shared" si="13"/>
        <v>5309.4764116593824</v>
      </c>
      <c r="R98" s="35">
        <f t="shared" si="13"/>
        <v>7987.6842609843325</v>
      </c>
      <c r="S98" s="35">
        <f t="shared" si="13"/>
        <v>8017.1732927894609</v>
      </c>
      <c r="T98" s="35">
        <f t="shared" si="13"/>
        <v>8055.2443612868692</v>
      </c>
      <c r="U98" s="35">
        <f t="shared" si="13"/>
        <v>13509.149984623162</v>
      </c>
      <c r="V98" s="35">
        <f t="shared" si="13"/>
        <v>13600.194780373529</v>
      </c>
      <c r="X98" s="40">
        <f t="shared" ref="X98:X111" si="14">SUM(R98:V98)</f>
        <v>51169.446680057357</v>
      </c>
    </row>
    <row r="99" spans="2:24">
      <c r="B99" s="94" t="str">
        <f t="shared" si="12"/>
        <v>Welker Jet  Regulator Upgrade Program - $200k</v>
      </c>
      <c r="D99" s="31" t="s">
        <v>60</v>
      </c>
      <c r="P99" s="35">
        <f t="shared" ref="P99:V99" si="15">$D12*P75</f>
        <v>0</v>
      </c>
      <c r="Q99" s="35">
        <f t="shared" si="15"/>
        <v>8168.4252487067433</v>
      </c>
      <c r="R99" s="35">
        <f t="shared" si="15"/>
        <v>8192.4966779326496</v>
      </c>
      <c r="S99" s="35">
        <f t="shared" si="15"/>
        <v>8222.7418387584221</v>
      </c>
      <c r="T99" s="35">
        <f t="shared" si="15"/>
        <v>4130.894544249677</v>
      </c>
      <c r="U99" s="35">
        <f t="shared" si="15"/>
        <v>0</v>
      </c>
      <c r="V99" s="35">
        <f t="shared" si="15"/>
        <v>0</v>
      </c>
      <c r="X99" s="40">
        <f t="shared" si="14"/>
        <v>20546.133060940749</v>
      </c>
    </row>
    <row r="100" spans="2:24">
      <c r="B100" s="94" t="str">
        <f t="shared" si="12"/>
        <v>Welker Jet  Regulator Upgrade Program - $150k</v>
      </c>
      <c r="D100" s="31" t="s">
        <v>60</v>
      </c>
      <c r="P100" s="35">
        <f t="shared" ref="P100:V100" si="16">$D13*P76</f>
        <v>0</v>
      </c>
      <c r="Q100" s="35">
        <f t="shared" si="16"/>
        <v>0</v>
      </c>
      <c r="R100" s="35">
        <f t="shared" si="16"/>
        <v>0</v>
      </c>
      <c r="S100" s="35">
        <f t="shared" si="16"/>
        <v>0</v>
      </c>
      <c r="T100" s="35">
        <f t="shared" si="16"/>
        <v>3098.1709081872577</v>
      </c>
      <c r="U100" s="35">
        <f t="shared" si="16"/>
        <v>0</v>
      </c>
      <c r="V100" s="35">
        <f t="shared" si="16"/>
        <v>0</v>
      </c>
      <c r="X100" s="40">
        <f t="shared" si="14"/>
        <v>3098.1709081872577</v>
      </c>
    </row>
    <row r="101" spans="2:24">
      <c r="B101" s="94" t="str">
        <f t="shared" si="12"/>
        <v>City Gate Heater Replacements - $50k</v>
      </c>
      <c r="P101" s="35">
        <f t="shared" ref="P101:V101" si="17">$D14*P77</f>
        <v>0</v>
      </c>
      <c r="Q101" s="35">
        <f t="shared" si="17"/>
        <v>0</v>
      </c>
      <c r="R101" s="35">
        <f t="shared" si="17"/>
        <v>1024.0620847415812</v>
      </c>
      <c r="S101" s="35">
        <f t="shared" si="17"/>
        <v>0</v>
      </c>
      <c r="T101" s="35">
        <f t="shared" si="17"/>
        <v>0</v>
      </c>
      <c r="U101" s="35">
        <f t="shared" si="17"/>
        <v>0</v>
      </c>
      <c r="V101" s="35">
        <f t="shared" si="17"/>
        <v>0</v>
      </c>
      <c r="X101" s="40">
        <f t="shared" si="14"/>
        <v>1024.0620847415812</v>
      </c>
    </row>
    <row r="102" spans="2:24">
      <c r="B102" s="94" t="str">
        <f t="shared" si="12"/>
        <v>City Gate Heater Replacements - $80k</v>
      </c>
      <c r="P102" s="35">
        <f t="shared" ref="P102:V102" si="18">$D15*P78</f>
        <v>0</v>
      </c>
      <c r="Q102" s="35">
        <f t="shared" si="18"/>
        <v>0</v>
      </c>
      <c r="R102" s="35">
        <f t="shared" si="18"/>
        <v>4915.4980067595907</v>
      </c>
      <c r="S102" s="35">
        <f t="shared" si="18"/>
        <v>1644.5483677516845</v>
      </c>
      <c r="T102" s="35">
        <f t="shared" si="18"/>
        <v>0</v>
      </c>
      <c r="U102" s="35">
        <f t="shared" si="18"/>
        <v>0</v>
      </c>
      <c r="V102" s="35">
        <f t="shared" si="18"/>
        <v>0</v>
      </c>
      <c r="X102" s="40">
        <f t="shared" si="14"/>
        <v>6560.0463745112756</v>
      </c>
    </row>
    <row r="103" spans="2:24">
      <c r="B103" s="94" t="str">
        <f t="shared" si="12"/>
        <v>City Gate Heater Replacements - $500k</v>
      </c>
      <c r="P103" s="35">
        <f t="shared" ref="P103:V103" si="19">$D16*P79</f>
        <v>0</v>
      </c>
      <c r="Q103" s="35">
        <f t="shared" si="19"/>
        <v>0</v>
      </c>
      <c r="R103" s="35">
        <f t="shared" si="19"/>
        <v>0</v>
      </c>
      <c r="S103" s="35">
        <f t="shared" si="19"/>
        <v>10278.427298448029</v>
      </c>
      <c r="T103" s="35">
        <f t="shared" si="19"/>
        <v>10327.236360624192</v>
      </c>
      <c r="U103" s="35">
        <f t="shared" si="19"/>
        <v>0</v>
      </c>
      <c r="V103" s="35">
        <f t="shared" si="19"/>
        <v>0</v>
      </c>
      <c r="X103" s="40">
        <f t="shared" si="14"/>
        <v>20605.663659072219</v>
      </c>
    </row>
    <row r="104" spans="2:24">
      <c r="B104" s="94" t="str">
        <f t="shared" si="12"/>
        <v>City Gate Heater Replacements - $600k</v>
      </c>
      <c r="P104" s="35">
        <f t="shared" ref="P104:V104" si="20">$D17*P80</f>
        <v>0</v>
      </c>
      <c r="Q104" s="35">
        <f t="shared" si="20"/>
        <v>0</v>
      </c>
      <c r="R104" s="35">
        <f t="shared" si="20"/>
        <v>12288.745016898974</v>
      </c>
      <c r="S104" s="35">
        <f t="shared" si="20"/>
        <v>12334.112758137633</v>
      </c>
      <c r="T104" s="35">
        <f t="shared" si="20"/>
        <v>0</v>
      </c>
      <c r="U104" s="35">
        <f t="shared" si="20"/>
        <v>0</v>
      </c>
      <c r="V104" s="35">
        <f t="shared" si="20"/>
        <v>0</v>
      </c>
      <c r="X104" s="40">
        <f t="shared" si="14"/>
        <v>24622.857775036609</v>
      </c>
    </row>
    <row r="105" spans="2:24">
      <c r="B105" s="94" t="str">
        <f t="shared" si="12"/>
        <v>[blank]</v>
      </c>
      <c r="X105" s="40">
        <f t="shared" si="14"/>
        <v>0</v>
      </c>
    </row>
    <row r="106" spans="2:24">
      <c r="B106" s="94" t="str">
        <f t="shared" si="12"/>
        <v>[blank]</v>
      </c>
      <c r="X106" s="40">
        <f t="shared" si="14"/>
        <v>0</v>
      </c>
    </row>
    <row r="107" spans="2:24">
      <c r="B107" s="94" t="str">
        <f t="shared" si="12"/>
        <v>[blank]</v>
      </c>
      <c r="X107" s="40">
        <f t="shared" si="14"/>
        <v>0</v>
      </c>
    </row>
    <row r="108" spans="2:24">
      <c r="B108" s="94" t="str">
        <f t="shared" si="12"/>
        <v>[blank]</v>
      </c>
      <c r="X108" s="40">
        <f t="shared" si="14"/>
        <v>0</v>
      </c>
    </row>
    <row r="109" spans="2:24">
      <c r="B109" s="94" t="str">
        <f t="shared" si="12"/>
        <v>[blank]</v>
      </c>
      <c r="X109" s="40">
        <f t="shared" si="14"/>
        <v>0</v>
      </c>
    </row>
    <row r="110" spans="2:24">
      <c r="B110" s="94" t="str">
        <f t="shared" si="12"/>
        <v>[blank]</v>
      </c>
      <c r="X110" s="40">
        <f t="shared" si="14"/>
        <v>0</v>
      </c>
    </row>
    <row r="111" spans="2:24">
      <c r="B111" s="94" t="str">
        <f t="shared" si="12"/>
        <v>[blank]</v>
      </c>
      <c r="X111" s="40">
        <f t="shared" si="14"/>
        <v>0</v>
      </c>
    </row>
    <row r="113" spans="1:24" ht="12.75" thickBot="1">
      <c r="B113" s="5" t="s">
        <v>78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21">SUM(P97:P111)</f>
        <v>0</v>
      </c>
      <c r="Q113" s="37">
        <f t="shared" si="21"/>
        <v>13477.901660366126</v>
      </c>
      <c r="R113" s="37">
        <f t="shared" si="21"/>
        <v>34408.486047317128</v>
      </c>
      <c r="S113" s="37">
        <f t="shared" si="21"/>
        <v>40497.003555885232</v>
      </c>
      <c r="T113" s="37">
        <f t="shared" si="21"/>
        <v>25611.546174347997</v>
      </c>
      <c r="U113" s="37">
        <f t="shared" si="21"/>
        <v>21822.473052083569</v>
      </c>
      <c r="V113" s="37">
        <f t="shared" si="21"/>
        <v>17784.870097411538</v>
      </c>
      <c r="X113" s="37">
        <f t="shared" ref="X113" si="22">SUM(R113:V113)</f>
        <v>140124.37892704547</v>
      </c>
    </row>
    <row r="115" spans="1:24" s="1" customFormat="1">
      <c r="A115" s="4"/>
      <c r="B115" s="2" t="s">
        <v>80</v>
      </c>
    </row>
    <row r="117" spans="1:24">
      <c r="H117" s="190" t="s">
        <v>52</v>
      </c>
      <c r="I117" s="190"/>
      <c r="J117" s="190"/>
      <c r="K117" s="190"/>
      <c r="L117" s="190"/>
      <c r="M117" s="190" t="s">
        <v>53</v>
      </c>
      <c r="N117" s="190"/>
      <c r="O117" s="190"/>
      <c r="P117" s="190"/>
      <c r="Q117" s="190"/>
      <c r="R117" s="190" t="s">
        <v>54</v>
      </c>
      <c r="S117" s="190"/>
      <c r="T117" s="190"/>
      <c r="U117" s="190"/>
      <c r="V117" s="190"/>
      <c r="X117" s="38"/>
    </row>
    <row r="118" spans="1:24">
      <c r="B118" s="43" t="s">
        <v>81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63</v>
      </c>
    </row>
    <row r="119" spans="1:24">
      <c r="B119" s="5" t="s">
        <v>46</v>
      </c>
      <c r="D119" s="29" t="s">
        <v>55</v>
      </c>
      <c r="H119" s="16" t="s">
        <v>12</v>
      </c>
      <c r="I119" s="16" t="s">
        <v>12</v>
      </c>
      <c r="J119" s="16" t="s">
        <v>12</v>
      </c>
      <c r="K119" s="16" t="s">
        <v>12</v>
      </c>
      <c r="L119" s="16" t="s">
        <v>12</v>
      </c>
      <c r="M119" s="16" t="s">
        <v>12</v>
      </c>
      <c r="N119" s="16" t="s">
        <v>12</v>
      </c>
      <c r="O119" s="16" t="s">
        <v>12</v>
      </c>
      <c r="P119" s="16" t="s">
        <v>13</v>
      </c>
      <c r="Q119" s="16" t="s">
        <v>13</v>
      </c>
      <c r="R119" s="16" t="s">
        <v>13</v>
      </c>
      <c r="S119" s="16" t="s">
        <v>13</v>
      </c>
      <c r="T119" s="16" t="s">
        <v>13</v>
      </c>
      <c r="U119" s="16" t="s">
        <v>13</v>
      </c>
      <c r="V119" s="16" t="s">
        <v>13</v>
      </c>
      <c r="X119" s="34" t="s">
        <v>13</v>
      </c>
    </row>
    <row r="120" spans="1:24">
      <c r="B120" s="4" t="str">
        <f>IF(B10&lt;&gt;"",B10,"[blank]")</f>
        <v>Grove Regulator Replacement - City Gates</v>
      </c>
      <c r="D120" s="31" t="s">
        <v>60</v>
      </c>
      <c r="O120" s="35"/>
      <c r="P120" s="35">
        <f>$E10*P73</f>
        <v>0</v>
      </c>
      <c r="Q120" s="35">
        <f t="shared" ref="Q120:W120" si="23">$E10*Q73</f>
        <v>0</v>
      </c>
      <c r="R120" s="35">
        <f t="shared" si="23"/>
        <v>0</v>
      </c>
      <c r="S120" s="35">
        <f t="shared" si="23"/>
        <v>0</v>
      </c>
      <c r="T120" s="35">
        <f t="shared" si="23"/>
        <v>0</v>
      </c>
      <c r="U120" s="35">
        <f t="shared" si="23"/>
        <v>157953.13828174773</v>
      </c>
      <c r="V120" s="35">
        <f t="shared" si="23"/>
        <v>79508.831023722189</v>
      </c>
      <c r="W120" s="35">
        <f t="shared" si="23"/>
        <v>0</v>
      </c>
      <c r="X120" s="40">
        <f>SUM(R120:V120)</f>
        <v>237461.96930546992</v>
      </c>
    </row>
    <row r="121" spans="1:24">
      <c r="B121" s="94" t="str">
        <f t="shared" ref="B121:B134" si="24">IF(B11&lt;&gt;"",B11,"[blank]")</f>
        <v>Grove Regulator Replacement - Field Regulators</v>
      </c>
      <c r="D121" s="31" t="s">
        <v>60</v>
      </c>
      <c r="O121" s="50"/>
      <c r="P121" s="35">
        <f t="shared" ref="P121:W121" si="25">$E11*P74</f>
        <v>0</v>
      </c>
      <c r="Q121" s="35">
        <f t="shared" si="25"/>
        <v>100880.05182152826</v>
      </c>
      <c r="R121" s="35">
        <f t="shared" si="25"/>
        <v>151766.00095870232</v>
      </c>
      <c r="S121" s="35">
        <f t="shared" si="25"/>
        <v>152326.29256299976</v>
      </c>
      <c r="T121" s="35">
        <f t="shared" si="25"/>
        <v>153049.64286445052</v>
      </c>
      <c r="U121" s="35">
        <f t="shared" si="25"/>
        <v>256673.84970784007</v>
      </c>
      <c r="V121" s="35">
        <f t="shared" si="25"/>
        <v>258403.70082709705</v>
      </c>
      <c r="W121" s="35">
        <f t="shared" si="25"/>
        <v>0</v>
      </c>
      <c r="X121" s="40">
        <f t="shared" ref="X121:X134" si="26">SUM(R121:V121)</f>
        <v>972219.4869210897</v>
      </c>
    </row>
    <row r="122" spans="1:24">
      <c r="B122" s="94" t="str">
        <f t="shared" si="24"/>
        <v>Welker Jet  Regulator Upgrade Program - $200k</v>
      </c>
      <c r="D122" s="31" t="s">
        <v>60</v>
      </c>
      <c r="P122" s="35">
        <f t="shared" ref="P122:W122" si="27">$E12*P75</f>
        <v>0</v>
      </c>
      <c r="Q122" s="35">
        <f t="shared" si="27"/>
        <v>155200.07972542814</v>
      </c>
      <c r="R122" s="35">
        <f t="shared" si="27"/>
        <v>155657.43688072034</v>
      </c>
      <c r="S122" s="35">
        <f t="shared" si="27"/>
        <v>156232.09493641002</v>
      </c>
      <c r="T122" s="35">
        <f t="shared" si="27"/>
        <v>78486.996340743863</v>
      </c>
      <c r="U122" s="35">
        <f t="shared" si="27"/>
        <v>0</v>
      </c>
      <c r="V122" s="35">
        <f t="shared" si="27"/>
        <v>0</v>
      </c>
      <c r="W122" s="35">
        <f t="shared" si="27"/>
        <v>0</v>
      </c>
      <c r="X122" s="40">
        <f t="shared" si="26"/>
        <v>390376.52815787424</v>
      </c>
    </row>
    <row r="123" spans="1:24">
      <c r="B123" s="94" t="str">
        <f t="shared" si="24"/>
        <v>Welker Jet  Regulator Upgrade Program - $150k</v>
      </c>
      <c r="D123" s="31" t="s">
        <v>60</v>
      </c>
      <c r="P123" s="35">
        <f t="shared" ref="P123:W123" si="28">$E13*P76</f>
        <v>0</v>
      </c>
      <c r="Q123" s="35">
        <f t="shared" si="28"/>
        <v>0</v>
      </c>
      <c r="R123" s="35">
        <f t="shared" si="28"/>
        <v>0</v>
      </c>
      <c r="S123" s="35">
        <f t="shared" si="28"/>
        <v>0</v>
      </c>
      <c r="T123" s="35">
        <f t="shared" si="28"/>
        <v>58865.247255557893</v>
      </c>
      <c r="U123" s="35">
        <f t="shared" si="28"/>
        <v>0</v>
      </c>
      <c r="V123" s="35">
        <f t="shared" si="28"/>
        <v>0</v>
      </c>
      <c r="W123" s="35">
        <f t="shared" si="28"/>
        <v>0</v>
      </c>
      <c r="X123" s="40">
        <f t="shared" si="26"/>
        <v>58865.247255557893</v>
      </c>
    </row>
    <row r="124" spans="1:24">
      <c r="B124" s="94" t="str">
        <f t="shared" si="24"/>
        <v>City Gate Heater Replacements - $50k</v>
      </c>
      <c r="P124" s="35">
        <f t="shared" ref="P124:W124" si="29">$E14*P77</f>
        <v>0</v>
      </c>
      <c r="Q124" s="35">
        <f t="shared" si="29"/>
        <v>0</v>
      </c>
      <c r="R124" s="35">
        <f t="shared" si="29"/>
        <v>19457.179610090043</v>
      </c>
      <c r="S124" s="35">
        <f t="shared" si="29"/>
        <v>0</v>
      </c>
      <c r="T124" s="35">
        <f t="shared" si="29"/>
        <v>0</v>
      </c>
      <c r="U124" s="35">
        <f t="shared" si="29"/>
        <v>0</v>
      </c>
      <c r="V124" s="35">
        <f t="shared" si="29"/>
        <v>0</v>
      </c>
      <c r="W124" s="35">
        <f t="shared" si="29"/>
        <v>0</v>
      </c>
      <c r="X124" s="40">
        <f t="shared" si="26"/>
        <v>19457.179610090043</v>
      </c>
    </row>
    <row r="125" spans="1:24">
      <c r="B125" s="94" t="str">
        <f t="shared" si="24"/>
        <v>City Gate Heater Replacements - $80k</v>
      </c>
      <c r="P125" s="35">
        <f t="shared" ref="P125:W125" si="30">$E15*P78</f>
        <v>0</v>
      </c>
      <c r="Q125" s="35">
        <f t="shared" si="30"/>
        <v>0</v>
      </c>
      <c r="R125" s="35">
        <f t="shared" si="30"/>
        <v>93394.462128432235</v>
      </c>
      <c r="S125" s="35">
        <f t="shared" si="30"/>
        <v>31246.418987282006</v>
      </c>
      <c r="T125" s="35">
        <f t="shared" si="30"/>
        <v>0</v>
      </c>
      <c r="U125" s="35">
        <f t="shared" si="30"/>
        <v>0</v>
      </c>
      <c r="V125" s="35">
        <f t="shared" si="30"/>
        <v>0</v>
      </c>
      <c r="W125" s="35">
        <f t="shared" si="30"/>
        <v>0</v>
      </c>
      <c r="X125" s="40">
        <f t="shared" si="26"/>
        <v>124640.88111571423</v>
      </c>
    </row>
    <row r="126" spans="1:24">
      <c r="B126" s="94" t="str">
        <f t="shared" si="24"/>
        <v>City Gate Heater Replacements - $500k</v>
      </c>
      <c r="P126" s="35">
        <f t="shared" ref="P126:W126" si="31">$E16*P79</f>
        <v>0</v>
      </c>
      <c r="Q126" s="35">
        <f t="shared" si="31"/>
        <v>0</v>
      </c>
      <c r="R126" s="35">
        <f t="shared" si="31"/>
        <v>0</v>
      </c>
      <c r="S126" s="35">
        <f t="shared" si="31"/>
        <v>195290.11867051251</v>
      </c>
      <c r="T126" s="35">
        <f t="shared" si="31"/>
        <v>196217.49085185968</v>
      </c>
      <c r="U126" s="35">
        <f t="shared" si="31"/>
        <v>0</v>
      </c>
      <c r="V126" s="35">
        <f t="shared" si="31"/>
        <v>0</v>
      </c>
      <c r="W126" s="35">
        <f t="shared" si="31"/>
        <v>0</v>
      </c>
      <c r="X126" s="40">
        <f t="shared" si="26"/>
        <v>391507.60952237219</v>
      </c>
    </row>
    <row r="127" spans="1:24">
      <c r="B127" s="94" t="str">
        <f t="shared" si="24"/>
        <v>City Gate Heater Replacements - $600k</v>
      </c>
      <c r="P127" s="35">
        <f t="shared" ref="P127:W127" si="32">$E17*P80</f>
        <v>0</v>
      </c>
      <c r="Q127" s="35">
        <f t="shared" si="32"/>
        <v>0</v>
      </c>
      <c r="R127" s="35">
        <f t="shared" si="32"/>
        <v>233486.1553210805</v>
      </c>
      <c r="S127" s="35">
        <f t="shared" si="32"/>
        <v>234348.14240461504</v>
      </c>
      <c r="T127" s="35">
        <f t="shared" si="32"/>
        <v>0</v>
      </c>
      <c r="U127" s="35">
        <f t="shared" si="32"/>
        <v>0</v>
      </c>
      <c r="V127" s="35">
        <f t="shared" si="32"/>
        <v>0</v>
      </c>
      <c r="W127" s="35">
        <f t="shared" si="32"/>
        <v>0</v>
      </c>
      <c r="X127" s="40">
        <f t="shared" si="26"/>
        <v>467834.29772569553</v>
      </c>
    </row>
    <row r="128" spans="1:24">
      <c r="B128" s="94" t="str">
        <f t="shared" si="24"/>
        <v>[blank]</v>
      </c>
      <c r="X128" s="40">
        <f t="shared" si="26"/>
        <v>0</v>
      </c>
    </row>
    <row r="129" spans="1:24">
      <c r="B129" s="94" t="str">
        <f t="shared" si="24"/>
        <v>[blank]</v>
      </c>
      <c r="X129" s="40">
        <f t="shared" si="26"/>
        <v>0</v>
      </c>
    </row>
    <row r="130" spans="1:24">
      <c r="B130" s="94" t="str">
        <f t="shared" si="24"/>
        <v>[blank]</v>
      </c>
      <c r="X130" s="40">
        <f t="shared" si="26"/>
        <v>0</v>
      </c>
    </row>
    <row r="131" spans="1:24">
      <c r="B131" s="94" t="str">
        <f t="shared" si="24"/>
        <v>[blank]</v>
      </c>
      <c r="X131" s="40">
        <f t="shared" si="26"/>
        <v>0</v>
      </c>
    </row>
    <row r="132" spans="1:24">
      <c r="B132" s="94" t="str">
        <f t="shared" si="24"/>
        <v>[blank]</v>
      </c>
      <c r="X132" s="40">
        <f t="shared" si="26"/>
        <v>0</v>
      </c>
    </row>
    <row r="133" spans="1:24">
      <c r="B133" s="94" t="str">
        <f t="shared" si="24"/>
        <v>[blank]</v>
      </c>
      <c r="X133" s="40">
        <f t="shared" si="26"/>
        <v>0</v>
      </c>
    </row>
    <row r="134" spans="1:24">
      <c r="B134" s="94" t="str">
        <f t="shared" si="24"/>
        <v>[blank]</v>
      </c>
      <c r="X134" s="40">
        <f t="shared" si="26"/>
        <v>0</v>
      </c>
    </row>
    <row r="136" spans="1:24" ht="12.75" thickBot="1">
      <c r="B136" s="5" t="s">
        <v>82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33">SUM(P120:P134)</f>
        <v>0</v>
      </c>
      <c r="Q136" s="37">
        <f t="shared" si="33"/>
        <v>256080.1315469564</v>
      </c>
      <c r="R136" s="37">
        <f t="shared" si="33"/>
        <v>653761.23489902541</v>
      </c>
      <c r="S136" s="37">
        <f t="shared" si="33"/>
        <v>769443.06756181933</v>
      </c>
      <c r="T136" s="37">
        <f t="shared" si="33"/>
        <v>486619.37731261196</v>
      </c>
      <c r="U136" s="37">
        <f t="shared" si="33"/>
        <v>414626.98798958783</v>
      </c>
      <c r="V136" s="37">
        <f t="shared" si="33"/>
        <v>337912.53185081924</v>
      </c>
      <c r="X136" s="37">
        <f t="shared" ref="X136" si="34">SUM(R136:V136)</f>
        <v>2662363.1996138636</v>
      </c>
    </row>
    <row r="138" spans="1:24" s="1" customFormat="1">
      <c r="A138" s="4"/>
      <c r="B138" s="2" t="s">
        <v>83</v>
      </c>
    </row>
    <row r="140" spans="1:24">
      <c r="H140" s="190" t="s">
        <v>52</v>
      </c>
      <c r="I140" s="190"/>
      <c r="J140" s="190"/>
      <c r="K140" s="190"/>
      <c r="L140" s="190"/>
      <c r="M140" s="190" t="s">
        <v>53</v>
      </c>
      <c r="N140" s="190"/>
      <c r="O140" s="190"/>
      <c r="P140" s="190"/>
      <c r="Q140" s="190"/>
      <c r="R140" s="190" t="s">
        <v>54</v>
      </c>
      <c r="S140" s="190"/>
      <c r="T140" s="190"/>
      <c r="U140" s="190"/>
      <c r="V140" s="190"/>
      <c r="X140" s="38"/>
    </row>
    <row r="141" spans="1:24">
      <c r="B141" s="43" t="s">
        <v>84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63</v>
      </c>
    </row>
    <row r="142" spans="1:24">
      <c r="B142" s="5" t="s">
        <v>46</v>
      </c>
      <c r="D142" s="29" t="s">
        <v>55</v>
      </c>
      <c r="H142" s="16" t="s">
        <v>12</v>
      </c>
      <c r="I142" s="16" t="s">
        <v>12</v>
      </c>
      <c r="J142" s="16" t="s">
        <v>12</v>
      </c>
      <c r="K142" s="16" t="s">
        <v>12</v>
      </c>
      <c r="L142" s="16" t="s">
        <v>12</v>
      </c>
      <c r="M142" s="16" t="s">
        <v>12</v>
      </c>
      <c r="N142" s="16" t="s">
        <v>12</v>
      </c>
      <c r="O142" s="16" t="s">
        <v>12</v>
      </c>
      <c r="P142" s="16" t="s">
        <v>13</v>
      </c>
      <c r="Q142" s="16" t="s">
        <v>13</v>
      </c>
      <c r="R142" s="16" t="s">
        <v>13</v>
      </c>
      <c r="S142" s="16" t="s">
        <v>13</v>
      </c>
      <c r="T142" s="16" t="s">
        <v>13</v>
      </c>
      <c r="U142" s="16" t="s">
        <v>13</v>
      </c>
      <c r="V142" s="16" t="s">
        <v>13</v>
      </c>
      <c r="X142" s="34" t="s">
        <v>13</v>
      </c>
    </row>
    <row r="143" spans="1:24">
      <c r="B143" s="4" t="str">
        <f>IF(B10&lt;&gt;"",B10,"[blank]")</f>
        <v>Grove Regulator Replacement - City Gates</v>
      </c>
      <c r="D143" s="31" t="s">
        <v>60</v>
      </c>
      <c r="O143" s="35"/>
      <c r="P143" s="35">
        <f>P97+P120</f>
        <v>0</v>
      </c>
      <c r="Q143" s="35">
        <f t="shared" ref="Q143:V143" si="35">Q97+Q120</f>
        <v>0</v>
      </c>
      <c r="R143" s="35">
        <f t="shared" si="35"/>
        <v>0</v>
      </c>
      <c r="S143" s="35">
        <f t="shared" si="35"/>
        <v>0</v>
      </c>
      <c r="T143" s="35">
        <f t="shared" si="35"/>
        <v>0</v>
      </c>
      <c r="U143" s="35">
        <f t="shared" si="35"/>
        <v>166266.46134920814</v>
      </c>
      <c r="V143" s="35">
        <f t="shared" si="35"/>
        <v>83693.506340760199</v>
      </c>
      <c r="X143" s="40">
        <f>SUM(R143:V143)</f>
        <v>249959.96768996835</v>
      </c>
    </row>
    <row r="144" spans="1:24">
      <c r="B144" s="94" t="str">
        <f t="shared" ref="B144:B157" si="36">IF(B11&lt;&gt;"",B11,"[blank]")</f>
        <v>Grove Regulator Replacement - Field Regulators</v>
      </c>
      <c r="D144" s="31" t="s">
        <v>60</v>
      </c>
      <c r="O144" s="50"/>
      <c r="P144" s="35">
        <f t="shared" ref="P144:V144" si="37">P98+P121</f>
        <v>0</v>
      </c>
      <c r="Q144" s="35">
        <f t="shared" si="37"/>
        <v>106189.52823318765</v>
      </c>
      <c r="R144" s="35">
        <f t="shared" si="37"/>
        <v>159753.68521968665</v>
      </c>
      <c r="S144" s="35">
        <f t="shared" si="37"/>
        <v>160343.46585578923</v>
      </c>
      <c r="T144" s="35">
        <f t="shared" si="37"/>
        <v>161104.88722573739</v>
      </c>
      <c r="U144" s="35">
        <f t="shared" si="37"/>
        <v>270182.99969246326</v>
      </c>
      <c r="V144" s="35">
        <f t="shared" si="37"/>
        <v>272003.89560747059</v>
      </c>
      <c r="X144" s="40">
        <f t="shared" ref="X144:X157" si="38">SUM(R144:V144)</f>
        <v>1023388.933601147</v>
      </c>
    </row>
    <row r="145" spans="2:24">
      <c r="B145" s="94" t="str">
        <f t="shared" si="36"/>
        <v>Welker Jet  Regulator Upgrade Program - $200k</v>
      </c>
      <c r="D145" s="31" t="s">
        <v>60</v>
      </c>
      <c r="P145" s="35">
        <f t="shared" ref="P145:V145" si="39">P99+P122</f>
        <v>0</v>
      </c>
      <c r="Q145" s="35">
        <f t="shared" si="39"/>
        <v>163368.50497413488</v>
      </c>
      <c r="R145" s="35">
        <f t="shared" si="39"/>
        <v>163849.93355865299</v>
      </c>
      <c r="S145" s="35">
        <f t="shared" si="39"/>
        <v>164454.83677516846</v>
      </c>
      <c r="T145" s="35">
        <f t="shared" si="39"/>
        <v>82617.89088499354</v>
      </c>
      <c r="U145" s="35">
        <f t="shared" si="39"/>
        <v>0</v>
      </c>
      <c r="V145" s="35">
        <f t="shared" si="39"/>
        <v>0</v>
      </c>
      <c r="X145" s="40">
        <f t="shared" si="38"/>
        <v>410922.66121881496</v>
      </c>
    </row>
    <row r="146" spans="2:24">
      <c r="B146" s="94" t="str">
        <f t="shared" si="36"/>
        <v>Welker Jet  Regulator Upgrade Program - $150k</v>
      </c>
      <c r="D146" s="31" t="s">
        <v>60</v>
      </c>
      <c r="P146" s="35">
        <f t="shared" ref="P146:V146" si="40">P100+P123</f>
        <v>0</v>
      </c>
      <c r="Q146" s="35">
        <f t="shared" si="40"/>
        <v>0</v>
      </c>
      <c r="R146" s="35">
        <f t="shared" si="40"/>
        <v>0</v>
      </c>
      <c r="S146" s="35">
        <f t="shared" si="40"/>
        <v>0</v>
      </c>
      <c r="T146" s="35">
        <f t="shared" si="40"/>
        <v>61963.418163745155</v>
      </c>
      <c r="U146" s="35">
        <f t="shared" si="40"/>
        <v>0</v>
      </c>
      <c r="V146" s="35">
        <f t="shared" si="40"/>
        <v>0</v>
      </c>
      <c r="X146" s="40">
        <f t="shared" si="38"/>
        <v>61963.418163745155</v>
      </c>
    </row>
    <row r="147" spans="2:24">
      <c r="B147" s="94" t="str">
        <f t="shared" si="36"/>
        <v>City Gate Heater Replacements - $50k</v>
      </c>
      <c r="P147" s="35">
        <f t="shared" ref="P147:V147" si="41">P101+P124</f>
        <v>0</v>
      </c>
      <c r="Q147" s="35">
        <f t="shared" si="41"/>
        <v>0</v>
      </c>
      <c r="R147" s="35">
        <f t="shared" si="41"/>
        <v>20481.241694831624</v>
      </c>
      <c r="S147" s="35">
        <f t="shared" si="41"/>
        <v>0</v>
      </c>
      <c r="T147" s="35">
        <f t="shared" si="41"/>
        <v>0</v>
      </c>
      <c r="U147" s="35">
        <f t="shared" si="41"/>
        <v>0</v>
      </c>
      <c r="V147" s="35">
        <f t="shared" si="41"/>
        <v>0</v>
      </c>
      <c r="X147" s="40">
        <f t="shared" si="38"/>
        <v>20481.241694831624</v>
      </c>
    </row>
    <row r="148" spans="2:24">
      <c r="B148" s="94" t="str">
        <f t="shared" si="36"/>
        <v>City Gate Heater Replacements - $80k</v>
      </c>
      <c r="P148" s="35">
        <f t="shared" ref="P148:V148" si="42">P102+P125</f>
        <v>0</v>
      </c>
      <c r="Q148" s="35">
        <f t="shared" si="42"/>
        <v>0</v>
      </c>
      <c r="R148" s="35">
        <f t="shared" si="42"/>
        <v>98309.960135191825</v>
      </c>
      <c r="S148" s="35">
        <f t="shared" si="42"/>
        <v>32890.967355033688</v>
      </c>
      <c r="T148" s="35">
        <f t="shared" si="42"/>
        <v>0</v>
      </c>
      <c r="U148" s="35">
        <f t="shared" si="42"/>
        <v>0</v>
      </c>
      <c r="V148" s="35">
        <f t="shared" si="42"/>
        <v>0</v>
      </c>
      <c r="X148" s="40">
        <f t="shared" si="38"/>
        <v>131200.92749022553</v>
      </c>
    </row>
    <row r="149" spans="2:24">
      <c r="B149" s="94" t="str">
        <f t="shared" si="36"/>
        <v>City Gate Heater Replacements - $500k</v>
      </c>
      <c r="P149" s="35">
        <f t="shared" ref="P149:V149" si="43">P103+P126</f>
        <v>0</v>
      </c>
      <c r="Q149" s="35">
        <f t="shared" si="43"/>
        <v>0</v>
      </c>
      <c r="R149" s="35">
        <f t="shared" si="43"/>
        <v>0</v>
      </c>
      <c r="S149" s="35">
        <f t="shared" si="43"/>
        <v>205568.54596896053</v>
      </c>
      <c r="T149" s="35">
        <f t="shared" si="43"/>
        <v>206544.72721248388</v>
      </c>
      <c r="U149" s="35">
        <f t="shared" si="43"/>
        <v>0</v>
      </c>
      <c r="V149" s="35">
        <f t="shared" si="43"/>
        <v>0</v>
      </c>
      <c r="X149" s="40">
        <f t="shared" si="38"/>
        <v>412113.27318144438</v>
      </c>
    </row>
    <row r="150" spans="2:24">
      <c r="B150" s="94" t="str">
        <f t="shared" si="36"/>
        <v>City Gate Heater Replacements - $600k</v>
      </c>
      <c r="P150" s="35">
        <f t="shared" ref="P150:V150" si="44">P104+P127</f>
        <v>0</v>
      </c>
      <c r="Q150" s="35">
        <f t="shared" si="44"/>
        <v>0</v>
      </c>
      <c r="R150" s="35">
        <f t="shared" si="44"/>
        <v>245774.90033797949</v>
      </c>
      <c r="S150" s="35">
        <f t="shared" si="44"/>
        <v>246682.25516275267</v>
      </c>
      <c r="T150" s="35">
        <f t="shared" si="44"/>
        <v>0</v>
      </c>
      <c r="U150" s="35">
        <f t="shared" si="44"/>
        <v>0</v>
      </c>
      <c r="V150" s="35">
        <f t="shared" si="44"/>
        <v>0</v>
      </c>
      <c r="X150" s="40">
        <f t="shared" si="38"/>
        <v>492457.15550073213</v>
      </c>
    </row>
    <row r="151" spans="2:24">
      <c r="B151" s="94" t="str">
        <f t="shared" si="36"/>
        <v>[blank]</v>
      </c>
      <c r="X151" s="40">
        <f t="shared" si="38"/>
        <v>0</v>
      </c>
    </row>
    <row r="152" spans="2:24">
      <c r="B152" s="94" t="str">
        <f t="shared" si="36"/>
        <v>[blank]</v>
      </c>
      <c r="X152" s="40">
        <f t="shared" si="38"/>
        <v>0</v>
      </c>
    </row>
    <row r="153" spans="2:24">
      <c r="B153" s="94" t="str">
        <f t="shared" si="36"/>
        <v>[blank]</v>
      </c>
      <c r="X153" s="40">
        <f t="shared" si="38"/>
        <v>0</v>
      </c>
    </row>
    <row r="154" spans="2:24">
      <c r="B154" s="94" t="str">
        <f t="shared" si="36"/>
        <v>[blank]</v>
      </c>
      <c r="X154" s="40">
        <f t="shared" si="38"/>
        <v>0</v>
      </c>
    </row>
    <row r="155" spans="2:24">
      <c r="B155" s="94" t="str">
        <f t="shared" si="36"/>
        <v>[blank]</v>
      </c>
      <c r="X155" s="40">
        <f t="shared" si="38"/>
        <v>0</v>
      </c>
    </row>
    <row r="156" spans="2:24">
      <c r="B156" s="94" t="str">
        <f t="shared" si="36"/>
        <v>[blank]</v>
      </c>
      <c r="X156" s="40">
        <f t="shared" si="38"/>
        <v>0</v>
      </c>
    </row>
    <row r="157" spans="2:24">
      <c r="B157" s="94" t="str">
        <f t="shared" si="36"/>
        <v>[blank]</v>
      </c>
      <c r="X157" s="40">
        <f t="shared" si="38"/>
        <v>0</v>
      </c>
    </row>
    <row r="159" spans="2:24" ht="12.75" thickBot="1">
      <c r="B159" s="5" t="s">
        <v>85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45">SUM(Q143:Q157)</f>
        <v>269558.03320732253</v>
      </c>
      <c r="R159" s="37">
        <f t="shared" si="45"/>
        <v>688169.72094634268</v>
      </c>
      <c r="S159" s="37">
        <f t="shared" si="45"/>
        <v>809940.07111770462</v>
      </c>
      <c r="T159" s="37">
        <f t="shared" si="45"/>
        <v>512230.92348695995</v>
      </c>
      <c r="U159" s="37">
        <f t="shared" si="45"/>
        <v>436449.4610416714</v>
      </c>
      <c r="V159" s="37">
        <f t="shared" si="45"/>
        <v>355697.40194823081</v>
      </c>
      <c r="X159" s="37">
        <f t="shared" ref="X159" si="46">SUM(R159:V159)</f>
        <v>2802487.5785409096</v>
      </c>
    </row>
    <row r="161" spans="1:24" s="1" customFormat="1">
      <c r="A161" s="4"/>
      <c r="B161" s="2" t="s">
        <v>86</v>
      </c>
    </row>
    <row r="163" spans="1:24">
      <c r="H163" s="190" t="s">
        <v>52</v>
      </c>
      <c r="I163" s="190"/>
      <c r="J163" s="190"/>
      <c r="K163" s="190"/>
      <c r="L163" s="190"/>
      <c r="M163" s="190" t="s">
        <v>53</v>
      </c>
      <c r="N163" s="190"/>
      <c r="O163" s="190"/>
      <c r="P163" s="190"/>
      <c r="Q163" s="190"/>
      <c r="R163" s="190" t="s">
        <v>54</v>
      </c>
      <c r="S163" s="190"/>
      <c r="T163" s="190"/>
      <c r="U163" s="190"/>
      <c r="V163" s="190"/>
      <c r="X163" s="38"/>
    </row>
    <row r="164" spans="1:24">
      <c r="B164" s="44" t="s">
        <v>50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63</v>
      </c>
    </row>
    <row r="165" spans="1:24">
      <c r="B165" s="5" t="s">
        <v>46</v>
      </c>
      <c r="D165" s="29" t="s">
        <v>55</v>
      </c>
      <c r="H165" s="16" t="s">
        <v>12</v>
      </c>
      <c r="I165" s="16" t="s">
        <v>12</v>
      </c>
      <c r="J165" s="16" t="s">
        <v>12</v>
      </c>
      <c r="K165" s="16" t="s">
        <v>12</v>
      </c>
      <c r="L165" s="16" t="s">
        <v>12</v>
      </c>
      <c r="M165" s="16" t="s">
        <v>12</v>
      </c>
      <c r="N165" s="16" t="s">
        <v>12</v>
      </c>
      <c r="O165" s="16" t="s">
        <v>12</v>
      </c>
      <c r="P165" s="16" t="s">
        <v>13</v>
      </c>
      <c r="Q165" s="16" t="s">
        <v>13</v>
      </c>
      <c r="R165" s="16" t="s">
        <v>13</v>
      </c>
      <c r="S165" s="16" t="s">
        <v>13</v>
      </c>
      <c r="T165" s="16" t="s">
        <v>13</v>
      </c>
      <c r="U165" s="16" t="s">
        <v>13</v>
      </c>
      <c r="V165" s="16" t="s">
        <v>13</v>
      </c>
      <c r="X165" s="34" t="s">
        <v>13</v>
      </c>
    </row>
    <row r="166" spans="1:24">
      <c r="B166" s="4" t="str">
        <f>IF(B10&lt;&gt;"",B10,"[blank]")</f>
        <v>Grove Regulator Replacement - City Gates</v>
      </c>
      <c r="D166" s="31" t="s">
        <v>60</v>
      </c>
      <c r="O166" s="35"/>
      <c r="P166" s="35">
        <f>$G10*P73</f>
        <v>0</v>
      </c>
      <c r="Q166" s="35">
        <f t="shared" ref="Q166:V166" si="47">$G10*Q73</f>
        <v>0</v>
      </c>
      <c r="R166" s="35">
        <f t="shared" si="47"/>
        <v>0</v>
      </c>
      <c r="S166" s="35">
        <f t="shared" si="47"/>
        <v>0</v>
      </c>
      <c r="T166" s="35">
        <f t="shared" si="47"/>
        <v>0</v>
      </c>
      <c r="U166" s="35">
        <f t="shared" si="47"/>
        <v>249399.69202381221</v>
      </c>
      <c r="V166" s="35">
        <f t="shared" si="47"/>
        <v>125540.25951114029</v>
      </c>
      <c r="X166" s="40">
        <f>SUM(R166:V166)</f>
        <v>374939.9515349525</v>
      </c>
    </row>
    <row r="167" spans="1:24">
      <c r="B167" s="94" t="str">
        <f t="shared" ref="B167:B180" si="48">IF(B11&lt;&gt;"",B11,"[blank]")</f>
        <v>Grove Regulator Replacement - Field Regulators</v>
      </c>
      <c r="D167" s="31" t="s">
        <v>60</v>
      </c>
      <c r="O167" s="50"/>
      <c r="P167" s="35">
        <f t="shared" ref="P167:V167" si="49">$G11*P74</f>
        <v>0</v>
      </c>
      <c r="Q167" s="35">
        <f t="shared" si="49"/>
        <v>159284.29234978146</v>
      </c>
      <c r="R167" s="35">
        <f t="shared" si="49"/>
        <v>239630.52782952995</v>
      </c>
      <c r="S167" s="35">
        <f t="shared" si="49"/>
        <v>240515.19878368379</v>
      </c>
      <c r="T167" s="35">
        <f t="shared" si="49"/>
        <v>241657.33083860605</v>
      </c>
      <c r="U167" s="35">
        <f t="shared" si="49"/>
        <v>405274.4995386948</v>
      </c>
      <c r="V167" s="35">
        <f t="shared" si="49"/>
        <v>408005.84341120586</v>
      </c>
      <c r="X167" s="40">
        <f t="shared" ref="X167:X180" si="50">SUM(R167:V167)</f>
        <v>1535083.4004017203</v>
      </c>
    </row>
    <row r="168" spans="1:24">
      <c r="B168" s="94" t="str">
        <f t="shared" si="48"/>
        <v>Welker Jet  Regulator Upgrade Program - $200k</v>
      </c>
      <c r="D168" s="31" t="s">
        <v>60</v>
      </c>
      <c r="P168" s="35">
        <f t="shared" ref="P168:V168" si="51">$G12*P75</f>
        <v>0</v>
      </c>
      <c r="Q168" s="35">
        <f t="shared" si="51"/>
        <v>245052.7574612023</v>
      </c>
      <c r="R168" s="35">
        <f t="shared" si="51"/>
        <v>245774.90033797949</v>
      </c>
      <c r="S168" s="35">
        <f t="shared" si="51"/>
        <v>246682.25516275267</v>
      </c>
      <c r="T168" s="35">
        <f t="shared" si="51"/>
        <v>123926.83632749031</v>
      </c>
      <c r="U168" s="35">
        <f t="shared" si="51"/>
        <v>0</v>
      </c>
      <c r="V168" s="35">
        <f t="shared" si="51"/>
        <v>0</v>
      </c>
      <c r="X168" s="40">
        <f t="shared" si="50"/>
        <v>616383.99182822241</v>
      </c>
    </row>
    <row r="169" spans="1:24">
      <c r="B169" s="94" t="str">
        <f t="shared" si="48"/>
        <v>Welker Jet  Regulator Upgrade Program - $150k</v>
      </c>
      <c r="D169" s="31" t="s">
        <v>60</v>
      </c>
      <c r="P169" s="35">
        <f t="shared" ref="P169:V169" si="52">$G13*P76</f>
        <v>0</v>
      </c>
      <c r="Q169" s="35">
        <f t="shared" si="52"/>
        <v>0</v>
      </c>
      <c r="R169" s="35">
        <f t="shared" si="52"/>
        <v>0</v>
      </c>
      <c r="S169" s="35">
        <f t="shared" si="52"/>
        <v>0</v>
      </c>
      <c r="T169" s="35">
        <f t="shared" si="52"/>
        <v>92945.127245617725</v>
      </c>
      <c r="U169" s="35">
        <f t="shared" si="52"/>
        <v>0</v>
      </c>
      <c r="V169" s="35">
        <f t="shared" si="52"/>
        <v>0</v>
      </c>
      <c r="X169" s="40">
        <f t="shared" si="50"/>
        <v>92945.127245617725</v>
      </c>
    </row>
    <row r="170" spans="1:24">
      <c r="B170" s="94" t="str">
        <f t="shared" si="48"/>
        <v>City Gate Heater Replacements - $50k</v>
      </c>
      <c r="P170" s="35">
        <f t="shared" ref="P170:V170" si="53">$G14*P77</f>
        <v>0</v>
      </c>
      <c r="Q170" s="35">
        <f t="shared" si="53"/>
        <v>0</v>
      </c>
      <c r="R170" s="35">
        <f t="shared" si="53"/>
        <v>30721.862542247436</v>
      </c>
      <c r="S170" s="35">
        <f t="shared" si="53"/>
        <v>0</v>
      </c>
      <c r="T170" s="35">
        <f t="shared" si="53"/>
        <v>0</v>
      </c>
      <c r="U170" s="35">
        <f t="shared" si="53"/>
        <v>0</v>
      </c>
      <c r="V170" s="35">
        <f t="shared" si="53"/>
        <v>0</v>
      </c>
      <c r="X170" s="40">
        <f t="shared" si="50"/>
        <v>30721.862542247436</v>
      </c>
    </row>
    <row r="171" spans="1:24">
      <c r="B171" s="94" t="str">
        <f t="shared" si="48"/>
        <v>City Gate Heater Replacements - $80k</v>
      </c>
      <c r="P171" s="35">
        <f t="shared" ref="P171:V171" si="54">$G15*P78</f>
        <v>0</v>
      </c>
      <c r="Q171" s="35">
        <f t="shared" si="54"/>
        <v>0</v>
      </c>
      <c r="R171" s="35">
        <f t="shared" si="54"/>
        <v>147464.94020278772</v>
      </c>
      <c r="S171" s="35">
        <f t="shared" si="54"/>
        <v>49336.451032550533</v>
      </c>
      <c r="T171" s="35">
        <f t="shared" si="54"/>
        <v>0</v>
      </c>
      <c r="U171" s="35">
        <f t="shared" si="54"/>
        <v>0</v>
      </c>
      <c r="V171" s="35">
        <f t="shared" si="54"/>
        <v>0</v>
      </c>
      <c r="X171" s="40">
        <f t="shared" si="50"/>
        <v>196801.39123533826</v>
      </c>
    </row>
    <row r="172" spans="1:24">
      <c r="B172" s="94" t="str">
        <f t="shared" si="48"/>
        <v>City Gate Heater Replacements - $500k</v>
      </c>
      <c r="P172" s="35">
        <f t="shared" ref="P172:V172" si="55">$G16*P79</f>
        <v>0</v>
      </c>
      <c r="Q172" s="35">
        <f t="shared" si="55"/>
        <v>0</v>
      </c>
      <c r="R172" s="35">
        <f t="shared" si="55"/>
        <v>0</v>
      </c>
      <c r="S172" s="35">
        <f t="shared" si="55"/>
        <v>308352.81895344082</v>
      </c>
      <c r="T172" s="35">
        <f t="shared" si="55"/>
        <v>309817.09081872576</v>
      </c>
      <c r="U172" s="35">
        <f t="shared" si="55"/>
        <v>0</v>
      </c>
      <c r="V172" s="35">
        <f t="shared" si="55"/>
        <v>0</v>
      </c>
      <c r="X172" s="40">
        <f t="shared" si="50"/>
        <v>618169.90977216652</v>
      </c>
    </row>
    <row r="173" spans="1:24">
      <c r="B173" s="94" t="str">
        <f t="shared" si="48"/>
        <v>City Gate Heater Replacements - $600k</v>
      </c>
      <c r="P173" s="35">
        <f t="shared" ref="P173:V173" si="56">$G17*P80</f>
        <v>0</v>
      </c>
      <c r="Q173" s="35">
        <f t="shared" si="56"/>
        <v>0</v>
      </c>
      <c r="R173" s="35">
        <f t="shared" si="56"/>
        <v>368662.3505069692</v>
      </c>
      <c r="S173" s="35">
        <f t="shared" si="56"/>
        <v>370023.38274412899</v>
      </c>
      <c r="T173" s="35">
        <f t="shared" si="56"/>
        <v>0</v>
      </c>
      <c r="U173" s="35">
        <f t="shared" si="56"/>
        <v>0</v>
      </c>
      <c r="V173" s="35">
        <f t="shared" si="56"/>
        <v>0</v>
      </c>
      <c r="X173" s="40">
        <f t="shared" si="50"/>
        <v>738685.73325109819</v>
      </c>
    </row>
    <row r="174" spans="1:24">
      <c r="B174" s="94" t="str">
        <f t="shared" si="48"/>
        <v>[blank]</v>
      </c>
      <c r="X174" s="40">
        <f t="shared" si="50"/>
        <v>0</v>
      </c>
    </row>
    <row r="175" spans="1:24">
      <c r="B175" s="94" t="str">
        <f t="shared" si="48"/>
        <v>[blank]</v>
      </c>
      <c r="X175" s="40">
        <f t="shared" si="50"/>
        <v>0</v>
      </c>
    </row>
    <row r="176" spans="1:24">
      <c r="B176" s="94" t="str">
        <f t="shared" si="48"/>
        <v>[blank]</v>
      </c>
      <c r="X176" s="40">
        <f t="shared" si="50"/>
        <v>0</v>
      </c>
    </row>
    <row r="177" spans="1:24">
      <c r="B177" s="94" t="str">
        <f t="shared" si="48"/>
        <v>[blank]</v>
      </c>
      <c r="X177" s="40">
        <f t="shared" si="50"/>
        <v>0</v>
      </c>
    </row>
    <row r="178" spans="1:24">
      <c r="B178" s="94" t="str">
        <f t="shared" si="48"/>
        <v>[blank]</v>
      </c>
      <c r="X178" s="40">
        <f t="shared" si="50"/>
        <v>0</v>
      </c>
    </row>
    <row r="179" spans="1:24">
      <c r="B179" s="94" t="str">
        <f t="shared" si="48"/>
        <v>[blank]</v>
      </c>
      <c r="X179" s="40">
        <f t="shared" si="50"/>
        <v>0</v>
      </c>
    </row>
    <row r="180" spans="1:24">
      <c r="B180" s="94" t="str">
        <f t="shared" si="48"/>
        <v>[blank]</v>
      </c>
      <c r="X180" s="40">
        <f t="shared" si="50"/>
        <v>0</v>
      </c>
    </row>
    <row r="182" spans="1:24" ht="12.75" thickBot="1">
      <c r="B182" s="5" t="s">
        <v>87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57">SUM(Q166:Q180)</f>
        <v>404337.04981098376</v>
      </c>
      <c r="R182" s="37">
        <f t="shared" si="57"/>
        <v>1032254.5814195138</v>
      </c>
      <c r="S182" s="37">
        <f t="shared" si="57"/>
        <v>1214910.1066765569</v>
      </c>
      <c r="T182" s="37">
        <f t="shared" si="57"/>
        <v>768346.38523043995</v>
      </c>
      <c r="U182" s="37">
        <f t="shared" si="57"/>
        <v>654674.19156250707</v>
      </c>
      <c r="V182" s="37">
        <f t="shared" si="57"/>
        <v>533546.10292234621</v>
      </c>
      <c r="X182" s="37">
        <f t="shared" ref="X182" si="58">SUM(R182:V182)</f>
        <v>4203731.3678113641</v>
      </c>
    </row>
    <row r="184" spans="1:24" s="1" customFormat="1">
      <c r="A184" s="2">
        <v>6</v>
      </c>
      <c r="B184" s="2" t="s">
        <v>89</v>
      </c>
    </row>
    <row r="186" spans="1:24">
      <c r="H186" s="190" t="s">
        <v>52</v>
      </c>
      <c r="I186" s="190"/>
      <c r="J186" s="190"/>
      <c r="K186" s="190"/>
      <c r="L186" s="190"/>
      <c r="M186" s="190" t="s">
        <v>53</v>
      </c>
      <c r="N186" s="190"/>
      <c r="O186" s="190"/>
      <c r="P186" s="190"/>
      <c r="Q186" s="190"/>
      <c r="R186" s="190" t="s">
        <v>54</v>
      </c>
      <c r="S186" s="190"/>
      <c r="T186" s="190"/>
      <c r="U186" s="190"/>
      <c r="V186" s="190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63</v>
      </c>
    </row>
    <row r="188" spans="1:24">
      <c r="B188" s="5" t="s">
        <v>46</v>
      </c>
      <c r="D188" s="29" t="s">
        <v>55</v>
      </c>
      <c r="H188" s="16" t="s">
        <v>12</v>
      </c>
      <c r="I188" s="16" t="s">
        <v>12</v>
      </c>
      <c r="J188" s="16" t="s">
        <v>12</v>
      </c>
      <c r="K188" s="16" t="s">
        <v>12</v>
      </c>
      <c r="L188" s="16" t="s">
        <v>12</v>
      </c>
      <c r="M188" s="16" t="s">
        <v>12</v>
      </c>
      <c r="N188" s="16" t="s">
        <v>12</v>
      </c>
      <c r="O188" s="16" t="s">
        <v>12</v>
      </c>
      <c r="P188" s="16" t="s">
        <v>13</v>
      </c>
      <c r="Q188" s="16" t="s">
        <v>13</v>
      </c>
      <c r="R188" s="16" t="s">
        <v>13</v>
      </c>
      <c r="S188" s="16" t="s">
        <v>13</v>
      </c>
      <c r="T188" s="16" t="s">
        <v>13</v>
      </c>
      <c r="U188" s="16" t="s">
        <v>13</v>
      </c>
      <c r="V188" s="16" t="s">
        <v>13</v>
      </c>
      <c r="X188" s="34" t="s">
        <v>13</v>
      </c>
    </row>
    <row r="189" spans="1:24">
      <c r="B189" s="4" t="str">
        <f>IF(B10&lt;&gt;"",B10,"[blank]")</f>
        <v>Grove Regulator Replacement - City Gates</v>
      </c>
      <c r="D189" s="31" t="s">
        <v>60</v>
      </c>
      <c r="O189" s="35"/>
      <c r="P189" s="35">
        <f>P73*P$208</f>
        <v>0</v>
      </c>
      <c r="Q189" s="35">
        <f t="shared" ref="Q189:W189" si="59">Q73*Q$208</f>
        <v>0</v>
      </c>
      <c r="R189" s="35">
        <f t="shared" si="59"/>
        <v>0</v>
      </c>
      <c r="S189" s="35">
        <f t="shared" si="59"/>
        <v>0</v>
      </c>
      <c r="T189" s="35">
        <f t="shared" si="59"/>
        <v>0</v>
      </c>
      <c r="U189" s="35">
        <f t="shared" si="59"/>
        <v>33966.443487575925</v>
      </c>
      <c r="V189" s="35">
        <f t="shared" si="59"/>
        <v>17657.780241519569</v>
      </c>
      <c r="W189" s="35">
        <f t="shared" si="59"/>
        <v>0</v>
      </c>
      <c r="X189" s="40">
        <f>SUM(R189:V189)</f>
        <v>51624.223729095494</v>
      </c>
    </row>
    <row r="190" spans="1:24">
      <c r="B190" s="94" t="str">
        <f t="shared" ref="B190:B203" si="60">IF(B11&lt;&gt;"",B11,"[blank]")</f>
        <v>Grove Regulator Replacement - Field Regulators</v>
      </c>
      <c r="D190" s="31" t="s">
        <v>60</v>
      </c>
      <c r="O190" s="50"/>
      <c r="P190" s="35">
        <f t="shared" ref="P190:W190" si="61">P74*P$208</f>
        <v>0</v>
      </c>
      <c r="Q190" s="35">
        <f t="shared" si="61"/>
        <v>19868.511262139462</v>
      </c>
      <c r="R190" s="35">
        <f t="shared" si="61"/>
        <v>28823.881856270673</v>
      </c>
      <c r="S190" s="35">
        <f t="shared" si="61"/>
        <v>30570.722916577721</v>
      </c>
      <c r="T190" s="35">
        <f t="shared" si="61"/>
        <v>31184.532801795525</v>
      </c>
      <c r="U190" s="35">
        <f t="shared" si="61"/>
        <v>55195.470667310874</v>
      </c>
      <c r="V190" s="35">
        <f t="shared" si="61"/>
        <v>57387.785784938584</v>
      </c>
      <c r="W190" s="35">
        <f t="shared" si="61"/>
        <v>0</v>
      </c>
      <c r="X190" s="40">
        <f t="shared" ref="X190:X203" si="62">SUM(R190:V190)</f>
        <v>203162.39402689337</v>
      </c>
    </row>
    <row r="191" spans="1:24">
      <c r="B191" s="94" t="str">
        <f t="shared" si="60"/>
        <v>Welker Jet  Regulator Upgrade Program - $200k</v>
      </c>
      <c r="D191" s="31" t="s">
        <v>60</v>
      </c>
      <c r="P191" s="35">
        <f t="shared" ref="P191:W191" si="63">P75*P$208</f>
        <v>0</v>
      </c>
      <c r="Q191" s="35">
        <f t="shared" si="63"/>
        <v>30566.94040329149</v>
      </c>
      <c r="R191" s="35">
        <f t="shared" si="63"/>
        <v>29562.95575002121</v>
      </c>
      <c r="S191" s="35">
        <f t="shared" si="63"/>
        <v>31354.587606746383</v>
      </c>
      <c r="T191" s="35">
        <f t="shared" si="63"/>
        <v>15992.068103484888</v>
      </c>
      <c r="U191" s="35">
        <f t="shared" si="63"/>
        <v>0</v>
      </c>
      <c r="V191" s="35">
        <f t="shared" si="63"/>
        <v>0</v>
      </c>
      <c r="W191" s="35">
        <f t="shared" si="63"/>
        <v>0</v>
      </c>
      <c r="X191" s="40">
        <f t="shared" si="62"/>
        <v>76909.611460252476</v>
      </c>
    </row>
    <row r="192" spans="1:24">
      <c r="B192" s="94" t="str">
        <f t="shared" si="60"/>
        <v>Welker Jet  Regulator Upgrade Program - $150k</v>
      </c>
      <c r="D192" s="31" t="s">
        <v>60</v>
      </c>
      <c r="P192" s="35">
        <f t="shared" ref="P192:W192" si="64">P76*P$208</f>
        <v>0</v>
      </c>
      <c r="Q192" s="35">
        <f t="shared" si="64"/>
        <v>0</v>
      </c>
      <c r="R192" s="35">
        <f t="shared" si="64"/>
        <v>0</v>
      </c>
      <c r="S192" s="35">
        <f t="shared" si="64"/>
        <v>0</v>
      </c>
      <c r="T192" s="35">
        <f t="shared" si="64"/>
        <v>11994.051077613665</v>
      </c>
      <c r="U192" s="35">
        <f t="shared" si="64"/>
        <v>0</v>
      </c>
      <c r="V192" s="35">
        <f t="shared" si="64"/>
        <v>0</v>
      </c>
      <c r="W192" s="35">
        <f t="shared" si="64"/>
        <v>0</v>
      </c>
      <c r="X192" s="40">
        <f t="shared" si="62"/>
        <v>11994.051077613665</v>
      </c>
    </row>
    <row r="193" spans="2:24">
      <c r="B193" s="94" t="str">
        <f t="shared" si="60"/>
        <v>City Gate Heater Replacements - $50k</v>
      </c>
      <c r="P193" s="35">
        <f t="shared" ref="P193:W193" si="65">P77*P$208</f>
        <v>0</v>
      </c>
      <c r="Q193" s="35">
        <f t="shared" si="65"/>
        <v>0</v>
      </c>
      <c r="R193" s="35">
        <f t="shared" si="65"/>
        <v>3695.3694687526513</v>
      </c>
      <c r="S193" s="35">
        <f t="shared" si="65"/>
        <v>0</v>
      </c>
      <c r="T193" s="35">
        <f t="shared" si="65"/>
        <v>0</v>
      </c>
      <c r="U193" s="35">
        <f t="shared" si="65"/>
        <v>0</v>
      </c>
      <c r="V193" s="35">
        <f t="shared" si="65"/>
        <v>0</v>
      </c>
      <c r="W193" s="35">
        <f t="shared" si="65"/>
        <v>0</v>
      </c>
      <c r="X193" s="40">
        <f t="shared" si="62"/>
        <v>3695.3694687526513</v>
      </c>
    </row>
    <row r="194" spans="2:24">
      <c r="B194" s="94" t="str">
        <f t="shared" si="60"/>
        <v>City Gate Heater Replacements - $80k</v>
      </c>
      <c r="P194" s="35">
        <f t="shared" ref="P194:W194" si="66">P78*P$208</f>
        <v>0</v>
      </c>
      <c r="Q194" s="35">
        <f t="shared" si="66"/>
        <v>0</v>
      </c>
      <c r="R194" s="35">
        <f t="shared" si="66"/>
        <v>17737.77345001273</v>
      </c>
      <c r="S194" s="35">
        <f t="shared" si="66"/>
        <v>6270.9175213492772</v>
      </c>
      <c r="T194" s="35">
        <f t="shared" si="66"/>
        <v>0</v>
      </c>
      <c r="U194" s="35">
        <f t="shared" si="66"/>
        <v>0</v>
      </c>
      <c r="V194" s="35">
        <f t="shared" si="66"/>
        <v>0</v>
      </c>
      <c r="W194" s="35">
        <f t="shared" si="66"/>
        <v>0</v>
      </c>
      <c r="X194" s="40">
        <f t="shared" si="62"/>
        <v>24008.690971362008</v>
      </c>
    </row>
    <row r="195" spans="2:24">
      <c r="B195" s="94" t="str">
        <f t="shared" si="60"/>
        <v>City Gate Heater Replacements - $500k</v>
      </c>
      <c r="P195" s="35">
        <f t="shared" ref="P195:W195" si="67">P79*P$208</f>
        <v>0</v>
      </c>
      <c r="Q195" s="35">
        <f t="shared" si="67"/>
        <v>0</v>
      </c>
      <c r="R195" s="35">
        <f t="shared" si="67"/>
        <v>0</v>
      </c>
      <c r="S195" s="35">
        <f t="shared" si="67"/>
        <v>39193.234508432979</v>
      </c>
      <c r="T195" s="35">
        <f t="shared" si="67"/>
        <v>39980.17025871222</v>
      </c>
      <c r="U195" s="35">
        <f t="shared" si="67"/>
        <v>0</v>
      </c>
      <c r="V195" s="35">
        <f t="shared" si="67"/>
        <v>0</v>
      </c>
      <c r="W195" s="35">
        <f t="shared" si="67"/>
        <v>0</v>
      </c>
      <c r="X195" s="40">
        <f t="shared" si="62"/>
        <v>79173.404767145199</v>
      </c>
    </row>
    <row r="196" spans="2:24">
      <c r="B196" s="94" t="str">
        <f t="shared" si="60"/>
        <v>City Gate Heater Replacements - $600k</v>
      </c>
      <c r="P196" s="35">
        <f t="shared" ref="P196:W196" si="68">P80*P$208</f>
        <v>0</v>
      </c>
      <c r="Q196" s="35">
        <f t="shared" si="68"/>
        <v>0</v>
      </c>
      <c r="R196" s="35">
        <f t="shared" si="68"/>
        <v>44344.433625031808</v>
      </c>
      <c r="S196" s="35">
        <f t="shared" si="68"/>
        <v>47031.881410119575</v>
      </c>
      <c r="T196" s="35">
        <f t="shared" si="68"/>
        <v>0</v>
      </c>
      <c r="U196" s="35">
        <f t="shared" si="68"/>
        <v>0</v>
      </c>
      <c r="V196" s="35">
        <f t="shared" si="68"/>
        <v>0</v>
      </c>
      <c r="W196" s="35">
        <f t="shared" si="68"/>
        <v>0</v>
      </c>
      <c r="X196" s="40">
        <f t="shared" si="62"/>
        <v>91376.315035151376</v>
      </c>
    </row>
    <row r="197" spans="2:24">
      <c r="B197" s="94" t="str">
        <f t="shared" si="60"/>
        <v>[blank]</v>
      </c>
      <c r="X197" s="40">
        <f t="shared" si="62"/>
        <v>0</v>
      </c>
    </row>
    <row r="198" spans="2:24">
      <c r="B198" s="94" t="str">
        <f t="shared" si="60"/>
        <v>[blank]</v>
      </c>
      <c r="X198" s="40">
        <f t="shared" si="62"/>
        <v>0</v>
      </c>
    </row>
    <row r="199" spans="2:24">
      <c r="B199" s="94" t="str">
        <f t="shared" si="60"/>
        <v>[blank]</v>
      </c>
      <c r="X199" s="40">
        <f t="shared" si="62"/>
        <v>0</v>
      </c>
    </row>
    <row r="200" spans="2:24">
      <c r="B200" s="94" t="str">
        <f t="shared" si="60"/>
        <v>[blank]</v>
      </c>
      <c r="X200" s="40">
        <f t="shared" si="62"/>
        <v>0</v>
      </c>
    </row>
    <row r="201" spans="2:24">
      <c r="B201" s="94" t="str">
        <f t="shared" si="60"/>
        <v>[blank]</v>
      </c>
      <c r="X201" s="40">
        <f t="shared" si="62"/>
        <v>0</v>
      </c>
    </row>
    <row r="202" spans="2:24">
      <c r="B202" s="94" t="str">
        <f t="shared" si="60"/>
        <v>[blank]</v>
      </c>
      <c r="X202" s="40">
        <f t="shared" si="62"/>
        <v>0</v>
      </c>
    </row>
    <row r="203" spans="2:24">
      <c r="B203" s="94" t="str">
        <f t="shared" si="60"/>
        <v>[blank]</v>
      </c>
      <c r="X203" s="40">
        <f t="shared" si="62"/>
        <v>0</v>
      </c>
    </row>
    <row r="205" spans="2:24" ht="12.75" thickBot="1">
      <c r="B205" s="5" t="s">
        <v>88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69">SUM(Q189:Q203)</f>
        <v>50435.451665430955</v>
      </c>
      <c r="R205" s="37">
        <f t="shared" si="69"/>
        <v>124164.41415008908</v>
      </c>
      <c r="S205" s="37">
        <f t="shared" si="69"/>
        <v>154421.34396322595</v>
      </c>
      <c r="T205" s="37">
        <f t="shared" si="69"/>
        <v>99150.822241606307</v>
      </c>
      <c r="U205" s="37">
        <f t="shared" si="69"/>
        <v>89161.914154886792</v>
      </c>
      <c r="V205" s="37">
        <f t="shared" si="69"/>
        <v>75045.566026458153</v>
      </c>
      <c r="X205" s="37">
        <f t="shared" ref="X205" si="70">SUM(R205:V205)</f>
        <v>541944.0605362663</v>
      </c>
    </row>
    <row r="207" spans="2:24">
      <c r="B207" s="4" t="s">
        <v>92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71">Q89</f>
        <v>673895.08301830629</v>
      </c>
      <c r="R207" s="45">
        <f t="shared" si="71"/>
        <v>1720424.3023658565</v>
      </c>
      <c r="S207" s="45">
        <f t="shared" si="71"/>
        <v>2024850.1777942614</v>
      </c>
      <c r="T207" s="45">
        <f t="shared" si="71"/>
        <v>1280577.3087173998</v>
      </c>
      <c r="U207" s="45">
        <f t="shared" si="71"/>
        <v>1091123.6526041785</v>
      </c>
      <c r="V207" s="45">
        <f t="shared" si="71"/>
        <v>889243.50487057702</v>
      </c>
      <c r="W207" s="45"/>
      <c r="X207" s="40">
        <f t="shared" si="71"/>
        <v>7006218.9463522732</v>
      </c>
    </row>
    <row r="208" spans="2:24">
      <c r="B208" s="4" t="s">
        <v>90</v>
      </c>
      <c r="H208" s="21" t="str">
        <f>IFERROR(H212/H207,"")</f>
        <v/>
      </c>
      <c r="I208" s="21" t="str">
        <f t="shared" ref="I208:O208" si="72">IFERROR(I212/I207,"")</f>
        <v/>
      </c>
      <c r="J208" s="21" t="str">
        <f t="shared" si="72"/>
        <v/>
      </c>
      <c r="K208" s="21" t="str">
        <f t="shared" si="72"/>
        <v/>
      </c>
      <c r="L208" s="21" t="str">
        <f t="shared" si="72"/>
        <v/>
      </c>
      <c r="M208" s="21" t="str">
        <f t="shared" si="72"/>
        <v/>
      </c>
      <c r="N208" s="21" t="str">
        <f t="shared" si="72"/>
        <v/>
      </c>
      <c r="O208" s="21" t="str">
        <f t="shared" si="72"/>
        <v/>
      </c>
      <c r="P208" s="21">
        <f>'General assumptions'!S57</f>
        <v>0</v>
      </c>
      <c r="Q208" s="21">
        <f>'General assumptions'!T57</f>
        <v>7.4841697077734692E-2</v>
      </c>
      <c r="R208" s="21">
        <f>'General assumptions'!U57</f>
        <v>7.2170809247081261E-2</v>
      </c>
      <c r="S208" s="21">
        <f>'General assumptions'!V57</f>
        <v>7.6263096231367788E-2</v>
      </c>
      <c r="T208" s="21">
        <f>'General assumptions'!W57</f>
        <v>7.7426658716070601E-2</v>
      </c>
      <c r="U208" s="21">
        <f>'General assumptions'!X57</f>
        <v>8.1715682674538839E-2</v>
      </c>
      <c r="V208" s="21">
        <f>'General assumptions'!Y57</f>
        <v>8.4392593946897035E-2</v>
      </c>
      <c r="W208" s="21"/>
      <c r="X208" s="75">
        <f>X205/X207</f>
        <v>7.7351859067782164E-2</v>
      </c>
    </row>
    <row r="210" spans="1:24" ht="12.75" thickBot="1">
      <c r="B210" s="5" t="s">
        <v>91</v>
      </c>
      <c r="H210" s="37">
        <f t="shared" ref="H210:N210" si="73">IF(H188="forecast",H207*(1+H208),H207+H212)</f>
        <v>0</v>
      </c>
      <c r="I210" s="37">
        <f t="shared" si="73"/>
        <v>0</v>
      </c>
      <c r="J210" s="37">
        <f t="shared" si="73"/>
        <v>0</v>
      </c>
      <c r="K210" s="37">
        <f t="shared" si="73"/>
        <v>0</v>
      </c>
      <c r="L210" s="37">
        <f t="shared" si="73"/>
        <v>0</v>
      </c>
      <c r="M210" s="37">
        <f t="shared" si="73"/>
        <v>0</v>
      </c>
      <c r="N210" s="37">
        <f t="shared" si="73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74">IF(Q188="forecast",Q207*(1+Q208),Q207+Q212)</f>
        <v>724330.53468373732</v>
      </c>
      <c r="R210" s="37">
        <f t="shared" si="74"/>
        <v>1844588.7165159455</v>
      </c>
      <c r="S210" s="37">
        <f t="shared" si="74"/>
        <v>2179271.5217574872</v>
      </c>
      <c r="T210" s="37">
        <f t="shared" si="74"/>
        <v>1379728.130959006</v>
      </c>
      <c r="U210" s="37">
        <f t="shared" si="74"/>
        <v>1180285.5667590655</v>
      </c>
      <c r="V210" s="37">
        <f t="shared" si="74"/>
        <v>964289.07089703518</v>
      </c>
      <c r="X210" s="37">
        <f t="shared" ref="X210" si="75">IF(X188="forecast",X207*(1+X208),X207+X212)</f>
        <v>7548163.0068885395</v>
      </c>
    </row>
    <row r="212" spans="1:24">
      <c r="B212" s="4" t="s">
        <v>18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76">Q210-Q207</f>
        <v>50435.451665431028</v>
      </c>
      <c r="R212" s="45">
        <f t="shared" si="76"/>
        <v>124164.41415008903</v>
      </c>
      <c r="S212" s="45">
        <f t="shared" si="76"/>
        <v>154421.34396322584</v>
      </c>
      <c r="T212" s="45">
        <f t="shared" si="76"/>
        <v>99150.822241606191</v>
      </c>
      <c r="U212" s="45">
        <f t="shared" si="76"/>
        <v>89161.914154886967</v>
      </c>
      <c r="V212" s="45">
        <f t="shared" si="76"/>
        <v>75045.566026458167</v>
      </c>
      <c r="X212" s="40">
        <f t="shared" ref="X212" si="77">X210-X207</f>
        <v>541944.0605362663</v>
      </c>
    </row>
    <row r="214" spans="1:24" s="1" customFormat="1">
      <c r="A214" s="2">
        <v>7</v>
      </c>
      <c r="B214" s="2" t="s">
        <v>74</v>
      </c>
    </row>
    <row r="216" spans="1:24">
      <c r="H216" s="190" t="s">
        <v>52</v>
      </c>
      <c r="I216" s="190"/>
      <c r="J216" s="190"/>
      <c r="K216" s="190"/>
      <c r="L216" s="190"/>
      <c r="M216" s="190" t="s">
        <v>53</v>
      </c>
      <c r="N216" s="190"/>
      <c r="O216" s="190"/>
      <c r="P216" s="190"/>
      <c r="Q216" s="190"/>
      <c r="R216" s="190" t="s">
        <v>54</v>
      </c>
      <c r="S216" s="190"/>
      <c r="T216" s="190"/>
      <c r="U216" s="190"/>
      <c r="V216" s="190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63</v>
      </c>
    </row>
    <row r="218" spans="1:24">
      <c r="D218" s="29" t="s">
        <v>55</v>
      </c>
      <c r="H218" s="16" t="s">
        <v>12</v>
      </c>
      <c r="I218" s="16" t="s">
        <v>12</v>
      </c>
      <c r="J218" s="16" t="s">
        <v>12</v>
      </c>
      <c r="K218" s="16" t="s">
        <v>12</v>
      </c>
      <c r="L218" s="16" t="s">
        <v>12</v>
      </c>
      <c r="M218" s="16" t="s">
        <v>12</v>
      </c>
      <c r="N218" s="16" t="s">
        <v>12</v>
      </c>
      <c r="O218" s="16" t="s">
        <v>12</v>
      </c>
      <c r="P218" s="16" t="s">
        <v>13</v>
      </c>
      <c r="Q218" s="16" t="s">
        <v>13</v>
      </c>
      <c r="R218" s="16" t="s">
        <v>13</v>
      </c>
      <c r="S218" s="16" t="s">
        <v>13</v>
      </c>
      <c r="T218" s="16" t="s">
        <v>13</v>
      </c>
      <c r="U218" s="16" t="s">
        <v>13</v>
      </c>
      <c r="V218" s="16" t="s">
        <v>13</v>
      </c>
      <c r="X218" s="34" t="s">
        <v>13</v>
      </c>
    </row>
    <row r="219" spans="1:24">
      <c r="B219" s="5" t="s">
        <v>94</v>
      </c>
      <c r="D219" s="31" t="s">
        <v>105</v>
      </c>
      <c r="H219" s="4" t="str">
        <f t="shared" ref="H219:O219" si="78">IFERROR(-H238/H210,"")</f>
        <v/>
      </c>
      <c r="I219" s="4" t="str">
        <f t="shared" si="78"/>
        <v/>
      </c>
      <c r="J219" s="4" t="str">
        <f t="shared" si="78"/>
        <v/>
      </c>
      <c r="K219" s="4" t="str">
        <f t="shared" si="78"/>
        <v/>
      </c>
      <c r="L219" s="4" t="str">
        <f t="shared" si="78"/>
        <v/>
      </c>
      <c r="M219" s="4" t="str">
        <f t="shared" si="78"/>
        <v/>
      </c>
      <c r="N219" s="4" t="str">
        <f t="shared" si="78"/>
        <v/>
      </c>
      <c r="O219" s="4" t="str">
        <f t="shared" si="78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46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Grove Regulator Replacement - City Gates</v>
      </c>
      <c r="D222" s="31" t="s">
        <v>60</v>
      </c>
      <c r="P222" s="45">
        <f>(-P73*(1+P$208))*P$219</f>
        <v>0</v>
      </c>
      <c r="Q222" s="45">
        <f t="shared" ref="Q222:W222" si="79">(-Q73*(1+Q$208))*Q$219</f>
        <v>0</v>
      </c>
      <c r="R222" s="45">
        <f t="shared" si="79"/>
        <v>0</v>
      </c>
      <c r="S222" s="45">
        <f t="shared" si="79"/>
        <v>0</v>
      </c>
      <c r="T222" s="45">
        <f t="shared" si="79"/>
        <v>0</v>
      </c>
      <c r="U222" s="45">
        <f t="shared" si="79"/>
        <v>0</v>
      </c>
      <c r="V222" s="45">
        <f t="shared" si="79"/>
        <v>0</v>
      </c>
      <c r="W222" s="45">
        <f t="shared" si="79"/>
        <v>0</v>
      </c>
      <c r="X222" s="40">
        <f t="shared" ref="X222" si="80">SUM(R222:V222)</f>
        <v>0</v>
      </c>
    </row>
    <row r="223" spans="1:24">
      <c r="B223" s="94" t="str">
        <f t="shared" ref="B223:B236" si="81">IF(B11&lt;&gt;"",B11,"[blank]")</f>
        <v>Grove Regulator Replacement - Field Regulators</v>
      </c>
      <c r="D223" s="31" t="s">
        <v>60</v>
      </c>
      <c r="P223" s="45">
        <f t="shared" ref="P223:W223" si="82">(-P74*(1+P$208))*P$219</f>
        <v>0</v>
      </c>
      <c r="Q223" s="45">
        <f t="shared" si="82"/>
        <v>0</v>
      </c>
      <c r="R223" s="45">
        <f t="shared" si="82"/>
        <v>0</v>
      </c>
      <c r="S223" s="45">
        <f t="shared" si="82"/>
        <v>0</v>
      </c>
      <c r="T223" s="45">
        <f t="shared" si="82"/>
        <v>0</v>
      </c>
      <c r="U223" s="45">
        <f t="shared" si="82"/>
        <v>0</v>
      </c>
      <c r="V223" s="45">
        <f t="shared" si="82"/>
        <v>0</v>
      </c>
      <c r="W223" s="45">
        <f t="shared" si="82"/>
        <v>0</v>
      </c>
      <c r="X223" s="40"/>
    </row>
    <row r="224" spans="1:24">
      <c r="B224" s="94" t="str">
        <f t="shared" si="81"/>
        <v>Welker Jet  Regulator Upgrade Program - $200k</v>
      </c>
      <c r="D224" s="31" t="s">
        <v>60</v>
      </c>
      <c r="P224" s="45">
        <f t="shared" ref="P224:W224" si="83">(-P75*(1+P$208))*P$219</f>
        <v>0</v>
      </c>
      <c r="Q224" s="45">
        <f t="shared" si="83"/>
        <v>0</v>
      </c>
      <c r="R224" s="45">
        <f t="shared" si="83"/>
        <v>0</v>
      </c>
      <c r="S224" s="45">
        <f t="shared" si="83"/>
        <v>0</v>
      </c>
      <c r="T224" s="45">
        <f t="shared" si="83"/>
        <v>0</v>
      </c>
      <c r="U224" s="45">
        <f t="shared" si="83"/>
        <v>0</v>
      </c>
      <c r="V224" s="45">
        <f t="shared" si="83"/>
        <v>0</v>
      </c>
      <c r="W224" s="45">
        <f t="shared" si="83"/>
        <v>0</v>
      </c>
      <c r="X224" s="40"/>
    </row>
    <row r="225" spans="1:24">
      <c r="B225" s="94" t="str">
        <f t="shared" si="81"/>
        <v>Welker Jet  Regulator Upgrade Program - $150k</v>
      </c>
      <c r="D225" s="31" t="s">
        <v>60</v>
      </c>
      <c r="P225" s="45">
        <f t="shared" ref="P225:W225" si="84">(-P76*(1+P$208))*P$219</f>
        <v>0</v>
      </c>
      <c r="Q225" s="45">
        <f t="shared" si="84"/>
        <v>0</v>
      </c>
      <c r="R225" s="45">
        <f t="shared" si="84"/>
        <v>0</v>
      </c>
      <c r="S225" s="45">
        <f t="shared" si="84"/>
        <v>0</v>
      </c>
      <c r="T225" s="45">
        <f t="shared" si="84"/>
        <v>0</v>
      </c>
      <c r="U225" s="45">
        <f t="shared" si="84"/>
        <v>0</v>
      </c>
      <c r="V225" s="45">
        <f t="shared" si="84"/>
        <v>0</v>
      </c>
      <c r="W225" s="45">
        <f t="shared" si="84"/>
        <v>0</v>
      </c>
      <c r="X225" s="40"/>
    </row>
    <row r="226" spans="1:24">
      <c r="B226" s="94" t="str">
        <f t="shared" si="81"/>
        <v>City Gate Heater Replacements - $50k</v>
      </c>
      <c r="P226" s="45">
        <f t="shared" ref="P226:W226" si="85">(-P77*(1+P$208))*P$219</f>
        <v>0</v>
      </c>
      <c r="Q226" s="45">
        <f t="shared" si="85"/>
        <v>0</v>
      </c>
      <c r="R226" s="45">
        <f t="shared" si="85"/>
        <v>0</v>
      </c>
      <c r="S226" s="45">
        <f t="shared" si="85"/>
        <v>0</v>
      </c>
      <c r="T226" s="45">
        <f t="shared" si="85"/>
        <v>0</v>
      </c>
      <c r="U226" s="45">
        <f t="shared" si="85"/>
        <v>0</v>
      </c>
      <c r="V226" s="45">
        <f t="shared" si="85"/>
        <v>0</v>
      </c>
      <c r="W226" s="45">
        <f t="shared" si="85"/>
        <v>0</v>
      </c>
    </row>
    <row r="227" spans="1:24">
      <c r="B227" s="94" t="str">
        <f t="shared" si="81"/>
        <v>City Gate Heater Replacements - $80k</v>
      </c>
      <c r="P227" s="45">
        <f t="shared" ref="P227:W227" si="86">(-P78*(1+P$208))*P$219</f>
        <v>0</v>
      </c>
      <c r="Q227" s="45">
        <f t="shared" si="86"/>
        <v>0</v>
      </c>
      <c r="R227" s="45">
        <f t="shared" si="86"/>
        <v>0</v>
      </c>
      <c r="S227" s="45">
        <f t="shared" si="86"/>
        <v>0</v>
      </c>
      <c r="T227" s="45">
        <f t="shared" si="86"/>
        <v>0</v>
      </c>
      <c r="U227" s="45">
        <f t="shared" si="86"/>
        <v>0</v>
      </c>
      <c r="V227" s="45">
        <f t="shared" si="86"/>
        <v>0</v>
      </c>
      <c r="W227" s="45">
        <f t="shared" si="86"/>
        <v>0</v>
      </c>
    </row>
    <row r="228" spans="1:24">
      <c r="B228" s="94" t="str">
        <f t="shared" si="81"/>
        <v>City Gate Heater Replacements - $500k</v>
      </c>
      <c r="P228" s="45">
        <f t="shared" ref="P228:W228" si="87">(-P79*(1+P$208))*P$219</f>
        <v>0</v>
      </c>
      <c r="Q228" s="45">
        <f t="shared" si="87"/>
        <v>0</v>
      </c>
      <c r="R228" s="45">
        <f t="shared" si="87"/>
        <v>0</v>
      </c>
      <c r="S228" s="45">
        <f t="shared" si="87"/>
        <v>0</v>
      </c>
      <c r="T228" s="45">
        <f t="shared" si="87"/>
        <v>0</v>
      </c>
      <c r="U228" s="45">
        <f t="shared" si="87"/>
        <v>0</v>
      </c>
      <c r="V228" s="45">
        <f t="shared" si="87"/>
        <v>0</v>
      </c>
      <c r="W228" s="45">
        <f t="shared" si="87"/>
        <v>0</v>
      </c>
    </row>
    <row r="229" spans="1:24">
      <c r="B229" s="94" t="str">
        <f t="shared" si="81"/>
        <v>City Gate Heater Replacements - $600k</v>
      </c>
      <c r="P229" s="45">
        <f t="shared" ref="P229:W229" si="88">(-P80*(1+P$208))*P$219</f>
        <v>0</v>
      </c>
      <c r="Q229" s="45">
        <f t="shared" si="88"/>
        <v>0</v>
      </c>
      <c r="R229" s="45">
        <f t="shared" si="88"/>
        <v>0</v>
      </c>
      <c r="S229" s="45">
        <f t="shared" si="88"/>
        <v>0</v>
      </c>
      <c r="T229" s="45">
        <f t="shared" si="88"/>
        <v>0</v>
      </c>
      <c r="U229" s="45">
        <f t="shared" si="88"/>
        <v>0</v>
      </c>
      <c r="V229" s="45">
        <f t="shared" si="88"/>
        <v>0</v>
      </c>
      <c r="W229" s="45">
        <f t="shared" si="88"/>
        <v>0</v>
      </c>
    </row>
    <row r="230" spans="1:24">
      <c r="B230" s="94" t="str">
        <f t="shared" si="81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94" t="str">
        <f t="shared" si="81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94" t="str">
        <f t="shared" si="81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94" t="str">
        <f t="shared" si="81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94" t="str">
        <f t="shared" si="81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94" t="str">
        <f t="shared" si="81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94" t="str">
        <f t="shared" si="81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93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89">-P219*P210</f>
        <v>0</v>
      </c>
      <c r="Q238" s="37">
        <f t="shared" si="89"/>
        <v>0</v>
      </c>
      <c r="R238" s="37">
        <f t="shared" si="89"/>
        <v>0</v>
      </c>
      <c r="S238" s="37">
        <f t="shared" si="89"/>
        <v>0</v>
      </c>
      <c r="T238" s="37">
        <f t="shared" si="89"/>
        <v>0</v>
      </c>
      <c r="U238" s="37">
        <f t="shared" si="89"/>
        <v>0</v>
      </c>
      <c r="V238" s="37">
        <f t="shared" si="89"/>
        <v>0</v>
      </c>
      <c r="X238" s="37">
        <f t="shared" ref="X238" si="90">SUM(R238:V238)</f>
        <v>0</v>
      </c>
    </row>
    <row r="240" spans="1:24" s="1" customFormat="1">
      <c r="A240" s="2">
        <v>8</v>
      </c>
      <c r="B240" s="2" t="s">
        <v>75</v>
      </c>
    </row>
    <row r="242" spans="1:24">
      <c r="H242" s="190" t="s">
        <v>52</v>
      </c>
      <c r="I242" s="190"/>
      <c r="J242" s="190"/>
      <c r="K242" s="190"/>
      <c r="L242" s="190"/>
      <c r="M242" s="190" t="s">
        <v>53</v>
      </c>
      <c r="N242" s="190"/>
      <c r="O242" s="190"/>
      <c r="P242" s="190"/>
      <c r="Q242" s="190"/>
      <c r="R242" s="190" t="s">
        <v>54</v>
      </c>
      <c r="S242" s="190"/>
      <c r="T242" s="190"/>
      <c r="U242" s="190"/>
      <c r="V242" s="190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63</v>
      </c>
    </row>
    <row r="244" spans="1:24">
      <c r="D244" s="29" t="s">
        <v>55</v>
      </c>
      <c r="H244" s="16" t="s">
        <v>12</v>
      </c>
      <c r="I244" s="16" t="s">
        <v>12</v>
      </c>
      <c r="J244" s="16" t="s">
        <v>12</v>
      </c>
      <c r="K244" s="16" t="s">
        <v>12</v>
      </c>
      <c r="L244" s="16" t="s">
        <v>12</v>
      </c>
      <c r="M244" s="16" t="s">
        <v>12</v>
      </c>
      <c r="N244" s="16" t="s">
        <v>12</v>
      </c>
      <c r="O244" s="16" t="s">
        <v>12</v>
      </c>
      <c r="P244" s="16" t="s">
        <v>13</v>
      </c>
      <c r="Q244" s="16" t="s">
        <v>13</v>
      </c>
      <c r="R244" s="16" t="s">
        <v>13</v>
      </c>
      <c r="S244" s="16" t="s">
        <v>13</v>
      </c>
      <c r="T244" s="16" t="s">
        <v>13</v>
      </c>
      <c r="U244" s="16" t="s">
        <v>13</v>
      </c>
      <c r="V244" s="16" t="s">
        <v>13</v>
      </c>
      <c r="X244" s="34" t="s">
        <v>13</v>
      </c>
    </row>
    <row r="245" spans="1:24">
      <c r="B245" s="38" t="s">
        <v>96</v>
      </c>
      <c r="D245" s="31"/>
      <c r="X245" s="40"/>
    </row>
    <row r="246" spans="1:24">
      <c r="B246" s="47" t="s">
        <v>97</v>
      </c>
      <c r="D246" s="31" t="s">
        <v>60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91">SUM(R246:V246)</f>
        <v>0</v>
      </c>
    </row>
    <row r="247" spans="1:24">
      <c r="B247" s="47" t="s">
        <v>98</v>
      </c>
      <c r="D247" s="31" t="s">
        <v>60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91"/>
        <v>0</v>
      </c>
    </row>
    <row r="248" spans="1:24">
      <c r="B248" s="47" t="s">
        <v>99</v>
      </c>
      <c r="D248" s="31" t="s">
        <v>60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91"/>
        <v>0</v>
      </c>
    </row>
    <row r="249" spans="1:24">
      <c r="B249" s="47" t="s">
        <v>100</v>
      </c>
      <c r="D249" s="31" t="s">
        <v>60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91"/>
        <v>0</v>
      </c>
    </row>
    <row r="250" spans="1:24">
      <c r="B250" s="47" t="s">
        <v>101</v>
      </c>
      <c r="D250" s="31" t="s">
        <v>60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91"/>
        <v>0</v>
      </c>
    </row>
    <row r="252" spans="1:24" ht="12.75" thickBot="1">
      <c r="B252" s="5" t="s">
        <v>102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92">SUM(Q246:Q250)</f>
        <v>0</v>
      </c>
      <c r="R252" s="49">
        <f t="shared" si="92"/>
        <v>0</v>
      </c>
      <c r="S252" s="49">
        <f t="shared" si="92"/>
        <v>0</v>
      </c>
      <c r="T252" s="49">
        <f t="shared" si="92"/>
        <v>0</v>
      </c>
      <c r="U252" s="49">
        <f t="shared" si="92"/>
        <v>0</v>
      </c>
      <c r="V252" s="49">
        <f t="shared" si="92"/>
        <v>0</v>
      </c>
      <c r="X252" s="37">
        <f t="shared" si="91"/>
        <v>0</v>
      </c>
    </row>
    <row r="254" spans="1:24" s="1" customFormat="1">
      <c r="A254" s="2">
        <v>9</v>
      </c>
      <c r="B254" s="2" t="s">
        <v>103</v>
      </c>
    </row>
    <row r="256" spans="1:24">
      <c r="H256" s="190" t="s">
        <v>52</v>
      </c>
      <c r="I256" s="190"/>
      <c r="J256" s="190"/>
      <c r="K256" s="190"/>
      <c r="L256" s="190"/>
      <c r="M256" s="190" t="s">
        <v>53</v>
      </c>
      <c r="N256" s="190"/>
      <c r="O256" s="190"/>
      <c r="P256" s="190"/>
      <c r="Q256" s="190"/>
      <c r="R256" s="190" t="s">
        <v>54</v>
      </c>
      <c r="S256" s="190"/>
      <c r="T256" s="190"/>
      <c r="U256" s="190"/>
      <c r="V256" s="190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63</v>
      </c>
    </row>
    <row r="258" spans="1:24">
      <c r="D258" s="29" t="s">
        <v>55</v>
      </c>
      <c r="H258" s="16" t="s">
        <v>12</v>
      </c>
      <c r="I258" s="16" t="s">
        <v>12</v>
      </c>
      <c r="J258" s="16" t="s">
        <v>12</v>
      </c>
      <c r="K258" s="16" t="s">
        <v>12</v>
      </c>
      <c r="L258" s="16" t="s">
        <v>12</v>
      </c>
      <c r="M258" s="16" t="s">
        <v>12</v>
      </c>
      <c r="N258" s="16" t="s">
        <v>12</v>
      </c>
      <c r="O258" s="16" t="s">
        <v>12</v>
      </c>
      <c r="P258" s="16" t="s">
        <v>13</v>
      </c>
      <c r="Q258" s="16" t="s">
        <v>13</v>
      </c>
      <c r="R258" s="16" t="s">
        <v>13</v>
      </c>
      <c r="S258" s="16" t="s">
        <v>13</v>
      </c>
      <c r="T258" s="16" t="s">
        <v>13</v>
      </c>
      <c r="U258" s="16" t="s">
        <v>13</v>
      </c>
      <c r="V258" s="16" t="s">
        <v>13</v>
      </c>
      <c r="X258" s="34" t="s">
        <v>13</v>
      </c>
    </row>
    <row r="259" spans="1:24">
      <c r="B259" s="4" t="s">
        <v>104</v>
      </c>
      <c r="D259" s="31" t="s">
        <v>60</v>
      </c>
      <c r="H259" s="45">
        <f t="shared" ref="H259:V259" si="93">H210</f>
        <v>0</v>
      </c>
      <c r="I259" s="45">
        <f t="shared" si="93"/>
        <v>0</v>
      </c>
      <c r="J259" s="45">
        <f t="shared" si="93"/>
        <v>0</v>
      </c>
      <c r="K259" s="45">
        <f t="shared" si="93"/>
        <v>0</v>
      </c>
      <c r="L259" s="45">
        <f t="shared" si="93"/>
        <v>0</v>
      </c>
      <c r="M259" s="45">
        <f t="shared" si="93"/>
        <v>0</v>
      </c>
      <c r="N259" s="45">
        <f t="shared" si="93"/>
        <v>0</v>
      </c>
      <c r="O259" s="45">
        <f t="shared" si="93"/>
        <v>0</v>
      </c>
      <c r="P259" s="45">
        <f t="shared" si="93"/>
        <v>0</v>
      </c>
      <c r="Q259" s="45">
        <f t="shared" si="93"/>
        <v>724330.53468373732</v>
      </c>
      <c r="R259" s="45">
        <f t="shared" si="93"/>
        <v>1844588.7165159455</v>
      </c>
      <c r="S259" s="45">
        <f t="shared" si="93"/>
        <v>2179271.5217574872</v>
      </c>
      <c r="T259" s="45">
        <f t="shared" si="93"/>
        <v>1379728.130959006</v>
      </c>
      <c r="U259" s="45">
        <f t="shared" si="93"/>
        <v>1180285.5667590655</v>
      </c>
      <c r="V259" s="45">
        <f t="shared" si="93"/>
        <v>964289.07089703518</v>
      </c>
      <c r="X259" s="40">
        <f t="shared" ref="X259:X261" si="94">SUM(R259:V259)</f>
        <v>7548163.0068885395</v>
      </c>
    </row>
    <row r="260" spans="1:24">
      <c r="B260" s="4" t="s">
        <v>74</v>
      </c>
      <c r="D260" s="31" t="s">
        <v>60</v>
      </c>
      <c r="H260" s="45">
        <f>H238</f>
        <v>0</v>
      </c>
      <c r="I260" s="45">
        <f t="shared" ref="I260:V260" si="95">I238</f>
        <v>0</v>
      </c>
      <c r="J260" s="45">
        <f t="shared" si="95"/>
        <v>0</v>
      </c>
      <c r="K260" s="45">
        <f t="shared" si="95"/>
        <v>0</v>
      </c>
      <c r="L260" s="45">
        <f t="shared" si="95"/>
        <v>0</v>
      </c>
      <c r="M260" s="45">
        <f t="shared" si="95"/>
        <v>0</v>
      </c>
      <c r="N260" s="45">
        <f t="shared" si="95"/>
        <v>0</v>
      </c>
      <c r="O260" s="45">
        <f t="shared" si="95"/>
        <v>0</v>
      </c>
      <c r="P260" s="45">
        <f t="shared" si="95"/>
        <v>0</v>
      </c>
      <c r="Q260" s="45">
        <f t="shared" si="95"/>
        <v>0</v>
      </c>
      <c r="R260" s="45">
        <f t="shared" si="95"/>
        <v>0</v>
      </c>
      <c r="S260" s="45">
        <f t="shared" si="95"/>
        <v>0</v>
      </c>
      <c r="T260" s="45">
        <f t="shared" si="95"/>
        <v>0</v>
      </c>
      <c r="U260" s="45">
        <f t="shared" si="95"/>
        <v>0</v>
      </c>
      <c r="V260" s="45">
        <f t="shared" si="95"/>
        <v>0</v>
      </c>
      <c r="X260" s="40">
        <f t="shared" si="94"/>
        <v>0</v>
      </c>
    </row>
    <row r="261" spans="1:24">
      <c r="B261" s="4" t="s">
        <v>75</v>
      </c>
      <c r="D261" s="31" t="s">
        <v>60</v>
      </c>
      <c r="H261" s="45">
        <f>H252</f>
        <v>0</v>
      </c>
      <c r="I261" s="45">
        <f t="shared" ref="I261:V261" si="96">I252</f>
        <v>0</v>
      </c>
      <c r="J261" s="45">
        <f t="shared" si="96"/>
        <v>0</v>
      </c>
      <c r="K261" s="45">
        <f t="shared" si="96"/>
        <v>0</v>
      </c>
      <c r="L261" s="45">
        <f t="shared" si="96"/>
        <v>0</v>
      </c>
      <c r="M261" s="45">
        <f t="shared" si="96"/>
        <v>0</v>
      </c>
      <c r="N261" s="45">
        <f t="shared" si="96"/>
        <v>0</v>
      </c>
      <c r="O261" s="45">
        <f t="shared" si="96"/>
        <v>0</v>
      </c>
      <c r="P261" s="45">
        <f t="shared" si="96"/>
        <v>0</v>
      </c>
      <c r="Q261" s="45">
        <f t="shared" si="96"/>
        <v>0</v>
      </c>
      <c r="R261" s="45">
        <f t="shared" si="96"/>
        <v>0</v>
      </c>
      <c r="S261" s="45">
        <f t="shared" si="96"/>
        <v>0</v>
      </c>
      <c r="T261" s="45">
        <f t="shared" si="96"/>
        <v>0</v>
      </c>
      <c r="U261" s="45">
        <f t="shared" si="96"/>
        <v>0</v>
      </c>
      <c r="V261" s="45">
        <f t="shared" si="96"/>
        <v>0</v>
      </c>
      <c r="X261" s="40">
        <f t="shared" si="94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103</v>
      </c>
      <c r="D263" s="31" t="s">
        <v>60</v>
      </c>
      <c r="H263" s="37">
        <f>SUM(H259:H261)</f>
        <v>0</v>
      </c>
      <c r="I263" s="37">
        <f t="shared" ref="I263:V263" si="97">SUM(I259:I261)</f>
        <v>0</v>
      </c>
      <c r="J263" s="37">
        <f t="shared" si="97"/>
        <v>0</v>
      </c>
      <c r="K263" s="37">
        <f t="shared" si="97"/>
        <v>0</v>
      </c>
      <c r="L263" s="37">
        <f t="shared" si="97"/>
        <v>0</v>
      </c>
      <c r="M263" s="37">
        <f t="shared" si="97"/>
        <v>0</v>
      </c>
      <c r="N263" s="37">
        <f t="shared" si="97"/>
        <v>0</v>
      </c>
      <c r="O263" s="37">
        <f t="shared" si="97"/>
        <v>0</v>
      </c>
      <c r="P263" s="37">
        <f t="shared" si="97"/>
        <v>0</v>
      </c>
      <c r="Q263" s="37">
        <f t="shared" si="97"/>
        <v>724330.53468373732</v>
      </c>
      <c r="R263" s="37">
        <f t="shared" si="97"/>
        <v>1844588.7165159455</v>
      </c>
      <c r="S263" s="37">
        <f t="shared" si="97"/>
        <v>2179271.5217574872</v>
      </c>
      <c r="T263" s="37">
        <f t="shared" si="97"/>
        <v>1379728.130959006</v>
      </c>
      <c r="U263" s="37">
        <f t="shared" si="97"/>
        <v>1180285.5667590655</v>
      </c>
      <c r="V263" s="37">
        <f t="shared" si="97"/>
        <v>964289.07089703518</v>
      </c>
      <c r="X263" s="37">
        <f t="shared" ref="X263" si="98">SUM(R263:V263)</f>
        <v>7548163.0068885395</v>
      </c>
    </row>
    <row r="264" spans="1:24">
      <c r="D264" s="31"/>
    </row>
    <row r="266" spans="1:24" s="66" customFormat="1">
      <c r="A266" s="65">
        <v>10</v>
      </c>
      <c r="B266" s="65" t="s">
        <v>121</v>
      </c>
    </row>
    <row r="268" spans="1:24">
      <c r="B268" s="69" t="s">
        <v>120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323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99">IFERROR(SUMPRODUCT($Z$73:$Z$87,Q$73:Q$87)/SUM(Q$73:Q$87)*Q$89,0)</f>
        <v>0</v>
      </c>
      <c r="R276" s="57">
        <f t="shared" si="99"/>
        <v>0</v>
      </c>
      <c r="S276" s="57">
        <f t="shared" si="99"/>
        <v>0</v>
      </c>
      <c r="T276" s="57">
        <f t="shared" si="99"/>
        <v>0</v>
      </c>
      <c r="U276" s="57">
        <f t="shared" si="99"/>
        <v>0</v>
      </c>
      <c r="V276" s="62">
        <f t="shared" si="99"/>
        <v>0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100">IFERROR(SUMPRODUCT($AA$73:$AA$87,Q$73:Q$87)/SUM(Q$73:Q$87)*Q$89,0)</f>
        <v>0</v>
      </c>
      <c r="R277" s="57">
        <f t="shared" si="100"/>
        <v>0</v>
      </c>
      <c r="S277" s="57">
        <f t="shared" si="100"/>
        <v>0</v>
      </c>
      <c r="T277" s="57">
        <f t="shared" si="100"/>
        <v>0</v>
      </c>
      <c r="U277" s="57">
        <f t="shared" si="100"/>
        <v>0</v>
      </c>
      <c r="V277" s="62">
        <f t="shared" si="100"/>
        <v>0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101">IFERROR(SUMPRODUCT($AB$73:$AB$87,Q$73:Q$87)/SUM(Q$73:Q$87)*Q$89,0)</f>
        <v>0</v>
      </c>
      <c r="R278" s="57">
        <f t="shared" si="101"/>
        <v>0</v>
      </c>
      <c r="S278" s="57">
        <f t="shared" si="101"/>
        <v>0</v>
      </c>
      <c r="T278" s="57">
        <f t="shared" si="101"/>
        <v>0</v>
      </c>
      <c r="U278" s="57">
        <f t="shared" si="101"/>
        <v>0</v>
      </c>
      <c r="V278" s="62">
        <f t="shared" si="101"/>
        <v>0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102">IFERROR(SUMPRODUCT($AC$73:$AC$87,Q$73:Q$87)/SUM(Q$73:Q$87)*Q$89,0)</f>
        <v>0</v>
      </c>
      <c r="R279" s="57">
        <f t="shared" si="102"/>
        <v>0</v>
      </c>
      <c r="S279" s="57">
        <f t="shared" si="102"/>
        <v>0</v>
      </c>
      <c r="T279" s="57">
        <f t="shared" si="102"/>
        <v>0</v>
      </c>
      <c r="U279" s="57">
        <f t="shared" si="102"/>
        <v>0</v>
      </c>
      <c r="V279" s="62">
        <f t="shared" si="102"/>
        <v>0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103">IFERROR(SUMPRODUCT($AD$73:$AD$87,Q$73:Q$87)/SUM(Q$73:Q$87)*Q$89,0)</f>
        <v>673895.08301830629</v>
      </c>
      <c r="R280" s="57">
        <f t="shared" si="103"/>
        <v>1720424.3023658565</v>
      </c>
      <c r="S280" s="57">
        <f t="shared" si="103"/>
        <v>2024850.1777942614</v>
      </c>
      <c r="T280" s="57">
        <f t="shared" si="103"/>
        <v>1280577.3087173998</v>
      </c>
      <c r="U280" s="57">
        <f t="shared" si="103"/>
        <v>1091123.6526041785</v>
      </c>
      <c r="V280" s="62">
        <f t="shared" si="103"/>
        <v>889243.50487057702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104">IFERROR(SUMPRODUCT($AE$73:$AE$87,Q$73:Q$87)/SUM(Q$73:Q$87)*Q$89,0)</f>
        <v>0</v>
      </c>
      <c r="R281" s="57">
        <f t="shared" si="104"/>
        <v>0</v>
      </c>
      <c r="S281" s="57">
        <f t="shared" si="104"/>
        <v>0</v>
      </c>
      <c r="T281" s="57">
        <f t="shared" si="104"/>
        <v>0</v>
      </c>
      <c r="U281" s="57">
        <f t="shared" si="104"/>
        <v>0</v>
      </c>
      <c r="V281" s="62">
        <f t="shared" si="104"/>
        <v>0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105">IFERROR(SUMPRODUCT($AF$73:$AF$87,Q$73:Q$87)/SUM(Q$73:Q$87)*Q$89,0)</f>
        <v>0</v>
      </c>
      <c r="R282" s="57">
        <f t="shared" si="105"/>
        <v>0</v>
      </c>
      <c r="S282" s="57">
        <f t="shared" si="105"/>
        <v>0</v>
      </c>
      <c r="T282" s="57">
        <f t="shared" si="105"/>
        <v>0</v>
      </c>
      <c r="U282" s="57">
        <f t="shared" si="105"/>
        <v>0</v>
      </c>
      <c r="V282" s="62">
        <f t="shared" si="105"/>
        <v>0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106">IFERROR(SUMPRODUCT($AG$73:$AG$87,Q$73:Q$87)/SUM(Q$73:Q$87)*Q$89,0)</f>
        <v>0</v>
      </c>
      <c r="R283" s="57">
        <f t="shared" si="106"/>
        <v>0</v>
      </c>
      <c r="S283" s="57">
        <f t="shared" si="106"/>
        <v>0</v>
      </c>
      <c r="T283" s="57">
        <f t="shared" si="106"/>
        <v>0</v>
      </c>
      <c r="U283" s="57">
        <f t="shared" si="106"/>
        <v>0</v>
      </c>
      <c r="V283" s="62">
        <f t="shared" si="106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107">IFERROR(SUMPRODUCT($AH$73:$AH$87,Q$73:Q$87)/SUM(Q$73:Q$87)*Q$89,0)</f>
        <v>0</v>
      </c>
      <c r="R284" s="57">
        <f t="shared" si="107"/>
        <v>0</v>
      </c>
      <c r="S284" s="57">
        <f t="shared" si="107"/>
        <v>0</v>
      </c>
      <c r="T284" s="57">
        <f t="shared" si="107"/>
        <v>0</v>
      </c>
      <c r="U284" s="57">
        <f t="shared" si="107"/>
        <v>0</v>
      </c>
      <c r="V284" s="62">
        <f t="shared" si="107"/>
        <v>0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108">IFERROR(SUMPRODUCT($AI$73:$AI$87,Q$73:Q$87)/SUM(Q$73:Q$87)*Q$89,0)</f>
        <v>0</v>
      </c>
      <c r="R285" s="57">
        <f t="shared" si="108"/>
        <v>0</v>
      </c>
      <c r="S285" s="57">
        <f t="shared" si="108"/>
        <v>0</v>
      </c>
      <c r="T285" s="57">
        <f t="shared" si="108"/>
        <v>0</v>
      </c>
      <c r="U285" s="57">
        <f t="shared" si="108"/>
        <v>0</v>
      </c>
      <c r="V285" s="62">
        <f t="shared" si="108"/>
        <v>0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109">IFERROR(SUMPRODUCT($AJ$73:$AJ$87,Q$73:Q$87)/SUM(Q$73:Q$87)*Q$89,0)</f>
        <v>0</v>
      </c>
      <c r="R286" s="57">
        <f t="shared" si="109"/>
        <v>0</v>
      </c>
      <c r="S286" s="57">
        <f t="shared" si="109"/>
        <v>0</v>
      </c>
      <c r="T286" s="57">
        <f t="shared" si="109"/>
        <v>0</v>
      </c>
      <c r="U286" s="57">
        <f t="shared" si="109"/>
        <v>0</v>
      </c>
      <c r="V286" s="62">
        <f t="shared" si="109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110">SUM(Q276:Q286)</f>
        <v>673895.08301830629</v>
      </c>
      <c r="R288" s="37">
        <f t="shared" si="110"/>
        <v>1720424.3023658565</v>
      </c>
      <c r="S288" s="37">
        <f t="shared" si="110"/>
        <v>2024850.1777942614</v>
      </c>
      <c r="T288" s="37">
        <f t="shared" si="110"/>
        <v>1280577.3087173998</v>
      </c>
      <c r="U288" s="37">
        <f t="shared" si="110"/>
        <v>1091123.6526041785</v>
      </c>
      <c r="V288" s="64">
        <f t="shared" si="110"/>
        <v>889243.50487057702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264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111">P276*(1+P$208)</f>
        <v>0</v>
      </c>
      <c r="Q297" s="57">
        <f t="shared" si="111"/>
        <v>0</v>
      </c>
      <c r="R297" s="57">
        <f t="shared" si="111"/>
        <v>0</v>
      </c>
      <c r="S297" s="57">
        <f t="shared" si="111"/>
        <v>0</v>
      </c>
      <c r="T297" s="57">
        <f t="shared" si="111"/>
        <v>0</v>
      </c>
      <c r="U297" s="57">
        <f t="shared" si="111"/>
        <v>0</v>
      </c>
      <c r="V297" s="62">
        <f t="shared" si="111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111"/>
        <v>0</v>
      </c>
      <c r="Q298" s="57">
        <f t="shared" si="111"/>
        <v>0</v>
      </c>
      <c r="R298" s="57">
        <f t="shared" si="111"/>
        <v>0</v>
      </c>
      <c r="S298" s="57">
        <f t="shared" si="111"/>
        <v>0</v>
      </c>
      <c r="T298" s="57">
        <f t="shared" si="111"/>
        <v>0</v>
      </c>
      <c r="U298" s="57">
        <f t="shared" si="111"/>
        <v>0</v>
      </c>
      <c r="V298" s="62">
        <f t="shared" si="111"/>
        <v>0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111"/>
        <v>0</v>
      </c>
      <c r="Q299" s="57">
        <f t="shared" si="111"/>
        <v>0</v>
      </c>
      <c r="R299" s="57">
        <f t="shared" si="111"/>
        <v>0</v>
      </c>
      <c r="S299" s="57">
        <f t="shared" si="111"/>
        <v>0</v>
      </c>
      <c r="T299" s="57">
        <f t="shared" si="111"/>
        <v>0</v>
      </c>
      <c r="U299" s="57">
        <f t="shared" si="111"/>
        <v>0</v>
      </c>
      <c r="V299" s="62">
        <f t="shared" si="111"/>
        <v>0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111"/>
        <v>0</v>
      </c>
      <c r="Q300" s="57">
        <f t="shared" si="111"/>
        <v>0</v>
      </c>
      <c r="R300" s="57">
        <f t="shared" si="111"/>
        <v>0</v>
      </c>
      <c r="S300" s="57">
        <f t="shared" si="111"/>
        <v>0</v>
      </c>
      <c r="T300" s="57">
        <f t="shared" si="111"/>
        <v>0</v>
      </c>
      <c r="U300" s="57">
        <f t="shared" si="111"/>
        <v>0</v>
      </c>
      <c r="V300" s="62">
        <f t="shared" si="111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111"/>
        <v>0</v>
      </c>
      <c r="Q301" s="57">
        <f t="shared" si="111"/>
        <v>724330.53468373732</v>
      </c>
      <c r="R301" s="57">
        <f t="shared" si="111"/>
        <v>1844588.7165159455</v>
      </c>
      <c r="S301" s="57">
        <f t="shared" si="111"/>
        <v>2179271.5217574872</v>
      </c>
      <c r="T301" s="57">
        <f t="shared" si="111"/>
        <v>1379728.130959006</v>
      </c>
      <c r="U301" s="57">
        <f t="shared" si="111"/>
        <v>1180285.5667590655</v>
      </c>
      <c r="V301" s="62">
        <f t="shared" si="111"/>
        <v>964289.07089703518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111"/>
        <v>0</v>
      </c>
      <c r="Q302" s="57">
        <f t="shared" si="111"/>
        <v>0</v>
      </c>
      <c r="R302" s="57">
        <f t="shared" si="111"/>
        <v>0</v>
      </c>
      <c r="S302" s="57">
        <f t="shared" si="111"/>
        <v>0</v>
      </c>
      <c r="T302" s="57">
        <f t="shared" si="111"/>
        <v>0</v>
      </c>
      <c r="U302" s="57">
        <f t="shared" si="111"/>
        <v>0</v>
      </c>
      <c r="V302" s="62">
        <f t="shared" si="111"/>
        <v>0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111"/>
        <v>0</v>
      </c>
      <c r="Q303" s="57">
        <f t="shared" si="111"/>
        <v>0</v>
      </c>
      <c r="R303" s="57">
        <f t="shared" si="111"/>
        <v>0</v>
      </c>
      <c r="S303" s="57">
        <f t="shared" si="111"/>
        <v>0</v>
      </c>
      <c r="T303" s="57">
        <f t="shared" si="111"/>
        <v>0</v>
      </c>
      <c r="U303" s="57">
        <f t="shared" si="111"/>
        <v>0</v>
      </c>
      <c r="V303" s="62">
        <f t="shared" si="111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111"/>
        <v>0</v>
      </c>
      <c r="Q304" s="57">
        <f t="shared" si="111"/>
        <v>0</v>
      </c>
      <c r="R304" s="57">
        <f t="shared" si="111"/>
        <v>0</v>
      </c>
      <c r="S304" s="57">
        <f t="shared" si="111"/>
        <v>0</v>
      </c>
      <c r="T304" s="57">
        <f t="shared" si="111"/>
        <v>0</v>
      </c>
      <c r="U304" s="57">
        <f t="shared" si="111"/>
        <v>0</v>
      </c>
      <c r="V304" s="62">
        <f t="shared" si="111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111"/>
        <v>0</v>
      </c>
      <c r="Q305" s="57">
        <f t="shared" si="111"/>
        <v>0</v>
      </c>
      <c r="R305" s="57">
        <f t="shared" si="111"/>
        <v>0</v>
      </c>
      <c r="S305" s="57">
        <f t="shared" si="111"/>
        <v>0</v>
      </c>
      <c r="T305" s="57">
        <f t="shared" si="111"/>
        <v>0</v>
      </c>
      <c r="U305" s="57">
        <f t="shared" si="111"/>
        <v>0</v>
      </c>
      <c r="V305" s="62">
        <f t="shared" si="111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111"/>
        <v>0</v>
      </c>
      <c r="Q306" s="57">
        <f t="shared" si="111"/>
        <v>0</v>
      </c>
      <c r="R306" s="57">
        <f t="shared" si="111"/>
        <v>0</v>
      </c>
      <c r="S306" s="57">
        <f t="shared" si="111"/>
        <v>0</v>
      </c>
      <c r="T306" s="57">
        <f t="shared" si="111"/>
        <v>0</v>
      </c>
      <c r="U306" s="57">
        <f t="shared" si="111"/>
        <v>0</v>
      </c>
      <c r="V306" s="62">
        <f t="shared" si="111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111"/>
        <v>0</v>
      </c>
      <c r="Q307" s="57">
        <f t="shared" si="111"/>
        <v>0</v>
      </c>
      <c r="R307" s="57">
        <f t="shared" si="111"/>
        <v>0</v>
      </c>
      <c r="S307" s="57">
        <f t="shared" si="111"/>
        <v>0</v>
      </c>
      <c r="T307" s="57">
        <f t="shared" si="111"/>
        <v>0</v>
      </c>
      <c r="U307" s="57">
        <f t="shared" si="111"/>
        <v>0</v>
      </c>
      <c r="V307" s="62">
        <f t="shared" si="111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112">SUM(Q297:Q307)</f>
        <v>724330.53468373732</v>
      </c>
      <c r="R309" s="37">
        <f t="shared" si="112"/>
        <v>1844588.7165159455</v>
      </c>
      <c r="S309" s="37">
        <f t="shared" si="112"/>
        <v>2179271.5217574872</v>
      </c>
      <c r="T309" s="37">
        <f t="shared" si="112"/>
        <v>1379728.130959006</v>
      </c>
      <c r="U309" s="37">
        <f t="shared" si="112"/>
        <v>1180285.5667590655</v>
      </c>
      <c r="V309" s="64">
        <f t="shared" si="112"/>
        <v>964289.07089703518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265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113">P297*(1-P$219)</f>
        <v>0</v>
      </c>
      <c r="Q318" s="57">
        <f t="shared" si="113"/>
        <v>0</v>
      </c>
      <c r="R318" s="57">
        <f t="shared" si="113"/>
        <v>0</v>
      </c>
      <c r="S318" s="57">
        <f t="shared" si="113"/>
        <v>0</v>
      </c>
      <c r="T318" s="57">
        <f t="shared" si="113"/>
        <v>0</v>
      </c>
      <c r="U318" s="57">
        <f t="shared" si="113"/>
        <v>0</v>
      </c>
      <c r="V318" s="62">
        <f t="shared" si="113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113"/>
        <v>0</v>
      </c>
      <c r="Q319" s="57">
        <f t="shared" si="113"/>
        <v>0</v>
      </c>
      <c r="R319" s="57">
        <f t="shared" si="113"/>
        <v>0</v>
      </c>
      <c r="S319" s="57">
        <f t="shared" si="113"/>
        <v>0</v>
      </c>
      <c r="T319" s="57">
        <f t="shared" si="113"/>
        <v>0</v>
      </c>
      <c r="U319" s="57">
        <f t="shared" si="113"/>
        <v>0</v>
      </c>
      <c r="V319" s="62">
        <f t="shared" si="113"/>
        <v>0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113"/>
        <v>0</v>
      </c>
      <c r="Q320" s="57">
        <f t="shared" si="113"/>
        <v>0</v>
      </c>
      <c r="R320" s="57">
        <f t="shared" si="113"/>
        <v>0</v>
      </c>
      <c r="S320" s="57">
        <f t="shared" si="113"/>
        <v>0</v>
      </c>
      <c r="T320" s="57">
        <f t="shared" si="113"/>
        <v>0</v>
      </c>
      <c r="U320" s="57">
        <f t="shared" si="113"/>
        <v>0</v>
      </c>
      <c r="V320" s="62">
        <f t="shared" si="113"/>
        <v>0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113"/>
        <v>0</v>
      </c>
      <c r="Q321" s="57">
        <f t="shared" si="113"/>
        <v>0</v>
      </c>
      <c r="R321" s="57">
        <f t="shared" si="113"/>
        <v>0</v>
      </c>
      <c r="S321" s="57">
        <f t="shared" si="113"/>
        <v>0</v>
      </c>
      <c r="T321" s="57">
        <f t="shared" si="113"/>
        <v>0</v>
      </c>
      <c r="U321" s="57">
        <f t="shared" si="113"/>
        <v>0</v>
      </c>
      <c r="V321" s="62">
        <f t="shared" si="113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113"/>
        <v>0</v>
      </c>
      <c r="Q322" s="57">
        <f t="shared" si="113"/>
        <v>724330.53468373732</v>
      </c>
      <c r="R322" s="57">
        <f t="shared" si="113"/>
        <v>1844588.7165159455</v>
      </c>
      <c r="S322" s="57">
        <f t="shared" si="113"/>
        <v>2179271.5217574872</v>
      </c>
      <c r="T322" s="57">
        <f t="shared" si="113"/>
        <v>1379728.130959006</v>
      </c>
      <c r="U322" s="57">
        <f t="shared" si="113"/>
        <v>1180285.5667590655</v>
      </c>
      <c r="V322" s="62">
        <f t="shared" si="113"/>
        <v>964289.07089703518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113"/>
        <v>0</v>
      </c>
      <c r="Q323" s="57">
        <f t="shared" si="113"/>
        <v>0</v>
      </c>
      <c r="R323" s="57">
        <f t="shared" si="113"/>
        <v>0</v>
      </c>
      <c r="S323" s="57">
        <f t="shared" si="113"/>
        <v>0</v>
      </c>
      <c r="T323" s="57">
        <f t="shared" si="113"/>
        <v>0</v>
      </c>
      <c r="U323" s="57">
        <f t="shared" si="113"/>
        <v>0</v>
      </c>
      <c r="V323" s="62">
        <f t="shared" si="113"/>
        <v>0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113"/>
        <v>0</v>
      </c>
      <c r="Q324" s="57">
        <f t="shared" si="113"/>
        <v>0</v>
      </c>
      <c r="R324" s="57">
        <f t="shared" si="113"/>
        <v>0</v>
      </c>
      <c r="S324" s="57">
        <f t="shared" si="113"/>
        <v>0</v>
      </c>
      <c r="T324" s="57">
        <f t="shared" si="113"/>
        <v>0</v>
      </c>
      <c r="U324" s="57">
        <f t="shared" si="113"/>
        <v>0</v>
      </c>
      <c r="V324" s="62">
        <f t="shared" si="113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113"/>
        <v>0</v>
      </c>
      <c r="Q325" s="57">
        <f t="shared" si="113"/>
        <v>0</v>
      </c>
      <c r="R325" s="57">
        <f t="shared" si="113"/>
        <v>0</v>
      </c>
      <c r="S325" s="57">
        <f t="shared" si="113"/>
        <v>0</v>
      </c>
      <c r="T325" s="57">
        <f t="shared" si="113"/>
        <v>0</v>
      </c>
      <c r="U325" s="57">
        <f t="shared" si="113"/>
        <v>0</v>
      </c>
      <c r="V325" s="62">
        <f t="shared" si="113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113"/>
        <v>0</v>
      </c>
      <c r="Q326" s="57">
        <f t="shared" si="113"/>
        <v>0</v>
      </c>
      <c r="R326" s="57">
        <f t="shared" si="113"/>
        <v>0</v>
      </c>
      <c r="S326" s="57">
        <f t="shared" si="113"/>
        <v>0</v>
      </c>
      <c r="T326" s="57">
        <f t="shared" si="113"/>
        <v>0</v>
      </c>
      <c r="U326" s="57">
        <f t="shared" si="113"/>
        <v>0</v>
      </c>
      <c r="V326" s="62">
        <f t="shared" si="113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113"/>
        <v>0</v>
      </c>
      <c r="Q327" s="57">
        <f t="shared" si="113"/>
        <v>0</v>
      </c>
      <c r="R327" s="57">
        <f t="shared" si="113"/>
        <v>0</v>
      </c>
      <c r="S327" s="57">
        <f t="shared" si="113"/>
        <v>0</v>
      </c>
      <c r="T327" s="57">
        <f t="shared" si="113"/>
        <v>0</v>
      </c>
      <c r="U327" s="57">
        <f t="shared" si="113"/>
        <v>0</v>
      </c>
      <c r="V327" s="62">
        <f t="shared" si="113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113"/>
        <v>0</v>
      </c>
      <c r="Q328" s="57">
        <f t="shared" si="113"/>
        <v>0</v>
      </c>
      <c r="R328" s="57">
        <f t="shared" si="113"/>
        <v>0</v>
      </c>
      <c r="S328" s="57">
        <f t="shared" si="113"/>
        <v>0</v>
      </c>
      <c r="T328" s="57">
        <f t="shared" si="113"/>
        <v>0</v>
      </c>
      <c r="U328" s="57">
        <f t="shared" si="113"/>
        <v>0</v>
      </c>
      <c r="V328" s="62">
        <f t="shared" si="113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114">SUM(Q318:Q328)</f>
        <v>724330.53468373732</v>
      </c>
      <c r="R330" s="37">
        <f t="shared" si="114"/>
        <v>1844588.7165159455</v>
      </c>
      <c r="S330" s="37">
        <f t="shared" si="114"/>
        <v>2179271.5217574872</v>
      </c>
      <c r="T330" s="37">
        <f t="shared" si="114"/>
        <v>1379728.130959006</v>
      </c>
      <c r="U330" s="37">
        <f t="shared" si="114"/>
        <v>1180285.5667590655</v>
      </c>
      <c r="V330" s="64">
        <f t="shared" si="114"/>
        <v>964289.07089703518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266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115">Q297*Q$219</f>
        <v>0</v>
      </c>
      <c r="R339" s="57">
        <f t="shared" si="115"/>
        <v>0</v>
      </c>
      <c r="S339" s="57">
        <f t="shared" si="115"/>
        <v>0</v>
      </c>
      <c r="T339" s="57">
        <f t="shared" si="115"/>
        <v>0</v>
      </c>
      <c r="U339" s="57">
        <f t="shared" si="115"/>
        <v>0</v>
      </c>
      <c r="V339" s="62">
        <f t="shared" si="115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116">P298*P$219</f>
        <v>0</v>
      </c>
      <c r="Q340" s="57">
        <f t="shared" si="115"/>
        <v>0</v>
      </c>
      <c r="R340" s="57">
        <f t="shared" si="115"/>
        <v>0</v>
      </c>
      <c r="S340" s="57">
        <f t="shared" si="115"/>
        <v>0</v>
      </c>
      <c r="T340" s="57">
        <f t="shared" si="115"/>
        <v>0</v>
      </c>
      <c r="U340" s="57">
        <f t="shared" si="115"/>
        <v>0</v>
      </c>
      <c r="V340" s="62">
        <f t="shared" si="115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116"/>
        <v>0</v>
      </c>
      <c r="Q341" s="57">
        <f t="shared" si="115"/>
        <v>0</v>
      </c>
      <c r="R341" s="57">
        <f t="shared" si="115"/>
        <v>0</v>
      </c>
      <c r="S341" s="57">
        <f t="shared" si="115"/>
        <v>0</v>
      </c>
      <c r="T341" s="57">
        <f t="shared" si="115"/>
        <v>0</v>
      </c>
      <c r="U341" s="57">
        <f t="shared" si="115"/>
        <v>0</v>
      </c>
      <c r="V341" s="62">
        <f t="shared" si="115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116"/>
        <v>0</v>
      </c>
      <c r="Q342" s="57">
        <f t="shared" si="115"/>
        <v>0</v>
      </c>
      <c r="R342" s="57">
        <f t="shared" si="115"/>
        <v>0</v>
      </c>
      <c r="S342" s="57">
        <f t="shared" si="115"/>
        <v>0</v>
      </c>
      <c r="T342" s="57">
        <f t="shared" si="115"/>
        <v>0</v>
      </c>
      <c r="U342" s="57">
        <f t="shared" si="115"/>
        <v>0</v>
      </c>
      <c r="V342" s="62">
        <f t="shared" si="115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116"/>
        <v>0</v>
      </c>
      <c r="Q343" s="57">
        <f t="shared" si="115"/>
        <v>0</v>
      </c>
      <c r="R343" s="57">
        <f t="shared" si="115"/>
        <v>0</v>
      </c>
      <c r="S343" s="57">
        <f t="shared" si="115"/>
        <v>0</v>
      </c>
      <c r="T343" s="57">
        <f t="shared" si="115"/>
        <v>0</v>
      </c>
      <c r="U343" s="57">
        <f t="shared" si="115"/>
        <v>0</v>
      </c>
      <c r="V343" s="62">
        <f t="shared" si="115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116"/>
        <v>0</v>
      </c>
      <c r="Q344" s="57">
        <f t="shared" si="115"/>
        <v>0</v>
      </c>
      <c r="R344" s="57">
        <f t="shared" si="115"/>
        <v>0</v>
      </c>
      <c r="S344" s="57">
        <f t="shared" si="115"/>
        <v>0</v>
      </c>
      <c r="T344" s="57">
        <f t="shared" si="115"/>
        <v>0</v>
      </c>
      <c r="U344" s="57">
        <f t="shared" si="115"/>
        <v>0</v>
      </c>
      <c r="V344" s="62">
        <f t="shared" si="115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116"/>
        <v>0</v>
      </c>
      <c r="Q345" s="57">
        <f t="shared" si="115"/>
        <v>0</v>
      </c>
      <c r="R345" s="57">
        <f t="shared" si="115"/>
        <v>0</v>
      </c>
      <c r="S345" s="57">
        <f t="shared" si="115"/>
        <v>0</v>
      </c>
      <c r="T345" s="57">
        <f t="shared" si="115"/>
        <v>0</v>
      </c>
      <c r="U345" s="57">
        <f t="shared" si="115"/>
        <v>0</v>
      </c>
      <c r="V345" s="62">
        <f t="shared" si="115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116"/>
        <v>0</v>
      </c>
      <c r="Q346" s="57">
        <f t="shared" si="115"/>
        <v>0</v>
      </c>
      <c r="R346" s="57">
        <f t="shared" si="115"/>
        <v>0</v>
      </c>
      <c r="S346" s="57">
        <f t="shared" si="115"/>
        <v>0</v>
      </c>
      <c r="T346" s="57">
        <f t="shared" si="115"/>
        <v>0</v>
      </c>
      <c r="U346" s="57">
        <f t="shared" si="115"/>
        <v>0</v>
      </c>
      <c r="V346" s="62">
        <f t="shared" si="115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116"/>
        <v>0</v>
      </c>
      <c r="Q347" s="57">
        <f t="shared" si="115"/>
        <v>0</v>
      </c>
      <c r="R347" s="57">
        <f t="shared" si="115"/>
        <v>0</v>
      </c>
      <c r="S347" s="57">
        <f t="shared" si="115"/>
        <v>0</v>
      </c>
      <c r="T347" s="57">
        <f t="shared" si="115"/>
        <v>0</v>
      </c>
      <c r="U347" s="57">
        <f t="shared" si="115"/>
        <v>0</v>
      </c>
      <c r="V347" s="62">
        <f t="shared" si="115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116"/>
        <v>0</v>
      </c>
      <c r="Q348" s="57">
        <f t="shared" si="115"/>
        <v>0</v>
      </c>
      <c r="R348" s="57">
        <f t="shared" si="115"/>
        <v>0</v>
      </c>
      <c r="S348" s="57">
        <f t="shared" si="115"/>
        <v>0</v>
      </c>
      <c r="T348" s="57">
        <f t="shared" si="115"/>
        <v>0</v>
      </c>
      <c r="U348" s="57">
        <f t="shared" si="115"/>
        <v>0</v>
      </c>
      <c r="V348" s="62">
        <f t="shared" si="115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116"/>
        <v>0</v>
      </c>
      <c r="Q349" s="57">
        <f t="shared" si="115"/>
        <v>0</v>
      </c>
      <c r="R349" s="57">
        <f t="shared" si="115"/>
        <v>0</v>
      </c>
      <c r="S349" s="57">
        <f t="shared" si="115"/>
        <v>0</v>
      </c>
      <c r="T349" s="57">
        <f t="shared" si="115"/>
        <v>0</v>
      </c>
      <c r="U349" s="57">
        <f t="shared" si="115"/>
        <v>0</v>
      </c>
      <c r="V349" s="62">
        <f t="shared" si="115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117">SUM(Q339:Q349)</f>
        <v>0</v>
      </c>
      <c r="R351" s="37">
        <f t="shared" si="117"/>
        <v>0</v>
      </c>
      <c r="S351" s="37">
        <f t="shared" si="117"/>
        <v>0</v>
      </c>
      <c r="T351" s="37">
        <f t="shared" si="117"/>
        <v>0</v>
      </c>
      <c r="U351" s="37">
        <f t="shared" si="117"/>
        <v>0</v>
      </c>
      <c r="V351" s="64">
        <f t="shared" si="117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264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118">IFERROR(SUMPRODUCT($AM$73:$AM$87,Q$73:Q$87)/SUM(Q$73:Q$87)*Q$89,0)</f>
        <v>0</v>
      </c>
      <c r="R362" s="57">
        <f t="shared" si="118"/>
        <v>0</v>
      </c>
      <c r="S362" s="57">
        <f t="shared" si="118"/>
        <v>0</v>
      </c>
      <c r="T362" s="57">
        <f t="shared" si="118"/>
        <v>0</v>
      </c>
      <c r="U362" s="57">
        <f t="shared" si="118"/>
        <v>0</v>
      </c>
      <c r="V362" s="62">
        <f t="shared" si="118"/>
        <v>0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119">IFERROR(SUMPRODUCT($AN$73:$AN$87,Q$73:Q$87)/SUM(Q$73:Q$87)*Q$89,0)</f>
        <v>0</v>
      </c>
      <c r="R363" s="57">
        <f t="shared" si="119"/>
        <v>0</v>
      </c>
      <c r="S363" s="57">
        <f t="shared" si="119"/>
        <v>0</v>
      </c>
      <c r="T363" s="57">
        <f t="shared" si="119"/>
        <v>0</v>
      </c>
      <c r="U363" s="57">
        <f t="shared" si="119"/>
        <v>0</v>
      </c>
      <c r="V363" s="62">
        <f t="shared" si="119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120">IFERROR(SUMPRODUCT($AO$73:$AO$87,Q$73:Q$87)/SUM(Q$73:Q$87)*Q$89,0)</f>
        <v>0</v>
      </c>
      <c r="R364" s="57">
        <f t="shared" si="120"/>
        <v>0</v>
      </c>
      <c r="S364" s="57">
        <f t="shared" si="120"/>
        <v>0</v>
      </c>
      <c r="T364" s="57">
        <f t="shared" si="120"/>
        <v>0</v>
      </c>
      <c r="U364" s="57">
        <f t="shared" si="120"/>
        <v>0</v>
      </c>
      <c r="V364" s="62">
        <f t="shared" si="120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121">IFERROR(SUMPRODUCT($AP$73:$AP$87,Q$73:Q$87)/SUM(Q$73:Q$87)*Q$89,0)</f>
        <v>0</v>
      </c>
      <c r="R365" s="57">
        <f t="shared" si="121"/>
        <v>0</v>
      </c>
      <c r="S365" s="57">
        <f t="shared" si="121"/>
        <v>0</v>
      </c>
      <c r="T365" s="57">
        <f t="shared" si="121"/>
        <v>0</v>
      </c>
      <c r="U365" s="57">
        <f t="shared" si="121"/>
        <v>0</v>
      </c>
      <c r="V365" s="62">
        <f t="shared" si="121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122">IFERROR(SUMPRODUCT($AQ$73:$AQ$87,Q$73:Q$87)/SUM(Q$73:Q$87)*Q$89,0)</f>
        <v>0</v>
      </c>
      <c r="R366" s="57">
        <f t="shared" si="122"/>
        <v>0</v>
      </c>
      <c r="S366" s="57">
        <f t="shared" si="122"/>
        <v>0</v>
      </c>
      <c r="T366" s="57">
        <f t="shared" si="122"/>
        <v>0</v>
      </c>
      <c r="U366" s="57">
        <f t="shared" si="122"/>
        <v>0</v>
      </c>
      <c r="V366" s="62">
        <f t="shared" si="122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123">IFERROR(SUMPRODUCT($AR$73:$AR$87,Q$73:Q$87)/SUM(Q$73:Q$87)*Q$89,0)</f>
        <v>0</v>
      </c>
      <c r="R367" s="57">
        <f t="shared" si="123"/>
        <v>0</v>
      </c>
      <c r="S367" s="57">
        <f t="shared" si="123"/>
        <v>0</v>
      </c>
      <c r="T367" s="57">
        <f t="shared" si="123"/>
        <v>0</v>
      </c>
      <c r="U367" s="57">
        <f t="shared" si="123"/>
        <v>0</v>
      </c>
      <c r="V367" s="62">
        <f t="shared" si="123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124">IFERROR(SUMPRODUCT($AS$73:$AS$87,Q$73:Q$87)/SUM(Q$73:Q$87)*Q$89,0)</f>
        <v>0</v>
      </c>
      <c r="R368" s="57">
        <f t="shared" si="124"/>
        <v>0</v>
      </c>
      <c r="S368" s="57">
        <f t="shared" si="124"/>
        <v>0</v>
      </c>
      <c r="T368" s="57">
        <f t="shared" si="124"/>
        <v>0</v>
      </c>
      <c r="U368" s="57">
        <f t="shared" si="124"/>
        <v>0</v>
      </c>
      <c r="V368" s="62">
        <f t="shared" si="124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125">IFERROR(SUMPRODUCT($AT$73:$AT$87,Q$73:Q$87)/SUM(Q$73:Q$87)*Q$89,0)</f>
        <v>0</v>
      </c>
      <c r="R369" s="57">
        <f t="shared" si="125"/>
        <v>0</v>
      </c>
      <c r="S369" s="57">
        <f t="shared" si="125"/>
        <v>0</v>
      </c>
      <c r="T369" s="57">
        <f t="shared" si="125"/>
        <v>0</v>
      </c>
      <c r="U369" s="57">
        <f t="shared" si="125"/>
        <v>0</v>
      </c>
      <c r="V369" s="62">
        <f t="shared" si="125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126">IFERROR(SUMPRODUCT($AU$73:$AU$87,Q$73:Q$87)/SUM(Q$73:Q$87)*Q$89,0)</f>
        <v>673895.08301830629</v>
      </c>
      <c r="R370" s="57">
        <f t="shared" si="126"/>
        <v>1720424.3023658565</v>
      </c>
      <c r="S370" s="57">
        <f t="shared" si="126"/>
        <v>2024850.1777942614</v>
      </c>
      <c r="T370" s="57">
        <f t="shared" si="126"/>
        <v>1280577.3087173998</v>
      </c>
      <c r="U370" s="57">
        <f t="shared" si="126"/>
        <v>1091123.6526041785</v>
      </c>
      <c r="V370" s="62">
        <f t="shared" si="126"/>
        <v>889243.50487057702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127">IFERROR(SUMPRODUCT($AV$73:$AV$87,Q$73:Q$87)/SUM(Q$73:Q$87)*Q$89,0)</f>
        <v>0</v>
      </c>
      <c r="R371" s="57">
        <f t="shared" si="127"/>
        <v>0</v>
      </c>
      <c r="S371" s="57">
        <f t="shared" si="127"/>
        <v>0</v>
      </c>
      <c r="T371" s="57">
        <f t="shared" si="127"/>
        <v>0</v>
      </c>
      <c r="U371" s="57">
        <f t="shared" si="127"/>
        <v>0</v>
      </c>
      <c r="V371" s="62">
        <f t="shared" si="127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128">IFERROR(SUMPRODUCT($AW$73:$AW$87,Q$73:Q$87)/SUM(Q$73:Q$87)*Q$89,0)</f>
        <v>0</v>
      </c>
      <c r="R372" s="57">
        <f t="shared" si="128"/>
        <v>0</v>
      </c>
      <c r="S372" s="57">
        <f t="shared" si="128"/>
        <v>0</v>
      </c>
      <c r="T372" s="57">
        <f t="shared" si="128"/>
        <v>0</v>
      </c>
      <c r="U372" s="57">
        <f t="shared" si="128"/>
        <v>0</v>
      </c>
      <c r="V372" s="62">
        <f t="shared" si="128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129">Q238</f>
        <v>0</v>
      </c>
      <c r="R373" s="57">
        <f t="shared" si="129"/>
        <v>0</v>
      </c>
      <c r="S373" s="57">
        <f t="shared" si="129"/>
        <v>0</v>
      </c>
      <c r="T373" s="57">
        <f t="shared" si="129"/>
        <v>0</v>
      </c>
      <c r="U373" s="57">
        <f t="shared" si="129"/>
        <v>0</v>
      </c>
      <c r="V373" s="62">
        <f t="shared" si="129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130">Q252</f>
        <v>0</v>
      </c>
      <c r="R374" s="57">
        <f t="shared" si="130"/>
        <v>0</v>
      </c>
      <c r="S374" s="57">
        <f t="shared" si="130"/>
        <v>0</v>
      </c>
      <c r="T374" s="57">
        <f t="shared" si="130"/>
        <v>0</v>
      </c>
      <c r="U374" s="57">
        <f t="shared" si="130"/>
        <v>0</v>
      </c>
      <c r="V374" s="62">
        <f t="shared" si="130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131">SUM(Q362:Q372)*Q208</f>
        <v>50435.451665430955</v>
      </c>
      <c r="R375" s="57">
        <f t="shared" si="131"/>
        <v>124164.41415008908</v>
      </c>
      <c r="S375" s="57">
        <f t="shared" si="131"/>
        <v>154421.34396322593</v>
      </c>
      <c r="T375" s="57">
        <f t="shared" si="131"/>
        <v>99150.822241606293</v>
      </c>
      <c r="U375" s="57">
        <f t="shared" si="131"/>
        <v>89161.914154886807</v>
      </c>
      <c r="V375" s="57">
        <f t="shared" si="131"/>
        <v>75045.566026458167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32">SUM(P362:P375)</f>
        <v>0</v>
      </c>
      <c r="Q377" s="37">
        <f t="shared" si="132"/>
        <v>724330.53468373721</v>
      </c>
      <c r="R377" s="37">
        <f t="shared" si="132"/>
        <v>1844588.7165159455</v>
      </c>
      <c r="S377" s="37">
        <f t="shared" si="132"/>
        <v>2179271.5217574872</v>
      </c>
      <c r="T377" s="37">
        <f t="shared" si="132"/>
        <v>1379728.130959006</v>
      </c>
      <c r="U377" s="37">
        <f t="shared" si="132"/>
        <v>1180285.5667590653</v>
      </c>
      <c r="V377" s="64">
        <f t="shared" si="132"/>
        <v>964289.07089703518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264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133">IFERROR(SUMPRODUCT($BB$73:$BB$87,Q$73:Q$87)/SUM(Q$73:Q$87)*Q$89*(1+Q$208),0)</f>
        <v>0</v>
      </c>
      <c r="R388" s="57">
        <f t="shared" si="133"/>
        <v>0</v>
      </c>
      <c r="S388" s="57">
        <f t="shared" si="133"/>
        <v>0</v>
      </c>
      <c r="T388" s="57">
        <f t="shared" si="133"/>
        <v>0</v>
      </c>
      <c r="U388" s="57">
        <f t="shared" si="133"/>
        <v>0</v>
      </c>
      <c r="V388" s="62">
        <f t="shared" si="133"/>
        <v>0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134">IFERROR(SUMPRODUCT($BC$73:$BC$87,Q$73:Q$87)/SUM(Q$73:Q$87)*Q$89*(1+Q$208),0)</f>
        <v>0</v>
      </c>
      <c r="R389" s="57">
        <f t="shared" si="134"/>
        <v>0</v>
      </c>
      <c r="S389" s="57">
        <f t="shared" si="134"/>
        <v>0</v>
      </c>
      <c r="T389" s="57">
        <f t="shared" si="134"/>
        <v>0</v>
      </c>
      <c r="U389" s="57">
        <f t="shared" si="134"/>
        <v>0</v>
      </c>
      <c r="V389" s="62">
        <f t="shared" si="134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135">IFERROR(SUMPRODUCT($BD$73:$BD$87,Q$73:Q$87)/SUM(Q$73:Q$87)*Q$89*(1+Q$208),0)</f>
        <v>0</v>
      </c>
      <c r="R390" s="57">
        <f t="shared" si="135"/>
        <v>0</v>
      </c>
      <c r="S390" s="57">
        <f t="shared" si="135"/>
        <v>0</v>
      </c>
      <c r="T390" s="57">
        <f t="shared" si="135"/>
        <v>0</v>
      </c>
      <c r="U390" s="57">
        <f t="shared" si="135"/>
        <v>0</v>
      </c>
      <c r="V390" s="62">
        <f t="shared" si="135"/>
        <v>0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36">IFERROR(SUMPRODUCT($BE$73:$BE$87,Q$73:Q$87)/SUM(Q$73:Q$87)*Q$89*(1+Q$208),0)</f>
        <v>0</v>
      </c>
      <c r="R391" s="57">
        <f t="shared" si="136"/>
        <v>0</v>
      </c>
      <c r="S391" s="57">
        <f t="shared" si="136"/>
        <v>0</v>
      </c>
      <c r="T391" s="57">
        <f t="shared" si="136"/>
        <v>0</v>
      </c>
      <c r="U391" s="57">
        <f t="shared" si="136"/>
        <v>0</v>
      </c>
      <c r="V391" s="62">
        <f t="shared" si="136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37">IFERROR(SUMPRODUCT($BF$73:$BF$87,Q$73:Q$87)/SUM(Q$73:Q$87)*Q$89*(1+Q$208),0)</f>
        <v>724330.53468373732</v>
      </c>
      <c r="R392" s="57">
        <f t="shared" si="137"/>
        <v>1844588.7165159455</v>
      </c>
      <c r="S392" s="57">
        <f t="shared" si="137"/>
        <v>2179271.5217574872</v>
      </c>
      <c r="T392" s="57">
        <f t="shared" si="137"/>
        <v>1379728.130959006</v>
      </c>
      <c r="U392" s="57">
        <f t="shared" si="137"/>
        <v>1180285.5667590655</v>
      </c>
      <c r="V392" s="62">
        <f t="shared" si="137"/>
        <v>964289.07089703518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38">IFERROR(SUMPRODUCT($BG$73:$BG$87,Q$73:Q$87)/SUM(Q$73:Q$87)*Q$89*(1+Q$208),0)</f>
        <v>0</v>
      </c>
      <c r="R393" s="57">
        <f t="shared" si="138"/>
        <v>0</v>
      </c>
      <c r="S393" s="57">
        <f t="shared" si="138"/>
        <v>0</v>
      </c>
      <c r="T393" s="57">
        <f t="shared" si="138"/>
        <v>0</v>
      </c>
      <c r="U393" s="57">
        <f t="shared" si="138"/>
        <v>0</v>
      </c>
      <c r="V393" s="62">
        <f t="shared" si="138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39">IFERROR(SUMPRODUCT($BH$73:$BH$87,Q$73:Q$87)/SUM(Q$73:Q$87)*Q$89*(1+Q$208),0)</f>
        <v>0</v>
      </c>
      <c r="R394" s="57">
        <f t="shared" si="139"/>
        <v>0</v>
      </c>
      <c r="S394" s="57">
        <f t="shared" si="139"/>
        <v>0</v>
      </c>
      <c r="T394" s="57">
        <f t="shared" si="139"/>
        <v>0</v>
      </c>
      <c r="U394" s="57">
        <f t="shared" si="139"/>
        <v>0</v>
      </c>
      <c r="V394" s="62">
        <f t="shared" si="139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40">SUM(P388:P394)</f>
        <v>0</v>
      </c>
      <c r="Q396" s="37">
        <f t="shared" si="140"/>
        <v>724330.53468373732</v>
      </c>
      <c r="R396" s="37">
        <f t="shared" si="140"/>
        <v>1844588.7165159455</v>
      </c>
      <c r="S396" s="37">
        <f t="shared" si="140"/>
        <v>2179271.5217574872</v>
      </c>
      <c r="T396" s="37">
        <f t="shared" si="140"/>
        <v>1379728.130959006</v>
      </c>
      <c r="U396" s="37">
        <f t="shared" si="140"/>
        <v>1180285.5667590655</v>
      </c>
      <c r="V396" s="64">
        <f t="shared" si="140"/>
        <v>964289.07089703518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I399"/>
  <sheetViews>
    <sheetView topLeftCell="F10" workbookViewId="0">
      <selection activeCell="Q77" sqref="Q77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2</v>
      </c>
    </row>
    <row r="2" spans="1:7" s="1" customFormat="1">
      <c r="A2" s="3" t="s">
        <v>185</v>
      </c>
    </row>
    <row r="3" spans="1:7" s="1" customFormat="1">
      <c r="A3" s="3" t="s">
        <v>95</v>
      </c>
    </row>
    <row r="4" spans="1:7" s="1" customFormat="1">
      <c r="A4" s="22" t="s">
        <v>43</v>
      </c>
    </row>
    <row r="6" spans="1:7" s="1" customFormat="1">
      <c r="A6" s="2">
        <v>2</v>
      </c>
      <c r="B6" s="2" t="s">
        <v>45</v>
      </c>
    </row>
    <row r="9" spans="1:7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</row>
    <row r="10" spans="1:7">
      <c r="B10" s="8" t="s">
        <v>186</v>
      </c>
      <c r="D10" s="10">
        <v>0.02</v>
      </c>
      <c r="E10" s="10">
        <v>0.38</v>
      </c>
      <c r="F10" s="26">
        <f>D10+E10</f>
        <v>0.4</v>
      </c>
      <c r="G10" s="26">
        <f>1-F10</f>
        <v>0.6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203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87" t="s">
        <v>52</v>
      </c>
      <c r="I28" s="189"/>
      <c r="J28" s="189"/>
      <c r="K28" s="189"/>
      <c r="L28" s="188"/>
      <c r="M28" s="187" t="s">
        <v>53</v>
      </c>
      <c r="N28" s="189"/>
      <c r="O28" s="189"/>
      <c r="P28" s="189"/>
      <c r="Q28" s="188"/>
      <c r="R28" s="187" t="s">
        <v>54</v>
      </c>
      <c r="S28" s="189"/>
      <c r="T28" s="189"/>
      <c r="U28" s="189"/>
      <c r="V28" s="18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>IF(B10&lt;&gt;"",B10,"[blank]")</f>
        <v>Miscellaneous network regulator capital works</v>
      </c>
      <c r="D31" s="31" t="s">
        <v>60</v>
      </c>
      <c r="E31" s="31"/>
      <c r="P31" s="77"/>
      <c r="Q31" s="103">
        <f>'AMP inputs'!U41*'General assumptions'!$S$21</f>
        <v>153192.85747641799</v>
      </c>
      <c r="R31" s="103">
        <f>'AMP inputs'!V41*'General assumptions'!$S$21</f>
        <v>153192.85747641799</v>
      </c>
      <c r="S31" s="103">
        <f>'AMP inputs'!W41*'General assumptions'!$S$21</f>
        <v>153192.85747641799</v>
      </c>
      <c r="T31" s="103">
        <f>'AMP inputs'!X41*'General assumptions'!$S$21</f>
        <v>153192.85747641799</v>
      </c>
      <c r="U31" s="103">
        <f>'AMP inputs'!Y41*'General assumptions'!$S$21</f>
        <v>153192.85747641799</v>
      </c>
      <c r="V31" s="103">
        <f>'AMP inputs'!Z41*'General assumptions'!$S$21</f>
        <v>153192.85747641799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</row>
    <row r="36" spans="1:24">
      <c r="B36" s="4" t="str">
        <f t="shared" si="0"/>
        <v>[blank]</v>
      </c>
      <c r="D36" s="31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61</v>
      </c>
    </row>
    <row r="49" spans="2:61">
      <c r="Z49" s="5" t="s">
        <v>73</v>
      </c>
      <c r="AM49" s="5" t="s">
        <v>110</v>
      </c>
      <c r="BB49" s="5" t="s">
        <v>133</v>
      </c>
    </row>
    <row r="50" spans="2:61">
      <c r="H50" s="190" t="s">
        <v>52</v>
      </c>
      <c r="I50" s="190"/>
      <c r="J50" s="190"/>
      <c r="K50" s="190"/>
      <c r="L50" s="190"/>
      <c r="M50" s="190" t="s">
        <v>53</v>
      </c>
      <c r="N50" s="190"/>
      <c r="O50" s="190"/>
      <c r="P50" s="190"/>
      <c r="Q50" s="190"/>
      <c r="R50" s="190" t="s">
        <v>54</v>
      </c>
      <c r="S50" s="190"/>
      <c r="T50" s="190"/>
      <c r="U50" s="190"/>
      <c r="V50" s="190"/>
      <c r="X50" s="38"/>
      <c r="Z50" s="39" t="s">
        <v>69</v>
      </c>
      <c r="AA50" s="39" t="s">
        <v>70</v>
      </c>
      <c r="AB50" s="39" t="s">
        <v>71</v>
      </c>
      <c r="AC50" s="39" t="s">
        <v>72</v>
      </c>
      <c r="AD50" s="39" t="s">
        <v>64</v>
      </c>
      <c r="AE50" s="39" t="s">
        <v>65</v>
      </c>
      <c r="AF50" s="39" t="s">
        <v>66</v>
      </c>
      <c r="AG50" s="39" t="s">
        <v>107</v>
      </c>
      <c r="AH50" s="39" t="s">
        <v>67</v>
      </c>
      <c r="AI50" s="39" t="s">
        <v>68</v>
      </c>
      <c r="AJ50" s="39" t="s">
        <v>108</v>
      </c>
      <c r="AM50" s="39" t="s">
        <v>111</v>
      </c>
      <c r="AN50" s="39" t="s">
        <v>112</v>
      </c>
      <c r="AO50" s="39" t="s">
        <v>113</v>
      </c>
      <c r="AP50" s="39" t="s">
        <v>114</v>
      </c>
      <c r="AQ50" s="39" t="s">
        <v>115</v>
      </c>
      <c r="AR50" s="39" t="s">
        <v>36</v>
      </c>
      <c r="AS50" s="39" t="s">
        <v>116</v>
      </c>
      <c r="AT50" s="39" t="s">
        <v>35</v>
      </c>
      <c r="AU50" s="39" t="s">
        <v>117</v>
      </c>
      <c r="AV50" s="39" t="s">
        <v>118</v>
      </c>
      <c r="AW50" s="39" t="s">
        <v>119</v>
      </c>
      <c r="AX50" s="39" t="s">
        <v>74</v>
      </c>
      <c r="AY50" s="39" t="s">
        <v>75</v>
      </c>
      <c r="BB50" s="39" t="s">
        <v>134</v>
      </c>
      <c r="BC50" s="39" t="s">
        <v>135</v>
      </c>
      <c r="BD50" s="39" t="s">
        <v>136</v>
      </c>
      <c r="BE50" s="39" t="s">
        <v>107</v>
      </c>
      <c r="BF50" s="39" t="s">
        <v>137</v>
      </c>
      <c r="BG50" s="39" t="s">
        <v>138</v>
      </c>
      <c r="BH50" s="39" t="s">
        <v>108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63</v>
      </c>
    </row>
    <row r="52" spans="2:61">
      <c r="B52" s="5" t="s">
        <v>46</v>
      </c>
      <c r="D52" s="29" t="s">
        <v>55</v>
      </c>
      <c r="H52" s="16" t="s">
        <v>12</v>
      </c>
      <c r="I52" s="16" t="s">
        <v>12</v>
      </c>
      <c r="J52" s="16" t="s">
        <v>12</v>
      </c>
      <c r="K52" s="16" t="s">
        <v>12</v>
      </c>
      <c r="L52" s="16" t="s">
        <v>12</v>
      </c>
      <c r="M52" s="16" t="s">
        <v>12</v>
      </c>
      <c r="N52" s="16" t="s">
        <v>12</v>
      </c>
      <c r="O52" s="16" t="s">
        <v>12</v>
      </c>
      <c r="P52" s="16" t="s">
        <v>13</v>
      </c>
      <c r="Q52" s="16" t="s">
        <v>13</v>
      </c>
      <c r="R52" s="16" t="s">
        <v>13</v>
      </c>
      <c r="S52" s="16" t="s">
        <v>13</v>
      </c>
      <c r="T52" s="16" t="s">
        <v>13</v>
      </c>
      <c r="U52" s="16" t="s">
        <v>13</v>
      </c>
      <c r="V52" s="16" t="s">
        <v>13</v>
      </c>
      <c r="X52" s="34" t="s">
        <v>13</v>
      </c>
    </row>
    <row r="53" spans="2:61">
      <c r="B53" s="4" t="str">
        <f t="shared" ref="B53:B67" si="1">IF(B10&lt;&gt;"",B10,"[blank]")</f>
        <v>Miscellaneous network regulator capital works</v>
      </c>
      <c r="D53" s="31" t="s">
        <v>364</v>
      </c>
      <c r="O53" s="35"/>
      <c r="P53" s="35"/>
      <c r="Q53" s="35">
        <f>Q31*($D10*'General assumptions'!T$35+$E10*'General assumptions'!T$36+$G10*'General assumptions'!T$42)</f>
        <v>153157.97341325143</v>
      </c>
      <c r="R53" s="35">
        <f>R31*($D10*'General assumptions'!U$35+$E10*'General assumptions'!U$36+$G10*'General assumptions'!U$42)</f>
        <v>153609.31271123717</v>
      </c>
      <c r="S53" s="35">
        <f>S31*($D10*'General assumptions'!V$35+$E10*'General assumptions'!V$36+$G10*'General assumptions'!V$42)</f>
        <v>154176.40947672041</v>
      </c>
      <c r="T53" s="35">
        <f>T31*($D10*'General assumptions'!W$35+$E10*'General assumptions'!W$36+$G10*'General assumptions'!W$42)</f>
        <v>154908.54540936288</v>
      </c>
      <c r="U53" s="35">
        <f>U31*($D10*'General assumptions'!X$35+$E10*'General assumptions'!X$36+$G10*'General assumptions'!X$42)</f>
        <v>155874.80751488262</v>
      </c>
      <c r="V53" s="35">
        <f>V31*($D10*'General assumptions'!Y$35+$E10*'General assumptions'!Y$36+$G10*'General assumptions'!Y$42)</f>
        <v>156925.32438892536</v>
      </c>
      <c r="W53" s="35"/>
      <c r="X53" s="40">
        <f>SUM(R53:V53)</f>
        <v>775494.39950112847</v>
      </c>
      <c r="Z53" s="10"/>
      <c r="AA53" s="10"/>
      <c r="AB53" s="10"/>
      <c r="AC53" s="10"/>
      <c r="AD53" s="10">
        <v>1</v>
      </c>
      <c r="AE53" s="10"/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>
        <v>1</v>
      </c>
      <c r="AV53" s="10"/>
      <c r="AW53" s="10"/>
      <c r="AX53" s="10"/>
      <c r="AY53" s="10"/>
      <c r="AZ53" s="41">
        <f t="shared" ref="AZ53:AZ67" si="3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P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P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62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153157.97341325143</v>
      </c>
      <c r="R69" s="37">
        <f t="shared" si="6"/>
        <v>153609.31271123717</v>
      </c>
      <c r="S69" s="37">
        <f t="shared" si="6"/>
        <v>154176.40947672041</v>
      </c>
      <c r="T69" s="37">
        <f t="shared" si="6"/>
        <v>154908.54540936288</v>
      </c>
      <c r="U69" s="37">
        <f t="shared" si="6"/>
        <v>155874.80751488262</v>
      </c>
      <c r="V69" s="37">
        <f t="shared" si="6"/>
        <v>156925.32438892536</v>
      </c>
      <c r="X69" s="37">
        <f t="shared" si="5"/>
        <v>775494.39950112847</v>
      </c>
    </row>
    <row r="71" spans="1:61">
      <c r="B71" s="5" t="s">
        <v>76</v>
      </c>
    </row>
    <row r="72" spans="1:61" s="1" customFormat="1">
      <c r="A72" s="4"/>
      <c r="B72" s="2" t="s">
        <v>77</v>
      </c>
    </row>
    <row r="74" spans="1:61">
      <c r="H74" s="190" t="s">
        <v>52</v>
      </c>
      <c r="I74" s="190"/>
      <c r="J74" s="190"/>
      <c r="K74" s="190"/>
      <c r="L74" s="190"/>
      <c r="M74" s="190" t="s">
        <v>53</v>
      </c>
      <c r="N74" s="190"/>
      <c r="O74" s="190"/>
      <c r="P74" s="190"/>
      <c r="Q74" s="190"/>
      <c r="R74" s="190" t="s">
        <v>54</v>
      </c>
      <c r="S74" s="190"/>
      <c r="T74" s="190"/>
      <c r="U74" s="190"/>
      <c r="V74" s="190"/>
      <c r="X74" s="38"/>
    </row>
    <row r="75" spans="1:61">
      <c r="B75" s="42" t="s">
        <v>79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63</v>
      </c>
    </row>
    <row r="76" spans="1:61">
      <c r="B76" s="5" t="s">
        <v>46</v>
      </c>
      <c r="D76" s="29" t="s">
        <v>55</v>
      </c>
      <c r="H76" s="16" t="s">
        <v>12</v>
      </c>
      <c r="I76" s="16" t="s">
        <v>12</v>
      </c>
      <c r="J76" s="16" t="s">
        <v>12</v>
      </c>
      <c r="K76" s="16" t="s">
        <v>12</v>
      </c>
      <c r="L76" s="16" t="s">
        <v>12</v>
      </c>
      <c r="M76" s="16" t="s">
        <v>12</v>
      </c>
      <c r="N76" s="16" t="s">
        <v>12</v>
      </c>
      <c r="O76" s="16" t="s">
        <v>12</v>
      </c>
      <c r="P76" s="16" t="s">
        <v>13</v>
      </c>
      <c r="Q76" s="16" t="s">
        <v>13</v>
      </c>
      <c r="R76" s="16" t="s">
        <v>13</v>
      </c>
      <c r="S76" s="16" t="s">
        <v>13</v>
      </c>
      <c r="T76" s="16" t="s">
        <v>13</v>
      </c>
      <c r="U76" s="16" t="s">
        <v>13</v>
      </c>
      <c r="V76" s="16" t="s">
        <v>13</v>
      </c>
      <c r="X76" s="34" t="s">
        <v>13</v>
      </c>
    </row>
    <row r="77" spans="1:61">
      <c r="B77" s="4" t="str">
        <f t="shared" ref="B77:B91" si="7">IF(B10&lt;&gt;"",B10,"[blank]")</f>
        <v>Miscellaneous network regulator capital works</v>
      </c>
      <c r="D77" s="31" t="s">
        <v>60</v>
      </c>
      <c r="O77" s="35"/>
      <c r="P77" s="35">
        <f t="shared" ref="P77:V80" si="8">$D10*P53</f>
        <v>0</v>
      </c>
      <c r="Q77" s="35">
        <f t="shared" si="8"/>
        <v>3063.1594682650284</v>
      </c>
      <c r="R77" s="35">
        <f t="shared" si="8"/>
        <v>3072.1862542247436</v>
      </c>
      <c r="S77" s="35">
        <f t="shared" si="8"/>
        <v>3083.5281895344083</v>
      </c>
      <c r="T77" s="35">
        <f t="shared" si="8"/>
        <v>3098.1709081872577</v>
      </c>
      <c r="U77" s="35">
        <f t="shared" si="8"/>
        <v>3117.4961502976525</v>
      </c>
      <c r="V77" s="35">
        <f t="shared" si="8"/>
        <v>3138.5064877785076</v>
      </c>
      <c r="X77" s="40">
        <f>SUM(R77:V77)</f>
        <v>15509.887990022571</v>
      </c>
    </row>
    <row r="78" spans="1:61">
      <c r="B78" s="4" t="str">
        <f t="shared" si="7"/>
        <v>[blank]</v>
      </c>
      <c r="D78" s="31" t="s">
        <v>60</v>
      </c>
      <c r="O78" s="50"/>
      <c r="P78" s="35">
        <f t="shared" si="8"/>
        <v>0</v>
      </c>
      <c r="Q78" s="35">
        <f t="shared" si="8"/>
        <v>0</v>
      </c>
      <c r="R78" s="35">
        <f t="shared" si="8"/>
        <v>0</v>
      </c>
      <c r="S78" s="35">
        <f t="shared" si="8"/>
        <v>0</v>
      </c>
      <c r="T78" s="35">
        <f t="shared" si="8"/>
        <v>0</v>
      </c>
      <c r="U78" s="35">
        <f t="shared" si="8"/>
        <v>0</v>
      </c>
      <c r="V78" s="35">
        <f t="shared" si="8"/>
        <v>0</v>
      </c>
      <c r="X78" s="40">
        <f t="shared" ref="X78:X91" si="9">SUM(R78:V78)</f>
        <v>0</v>
      </c>
    </row>
    <row r="79" spans="1:61">
      <c r="B79" s="4" t="str">
        <f t="shared" si="7"/>
        <v>[blank]</v>
      </c>
      <c r="D79" s="31" t="s">
        <v>60</v>
      </c>
      <c r="P79" s="35">
        <f t="shared" si="8"/>
        <v>0</v>
      </c>
      <c r="Q79" s="35">
        <f t="shared" si="8"/>
        <v>0</v>
      </c>
      <c r="R79" s="35">
        <f t="shared" si="8"/>
        <v>0</v>
      </c>
      <c r="S79" s="35">
        <f t="shared" si="8"/>
        <v>0</v>
      </c>
      <c r="T79" s="35">
        <f t="shared" si="8"/>
        <v>0</v>
      </c>
      <c r="U79" s="35">
        <f t="shared" si="8"/>
        <v>0</v>
      </c>
      <c r="V79" s="35">
        <f t="shared" si="8"/>
        <v>0</v>
      </c>
      <c r="X79" s="40">
        <f t="shared" si="9"/>
        <v>0</v>
      </c>
    </row>
    <row r="80" spans="1:61">
      <c r="B80" s="4" t="str">
        <f t="shared" si="7"/>
        <v>[blank]</v>
      </c>
      <c r="D80" s="31" t="s">
        <v>60</v>
      </c>
      <c r="P80" s="35">
        <f t="shared" si="8"/>
        <v>0</v>
      </c>
      <c r="Q80" s="35">
        <f t="shared" si="8"/>
        <v>0</v>
      </c>
      <c r="R80" s="35">
        <f t="shared" si="8"/>
        <v>0</v>
      </c>
      <c r="S80" s="35">
        <f t="shared" si="8"/>
        <v>0</v>
      </c>
      <c r="T80" s="35">
        <f t="shared" si="8"/>
        <v>0</v>
      </c>
      <c r="U80" s="35">
        <f t="shared" si="8"/>
        <v>0</v>
      </c>
      <c r="V80" s="35">
        <f t="shared" si="8"/>
        <v>0</v>
      </c>
      <c r="X80" s="40">
        <f t="shared" si="9"/>
        <v>0</v>
      </c>
    </row>
    <row r="81" spans="1:24">
      <c r="B81" s="4" t="str">
        <f t="shared" si="7"/>
        <v>[blank]</v>
      </c>
      <c r="X81" s="40">
        <f t="shared" si="9"/>
        <v>0</v>
      </c>
    </row>
    <row r="82" spans="1:24">
      <c r="B82" s="4" t="str">
        <f t="shared" si="7"/>
        <v>[blank]</v>
      </c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78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3063.1594682650284</v>
      </c>
      <c r="R93" s="37">
        <f t="shared" si="10"/>
        <v>3072.1862542247436</v>
      </c>
      <c r="S93" s="37">
        <f t="shared" si="10"/>
        <v>3083.5281895344083</v>
      </c>
      <c r="T93" s="37">
        <f t="shared" si="10"/>
        <v>3098.1709081872577</v>
      </c>
      <c r="U93" s="37">
        <f t="shared" si="10"/>
        <v>3117.4961502976525</v>
      </c>
      <c r="V93" s="37">
        <f t="shared" si="10"/>
        <v>3138.5064877785076</v>
      </c>
      <c r="X93" s="37">
        <f t="shared" ref="X93" si="11">SUM(R93:V93)</f>
        <v>15509.887990022571</v>
      </c>
    </row>
    <row r="95" spans="1:24" s="1" customFormat="1">
      <c r="A95" s="4"/>
      <c r="B95" s="2" t="s">
        <v>80</v>
      </c>
    </row>
    <row r="97" spans="2:24">
      <c r="H97" s="190" t="s">
        <v>52</v>
      </c>
      <c r="I97" s="190"/>
      <c r="J97" s="190"/>
      <c r="K97" s="190"/>
      <c r="L97" s="190"/>
      <c r="M97" s="190" t="s">
        <v>53</v>
      </c>
      <c r="N97" s="190"/>
      <c r="O97" s="190"/>
      <c r="P97" s="190"/>
      <c r="Q97" s="190"/>
      <c r="R97" s="190" t="s">
        <v>54</v>
      </c>
      <c r="S97" s="190"/>
      <c r="T97" s="190"/>
      <c r="U97" s="190"/>
      <c r="V97" s="190"/>
      <c r="X97" s="38"/>
    </row>
    <row r="98" spans="2:24">
      <c r="B98" s="43" t="s">
        <v>81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63</v>
      </c>
    </row>
    <row r="99" spans="2:24">
      <c r="B99" s="5" t="s">
        <v>46</v>
      </c>
      <c r="D99" s="29" t="s">
        <v>55</v>
      </c>
      <c r="H99" s="16" t="s">
        <v>12</v>
      </c>
      <c r="I99" s="16" t="s">
        <v>12</v>
      </c>
      <c r="J99" s="16" t="s">
        <v>12</v>
      </c>
      <c r="K99" s="16" t="s">
        <v>12</v>
      </c>
      <c r="L99" s="16" t="s">
        <v>12</v>
      </c>
      <c r="M99" s="16" t="s">
        <v>12</v>
      </c>
      <c r="N99" s="16" t="s">
        <v>12</v>
      </c>
      <c r="O99" s="16" t="s">
        <v>12</v>
      </c>
      <c r="P99" s="16" t="s">
        <v>13</v>
      </c>
      <c r="Q99" s="16" t="s">
        <v>13</v>
      </c>
      <c r="R99" s="16" t="s">
        <v>13</v>
      </c>
      <c r="S99" s="16" t="s">
        <v>13</v>
      </c>
      <c r="T99" s="16" t="s">
        <v>13</v>
      </c>
      <c r="U99" s="16" t="s">
        <v>13</v>
      </c>
      <c r="V99" s="16" t="s">
        <v>13</v>
      </c>
      <c r="X99" s="34" t="s">
        <v>13</v>
      </c>
    </row>
    <row r="100" spans="2:24">
      <c r="B100" s="4" t="str">
        <f t="shared" ref="B100:B114" si="12">IF(B10&lt;&gt;"",B10,"[blank]")</f>
        <v>Miscellaneous network regulator capital works</v>
      </c>
      <c r="D100" s="31" t="s">
        <v>60</v>
      </c>
      <c r="O100" s="35"/>
      <c r="P100" s="35">
        <f t="shared" ref="P100:V103" si="13">$E10*P53</f>
        <v>0</v>
      </c>
      <c r="Q100" s="35">
        <f t="shared" si="13"/>
        <v>58200.029897035543</v>
      </c>
      <c r="R100" s="35">
        <f t="shared" si="13"/>
        <v>58371.538830270125</v>
      </c>
      <c r="S100" s="35">
        <f t="shared" si="13"/>
        <v>58587.035601153759</v>
      </c>
      <c r="T100" s="35">
        <f t="shared" si="13"/>
        <v>58865.247255557893</v>
      </c>
      <c r="U100" s="35">
        <f t="shared" si="13"/>
        <v>59232.426855655394</v>
      </c>
      <c r="V100" s="35">
        <f t="shared" si="13"/>
        <v>59631.623267791641</v>
      </c>
      <c r="X100" s="40">
        <f>SUM(R100:V100)</f>
        <v>294687.8718104288</v>
      </c>
    </row>
    <row r="101" spans="2:24">
      <c r="B101" s="4" t="str">
        <f t="shared" si="12"/>
        <v>[blank]</v>
      </c>
      <c r="D101" s="31" t="s">
        <v>60</v>
      </c>
      <c r="O101" s="50"/>
      <c r="P101" s="35">
        <f t="shared" si="13"/>
        <v>0</v>
      </c>
      <c r="Q101" s="35">
        <f t="shared" si="13"/>
        <v>0</v>
      </c>
      <c r="R101" s="35">
        <f t="shared" si="13"/>
        <v>0</v>
      </c>
      <c r="S101" s="35">
        <f t="shared" si="13"/>
        <v>0</v>
      </c>
      <c r="T101" s="35">
        <f t="shared" si="13"/>
        <v>0</v>
      </c>
      <c r="U101" s="35">
        <f t="shared" si="13"/>
        <v>0</v>
      </c>
      <c r="V101" s="35">
        <f t="shared" si="13"/>
        <v>0</v>
      </c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 t="s">
        <v>60</v>
      </c>
      <c r="P102" s="35">
        <f t="shared" si="13"/>
        <v>0</v>
      </c>
      <c r="Q102" s="35">
        <f t="shared" si="13"/>
        <v>0</v>
      </c>
      <c r="R102" s="35">
        <f t="shared" si="13"/>
        <v>0</v>
      </c>
      <c r="S102" s="35">
        <f t="shared" si="13"/>
        <v>0</v>
      </c>
      <c r="T102" s="35">
        <f t="shared" si="13"/>
        <v>0</v>
      </c>
      <c r="U102" s="35">
        <f t="shared" si="13"/>
        <v>0</v>
      </c>
      <c r="V102" s="35">
        <f t="shared" si="13"/>
        <v>0</v>
      </c>
      <c r="X102" s="40">
        <f t="shared" si="14"/>
        <v>0</v>
      </c>
    </row>
    <row r="103" spans="2:24">
      <c r="B103" s="4" t="str">
        <f t="shared" si="12"/>
        <v>[blank]</v>
      </c>
      <c r="D103" s="31" t="s">
        <v>60</v>
      </c>
      <c r="P103" s="35">
        <f t="shared" si="13"/>
        <v>0</v>
      </c>
      <c r="Q103" s="35">
        <f t="shared" si="13"/>
        <v>0</v>
      </c>
      <c r="R103" s="35">
        <f t="shared" si="13"/>
        <v>0</v>
      </c>
      <c r="S103" s="35">
        <f t="shared" si="13"/>
        <v>0</v>
      </c>
      <c r="T103" s="35">
        <f t="shared" si="13"/>
        <v>0</v>
      </c>
      <c r="U103" s="35">
        <f t="shared" si="13"/>
        <v>0</v>
      </c>
      <c r="V103" s="35">
        <f t="shared" si="13"/>
        <v>0</v>
      </c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82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58200.029897035543</v>
      </c>
      <c r="R116" s="37">
        <f t="shared" si="15"/>
        <v>58371.538830270125</v>
      </c>
      <c r="S116" s="37">
        <f t="shared" si="15"/>
        <v>58587.035601153759</v>
      </c>
      <c r="T116" s="37">
        <f t="shared" si="15"/>
        <v>58865.247255557893</v>
      </c>
      <c r="U116" s="37">
        <f t="shared" si="15"/>
        <v>59232.426855655394</v>
      </c>
      <c r="V116" s="37">
        <f t="shared" si="15"/>
        <v>59631.623267791641</v>
      </c>
      <c r="X116" s="37">
        <f t="shared" ref="X116" si="16">SUM(R116:V116)</f>
        <v>294687.8718104288</v>
      </c>
    </row>
    <row r="118" spans="1:24" s="1" customFormat="1">
      <c r="A118" s="4"/>
      <c r="B118" s="2" t="s">
        <v>83</v>
      </c>
    </row>
    <row r="120" spans="1:24">
      <c r="H120" s="190" t="s">
        <v>52</v>
      </c>
      <c r="I120" s="190"/>
      <c r="J120" s="190"/>
      <c r="K120" s="190"/>
      <c r="L120" s="190"/>
      <c r="M120" s="190" t="s">
        <v>53</v>
      </c>
      <c r="N120" s="190"/>
      <c r="O120" s="190"/>
      <c r="P120" s="190"/>
      <c r="Q120" s="190"/>
      <c r="R120" s="190" t="s">
        <v>54</v>
      </c>
      <c r="S120" s="190"/>
      <c r="T120" s="190"/>
      <c r="U120" s="190"/>
      <c r="V120" s="190"/>
      <c r="X120" s="38"/>
    </row>
    <row r="121" spans="1:24">
      <c r="B121" s="43" t="s">
        <v>84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63</v>
      </c>
    </row>
    <row r="122" spans="1:24">
      <c r="B122" s="5" t="s">
        <v>46</v>
      </c>
      <c r="D122" s="29" t="s">
        <v>55</v>
      </c>
      <c r="H122" s="16" t="s">
        <v>12</v>
      </c>
      <c r="I122" s="16" t="s">
        <v>12</v>
      </c>
      <c r="J122" s="16" t="s">
        <v>12</v>
      </c>
      <c r="K122" s="16" t="s">
        <v>12</v>
      </c>
      <c r="L122" s="16" t="s">
        <v>12</v>
      </c>
      <c r="M122" s="16" t="s">
        <v>12</v>
      </c>
      <c r="N122" s="16" t="s">
        <v>12</v>
      </c>
      <c r="O122" s="16" t="s">
        <v>12</v>
      </c>
      <c r="P122" s="16" t="s">
        <v>13</v>
      </c>
      <c r="Q122" s="16" t="s">
        <v>13</v>
      </c>
      <c r="R122" s="16" t="s">
        <v>13</v>
      </c>
      <c r="S122" s="16" t="s">
        <v>13</v>
      </c>
      <c r="T122" s="16" t="s">
        <v>13</v>
      </c>
      <c r="U122" s="16" t="s">
        <v>13</v>
      </c>
      <c r="V122" s="16" t="s">
        <v>13</v>
      </c>
      <c r="X122" s="34" t="s">
        <v>13</v>
      </c>
    </row>
    <row r="123" spans="1:24">
      <c r="B123" s="4" t="str">
        <f t="shared" ref="B123:B137" si="17">IF(B10&lt;&gt;"",B10,"[blank]")</f>
        <v>Miscellaneous network regulator capital works</v>
      </c>
      <c r="D123" s="31" t="s">
        <v>60</v>
      </c>
      <c r="O123" s="35"/>
      <c r="P123" s="35">
        <f>P77+P100</f>
        <v>0</v>
      </c>
      <c r="Q123" s="35">
        <f t="shared" ref="Q123:V123" si="18">Q77+Q100</f>
        <v>61263.189365300568</v>
      </c>
      <c r="R123" s="35">
        <f t="shared" si="18"/>
        <v>61443.725084494872</v>
      </c>
      <c r="S123" s="35">
        <f t="shared" si="18"/>
        <v>61670.563790688168</v>
      </c>
      <c r="T123" s="35">
        <f t="shared" si="18"/>
        <v>61963.418163745155</v>
      </c>
      <c r="U123" s="35">
        <f t="shared" si="18"/>
        <v>62349.923005953046</v>
      </c>
      <c r="V123" s="35">
        <f t="shared" si="18"/>
        <v>62770.129755570146</v>
      </c>
      <c r="X123" s="40">
        <f>SUM(R123:V123)</f>
        <v>310197.75980045134</v>
      </c>
    </row>
    <row r="124" spans="1:24">
      <c r="B124" s="4" t="str">
        <f t="shared" si="17"/>
        <v>[blank]</v>
      </c>
      <c r="D124" s="31" t="s">
        <v>60</v>
      </c>
      <c r="O124" s="50"/>
      <c r="P124" s="35">
        <f t="shared" ref="P124:V126" si="19">P78+P101</f>
        <v>0</v>
      </c>
      <c r="Q124" s="35">
        <f t="shared" si="19"/>
        <v>0</v>
      </c>
      <c r="R124" s="35">
        <f t="shared" si="19"/>
        <v>0</v>
      </c>
      <c r="S124" s="35">
        <f t="shared" si="19"/>
        <v>0</v>
      </c>
      <c r="T124" s="35">
        <f t="shared" si="19"/>
        <v>0</v>
      </c>
      <c r="U124" s="35">
        <f t="shared" si="19"/>
        <v>0</v>
      </c>
      <c r="V124" s="35">
        <f t="shared" si="19"/>
        <v>0</v>
      </c>
      <c r="X124" s="40">
        <f t="shared" ref="X124:X137" si="20">SUM(R124:V124)</f>
        <v>0</v>
      </c>
    </row>
    <row r="125" spans="1:24">
      <c r="B125" s="4" t="str">
        <f t="shared" si="17"/>
        <v>[blank]</v>
      </c>
      <c r="D125" s="31" t="s">
        <v>60</v>
      </c>
      <c r="P125" s="35">
        <f t="shared" si="19"/>
        <v>0</v>
      </c>
      <c r="Q125" s="35">
        <f t="shared" si="19"/>
        <v>0</v>
      </c>
      <c r="R125" s="35">
        <f t="shared" si="19"/>
        <v>0</v>
      </c>
      <c r="S125" s="35">
        <f t="shared" si="19"/>
        <v>0</v>
      </c>
      <c r="T125" s="35">
        <f t="shared" si="19"/>
        <v>0</v>
      </c>
      <c r="U125" s="35">
        <f t="shared" si="19"/>
        <v>0</v>
      </c>
      <c r="V125" s="35">
        <f t="shared" si="19"/>
        <v>0</v>
      </c>
      <c r="X125" s="40">
        <f t="shared" si="20"/>
        <v>0</v>
      </c>
    </row>
    <row r="126" spans="1:24">
      <c r="B126" s="4" t="str">
        <f t="shared" si="17"/>
        <v>[blank]</v>
      </c>
      <c r="D126" s="31" t="s">
        <v>60</v>
      </c>
      <c r="P126" s="35">
        <f t="shared" si="19"/>
        <v>0</v>
      </c>
      <c r="Q126" s="35">
        <f t="shared" si="19"/>
        <v>0</v>
      </c>
      <c r="R126" s="35">
        <f t="shared" si="19"/>
        <v>0</v>
      </c>
      <c r="S126" s="35">
        <f t="shared" si="19"/>
        <v>0</v>
      </c>
      <c r="T126" s="35">
        <f t="shared" si="19"/>
        <v>0</v>
      </c>
      <c r="U126" s="35">
        <f t="shared" si="19"/>
        <v>0</v>
      </c>
      <c r="V126" s="35">
        <f t="shared" si="19"/>
        <v>0</v>
      </c>
      <c r="X126" s="40">
        <f t="shared" si="20"/>
        <v>0</v>
      </c>
    </row>
    <row r="127" spans="1:24">
      <c r="B127" s="4" t="str">
        <f t="shared" si="17"/>
        <v>[blank]</v>
      </c>
      <c r="X127" s="40">
        <f t="shared" si="20"/>
        <v>0</v>
      </c>
    </row>
    <row r="128" spans="1:24">
      <c r="B128" s="4" t="str">
        <f t="shared" si="17"/>
        <v>[blank]</v>
      </c>
      <c r="X128" s="40">
        <f t="shared" si="20"/>
        <v>0</v>
      </c>
    </row>
    <row r="129" spans="1:24">
      <c r="B129" s="4" t="str">
        <f t="shared" si="17"/>
        <v>[blank]</v>
      </c>
      <c r="X129" s="40">
        <f t="shared" si="20"/>
        <v>0</v>
      </c>
    </row>
    <row r="130" spans="1:24">
      <c r="B130" s="4" t="str">
        <f t="shared" si="17"/>
        <v>[blank]</v>
      </c>
      <c r="X130" s="40">
        <f t="shared" si="20"/>
        <v>0</v>
      </c>
    </row>
    <row r="131" spans="1:24">
      <c r="B131" s="4" t="str">
        <f t="shared" si="17"/>
        <v>[blank]</v>
      </c>
      <c r="X131" s="40">
        <f t="shared" si="20"/>
        <v>0</v>
      </c>
    </row>
    <row r="132" spans="1:24">
      <c r="B132" s="4" t="str">
        <f t="shared" si="17"/>
        <v>[blank]</v>
      </c>
      <c r="X132" s="40">
        <f t="shared" si="20"/>
        <v>0</v>
      </c>
    </row>
    <row r="133" spans="1:24">
      <c r="B133" s="4" t="str">
        <f t="shared" si="17"/>
        <v>[blank]</v>
      </c>
      <c r="X133" s="40">
        <f t="shared" si="20"/>
        <v>0</v>
      </c>
    </row>
    <row r="134" spans="1:24">
      <c r="B134" s="4" t="str">
        <f t="shared" si="17"/>
        <v>[blank]</v>
      </c>
      <c r="X134" s="40">
        <f t="shared" si="20"/>
        <v>0</v>
      </c>
    </row>
    <row r="135" spans="1:24">
      <c r="B135" s="4" t="str">
        <f t="shared" si="17"/>
        <v>[blank]</v>
      </c>
      <c r="X135" s="40">
        <f t="shared" si="20"/>
        <v>0</v>
      </c>
    </row>
    <row r="136" spans="1:24">
      <c r="B136" s="4" t="str">
        <f t="shared" si="17"/>
        <v>[blank]</v>
      </c>
      <c r="X136" s="40">
        <f t="shared" si="20"/>
        <v>0</v>
      </c>
    </row>
    <row r="137" spans="1:24">
      <c r="B137" s="4" t="str">
        <f t="shared" si="17"/>
        <v>[blank]</v>
      </c>
      <c r="X137" s="40">
        <f t="shared" si="20"/>
        <v>0</v>
      </c>
    </row>
    <row r="139" spans="1:24" ht="12.75" thickBot="1">
      <c r="B139" s="5" t="s">
        <v>85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1">SUM(Q123:Q137)</f>
        <v>61263.189365300568</v>
      </c>
      <c r="R139" s="37">
        <f t="shared" si="21"/>
        <v>61443.725084494872</v>
      </c>
      <c r="S139" s="37">
        <f t="shared" si="21"/>
        <v>61670.563790688168</v>
      </c>
      <c r="T139" s="37">
        <f t="shared" si="21"/>
        <v>61963.418163745155</v>
      </c>
      <c r="U139" s="37">
        <f t="shared" si="21"/>
        <v>62349.923005953046</v>
      </c>
      <c r="V139" s="37">
        <f t="shared" si="21"/>
        <v>62770.129755570146</v>
      </c>
      <c r="X139" s="37">
        <f t="shared" ref="X139" si="22">SUM(R139:V139)</f>
        <v>310197.75980045134</v>
      </c>
    </row>
    <row r="141" spans="1:24" s="1" customFormat="1">
      <c r="A141" s="4"/>
      <c r="B141" s="2" t="s">
        <v>86</v>
      </c>
    </row>
    <row r="143" spans="1:24">
      <c r="H143" s="190" t="s">
        <v>52</v>
      </c>
      <c r="I143" s="190"/>
      <c r="J143" s="190"/>
      <c r="K143" s="190"/>
      <c r="L143" s="190"/>
      <c r="M143" s="190" t="s">
        <v>53</v>
      </c>
      <c r="N143" s="190"/>
      <c r="O143" s="190"/>
      <c r="P143" s="190"/>
      <c r="Q143" s="190"/>
      <c r="R143" s="190" t="s">
        <v>54</v>
      </c>
      <c r="S143" s="190"/>
      <c r="T143" s="190"/>
      <c r="U143" s="190"/>
      <c r="V143" s="190"/>
      <c r="X143" s="38"/>
    </row>
    <row r="144" spans="1:24">
      <c r="B144" s="44" t="s">
        <v>50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63</v>
      </c>
    </row>
    <row r="145" spans="2:24">
      <c r="B145" s="5" t="s">
        <v>46</v>
      </c>
      <c r="D145" s="29" t="s">
        <v>55</v>
      </c>
      <c r="H145" s="16" t="s">
        <v>12</v>
      </c>
      <c r="I145" s="16" t="s">
        <v>12</v>
      </c>
      <c r="J145" s="16" t="s">
        <v>12</v>
      </c>
      <c r="K145" s="16" t="s">
        <v>12</v>
      </c>
      <c r="L145" s="16" t="s">
        <v>12</v>
      </c>
      <c r="M145" s="16" t="s">
        <v>12</v>
      </c>
      <c r="N145" s="16" t="s">
        <v>12</v>
      </c>
      <c r="O145" s="16" t="s">
        <v>12</v>
      </c>
      <c r="P145" s="16" t="s">
        <v>13</v>
      </c>
      <c r="Q145" s="16" t="s">
        <v>13</v>
      </c>
      <c r="R145" s="16" t="s">
        <v>13</v>
      </c>
      <c r="S145" s="16" t="s">
        <v>13</v>
      </c>
      <c r="T145" s="16" t="s">
        <v>13</v>
      </c>
      <c r="U145" s="16" t="s">
        <v>13</v>
      </c>
      <c r="V145" s="16" t="s">
        <v>13</v>
      </c>
      <c r="X145" s="34" t="s">
        <v>13</v>
      </c>
    </row>
    <row r="146" spans="2:24">
      <c r="B146" s="4" t="str">
        <f t="shared" ref="B146:B160" si="23">IF(B10&lt;&gt;"",B10,"[blank]")</f>
        <v>Miscellaneous network regulator capital works</v>
      </c>
      <c r="D146" s="31" t="s">
        <v>60</v>
      </c>
      <c r="O146" s="35"/>
      <c r="P146" s="35">
        <f t="shared" ref="P146:V149" si="24">$G10*P53</f>
        <v>0</v>
      </c>
      <c r="Q146" s="35">
        <f t="shared" si="24"/>
        <v>91894.78404795086</v>
      </c>
      <c r="R146" s="35">
        <f t="shared" si="24"/>
        <v>92165.587626742301</v>
      </c>
      <c r="S146" s="35">
        <f t="shared" si="24"/>
        <v>92505.845686032248</v>
      </c>
      <c r="T146" s="35">
        <f t="shared" si="24"/>
        <v>92945.127245617725</v>
      </c>
      <c r="U146" s="35">
        <f t="shared" si="24"/>
        <v>93524.884508929565</v>
      </c>
      <c r="V146" s="35">
        <f t="shared" si="24"/>
        <v>94155.194633355219</v>
      </c>
      <c r="X146" s="40">
        <f>SUM(R146:V146)</f>
        <v>465296.63970067701</v>
      </c>
    </row>
    <row r="147" spans="2:24">
      <c r="B147" s="4" t="str">
        <f t="shared" si="23"/>
        <v>[blank]</v>
      </c>
      <c r="D147" s="31" t="s">
        <v>60</v>
      </c>
      <c r="O147" s="50"/>
      <c r="P147" s="35">
        <f t="shared" si="24"/>
        <v>0</v>
      </c>
      <c r="Q147" s="35">
        <f t="shared" si="24"/>
        <v>0</v>
      </c>
      <c r="R147" s="35">
        <f t="shared" si="24"/>
        <v>0</v>
      </c>
      <c r="S147" s="35">
        <f t="shared" si="24"/>
        <v>0</v>
      </c>
      <c r="T147" s="35">
        <f t="shared" si="24"/>
        <v>0</v>
      </c>
      <c r="U147" s="35">
        <f t="shared" si="24"/>
        <v>0</v>
      </c>
      <c r="V147" s="35">
        <f t="shared" si="24"/>
        <v>0</v>
      </c>
      <c r="X147" s="40">
        <f t="shared" ref="X147:X160" si="25">SUM(R147:V147)</f>
        <v>0</v>
      </c>
    </row>
    <row r="148" spans="2:24">
      <c r="B148" s="4" t="str">
        <f t="shared" si="23"/>
        <v>[blank]</v>
      </c>
      <c r="D148" s="31" t="s">
        <v>60</v>
      </c>
      <c r="P148" s="35">
        <f t="shared" si="24"/>
        <v>0</v>
      </c>
      <c r="Q148" s="35">
        <f t="shared" si="24"/>
        <v>0</v>
      </c>
      <c r="R148" s="35">
        <f t="shared" si="24"/>
        <v>0</v>
      </c>
      <c r="S148" s="35">
        <f t="shared" si="24"/>
        <v>0</v>
      </c>
      <c r="T148" s="35">
        <f t="shared" si="24"/>
        <v>0</v>
      </c>
      <c r="U148" s="35">
        <f t="shared" si="24"/>
        <v>0</v>
      </c>
      <c r="V148" s="35">
        <f t="shared" si="24"/>
        <v>0</v>
      </c>
      <c r="X148" s="40">
        <f t="shared" si="25"/>
        <v>0</v>
      </c>
    </row>
    <row r="149" spans="2:24">
      <c r="B149" s="4" t="str">
        <f t="shared" si="23"/>
        <v>[blank]</v>
      </c>
      <c r="D149" s="31" t="s">
        <v>60</v>
      </c>
      <c r="P149" s="35">
        <f t="shared" si="24"/>
        <v>0</v>
      </c>
      <c r="Q149" s="35">
        <f t="shared" si="24"/>
        <v>0</v>
      </c>
      <c r="R149" s="35">
        <f t="shared" si="24"/>
        <v>0</v>
      </c>
      <c r="S149" s="35">
        <f t="shared" si="24"/>
        <v>0</v>
      </c>
      <c r="T149" s="35">
        <f t="shared" si="24"/>
        <v>0</v>
      </c>
      <c r="U149" s="35">
        <f t="shared" si="24"/>
        <v>0</v>
      </c>
      <c r="V149" s="35">
        <f t="shared" si="24"/>
        <v>0</v>
      </c>
      <c r="X149" s="40">
        <f t="shared" si="25"/>
        <v>0</v>
      </c>
    </row>
    <row r="150" spans="2:24">
      <c r="B150" s="4" t="str">
        <f t="shared" si="23"/>
        <v>[blank]</v>
      </c>
      <c r="X150" s="40">
        <f t="shared" si="25"/>
        <v>0</v>
      </c>
    </row>
    <row r="151" spans="2:24">
      <c r="B151" s="4" t="str">
        <f t="shared" si="23"/>
        <v>[blank]</v>
      </c>
      <c r="X151" s="40">
        <f t="shared" si="25"/>
        <v>0</v>
      </c>
    </row>
    <row r="152" spans="2:24">
      <c r="B152" s="4" t="str">
        <f t="shared" si="23"/>
        <v>[blank]</v>
      </c>
      <c r="X152" s="40">
        <f t="shared" si="25"/>
        <v>0</v>
      </c>
    </row>
    <row r="153" spans="2:24">
      <c r="B153" s="4" t="str">
        <f t="shared" si="23"/>
        <v>[blank]</v>
      </c>
      <c r="X153" s="40">
        <f t="shared" si="25"/>
        <v>0</v>
      </c>
    </row>
    <row r="154" spans="2:24">
      <c r="B154" s="4" t="str">
        <f t="shared" si="23"/>
        <v>[blank]</v>
      </c>
      <c r="X154" s="40">
        <f t="shared" si="25"/>
        <v>0</v>
      </c>
    </row>
    <row r="155" spans="2:24">
      <c r="B155" s="4" t="str">
        <f t="shared" si="23"/>
        <v>[blank]</v>
      </c>
      <c r="X155" s="40">
        <f t="shared" si="25"/>
        <v>0</v>
      </c>
    </row>
    <row r="156" spans="2:24">
      <c r="B156" s="4" t="str">
        <f t="shared" si="23"/>
        <v>[blank]</v>
      </c>
      <c r="X156" s="40">
        <f t="shared" si="25"/>
        <v>0</v>
      </c>
    </row>
    <row r="157" spans="2:24">
      <c r="B157" s="4" t="str">
        <f t="shared" si="23"/>
        <v>[blank]</v>
      </c>
      <c r="X157" s="40">
        <f t="shared" si="25"/>
        <v>0</v>
      </c>
    </row>
    <row r="158" spans="2:24">
      <c r="B158" s="4" t="str">
        <f t="shared" si="23"/>
        <v>[blank]</v>
      </c>
      <c r="X158" s="40">
        <f t="shared" si="25"/>
        <v>0</v>
      </c>
    </row>
    <row r="159" spans="2:24">
      <c r="B159" s="4" t="str">
        <f t="shared" si="23"/>
        <v>[blank]</v>
      </c>
      <c r="X159" s="40">
        <f t="shared" si="25"/>
        <v>0</v>
      </c>
    </row>
    <row r="160" spans="2:24">
      <c r="B160" s="4" t="str">
        <f t="shared" si="23"/>
        <v>[blank]</v>
      </c>
      <c r="X160" s="40">
        <f t="shared" si="25"/>
        <v>0</v>
      </c>
    </row>
    <row r="162" spans="1:24" ht="12.75" thickBot="1">
      <c r="B162" s="5" t="s">
        <v>87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6">SUM(Q146:Q160)</f>
        <v>91894.78404795086</v>
      </c>
      <c r="R162" s="37">
        <f t="shared" si="26"/>
        <v>92165.587626742301</v>
      </c>
      <c r="S162" s="37">
        <f t="shared" si="26"/>
        <v>92505.845686032248</v>
      </c>
      <c r="T162" s="37">
        <f t="shared" si="26"/>
        <v>92945.127245617725</v>
      </c>
      <c r="U162" s="37">
        <f t="shared" si="26"/>
        <v>93524.884508929565</v>
      </c>
      <c r="V162" s="37">
        <f t="shared" si="26"/>
        <v>94155.194633355219</v>
      </c>
      <c r="X162" s="37">
        <f t="shared" ref="X162" si="27">SUM(R162:V162)</f>
        <v>465296.63970067701</v>
      </c>
    </row>
    <row r="164" spans="1:24" s="1" customFormat="1">
      <c r="A164" s="2">
        <v>5</v>
      </c>
      <c r="B164" s="2" t="s">
        <v>89</v>
      </c>
    </row>
    <row r="166" spans="1:24">
      <c r="H166" s="190" t="s">
        <v>52</v>
      </c>
      <c r="I166" s="190"/>
      <c r="J166" s="190"/>
      <c r="K166" s="190"/>
      <c r="L166" s="190"/>
      <c r="M166" s="190" t="s">
        <v>53</v>
      </c>
      <c r="N166" s="190"/>
      <c r="O166" s="190"/>
      <c r="P166" s="190"/>
      <c r="Q166" s="190"/>
      <c r="R166" s="190" t="s">
        <v>54</v>
      </c>
      <c r="S166" s="190"/>
      <c r="T166" s="190"/>
      <c r="U166" s="190"/>
      <c r="V166" s="190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63</v>
      </c>
    </row>
    <row r="168" spans="1:24">
      <c r="B168" s="5" t="s">
        <v>46</v>
      </c>
      <c r="D168" s="29" t="s">
        <v>55</v>
      </c>
      <c r="H168" s="16" t="s">
        <v>12</v>
      </c>
      <c r="I168" s="16" t="s">
        <v>12</v>
      </c>
      <c r="J168" s="16" t="s">
        <v>12</v>
      </c>
      <c r="K168" s="16" t="s">
        <v>12</v>
      </c>
      <c r="L168" s="16" t="s">
        <v>12</v>
      </c>
      <c r="M168" s="16" t="s">
        <v>12</v>
      </c>
      <c r="N168" s="16" t="s">
        <v>12</v>
      </c>
      <c r="O168" s="16" t="s">
        <v>12</v>
      </c>
      <c r="P168" s="16" t="s">
        <v>13</v>
      </c>
      <c r="Q168" s="16" t="s">
        <v>13</v>
      </c>
      <c r="R168" s="16" t="s">
        <v>13</v>
      </c>
      <c r="S168" s="16" t="s">
        <v>13</v>
      </c>
      <c r="T168" s="16" t="s">
        <v>13</v>
      </c>
      <c r="U168" s="16" t="s">
        <v>13</v>
      </c>
      <c r="V168" s="16" t="s">
        <v>13</v>
      </c>
      <c r="X168" s="34" t="s">
        <v>13</v>
      </c>
    </row>
    <row r="169" spans="1:24">
      <c r="B169" s="4" t="str">
        <f t="shared" ref="B169:B183" si="28">IF(B10&lt;&gt;"",B10,"[blank]")</f>
        <v>Miscellaneous network regulator capital works</v>
      </c>
      <c r="D169" s="31" t="s">
        <v>60</v>
      </c>
      <c r="O169" s="35"/>
      <c r="P169" s="35">
        <f>P53*P$188</f>
        <v>0</v>
      </c>
      <c r="Q169" s="35">
        <f t="shared" ref="Q169:V169" si="29">Q53*Q$188</f>
        <v>11462.602651234307</v>
      </c>
      <c r="R169" s="35">
        <f t="shared" si="29"/>
        <v>11086.108406257952</v>
      </c>
      <c r="S169" s="35">
        <f t="shared" si="29"/>
        <v>11757.970352529894</v>
      </c>
      <c r="T169" s="35">
        <f t="shared" si="29"/>
        <v>11994.051077613665</v>
      </c>
      <c r="U169" s="35">
        <f t="shared" si="29"/>
        <v>12737.416307840969</v>
      </c>
      <c r="V169" s="35">
        <f t="shared" si="29"/>
        <v>13243.335181139677</v>
      </c>
      <c r="X169" s="40">
        <f>SUM(R169:V169)</f>
        <v>60818.881325382157</v>
      </c>
    </row>
    <row r="170" spans="1:24">
      <c r="B170" s="4" t="str">
        <f t="shared" si="28"/>
        <v>[blank]</v>
      </c>
      <c r="D170" s="31" t="s">
        <v>60</v>
      </c>
      <c r="O170" s="50"/>
      <c r="P170" s="35">
        <f t="shared" ref="P170:V172" si="30">P54*P$188</f>
        <v>0</v>
      </c>
      <c r="Q170" s="35">
        <f t="shared" si="30"/>
        <v>0</v>
      </c>
      <c r="R170" s="35">
        <f t="shared" si="30"/>
        <v>0</v>
      </c>
      <c r="S170" s="35">
        <f t="shared" si="30"/>
        <v>0</v>
      </c>
      <c r="T170" s="35">
        <f t="shared" si="30"/>
        <v>0</v>
      </c>
      <c r="U170" s="35">
        <f t="shared" si="30"/>
        <v>0</v>
      </c>
      <c r="V170" s="35">
        <f t="shared" si="30"/>
        <v>0</v>
      </c>
      <c r="X170" s="40">
        <f t="shared" ref="X170:X183" si="31">SUM(R170:V170)</f>
        <v>0</v>
      </c>
    </row>
    <row r="171" spans="1:24">
      <c r="B171" s="4" t="str">
        <f t="shared" si="28"/>
        <v>[blank]</v>
      </c>
      <c r="D171" s="31" t="s">
        <v>60</v>
      </c>
      <c r="P171" s="35">
        <f t="shared" si="30"/>
        <v>0</v>
      </c>
      <c r="Q171" s="35">
        <f t="shared" si="30"/>
        <v>0</v>
      </c>
      <c r="R171" s="35">
        <f t="shared" si="30"/>
        <v>0</v>
      </c>
      <c r="S171" s="35">
        <f t="shared" si="30"/>
        <v>0</v>
      </c>
      <c r="T171" s="35">
        <f t="shared" si="30"/>
        <v>0</v>
      </c>
      <c r="U171" s="35">
        <f t="shared" si="30"/>
        <v>0</v>
      </c>
      <c r="V171" s="35">
        <f t="shared" si="30"/>
        <v>0</v>
      </c>
      <c r="X171" s="40">
        <f t="shared" si="31"/>
        <v>0</v>
      </c>
    </row>
    <row r="172" spans="1:24">
      <c r="B172" s="4" t="str">
        <f t="shared" si="28"/>
        <v>[blank]</v>
      </c>
      <c r="D172" s="31" t="s">
        <v>60</v>
      </c>
      <c r="P172" s="35">
        <f t="shared" si="30"/>
        <v>0</v>
      </c>
      <c r="Q172" s="35">
        <f t="shared" si="30"/>
        <v>0</v>
      </c>
      <c r="R172" s="35">
        <f t="shared" si="30"/>
        <v>0</v>
      </c>
      <c r="S172" s="35">
        <f t="shared" si="30"/>
        <v>0</v>
      </c>
      <c r="T172" s="35">
        <f t="shared" si="30"/>
        <v>0</v>
      </c>
      <c r="U172" s="35">
        <f t="shared" si="30"/>
        <v>0</v>
      </c>
      <c r="V172" s="35">
        <f t="shared" si="30"/>
        <v>0</v>
      </c>
      <c r="X172" s="40">
        <f t="shared" si="31"/>
        <v>0</v>
      </c>
    </row>
    <row r="173" spans="1:24">
      <c r="B173" s="4" t="str">
        <f t="shared" si="28"/>
        <v>[blank]</v>
      </c>
      <c r="X173" s="40">
        <f t="shared" si="31"/>
        <v>0</v>
      </c>
    </row>
    <row r="174" spans="1:24">
      <c r="B174" s="4" t="str">
        <f t="shared" si="28"/>
        <v>[blank]</v>
      </c>
      <c r="X174" s="40">
        <f t="shared" si="31"/>
        <v>0</v>
      </c>
    </row>
    <row r="175" spans="1:24">
      <c r="B175" s="4" t="str">
        <f t="shared" si="28"/>
        <v>[blank]</v>
      </c>
      <c r="X175" s="40">
        <f t="shared" si="31"/>
        <v>0</v>
      </c>
    </row>
    <row r="176" spans="1:24">
      <c r="B176" s="4" t="str">
        <f t="shared" si="28"/>
        <v>[blank]</v>
      </c>
      <c r="X176" s="40">
        <f t="shared" si="31"/>
        <v>0</v>
      </c>
    </row>
    <row r="177" spans="2:24">
      <c r="B177" s="4" t="str">
        <f t="shared" si="28"/>
        <v>[blank]</v>
      </c>
      <c r="X177" s="40">
        <f t="shared" si="31"/>
        <v>0</v>
      </c>
    </row>
    <row r="178" spans="2:24">
      <c r="B178" s="4" t="str">
        <f t="shared" si="28"/>
        <v>[blank]</v>
      </c>
      <c r="X178" s="40">
        <f t="shared" si="31"/>
        <v>0</v>
      </c>
    </row>
    <row r="179" spans="2:24">
      <c r="B179" s="4" t="str">
        <f t="shared" si="28"/>
        <v>[blank]</v>
      </c>
      <c r="X179" s="40">
        <f t="shared" si="31"/>
        <v>0</v>
      </c>
    </row>
    <row r="180" spans="2:24">
      <c r="B180" s="4" t="str">
        <f t="shared" si="28"/>
        <v>[blank]</v>
      </c>
      <c r="X180" s="40">
        <f t="shared" si="31"/>
        <v>0</v>
      </c>
    </row>
    <row r="181" spans="2:24">
      <c r="B181" s="4" t="str">
        <f t="shared" si="28"/>
        <v>[blank]</v>
      </c>
      <c r="X181" s="40">
        <f t="shared" si="31"/>
        <v>0</v>
      </c>
    </row>
    <row r="182" spans="2:24">
      <c r="B182" s="4" t="str">
        <f t="shared" si="28"/>
        <v>[blank]</v>
      </c>
      <c r="X182" s="40">
        <f t="shared" si="31"/>
        <v>0</v>
      </c>
    </row>
    <row r="183" spans="2:24">
      <c r="B183" s="4" t="str">
        <f t="shared" si="28"/>
        <v>[blank]</v>
      </c>
      <c r="X183" s="40">
        <f t="shared" si="31"/>
        <v>0</v>
      </c>
    </row>
    <row r="185" spans="2:24" ht="12.75" thickBot="1">
      <c r="B185" s="5" t="s">
        <v>88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2">SUM(Q169:Q183)</f>
        <v>11462.602651234307</v>
      </c>
      <c r="R185" s="37">
        <f t="shared" si="32"/>
        <v>11086.108406257952</v>
      </c>
      <c r="S185" s="37">
        <f t="shared" si="32"/>
        <v>11757.970352529894</v>
      </c>
      <c r="T185" s="37">
        <f t="shared" si="32"/>
        <v>11994.051077613665</v>
      </c>
      <c r="U185" s="37">
        <f t="shared" si="32"/>
        <v>12737.416307840969</v>
      </c>
      <c r="V185" s="37">
        <f t="shared" si="32"/>
        <v>13243.335181139677</v>
      </c>
      <c r="X185" s="37">
        <f t="shared" ref="X185" si="33">SUM(R185:V185)</f>
        <v>60818.881325382157</v>
      </c>
    </row>
    <row r="187" spans="2:24">
      <c r="B187" s="4" t="s">
        <v>92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4">Q69</f>
        <v>153157.97341325143</v>
      </c>
      <c r="R187" s="45">
        <f t="shared" si="34"/>
        <v>153609.31271123717</v>
      </c>
      <c r="S187" s="45">
        <f t="shared" si="34"/>
        <v>154176.40947672041</v>
      </c>
      <c r="T187" s="45">
        <f t="shared" si="34"/>
        <v>154908.54540936288</v>
      </c>
      <c r="U187" s="45">
        <f t="shared" si="34"/>
        <v>155874.80751488262</v>
      </c>
      <c r="V187" s="45">
        <f t="shared" si="34"/>
        <v>156925.32438892536</v>
      </c>
      <c r="W187" s="45"/>
      <c r="X187" s="40">
        <f t="shared" si="34"/>
        <v>775494.39950112847</v>
      </c>
    </row>
    <row r="188" spans="2:24">
      <c r="B188" s="4" t="s">
        <v>90</v>
      </c>
      <c r="H188" s="21" t="str">
        <f>IFERROR(H192/H187,"")</f>
        <v/>
      </c>
      <c r="I188" s="21" t="str">
        <f t="shared" ref="I188:O188" si="35">IFERROR(I192/I187,"")</f>
        <v/>
      </c>
      <c r="J188" s="21" t="str">
        <f t="shared" si="35"/>
        <v/>
      </c>
      <c r="K188" s="21" t="str">
        <f t="shared" si="35"/>
        <v/>
      </c>
      <c r="L188" s="21" t="str">
        <f t="shared" si="35"/>
        <v/>
      </c>
      <c r="M188" s="21" t="str">
        <f t="shared" si="35"/>
        <v/>
      </c>
      <c r="N188" s="21" t="str">
        <f t="shared" si="35"/>
        <v/>
      </c>
      <c r="O188" s="21" t="str">
        <f t="shared" si="35"/>
        <v/>
      </c>
      <c r="P188" s="21">
        <f>'General assumptions'!S58</f>
        <v>0</v>
      </c>
      <c r="Q188" s="21">
        <f>'General assumptions'!T58</f>
        <v>7.4841697077734692E-2</v>
      </c>
      <c r="R188" s="21">
        <f>'General assumptions'!U58</f>
        <v>7.2170809247081261E-2</v>
      </c>
      <c r="S188" s="21">
        <f>'General assumptions'!V58</f>
        <v>7.6263096231367788E-2</v>
      </c>
      <c r="T188" s="21">
        <f>'General assumptions'!W58</f>
        <v>7.7426658716070601E-2</v>
      </c>
      <c r="U188" s="21">
        <f>'General assumptions'!X58</f>
        <v>8.1715682674538839E-2</v>
      </c>
      <c r="V188" s="21">
        <f>'General assumptions'!Y58</f>
        <v>8.4392593946897035E-2</v>
      </c>
      <c r="W188" s="21"/>
      <c r="X188" s="75">
        <f>X185/X187</f>
        <v>7.8425945260864077E-2</v>
      </c>
    </row>
    <row r="190" spans="2:24" ht="12.75" thickBot="1">
      <c r="B190" s="5" t="s">
        <v>91</v>
      </c>
      <c r="H190" s="37">
        <f t="shared" ref="H190:N190" si="36">IF(H168="forecast",H187*(1+H188),H187+H192)</f>
        <v>0</v>
      </c>
      <c r="I190" s="37">
        <f t="shared" si="36"/>
        <v>0</v>
      </c>
      <c r="J190" s="37">
        <f t="shared" si="36"/>
        <v>0</v>
      </c>
      <c r="K190" s="37">
        <f t="shared" si="36"/>
        <v>0</v>
      </c>
      <c r="L190" s="37">
        <f t="shared" si="36"/>
        <v>0</v>
      </c>
      <c r="M190" s="37">
        <f t="shared" si="36"/>
        <v>0</v>
      </c>
      <c r="N190" s="37">
        <f t="shared" si="36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7">IF(Q168="forecast",Q187*(1+Q188),Q187+Q192)</f>
        <v>164620.57606448577</v>
      </c>
      <c r="R190" s="37">
        <f t="shared" si="37"/>
        <v>164695.42111749511</v>
      </c>
      <c r="S190" s="37">
        <f t="shared" si="37"/>
        <v>165934.37982925031</v>
      </c>
      <c r="T190" s="37">
        <f t="shared" si="37"/>
        <v>166902.59648697654</v>
      </c>
      <c r="U190" s="37">
        <f t="shared" si="37"/>
        <v>168612.22382272358</v>
      </c>
      <c r="V190" s="37">
        <f t="shared" si="37"/>
        <v>170168.65957006504</v>
      </c>
      <c r="X190" s="37">
        <f t="shared" ref="X190" si="38">IF(X168="forecast",X187*(1+X188),X187+X192)</f>
        <v>836313.28082651051</v>
      </c>
    </row>
    <row r="192" spans="2:24">
      <c r="B192" s="4" t="s">
        <v>18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9">Q190-Q187</f>
        <v>11462.602651234338</v>
      </c>
      <c r="R192" s="45">
        <f t="shared" si="39"/>
        <v>11086.108406257932</v>
      </c>
      <c r="S192" s="45">
        <f t="shared" si="39"/>
        <v>11757.970352529897</v>
      </c>
      <c r="T192" s="45">
        <f t="shared" si="39"/>
        <v>11994.051077613665</v>
      </c>
      <c r="U192" s="45">
        <f t="shared" si="39"/>
        <v>12737.416307840962</v>
      </c>
      <c r="V192" s="45">
        <f t="shared" si="39"/>
        <v>13243.335181139671</v>
      </c>
      <c r="X192" s="40">
        <f t="shared" ref="X192" si="40">X190-X187</f>
        <v>60818.881325382041</v>
      </c>
    </row>
    <row r="194" spans="1:24" s="1" customFormat="1">
      <c r="A194" s="2">
        <v>6</v>
      </c>
      <c r="B194" s="2" t="s">
        <v>74</v>
      </c>
    </row>
    <row r="196" spans="1:24">
      <c r="H196" s="190" t="s">
        <v>52</v>
      </c>
      <c r="I196" s="190"/>
      <c r="J196" s="190"/>
      <c r="K196" s="190"/>
      <c r="L196" s="190"/>
      <c r="M196" s="190" t="s">
        <v>53</v>
      </c>
      <c r="N196" s="190"/>
      <c r="O196" s="190"/>
      <c r="P196" s="190"/>
      <c r="Q196" s="190"/>
      <c r="R196" s="190" t="s">
        <v>54</v>
      </c>
      <c r="S196" s="190"/>
      <c r="T196" s="190"/>
      <c r="U196" s="190"/>
      <c r="V196" s="190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63</v>
      </c>
    </row>
    <row r="198" spans="1:24">
      <c r="D198" s="29" t="s">
        <v>55</v>
      </c>
      <c r="H198" s="16" t="s">
        <v>12</v>
      </c>
      <c r="I198" s="16" t="s">
        <v>12</v>
      </c>
      <c r="J198" s="16" t="s">
        <v>12</v>
      </c>
      <c r="K198" s="16" t="s">
        <v>12</v>
      </c>
      <c r="L198" s="16" t="s">
        <v>12</v>
      </c>
      <c r="M198" s="16" t="s">
        <v>12</v>
      </c>
      <c r="N198" s="16" t="s">
        <v>12</v>
      </c>
      <c r="O198" s="16" t="s">
        <v>12</v>
      </c>
      <c r="P198" s="16" t="s">
        <v>13</v>
      </c>
      <c r="Q198" s="16" t="s">
        <v>13</v>
      </c>
      <c r="R198" s="16" t="s">
        <v>13</v>
      </c>
      <c r="S198" s="16" t="s">
        <v>13</v>
      </c>
      <c r="T198" s="16" t="s">
        <v>13</v>
      </c>
      <c r="U198" s="16" t="s">
        <v>13</v>
      </c>
      <c r="V198" s="16" t="s">
        <v>13</v>
      </c>
      <c r="X198" s="34" t="s">
        <v>13</v>
      </c>
    </row>
    <row r="199" spans="1:24">
      <c r="B199" s="5" t="s">
        <v>94</v>
      </c>
      <c r="D199" s="31" t="s">
        <v>105</v>
      </c>
      <c r="H199" s="4" t="str">
        <f t="shared" ref="H199:O199" si="41">IFERROR(-H218/H190,"")</f>
        <v/>
      </c>
      <c r="I199" s="4" t="str">
        <f t="shared" si="41"/>
        <v/>
      </c>
      <c r="J199" s="4" t="str">
        <f t="shared" si="41"/>
        <v/>
      </c>
      <c r="K199" s="4" t="str">
        <f t="shared" si="41"/>
        <v/>
      </c>
      <c r="L199" s="4" t="str">
        <f t="shared" si="41"/>
        <v/>
      </c>
      <c r="M199" s="4" t="str">
        <f t="shared" si="41"/>
        <v/>
      </c>
      <c r="N199" s="4" t="str">
        <f t="shared" si="41"/>
        <v/>
      </c>
      <c r="O199" s="4" t="str">
        <f t="shared" si="41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46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2">IF(B10&lt;&gt;"",B10,"[blank]")</f>
        <v>Miscellaneous network regulator capital works</v>
      </c>
      <c r="D202" s="31" t="s">
        <v>60</v>
      </c>
      <c r="P202" s="45">
        <f>(-P53*(1+P$188))*P$199</f>
        <v>0</v>
      </c>
      <c r="Q202" s="45">
        <f t="shared" ref="Q202:V202" si="43">(-Q53*(1+Q$188))*Q$199</f>
        <v>0</v>
      </c>
      <c r="R202" s="45">
        <f t="shared" si="43"/>
        <v>0</v>
      </c>
      <c r="S202" s="45">
        <f t="shared" si="43"/>
        <v>0</v>
      </c>
      <c r="T202" s="45">
        <f t="shared" si="43"/>
        <v>0</v>
      </c>
      <c r="U202" s="45">
        <f t="shared" si="43"/>
        <v>0</v>
      </c>
      <c r="V202" s="45">
        <f t="shared" si="43"/>
        <v>0</v>
      </c>
      <c r="X202" s="40">
        <f t="shared" ref="X202" si="44">SUM(R202:V202)</f>
        <v>0</v>
      </c>
    </row>
    <row r="203" spans="1:24">
      <c r="B203" s="4" t="str">
        <f t="shared" si="42"/>
        <v>[blank]</v>
      </c>
      <c r="D203" s="31" t="s">
        <v>60</v>
      </c>
      <c r="P203" s="45">
        <f t="shared" ref="P203:V205" si="45">(-P54*(1+P$188))*P$199</f>
        <v>0</v>
      </c>
      <c r="Q203" s="45">
        <f t="shared" si="45"/>
        <v>0</v>
      </c>
      <c r="R203" s="45">
        <f t="shared" si="45"/>
        <v>0</v>
      </c>
      <c r="S203" s="45">
        <f t="shared" si="45"/>
        <v>0</v>
      </c>
      <c r="T203" s="45">
        <f t="shared" si="45"/>
        <v>0</v>
      </c>
      <c r="U203" s="45">
        <f t="shared" si="45"/>
        <v>0</v>
      </c>
      <c r="V203" s="45">
        <f t="shared" si="45"/>
        <v>0</v>
      </c>
      <c r="X203" s="40"/>
    </row>
    <row r="204" spans="1:24">
      <c r="B204" s="4" t="str">
        <f t="shared" si="42"/>
        <v>[blank]</v>
      </c>
      <c r="D204" s="31" t="s">
        <v>60</v>
      </c>
      <c r="P204" s="45">
        <f t="shared" si="45"/>
        <v>0</v>
      </c>
      <c r="Q204" s="45">
        <f t="shared" si="45"/>
        <v>0</v>
      </c>
      <c r="R204" s="45">
        <f t="shared" si="45"/>
        <v>0</v>
      </c>
      <c r="S204" s="45">
        <f t="shared" si="45"/>
        <v>0</v>
      </c>
      <c r="T204" s="45">
        <f t="shared" si="45"/>
        <v>0</v>
      </c>
      <c r="U204" s="45">
        <f t="shared" si="45"/>
        <v>0</v>
      </c>
      <c r="V204" s="45">
        <f t="shared" si="45"/>
        <v>0</v>
      </c>
      <c r="X204" s="40"/>
    </row>
    <row r="205" spans="1:24">
      <c r="B205" s="4" t="str">
        <f t="shared" si="42"/>
        <v>[blank]</v>
      </c>
      <c r="D205" s="31" t="s">
        <v>60</v>
      </c>
      <c r="P205" s="45">
        <f t="shared" si="45"/>
        <v>0</v>
      </c>
      <c r="Q205" s="45">
        <f t="shared" si="45"/>
        <v>0</v>
      </c>
      <c r="R205" s="45">
        <f t="shared" si="45"/>
        <v>0</v>
      </c>
      <c r="S205" s="45">
        <f t="shared" si="45"/>
        <v>0</v>
      </c>
      <c r="T205" s="45">
        <f t="shared" si="45"/>
        <v>0</v>
      </c>
      <c r="U205" s="45">
        <f t="shared" si="45"/>
        <v>0</v>
      </c>
      <c r="V205" s="45">
        <f t="shared" si="45"/>
        <v>0</v>
      </c>
      <c r="X205" s="40"/>
    </row>
    <row r="206" spans="1:24">
      <c r="B206" s="4" t="str">
        <f t="shared" si="42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2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2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2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2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2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2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2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2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2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2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93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6">-P199*P190</f>
        <v>0</v>
      </c>
      <c r="Q218" s="37">
        <f t="shared" si="46"/>
        <v>0</v>
      </c>
      <c r="R218" s="37">
        <f t="shared" si="46"/>
        <v>0</v>
      </c>
      <c r="S218" s="37">
        <f t="shared" si="46"/>
        <v>0</v>
      </c>
      <c r="T218" s="37">
        <f t="shared" si="46"/>
        <v>0</v>
      </c>
      <c r="U218" s="37">
        <f t="shared" si="46"/>
        <v>0</v>
      </c>
      <c r="V218" s="37">
        <f t="shared" si="46"/>
        <v>0</v>
      </c>
      <c r="X218" s="37">
        <f t="shared" ref="X218" si="47">SUM(R218:V218)</f>
        <v>0</v>
      </c>
    </row>
    <row r="220" spans="1:24" s="1" customFormat="1">
      <c r="A220" s="2">
        <v>7</v>
      </c>
      <c r="B220" s="2" t="s">
        <v>75</v>
      </c>
    </row>
    <row r="222" spans="1:24">
      <c r="H222" s="190" t="s">
        <v>52</v>
      </c>
      <c r="I222" s="190"/>
      <c r="J222" s="190"/>
      <c r="K222" s="190"/>
      <c r="L222" s="190"/>
      <c r="M222" s="190" t="s">
        <v>53</v>
      </c>
      <c r="N222" s="190"/>
      <c r="O222" s="190"/>
      <c r="P222" s="190"/>
      <c r="Q222" s="190"/>
      <c r="R222" s="190" t="s">
        <v>54</v>
      </c>
      <c r="S222" s="190"/>
      <c r="T222" s="190"/>
      <c r="U222" s="190"/>
      <c r="V222" s="190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63</v>
      </c>
    </row>
    <row r="224" spans="1:24">
      <c r="D224" s="29" t="s">
        <v>55</v>
      </c>
      <c r="H224" s="16" t="s">
        <v>12</v>
      </c>
      <c r="I224" s="16" t="s">
        <v>12</v>
      </c>
      <c r="J224" s="16" t="s">
        <v>12</v>
      </c>
      <c r="K224" s="16" t="s">
        <v>12</v>
      </c>
      <c r="L224" s="16" t="s">
        <v>12</v>
      </c>
      <c r="M224" s="16" t="s">
        <v>12</v>
      </c>
      <c r="N224" s="16" t="s">
        <v>12</v>
      </c>
      <c r="O224" s="16" t="s">
        <v>12</v>
      </c>
      <c r="P224" s="16" t="s">
        <v>13</v>
      </c>
      <c r="Q224" s="16" t="s">
        <v>13</v>
      </c>
      <c r="R224" s="16" t="s">
        <v>13</v>
      </c>
      <c r="S224" s="16" t="s">
        <v>13</v>
      </c>
      <c r="T224" s="16" t="s">
        <v>13</v>
      </c>
      <c r="U224" s="16" t="s">
        <v>13</v>
      </c>
      <c r="V224" s="16" t="s">
        <v>13</v>
      </c>
      <c r="X224" s="34" t="s">
        <v>13</v>
      </c>
    </row>
    <row r="225" spans="1:24">
      <c r="B225" s="38" t="s">
        <v>96</v>
      </c>
      <c r="D225" s="31"/>
      <c r="X225" s="40"/>
    </row>
    <row r="226" spans="1:24">
      <c r="B226" s="47" t="s">
        <v>97</v>
      </c>
      <c r="D226" s="31" t="s">
        <v>60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8">SUM(R226:V226)</f>
        <v>0</v>
      </c>
    </row>
    <row r="227" spans="1:24">
      <c r="B227" s="47" t="s">
        <v>98</v>
      </c>
      <c r="D227" s="31" t="s">
        <v>60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8"/>
        <v>0</v>
      </c>
    </row>
    <row r="228" spans="1:24">
      <c r="B228" s="47" t="s">
        <v>99</v>
      </c>
      <c r="D228" s="31" t="s">
        <v>60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8"/>
        <v>0</v>
      </c>
    </row>
    <row r="229" spans="1:24">
      <c r="B229" s="47" t="s">
        <v>100</v>
      </c>
      <c r="D229" s="31" t="s">
        <v>60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8"/>
        <v>0</v>
      </c>
    </row>
    <row r="230" spans="1:24">
      <c r="B230" s="47" t="s">
        <v>101</v>
      </c>
      <c r="D230" s="31" t="s">
        <v>60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8"/>
        <v>0</v>
      </c>
    </row>
    <row r="232" spans="1:24" ht="12.75" thickBot="1">
      <c r="B232" s="5" t="s">
        <v>102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9">SUM(Q226:Q230)</f>
        <v>0</v>
      </c>
      <c r="R232" s="49">
        <f t="shared" si="49"/>
        <v>0</v>
      </c>
      <c r="S232" s="49">
        <f t="shared" si="49"/>
        <v>0</v>
      </c>
      <c r="T232" s="49">
        <f t="shared" si="49"/>
        <v>0</v>
      </c>
      <c r="U232" s="49">
        <f t="shared" si="49"/>
        <v>0</v>
      </c>
      <c r="V232" s="49">
        <f t="shared" si="49"/>
        <v>0</v>
      </c>
      <c r="X232" s="37">
        <f t="shared" si="48"/>
        <v>0</v>
      </c>
    </row>
    <row r="234" spans="1:24" s="1" customFormat="1">
      <c r="A234" s="2">
        <v>8</v>
      </c>
      <c r="B234" s="2" t="s">
        <v>103</v>
      </c>
    </row>
    <row r="236" spans="1:24">
      <c r="H236" s="190" t="s">
        <v>52</v>
      </c>
      <c r="I236" s="190"/>
      <c r="J236" s="190"/>
      <c r="K236" s="190"/>
      <c r="L236" s="190"/>
      <c r="M236" s="190" t="s">
        <v>53</v>
      </c>
      <c r="N236" s="190"/>
      <c r="O236" s="190"/>
      <c r="P236" s="190"/>
      <c r="Q236" s="190"/>
      <c r="R236" s="190" t="s">
        <v>54</v>
      </c>
      <c r="S236" s="190"/>
      <c r="T236" s="190"/>
      <c r="U236" s="190"/>
      <c r="V236" s="190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63</v>
      </c>
    </row>
    <row r="238" spans="1:24">
      <c r="D238" s="29" t="s">
        <v>55</v>
      </c>
      <c r="H238" s="16" t="s">
        <v>12</v>
      </c>
      <c r="I238" s="16" t="s">
        <v>12</v>
      </c>
      <c r="J238" s="16" t="s">
        <v>12</v>
      </c>
      <c r="K238" s="16" t="s">
        <v>12</v>
      </c>
      <c r="L238" s="16" t="s">
        <v>12</v>
      </c>
      <c r="M238" s="16" t="s">
        <v>12</v>
      </c>
      <c r="N238" s="16" t="s">
        <v>12</v>
      </c>
      <c r="O238" s="16" t="s">
        <v>12</v>
      </c>
      <c r="P238" s="16" t="s">
        <v>13</v>
      </c>
      <c r="Q238" s="16" t="s">
        <v>13</v>
      </c>
      <c r="R238" s="16" t="s">
        <v>13</v>
      </c>
      <c r="S238" s="16" t="s">
        <v>13</v>
      </c>
      <c r="T238" s="16" t="s">
        <v>13</v>
      </c>
      <c r="U238" s="16" t="s">
        <v>13</v>
      </c>
      <c r="V238" s="16" t="s">
        <v>13</v>
      </c>
      <c r="X238" s="34" t="s">
        <v>13</v>
      </c>
    </row>
    <row r="239" spans="1:24">
      <c r="B239" s="4" t="s">
        <v>104</v>
      </c>
      <c r="D239" s="31" t="s">
        <v>60</v>
      </c>
      <c r="H239" s="45">
        <f t="shared" ref="H239:V239" si="50">H190</f>
        <v>0</v>
      </c>
      <c r="I239" s="45">
        <f t="shared" si="50"/>
        <v>0</v>
      </c>
      <c r="J239" s="45">
        <f t="shared" si="50"/>
        <v>0</v>
      </c>
      <c r="K239" s="45">
        <f t="shared" si="50"/>
        <v>0</v>
      </c>
      <c r="L239" s="45">
        <f t="shared" si="50"/>
        <v>0</v>
      </c>
      <c r="M239" s="45">
        <f t="shared" si="50"/>
        <v>0</v>
      </c>
      <c r="N239" s="45">
        <f t="shared" si="50"/>
        <v>0</v>
      </c>
      <c r="O239" s="45">
        <f t="shared" si="50"/>
        <v>0</v>
      </c>
      <c r="P239" s="45">
        <f t="shared" si="50"/>
        <v>0</v>
      </c>
      <c r="Q239" s="45">
        <f t="shared" si="50"/>
        <v>164620.57606448577</v>
      </c>
      <c r="R239" s="45">
        <f t="shared" si="50"/>
        <v>164695.42111749511</v>
      </c>
      <c r="S239" s="45">
        <f t="shared" si="50"/>
        <v>165934.37982925031</v>
      </c>
      <c r="T239" s="45">
        <f t="shared" si="50"/>
        <v>166902.59648697654</v>
      </c>
      <c r="U239" s="45">
        <f t="shared" si="50"/>
        <v>168612.22382272358</v>
      </c>
      <c r="V239" s="45">
        <f t="shared" si="50"/>
        <v>170168.65957006504</v>
      </c>
      <c r="X239" s="40">
        <f t="shared" ref="X239:X241" si="51">SUM(R239:V239)</f>
        <v>836313.28082651063</v>
      </c>
    </row>
    <row r="240" spans="1:24">
      <c r="B240" s="4" t="s">
        <v>74</v>
      </c>
      <c r="D240" s="31" t="s">
        <v>60</v>
      </c>
      <c r="H240" s="45">
        <f>H218</f>
        <v>0</v>
      </c>
      <c r="I240" s="45">
        <f t="shared" ref="I240:V240" si="52">I218</f>
        <v>0</v>
      </c>
      <c r="J240" s="45">
        <f t="shared" si="52"/>
        <v>0</v>
      </c>
      <c r="K240" s="45">
        <f t="shared" si="52"/>
        <v>0</v>
      </c>
      <c r="L240" s="45">
        <f t="shared" si="52"/>
        <v>0</v>
      </c>
      <c r="M240" s="45">
        <f t="shared" si="52"/>
        <v>0</v>
      </c>
      <c r="N240" s="45">
        <f t="shared" si="52"/>
        <v>0</v>
      </c>
      <c r="O240" s="45">
        <f t="shared" si="52"/>
        <v>0</v>
      </c>
      <c r="P240" s="45">
        <f t="shared" si="52"/>
        <v>0</v>
      </c>
      <c r="Q240" s="45">
        <f t="shared" si="52"/>
        <v>0</v>
      </c>
      <c r="R240" s="45">
        <f t="shared" si="52"/>
        <v>0</v>
      </c>
      <c r="S240" s="45">
        <f t="shared" si="52"/>
        <v>0</v>
      </c>
      <c r="T240" s="45">
        <f t="shared" si="52"/>
        <v>0</v>
      </c>
      <c r="U240" s="45">
        <f t="shared" si="52"/>
        <v>0</v>
      </c>
      <c r="V240" s="45">
        <f t="shared" si="52"/>
        <v>0</v>
      </c>
      <c r="X240" s="40">
        <f t="shared" si="51"/>
        <v>0</v>
      </c>
    </row>
    <row r="241" spans="1:24">
      <c r="B241" s="4" t="s">
        <v>75</v>
      </c>
      <c r="D241" s="31" t="s">
        <v>60</v>
      </c>
      <c r="H241" s="45">
        <f>H232</f>
        <v>0</v>
      </c>
      <c r="I241" s="45">
        <f t="shared" ref="I241:V241" si="53">I232</f>
        <v>0</v>
      </c>
      <c r="J241" s="45">
        <f t="shared" si="53"/>
        <v>0</v>
      </c>
      <c r="K241" s="45">
        <f t="shared" si="53"/>
        <v>0</v>
      </c>
      <c r="L241" s="45">
        <f t="shared" si="53"/>
        <v>0</v>
      </c>
      <c r="M241" s="45">
        <f t="shared" si="53"/>
        <v>0</v>
      </c>
      <c r="N241" s="45">
        <f t="shared" si="53"/>
        <v>0</v>
      </c>
      <c r="O241" s="45">
        <f t="shared" si="53"/>
        <v>0</v>
      </c>
      <c r="P241" s="45">
        <f t="shared" si="53"/>
        <v>0</v>
      </c>
      <c r="Q241" s="45">
        <f t="shared" si="53"/>
        <v>0</v>
      </c>
      <c r="R241" s="45">
        <f t="shared" si="53"/>
        <v>0</v>
      </c>
      <c r="S241" s="45">
        <f t="shared" si="53"/>
        <v>0</v>
      </c>
      <c r="T241" s="45">
        <f t="shared" si="53"/>
        <v>0</v>
      </c>
      <c r="U241" s="45">
        <f t="shared" si="53"/>
        <v>0</v>
      </c>
      <c r="V241" s="45">
        <f t="shared" si="53"/>
        <v>0</v>
      </c>
      <c r="X241" s="40">
        <f t="shared" si="51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103</v>
      </c>
      <c r="D243" s="31" t="s">
        <v>60</v>
      </c>
      <c r="H243" s="37">
        <f>SUM(H239:H241)</f>
        <v>0</v>
      </c>
      <c r="I243" s="37">
        <f t="shared" ref="I243:V243" si="54">SUM(I239:I241)</f>
        <v>0</v>
      </c>
      <c r="J243" s="37">
        <f t="shared" si="54"/>
        <v>0</v>
      </c>
      <c r="K243" s="37">
        <f t="shared" si="54"/>
        <v>0</v>
      </c>
      <c r="L243" s="37">
        <f t="shared" si="54"/>
        <v>0</v>
      </c>
      <c r="M243" s="37">
        <f t="shared" si="54"/>
        <v>0</v>
      </c>
      <c r="N243" s="37">
        <f t="shared" si="54"/>
        <v>0</v>
      </c>
      <c r="O243" s="37">
        <f t="shared" si="54"/>
        <v>0</v>
      </c>
      <c r="P243" s="37">
        <f t="shared" si="54"/>
        <v>0</v>
      </c>
      <c r="Q243" s="37">
        <f t="shared" si="54"/>
        <v>164620.57606448577</v>
      </c>
      <c r="R243" s="37">
        <f t="shared" si="54"/>
        <v>164695.42111749511</v>
      </c>
      <c r="S243" s="37">
        <f t="shared" si="54"/>
        <v>165934.37982925031</v>
      </c>
      <c r="T243" s="37">
        <f t="shared" si="54"/>
        <v>166902.59648697654</v>
      </c>
      <c r="U243" s="37">
        <f t="shared" si="54"/>
        <v>168612.22382272358</v>
      </c>
      <c r="V243" s="37">
        <f t="shared" si="54"/>
        <v>170168.65957006504</v>
      </c>
      <c r="X243" s="37">
        <f t="shared" ref="X243" si="55">SUM(R243:V243)</f>
        <v>836313.28082651063</v>
      </c>
    </row>
    <row r="244" spans="1:24">
      <c r="D244" s="31"/>
    </row>
    <row r="246" spans="1:24" s="66" customFormat="1">
      <c r="A246" s="65">
        <v>9</v>
      </c>
      <c r="B246" s="65" t="s">
        <v>121</v>
      </c>
    </row>
    <row r="268" spans="2:22">
      <c r="B268" s="69" t="s">
        <v>120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324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6">IFERROR(SUMPRODUCT($Z$53:$Z$67,Q$53:Q$67)/SUM(Q$53:Q$67)*Q$69,0)</f>
        <v>0</v>
      </c>
      <c r="R276" s="57">
        <f t="shared" si="56"/>
        <v>0</v>
      </c>
      <c r="S276" s="57">
        <f t="shared" si="56"/>
        <v>0</v>
      </c>
      <c r="T276" s="57">
        <f t="shared" si="56"/>
        <v>0</v>
      </c>
      <c r="U276" s="57">
        <f t="shared" si="56"/>
        <v>0</v>
      </c>
      <c r="V276" s="62">
        <f t="shared" si="56"/>
        <v>0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7">IFERROR(SUMPRODUCT($AA$53:$AA$67,Q$53:Q$67)/SUM(Q$53:Q$67)*Q$69,0)</f>
        <v>0</v>
      </c>
      <c r="R277" s="57">
        <f t="shared" si="57"/>
        <v>0</v>
      </c>
      <c r="S277" s="57">
        <f t="shared" si="57"/>
        <v>0</v>
      </c>
      <c r="T277" s="57">
        <f t="shared" si="57"/>
        <v>0</v>
      </c>
      <c r="U277" s="57">
        <f t="shared" si="57"/>
        <v>0</v>
      </c>
      <c r="V277" s="62">
        <f t="shared" si="57"/>
        <v>0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8">IFERROR(SUMPRODUCT($AB$53:$AB$67,Q$53:Q$67)/SUM(Q$53:Q$67)*Q$69,0)</f>
        <v>0</v>
      </c>
      <c r="R278" s="57">
        <f t="shared" si="58"/>
        <v>0</v>
      </c>
      <c r="S278" s="57">
        <f t="shared" si="58"/>
        <v>0</v>
      </c>
      <c r="T278" s="57">
        <f t="shared" si="58"/>
        <v>0</v>
      </c>
      <c r="U278" s="57">
        <f t="shared" si="58"/>
        <v>0</v>
      </c>
      <c r="V278" s="62">
        <f t="shared" si="58"/>
        <v>0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9">IFERROR(SUMPRODUCT($AC$53:$AC$67,Q$53:Q$67)/SUM(Q$53:Q$67)*Q$69,0)</f>
        <v>0</v>
      </c>
      <c r="R279" s="57">
        <f t="shared" si="59"/>
        <v>0</v>
      </c>
      <c r="S279" s="57">
        <f t="shared" si="59"/>
        <v>0</v>
      </c>
      <c r="T279" s="57">
        <f t="shared" si="59"/>
        <v>0</v>
      </c>
      <c r="U279" s="57">
        <f t="shared" si="59"/>
        <v>0</v>
      </c>
      <c r="V279" s="62">
        <f t="shared" si="59"/>
        <v>0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60">IFERROR(SUMPRODUCT($AD$53:$AD$67,Q$53:Q$67)/SUM(Q$53:Q$67)*Q$69,0)</f>
        <v>153157.97341325143</v>
      </c>
      <c r="R280" s="57">
        <f t="shared" si="60"/>
        <v>153609.31271123717</v>
      </c>
      <c r="S280" s="57">
        <f t="shared" si="60"/>
        <v>154176.40947672041</v>
      </c>
      <c r="T280" s="57">
        <f t="shared" si="60"/>
        <v>154908.54540936288</v>
      </c>
      <c r="U280" s="57">
        <f t="shared" si="60"/>
        <v>155874.80751488262</v>
      </c>
      <c r="V280" s="62">
        <f t="shared" si="60"/>
        <v>156925.32438892536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61">IFERROR(SUMPRODUCT($AE$53:$AE$67,Q$53:Q$67)/SUM(Q$53:Q$67)*Q$69,0)</f>
        <v>0</v>
      </c>
      <c r="R281" s="57">
        <f t="shared" si="61"/>
        <v>0</v>
      </c>
      <c r="S281" s="57">
        <f t="shared" si="61"/>
        <v>0</v>
      </c>
      <c r="T281" s="57">
        <f t="shared" si="61"/>
        <v>0</v>
      </c>
      <c r="U281" s="57">
        <f t="shared" si="61"/>
        <v>0</v>
      </c>
      <c r="V281" s="62">
        <f t="shared" si="61"/>
        <v>0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62">IFERROR(SUMPRODUCT($AF$53:$AF$67,Q$53:Q$67)/SUM(Q$53:Q$67)*Q$69,0)</f>
        <v>0</v>
      </c>
      <c r="R282" s="57">
        <f t="shared" si="62"/>
        <v>0</v>
      </c>
      <c r="S282" s="57">
        <f t="shared" si="62"/>
        <v>0</v>
      </c>
      <c r="T282" s="57">
        <f t="shared" si="62"/>
        <v>0</v>
      </c>
      <c r="U282" s="57">
        <f t="shared" si="62"/>
        <v>0</v>
      </c>
      <c r="V282" s="62">
        <f t="shared" si="62"/>
        <v>0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3">IFERROR(SUMPRODUCT($AG$53:$AG$67,Q$53:Q$67)/SUM(Q$53:Q$67)*Q$69,0)</f>
        <v>0</v>
      </c>
      <c r="R283" s="57">
        <f t="shared" si="63"/>
        <v>0</v>
      </c>
      <c r="S283" s="57">
        <f t="shared" si="63"/>
        <v>0</v>
      </c>
      <c r="T283" s="57">
        <f t="shared" si="63"/>
        <v>0</v>
      </c>
      <c r="U283" s="57">
        <f t="shared" si="63"/>
        <v>0</v>
      </c>
      <c r="V283" s="62">
        <f t="shared" si="63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4">IFERROR(SUMPRODUCT($AH$53:$AH$67,Q$53:Q$67)/SUM(Q$53:Q$67)*Q$69,0)</f>
        <v>0</v>
      </c>
      <c r="R284" s="57">
        <f t="shared" si="64"/>
        <v>0</v>
      </c>
      <c r="S284" s="57">
        <f t="shared" si="64"/>
        <v>0</v>
      </c>
      <c r="T284" s="57">
        <f t="shared" si="64"/>
        <v>0</v>
      </c>
      <c r="U284" s="57">
        <f t="shared" si="64"/>
        <v>0</v>
      </c>
      <c r="V284" s="62">
        <f t="shared" si="64"/>
        <v>0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5">IFERROR(SUMPRODUCT($AI$53:$AI$67,Q$53:Q$67)/SUM(Q$53:Q$67)*Q$69,0)</f>
        <v>0</v>
      </c>
      <c r="R285" s="57">
        <f t="shared" si="65"/>
        <v>0</v>
      </c>
      <c r="S285" s="57">
        <f t="shared" si="65"/>
        <v>0</v>
      </c>
      <c r="T285" s="57">
        <f t="shared" si="65"/>
        <v>0</v>
      </c>
      <c r="U285" s="57">
        <f t="shared" si="65"/>
        <v>0</v>
      </c>
      <c r="V285" s="62">
        <f t="shared" si="65"/>
        <v>0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6">IFERROR(SUMPRODUCT($AJ$53:$AJ$67,Q$53:Q$67)/SUM(Q$53:Q$67)*Q$69,0)</f>
        <v>0</v>
      </c>
      <c r="R286" s="57">
        <f t="shared" si="66"/>
        <v>0</v>
      </c>
      <c r="S286" s="57">
        <f t="shared" si="66"/>
        <v>0</v>
      </c>
      <c r="T286" s="57">
        <f t="shared" si="66"/>
        <v>0</v>
      </c>
      <c r="U286" s="57">
        <f t="shared" si="66"/>
        <v>0</v>
      </c>
      <c r="V286" s="62">
        <f t="shared" si="66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7">SUM(Q276:Q286)</f>
        <v>153157.97341325143</v>
      </c>
      <c r="R288" s="37">
        <f t="shared" si="67"/>
        <v>153609.31271123717</v>
      </c>
      <c r="S288" s="37">
        <f t="shared" si="67"/>
        <v>154176.40947672041</v>
      </c>
      <c r="T288" s="37">
        <f t="shared" si="67"/>
        <v>154908.54540936288</v>
      </c>
      <c r="U288" s="37">
        <f t="shared" si="67"/>
        <v>155874.80751488262</v>
      </c>
      <c r="V288" s="64">
        <f t="shared" si="67"/>
        <v>156925.32438892536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267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8">P276*(1+P$188)</f>
        <v>0</v>
      </c>
      <c r="Q297" s="57">
        <f t="shared" si="68"/>
        <v>0</v>
      </c>
      <c r="R297" s="57">
        <f t="shared" si="68"/>
        <v>0</v>
      </c>
      <c r="S297" s="57">
        <f t="shared" si="68"/>
        <v>0</v>
      </c>
      <c r="T297" s="57">
        <f t="shared" si="68"/>
        <v>0</v>
      </c>
      <c r="U297" s="57">
        <f t="shared" si="68"/>
        <v>0</v>
      </c>
      <c r="V297" s="62">
        <f t="shared" si="68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8"/>
        <v>0</v>
      </c>
      <c r="Q298" s="57">
        <f t="shared" si="68"/>
        <v>0</v>
      </c>
      <c r="R298" s="57">
        <f t="shared" si="68"/>
        <v>0</v>
      </c>
      <c r="S298" s="57">
        <f t="shared" si="68"/>
        <v>0</v>
      </c>
      <c r="T298" s="57">
        <f t="shared" si="68"/>
        <v>0</v>
      </c>
      <c r="U298" s="57">
        <f t="shared" si="68"/>
        <v>0</v>
      </c>
      <c r="V298" s="62">
        <f t="shared" si="68"/>
        <v>0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8"/>
        <v>0</v>
      </c>
      <c r="Q299" s="57">
        <f t="shared" si="68"/>
        <v>0</v>
      </c>
      <c r="R299" s="57">
        <f t="shared" si="68"/>
        <v>0</v>
      </c>
      <c r="S299" s="57">
        <f t="shared" si="68"/>
        <v>0</v>
      </c>
      <c r="T299" s="57">
        <f t="shared" si="68"/>
        <v>0</v>
      </c>
      <c r="U299" s="57">
        <f t="shared" si="68"/>
        <v>0</v>
      </c>
      <c r="V299" s="62">
        <f t="shared" si="68"/>
        <v>0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8"/>
        <v>0</v>
      </c>
      <c r="Q300" s="57">
        <f t="shared" si="68"/>
        <v>0</v>
      </c>
      <c r="R300" s="57">
        <f t="shared" si="68"/>
        <v>0</v>
      </c>
      <c r="S300" s="57">
        <f t="shared" si="68"/>
        <v>0</v>
      </c>
      <c r="T300" s="57">
        <f t="shared" si="68"/>
        <v>0</v>
      </c>
      <c r="U300" s="57">
        <f t="shared" si="68"/>
        <v>0</v>
      </c>
      <c r="V300" s="62">
        <f t="shared" si="68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8"/>
        <v>0</v>
      </c>
      <c r="Q301" s="57">
        <f t="shared" si="68"/>
        <v>164620.57606448577</v>
      </c>
      <c r="R301" s="57">
        <f t="shared" si="68"/>
        <v>164695.42111749511</v>
      </c>
      <c r="S301" s="57">
        <f t="shared" si="68"/>
        <v>165934.37982925031</v>
      </c>
      <c r="T301" s="57">
        <f t="shared" si="68"/>
        <v>166902.59648697654</v>
      </c>
      <c r="U301" s="57">
        <f t="shared" si="68"/>
        <v>168612.22382272358</v>
      </c>
      <c r="V301" s="62">
        <f t="shared" si="68"/>
        <v>170168.65957006504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8"/>
        <v>0</v>
      </c>
      <c r="Q302" s="57">
        <f t="shared" si="68"/>
        <v>0</v>
      </c>
      <c r="R302" s="57">
        <f t="shared" si="68"/>
        <v>0</v>
      </c>
      <c r="S302" s="57">
        <f t="shared" si="68"/>
        <v>0</v>
      </c>
      <c r="T302" s="57">
        <f t="shared" si="68"/>
        <v>0</v>
      </c>
      <c r="U302" s="57">
        <f t="shared" si="68"/>
        <v>0</v>
      </c>
      <c r="V302" s="62">
        <f t="shared" si="68"/>
        <v>0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8"/>
        <v>0</v>
      </c>
      <c r="Q303" s="57">
        <f t="shared" si="68"/>
        <v>0</v>
      </c>
      <c r="R303" s="57">
        <f t="shared" si="68"/>
        <v>0</v>
      </c>
      <c r="S303" s="57">
        <f t="shared" si="68"/>
        <v>0</v>
      </c>
      <c r="T303" s="57">
        <f t="shared" si="68"/>
        <v>0</v>
      </c>
      <c r="U303" s="57">
        <f t="shared" si="68"/>
        <v>0</v>
      </c>
      <c r="V303" s="62">
        <f t="shared" si="68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8"/>
        <v>0</v>
      </c>
      <c r="Q304" s="57">
        <f t="shared" si="68"/>
        <v>0</v>
      </c>
      <c r="R304" s="57">
        <f t="shared" si="68"/>
        <v>0</v>
      </c>
      <c r="S304" s="57">
        <f t="shared" si="68"/>
        <v>0</v>
      </c>
      <c r="T304" s="57">
        <f t="shared" si="68"/>
        <v>0</v>
      </c>
      <c r="U304" s="57">
        <f t="shared" si="68"/>
        <v>0</v>
      </c>
      <c r="V304" s="62">
        <f t="shared" si="68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8"/>
        <v>0</v>
      </c>
      <c r="Q305" s="57">
        <f t="shared" si="68"/>
        <v>0</v>
      </c>
      <c r="R305" s="57">
        <f t="shared" si="68"/>
        <v>0</v>
      </c>
      <c r="S305" s="57">
        <f t="shared" si="68"/>
        <v>0</v>
      </c>
      <c r="T305" s="57">
        <f t="shared" si="68"/>
        <v>0</v>
      </c>
      <c r="U305" s="57">
        <f t="shared" si="68"/>
        <v>0</v>
      </c>
      <c r="V305" s="62">
        <f t="shared" si="68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8"/>
        <v>0</v>
      </c>
      <c r="Q306" s="57">
        <f t="shared" si="68"/>
        <v>0</v>
      </c>
      <c r="R306" s="57">
        <f t="shared" si="68"/>
        <v>0</v>
      </c>
      <c r="S306" s="57">
        <f t="shared" si="68"/>
        <v>0</v>
      </c>
      <c r="T306" s="57">
        <f t="shared" si="68"/>
        <v>0</v>
      </c>
      <c r="U306" s="57">
        <f t="shared" si="68"/>
        <v>0</v>
      </c>
      <c r="V306" s="62">
        <f t="shared" si="68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8"/>
        <v>0</v>
      </c>
      <c r="Q307" s="57">
        <f t="shared" si="68"/>
        <v>0</v>
      </c>
      <c r="R307" s="57">
        <f t="shared" si="68"/>
        <v>0</v>
      </c>
      <c r="S307" s="57">
        <f t="shared" si="68"/>
        <v>0</v>
      </c>
      <c r="T307" s="57">
        <f t="shared" si="68"/>
        <v>0</v>
      </c>
      <c r="U307" s="57">
        <f t="shared" si="68"/>
        <v>0</v>
      </c>
      <c r="V307" s="62">
        <f t="shared" si="68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9">SUM(Q297:Q307)</f>
        <v>164620.57606448577</v>
      </c>
      <c r="R309" s="37">
        <f t="shared" si="69"/>
        <v>164695.42111749511</v>
      </c>
      <c r="S309" s="37">
        <f t="shared" si="69"/>
        <v>165934.37982925031</v>
      </c>
      <c r="T309" s="37">
        <f t="shared" si="69"/>
        <v>166902.59648697654</v>
      </c>
      <c r="U309" s="37">
        <f t="shared" si="69"/>
        <v>168612.22382272358</v>
      </c>
      <c r="V309" s="64">
        <f t="shared" si="69"/>
        <v>170168.65957006504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268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0">P297*(1-P$199)</f>
        <v>0</v>
      </c>
      <c r="Q318" s="57">
        <f t="shared" si="70"/>
        <v>0</v>
      </c>
      <c r="R318" s="57">
        <f t="shared" si="70"/>
        <v>0</v>
      </c>
      <c r="S318" s="57">
        <f t="shared" si="70"/>
        <v>0</v>
      </c>
      <c r="T318" s="57">
        <f t="shared" si="70"/>
        <v>0</v>
      </c>
      <c r="U318" s="57">
        <f t="shared" si="70"/>
        <v>0</v>
      </c>
      <c r="V318" s="62">
        <f t="shared" si="70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0"/>
        <v>0</v>
      </c>
      <c r="Q319" s="57">
        <f t="shared" si="70"/>
        <v>0</v>
      </c>
      <c r="R319" s="57">
        <f t="shared" si="70"/>
        <v>0</v>
      </c>
      <c r="S319" s="57">
        <f t="shared" si="70"/>
        <v>0</v>
      </c>
      <c r="T319" s="57">
        <f t="shared" si="70"/>
        <v>0</v>
      </c>
      <c r="U319" s="57">
        <f t="shared" si="70"/>
        <v>0</v>
      </c>
      <c r="V319" s="62">
        <f t="shared" si="70"/>
        <v>0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0"/>
        <v>0</v>
      </c>
      <c r="Q320" s="57">
        <f t="shared" si="70"/>
        <v>0</v>
      </c>
      <c r="R320" s="57">
        <f t="shared" si="70"/>
        <v>0</v>
      </c>
      <c r="S320" s="57">
        <f t="shared" si="70"/>
        <v>0</v>
      </c>
      <c r="T320" s="57">
        <f t="shared" si="70"/>
        <v>0</v>
      </c>
      <c r="U320" s="57">
        <f t="shared" si="70"/>
        <v>0</v>
      </c>
      <c r="V320" s="62">
        <f t="shared" si="70"/>
        <v>0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0"/>
        <v>0</v>
      </c>
      <c r="Q321" s="57">
        <f t="shared" si="70"/>
        <v>0</v>
      </c>
      <c r="R321" s="57">
        <f t="shared" si="70"/>
        <v>0</v>
      </c>
      <c r="S321" s="57">
        <f t="shared" si="70"/>
        <v>0</v>
      </c>
      <c r="T321" s="57">
        <f t="shared" si="70"/>
        <v>0</v>
      </c>
      <c r="U321" s="57">
        <f t="shared" si="70"/>
        <v>0</v>
      </c>
      <c r="V321" s="62">
        <f t="shared" si="70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0"/>
        <v>0</v>
      </c>
      <c r="Q322" s="57">
        <f t="shared" si="70"/>
        <v>164620.57606448577</v>
      </c>
      <c r="R322" s="57">
        <f t="shared" si="70"/>
        <v>164695.42111749511</v>
      </c>
      <c r="S322" s="57">
        <f t="shared" si="70"/>
        <v>165934.37982925031</v>
      </c>
      <c r="T322" s="57">
        <f t="shared" si="70"/>
        <v>166902.59648697654</v>
      </c>
      <c r="U322" s="57">
        <f t="shared" si="70"/>
        <v>168612.22382272358</v>
      </c>
      <c r="V322" s="62">
        <f t="shared" si="70"/>
        <v>170168.65957006504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0"/>
        <v>0</v>
      </c>
      <c r="Q323" s="57">
        <f t="shared" si="70"/>
        <v>0</v>
      </c>
      <c r="R323" s="57">
        <f t="shared" si="70"/>
        <v>0</v>
      </c>
      <c r="S323" s="57">
        <f t="shared" si="70"/>
        <v>0</v>
      </c>
      <c r="T323" s="57">
        <f t="shared" si="70"/>
        <v>0</v>
      </c>
      <c r="U323" s="57">
        <f t="shared" si="70"/>
        <v>0</v>
      </c>
      <c r="V323" s="62">
        <f t="shared" si="70"/>
        <v>0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0"/>
        <v>0</v>
      </c>
      <c r="Q324" s="57">
        <f t="shared" si="70"/>
        <v>0</v>
      </c>
      <c r="R324" s="57">
        <f t="shared" si="70"/>
        <v>0</v>
      </c>
      <c r="S324" s="57">
        <f t="shared" si="70"/>
        <v>0</v>
      </c>
      <c r="T324" s="57">
        <f t="shared" si="70"/>
        <v>0</v>
      </c>
      <c r="U324" s="57">
        <f t="shared" si="70"/>
        <v>0</v>
      </c>
      <c r="V324" s="62">
        <f t="shared" si="70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0"/>
        <v>0</v>
      </c>
      <c r="Q325" s="57">
        <f t="shared" si="70"/>
        <v>0</v>
      </c>
      <c r="R325" s="57">
        <f t="shared" si="70"/>
        <v>0</v>
      </c>
      <c r="S325" s="57">
        <f t="shared" si="70"/>
        <v>0</v>
      </c>
      <c r="T325" s="57">
        <f t="shared" si="70"/>
        <v>0</v>
      </c>
      <c r="U325" s="57">
        <f t="shared" si="70"/>
        <v>0</v>
      </c>
      <c r="V325" s="62">
        <f t="shared" si="70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0"/>
        <v>0</v>
      </c>
      <c r="Q326" s="57">
        <f t="shared" si="70"/>
        <v>0</v>
      </c>
      <c r="R326" s="57">
        <f t="shared" si="70"/>
        <v>0</v>
      </c>
      <c r="S326" s="57">
        <f t="shared" si="70"/>
        <v>0</v>
      </c>
      <c r="T326" s="57">
        <f t="shared" si="70"/>
        <v>0</v>
      </c>
      <c r="U326" s="57">
        <f t="shared" si="70"/>
        <v>0</v>
      </c>
      <c r="V326" s="62">
        <f t="shared" si="70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0"/>
        <v>0</v>
      </c>
      <c r="Q327" s="57">
        <f t="shared" si="70"/>
        <v>0</v>
      </c>
      <c r="R327" s="57">
        <f t="shared" si="70"/>
        <v>0</v>
      </c>
      <c r="S327" s="57">
        <f t="shared" si="70"/>
        <v>0</v>
      </c>
      <c r="T327" s="57">
        <f t="shared" si="70"/>
        <v>0</v>
      </c>
      <c r="U327" s="57">
        <f t="shared" si="70"/>
        <v>0</v>
      </c>
      <c r="V327" s="62">
        <f t="shared" si="70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0"/>
        <v>0</v>
      </c>
      <c r="Q328" s="57">
        <f t="shared" si="70"/>
        <v>0</v>
      </c>
      <c r="R328" s="57">
        <f t="shared" si="70"/>
        <v>0</v>
      </c>
      <c r="S328" s="57">
        <f t="shared" si="70"/>
        <v>0</v>
      </c>
      <c r="T328" s="57">
        <f t="shared" si="70"/>
        <v>0</v>
      </c>
      <c r="U328" s="57">
        <f t="shared" si="70"/>
        <v>0</v>
      </c>
      <c r="V328" s="62">
        <f t="shared" si="70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1">SUM(Q318:Q328)</f>
        <v>164620.57606448577</v>
      </c>
      <c r="R330" s="37">
        <f t="shared" si="71"/>
        <v>164695.42111749511</v>
      </c>
      <c r="S330" s="37">
        <f t="shared" si="71"/>
        <v>165934.37982925031</v>
      </c>
      <c r="T330" s="37">
        <f t="shared" si="71"/>
        <v>166902.59648697654</v>
      </c>
      <c r="U330" s="37">
        <f t="shared" si="71"/>
        <v>168612.22382272358</v>
      </c>
      <c r="V330" s="64">
        <f t="shared" si="71"/>
        <v>170168.65957006504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269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72">Q297*Q$199</f>
        <v>0</v>
      </c>
      <c r="R339" s="57">
        <f t="shared" si="72"/>
        <v>0</v>
      </c>
      <c r="S339" s="57">
        <f t="shared" si="72"/>
        <v>0</v>
      </c>
      <c r="T339" s="57">
        <f t="shared" si="72"/>
        <v>0</v>
      </c>
      <c r="U339" s="57">
        <f t="shared" si="72"/>
        <v>0</v>
      </c>
      <c r="V339" s="62">
        <f t="shared" si="72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3">P298*P$199</f>
        <v>0</v>
      </c>
      <c r="Q340" s="57">
        <f t="shared" si="72"/>
        <v>0</v>
      </c>
      <c r="R340" s="57">
        <f t="shared" si="72"/>
        <v>0</v>
      </c>
      <c r="S340" s="57">
        <f t="shared" si="72"/>
        <v>0</v>
      </c>
      <c r="T340" s="57">
        <f t="shared" si="72"/>
        <v>0</v>
      </c>
      <c r="U340" s="57">
        <f t="shared" si="72"/>
        <v>0</v>
      </c>
      <c r="V340" s="62">
        <f t="shared" si="72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3"/>
        <v>0</v>
      </c>
      <c r="Q341" s="57">
        <f t="shared" si="72"/>
        <v>0</v>
      </c>
      <c r="R341" s="57">
        <f t="shared" si="72"/>
        <v>0</v>
      </c>
      <c r="S341" s="57">
        <f t="shared" si="72"/>
        <v>0</v>
      </c>
      <c r="T341" s="57">
        <f t="shared" si="72"/>
        <v>0</v>
      </c>
      <c r="U341" s="57">
        <f t="shared" si="72"/>
        <v>0</v>
      </c>
      <c r="V341" s="62">
        <f t="shared" si="72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3"/>
        <v>0</v>
      </c>
      <c r="Q342" s="57">
        <f t="shared" si="72"/>
        <v>0</v>
      </c>
      <c r="R342" s="57">
        <f t="shared" si="72"/>
        <v>0</v>
      </c>
      <c r="S342" s="57">
        <f t="shared" si="72"/>
        <v>0</v>
      </c>
      <c r="T342" s="57">
        <f t="shared" si="72"/>
        <v>0</v>
      </c>
      <c r="U342" s="57">
        <f t="shared" si="72"/>
        <v>0</v>
      </c>
      <c r="V342" s="62">
        <f t="shared" si="72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3"/>
        <v>0</v>
      </c>
      <c r="Q343" s="57">
        <f t="shared" si="72"/>
        <v>0</v>
      </c>
      <c r="R343" s="57">
        <f t="shared" si="72"/>
        <v>0</v>
      </c>
      <c r="S343" s="57">
        <f t="shared" si="72"/>
        <v>0</v>
      </c>
      <c r="T343" s="57">
        <f t="shared" si="72"/>
        <v>0</v>
      </c>
      <c r="U343" s="57">
        <f t="shared" si="72"/>
        <v>0</v>
      </c>
      <c r="V343" s="62">
        <f t="shared" si="72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3"/>
        <v>0</v>
      </c>
      <c r="Q344" s="57">
        <f t="shared" si="72"/>
        <v>0</v>
      </c>
      <c r="R344" s="57">
        <f t="shared" si="72"/>
        <v>0</v>
      </c>
      <c r="S344" s="57">
        <f t="shared" si="72"/>
        <v>0</v>
      </c>
      <c r="T344" s="57">
        <f t="shared" si="72"/>
        <v>0</v>
      </c>
      <c r="U344" s="57">
        <f t="shared" si="72"/>
        <v>0</v>
      </c>
      <c r="V344" s="62">
        <f t="shared" si="72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3"/>
        <v>0</v>
      </c>
      <c r="Q345" s="57">
        <f t="shared" si="72"/>
        <v>0</v>
      </c>
      <c r="R345" s="57">
        <f t="shared" si="72"/>
        <v>0</v>
      </c>
      <c r="S345" s="57">
        <f t="shared" si="72"/>
        <v>0</v>
      </c>
      <c r="T345" s="57">
        <f t="shared" si="72"/>
        <v>0</v>
      </c>
      <c r="U345" s="57">
        <f t="shared" si="72"/>
        <v>0</v>
      </c>
      <c r="V345" s="62">
        <f t="shared" si="72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3"/>
        <v>0</v>
      </c>
      <c r="Q346" s="57">
        <f t="shared" si="72"/>
        <v>0</v>
      </c>
      <c r="R346" s="57">
        <f t="shared" si="72"/>
        <v>0</v>
      </c>
      <c r="S346" s="57">
        <f t="shared" si="72"/>
        <v>0</v>
      </c>
      <c r="T346" s="57">
        <f t="shared" si="72"/>
        <v>0</v>
      </c>
      <c r="U346" s="57">
        <f t="shared" si="72"/>
        <v>0</v>
      </c>
      <c r="V346" s="62">
        <f t="shared" si="72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3"/>
        <v>0</v>
      </c>
      <c r="Q347" s="57">
        <f t="shared" si="72"/>
        <v>0</v>
      </c>
      <c r="R347" s="57">
        <f t="shared" si="72"/>
        <v>0</v>
      </c>
      <c r="S347" s="57">
        <f t="shared" si="72"/>
        <v>0</v>
      </c>
      <c r="T347" s="57">
        <f t="shared" si="72"/>
        <v>0</v>
      </c>
      <c r="U347" s="57">
        <f t="shared" si="72"/>
        <v>0</v>
      </c>
      <c r="V347" s="62">
        <f t="shared" si="72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3"/>
        <v>0</v>
      </c>
      <c r="Q348" s="57">
        <f t="shared" si="72"/>
        <v>0</v>
      </c>
      <c r="R348" s="57">
        <f t="shared" si="72"/>
        <v>0</v>
      </c>
      <c r="S348" s="57">
        <f t="shared" si="72"/>
        <v>0</v>
      </c>
      <c r="T348" s="57">
        <f t="shared" si="72"/>
        <v>0</v>
      </c>
      <c r="U348" s="57">
        <f t="shared" si="72"/>
        <v>0</v>
      </c>
      <c r="V348" s="62">
        <f t="shared" si="72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3"/>
        <v>0</v>
      </c>
      <c r="Q349" s="57">
        <f t="shared" si="72"/>
        <v>0</v>
      </c>
      <c r="R349" s="57">
        <f t="shared" si="72"/>
        <v>0</v>
      </c>
      <c r="S349" s="57">
        <f t="shared" si="72"/>
        <v>0</v>
      </c>
      <c r="T349" s="57">
        <f t="shared" si="72"/>
        <v>0</v>
      </c>
      <c r="U349" s="57">
        <f t="shared" si="72"/>
        <v>0</v>
      </c>
      <c r="V349" s="62">
        <f t="shared" si="72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4">SUM(Q339:Q349)</f>
        <v>0</v>
      </c>
      <c r="R351" s="37">
        <f t="shared" si="74"/>
        <v>0</v>
      </c>
      <c r="S351" s="37">
        <f t="shared" si="74"/>
        <v>0</v>
      </c>
      <c r="T351" s="37">
        <f t="shared" si="74"/>
        <v>0</v>
      </c>
      <c r="U351" s="37">
        <f t="shared" si="74"/>
        <v>0</v>
      </c>
      <c r="V351" s="64">
        <f t="shared" si="74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267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5">IFERROR(SUMPRODUCT($AM$53:$AM$67,Q$53:Q$67)/SUM(Q$53:Q$67)*Q$69,0)</f>
        <v>0</v>
      </c>
      <c r="R362" s="57">
        <f t="shared" si="75"/>
        <v>0</v>
      </c>
      <c r="S362" s="57">
        <f t="shared" si="75"/>
        <v>0</v>
      </c>
      <c r="T362" s="57">
        <f t="shared" si="75"/>
        <v>0</v>
      </c>
      <c r="U362" s="57">
        <f t="shared" si="75"/>
        <v>0</v>
      </c>
      <c r="V362" s="62">
        <f t="shared" si="75"/>
        <v>0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6">IFERROR(SUMPRODUCT($AN$53:$AN$67,Q$53:Q$67)/SUM(Q$53:Q$67)*Q$69,0)</f>
        <v>0</v>
      </c>
      <c r="R363" s="57">
        <f t="shared" si="76"/>
        <v>0</v>
      </c>
      <c r="S363" s="57">
        <f t="shared" si="76"/>
        <v>0</v>
      </c>
      <c r="T363" s="57">
        <f t="shared" si="76"/>
        <v>0</v>
      </c>
      <c r="U363" s="57">
        <f t="shared" si="76"/>
        <v>0</v>
      </c>
      <c r="V363" s="62">
        <f t="shared" si="76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7">IFERROR(SUMPRODUCT($AO$53:$AO$67,Q$53:Q$67)/SUM(Q$53:Q$67)*Q$69,0)</f>
        <v>0</v>
      </c>
      <c r="R364" s="57">
        <f t="shared" si="77"/>
        <v>0</v>
      </c>
      <c r="S364" s="57">
        <f t="shared" si="77"/>
        <v>0</v>
      </c>
      <c r="T364" s="57">
        <f t="shared" si="77"/>
        <v>0</v>
      </c>
      <c r="U364" s="57">
        <f t="shared" si="77"/>
        <v>0</v>
      </c>
      <c r="V364" s="62">
        <f t="shared" si="77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8">IFERROR(SUMPRODUCT($AP$53:$AP$67,Q$53:Q$67)/SUM(Q$53:Q$67)*Q$69,0)</f>
        <v>0</v>
      </c>
      <c r="R365" s="57">
        <f t="shared" si="78"/>
        <v>0</v>
      </c>
      <c r="S365" s="57">
        <f t="shared" si="78"/>
        <v>0</v>
      </c>
      <c r="T365" s="57">
        <f t="shared" si="78"/>
        <v>0</v>
      </c>
      <c r="U365" s="57">
        <f t="shared" si="78"/>
        <v>0</v>
      </c>
      <c r="V365" s="62">
        <f t="shared" si="78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9">IFERROR(SUMPRODUCT($AQ$53:$AQ$67,Q$53:Q$67)/SUM(Q$53:Q$67)*Q$69,0)</f>
        <v>0</v>
      </c>
      <c r="R366" s="57">
        <f t="shared" si="79"/>
        <v>0</v>
      </c>
      <c r="S366" s="57">
        <f t="shared" si="79"/>
        <v>0</v>
      </c>
      <c r="T366" s="57">
        <f t="shared" si="79"/>
        <v>0</v>
      </c>
      <c r="U366" s="57">
        <f t="shared" si="79"/>
        <v>0</v>
      </c>
      <c r="V366" s="62">
        <f t="shared" si="79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80">IFERROR(SUMPRODUCT($AR$53:$AR$67,Q$53:Q$67)/SUM(Q$53:Q$67)*Q$69,0)</f>
        <v>0</v>
      </c>
      <c r="R367" s="57">
        <f t="shared" si="80"/>
        <v>0</v>
      </c>
      <c r="S367" s="57">
        <f t="shared" si="80"/>
        <v>0</v>
      </c>
      <c r="T367" s="57">
        <f t="shared" si="80"/>
        <v>0</v>
      </c>
      <c r="U367" s="57">
        <f t="shared" si="80"/>
        <v>0</v>
      </c>
      <c r="V367" s="62">
        <f t="shared" si="80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81">IFERROR(SUMPRODUCT($AS$53:$AS$67,Q$53:Q$67)/SUM(Q$53:Q$67)*Q$69,0)</f>
        <v>0</v>
      </c>
      <c r="R368" s="57">
        <f t="shared" si="81"/>
        <v>0</v>
      </c>
      <c r="S368" s="57">
        <f t="shared" si="81"/>
        <v>0</v>
      </c>
      <c r="T368" s="57">
        <f t="shared" si="81"/>
        <v>0</v>
      </c>
      <c r="U368" s="57">
        <f t="shared" si="81"/>
        <v>0</v>
      </c>
      <c r="V368" s="62">
        <f t="shared" si="81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82">IFERROR(SUMPRODUCT($AT$53:$AT$67,Q$53:Q$67)/SUM(Q$53:Q$67)*Q$69,0)</f>
        <v>0</v>
      </c>
      <c r="R369" s="57">
        <f t="shared" si="82"/>
        <v>0</v>
      </c>
      <c r="S369" s="57">
        <f t="shared" si="82"/>
        <v>0</v>
      </c>
      <c r="T369" s="57">
        <f t="shared" si="82"/>
        <v>0</v>
      </c>
      <c r="U369" s="57">
        <f t="shared" si="82"/>
        <v>0</v>
      </c>
      <c r="V369" s="62">
        <f t="shared" si="82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3">IFERROR(SUMPRODUCT($AU$53:$AU$67,Q$53:Q$67)/SUM(Q$53:Q$67)*Q$69,0)</f>
        <v>153157.97341325143</v>
      </c>
      <c r="R370" s="57">
        <f t="shared" si="83"/>
        <v>153609.31271123717</v>
      </c>
      <c r="S370" s="57">
        <f t="shared" si="83"/>
        <v>154176.40947672041</v>
      </c>
      <c r="T370" s="57">
        <f t="shared" si="83"/>
        <v>154908.54540936288</v>
      </c>
      <c r="U370" s="57">
        <f t="shared" si="83"/>
        <v>155874.80751488262</v>
      </c>
      <c r="V370" s="62">
        <f t="shared" si="83"/>
        <v>156925.32438892536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4">IFERROR(SUMPRODUCT($AV$53:$AV$67,Q$53:Q$67)/SUM(Q$53:Q$67)*Q$69,0)</f>
        <v>0</v>
      </c>
      <c r="R371" s="57">
        <f t="shared" si="84"/>
        <v>0</v>
      </c>
      <c r="S371" s="57">
        <f t="shared" si="84"/>
        <v>0</v>
      </c>
      <c r="T371" s="57">
        <f t="shared" si="84"/>
        <v>0</v>
      </c>
      <c r="U371" s="57">
        <f t="shared" si="84"/>
        <v>0</v>
      </c>
      <c r="V371" s="62">
        <f t="shared" si="84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5">IFERROR(SUMPRODUCT($AW$53:$AW$67,Q$53:Q$67)/SUM(Q$53:Q$67)*Q$69,0)</f>
        <v>0</v>
      </c>
      <c r="R372" s="57">
        <f t="shared" si="85"/>
        <v>0</v>
      </c>
      <c r="S372" s="57">
        <f t="shared" si="85"/>
        <v>0</v>
      </c>
      <c r="T372" s="57">
        <f t="shared" si="85"/>
        <v>0</v>
      </c>
      <c r="U372" s="57">
        <f t="shared" si="85"/>
        <v>0</v>
      </c>
      <c r="V372" s="62">
        <f t="shared" si="85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6">Q218</f>
        <v>0</v>
      </c>
      <c r="R373" s="57">
        <f t="shared" si="86"/>
        <v>0</v>
      </c>
      <c r="S373" s="57">
        <f t="shared" si="86"/>
        <v>0</v>
      </c>
      <c r="T373" s="57">
        <f t="shared" si="86"/>
        <v>0</v>
      </c>
      <c r="U373" s="57">
        <f t="shared" si="86"/>
        <v>0</v>
      </c>
      <c r="V373" s="62">
        <f t="shared" si="86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7">Q232</f>
        <v>0</v>
      </c>
      <c r="R374" s="57">
        <f t="shared" si="87"/>
        <v>0</v>
      </c>
      <c r="S374" s="57">
        <f t="shared" si="87"/>
        <v>0</v>
      </c>
      <c r="T374" s="57">
        <f t="shared" si="87"/>
        <v>0</v>
      </c>
      <c r="U374" s="57">
        <f t="shared" si="87"/>
        <v>0</v>
      </c>
      <c r="V374" s="62">
        <f t="shared" si="87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8">SUM(Q362:Q372)*Q188</f>
        <v>11462.602651234307</v>
      </c>
      <c r="R375" s="57">
        <f t="shared" si="88"/>
        <v>11086.108406257952</v>
      </c>
      <c r="S375" s="57">
        <f t="shared" si="88"/>
        <v>11757.970352529894</v>
      </c>
      <c r="T375" s="57">
        <f t="shared" si="88"/>
        <v>11994.051077613665</v>
      </c>
      <c r="U375" s="57">
        <f t="shared" si="88"/>
        <v>12737.416307840969</v>
      </c>
      <c r="V375" s="62">
        <f t="shared" si="88"/>
        <v>13243.335181139677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9">SUM(P362:P375)</f>
        <v>0</v>
      </c>
      <c r="Q377" s="37">
        <f t="shared" si="89"/>
        <v>164620.57606448574</v>
      </c>
      <c r="R377" s="37">
        <f t="shared" si="89"/>
        <v>164695.42111749513</v>
      </c>
      <c r="S377" s="37">
        <f t="shared" si="89"/>
        <v>165934.37982925031</v>
      </c>
      <c r="T377" s="37">
        <f t="shared" si="89"/>
        <v>166902.59648697654</v>
      </c>
      <c r="U377" s="37">
        <f t="shared" si="89"/>
        <v>168612.22382272358</v>
      </c>
      <c r="V377" s="64">
        <f t="shared" si="89"/>
        <v>170168.65957006504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267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90">IFERROR(SUMPRODUCT($BB$53:$BB$67,Q$53:Q$67)/SUM(Q$53:Q$67)*Q$69*(1+Q$188),0)</f>
        <v>0</v>
      </c>
      <c r="R388" s="57">
        <f t="shared" si="90"/>
        <v>0</v>
      </c>
      <c r="S388" s="57">
        <f t="shared" si="90"/>
        <v>0</v>
      </c>
      <c r="T388" s="57">
        <f t="shared" si="90"/>
        <v>0</v>
      </c>
      <c r="U388" s="57">
        <f t="shared" si="90"/>
        <v>0</v>
      </c>
      <c r="V388" s="62">
        <f t="shared" si="90"/>
        <v>0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91">IFERROR(SUMPRODUCT($BC$53:$BC$67,Q$53:Q$67)/SUM(Q$53:Q$67)*Q$69*(1+Q$188),0)</f>
        <v>0</v>
      </c>
      <c r="R389" s="57">
        <f t="shared" si="91"/>
        <v>0</v>
      </c>
      <c r="S389" s="57">
        <f t="shared" si="91"/>
        <v>0</v>
      </c>
      <c r="T389" s="57">
        <f t="shared" si="91"/>
        <v>0</v>
      </c>
      <c r="U389" s="57">
        <f t="shared" si="91"/>
        <v>0</v>
      </c>
      <c r="V389" s="62">
        <f t="shared" si="91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92">IFERROR(SUMPRODUCT($BD$53:$BD$67,Q$53:Q$67)/SUM(Q$53:Q$67)*Q$69*(1+Q$188),0)</f>
        <v>0</v>
      </c>
      <c r="R390" s="57">
        <f t="shared" si="92"/>
        <v>0</v>
      </c>
      <c r="S390" s="57">
        <f t="shared" si="92"/>
        <v>0</v>
      </c>
      <c r="T390" s="57">
        <f t="shared" si="92"/>
        <v>0</v>
      </c>
      <c r="U390" s="57">
        <f t="shared" si="92"/>
        <v>0</v>
      </c>
      <c r="V390" s="62">
        <f t="shared" si="92"/>
        <v>0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3">IFERROR(SUMPRODUCT($BE$53:$BE$67,Q$53:Q$67)/SUM(Q$53:Q$67)*Q$69*(1+Q$188),0)</f>
        <v>0</v>
      </c>
      <c r="R391" s="57">
        <f t="shared" si="93"/>
        <v>0</v>
      </c>
      <c r="S391" s="57">
        <f t="shared" si="93"/>
        <v>0</v>
      </c>
      <c r="T391" s="57">
        <f t="shared" si="93"/>
        <v>0</v>
      </c>
      <c r="U391" s="57">
        <f t="shared" si="93"/>
        <v>0</v>
      </c>
      <c r="V391" s="62">
        <f t="shared" si="93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4">IFERROR(SUMPRODUCT($BF$53:$BF$67,Q$53:Q$67)/SUM(Q$53:Q$67)*Q$69*(1+Q$188),0)</f>
        <v>164620.57606448577</v>
      </c>
      <c r="R392" s="57">
        <f t="shared" si="94"/>
        <v>164695.42111749511</v>
      </c>
      <c r="S392" s="57">
        <f t="shared" si="94"/>
        <v>165934.37982925031</v>
      </c>
      <c r="T392" s="57">
        <f t="shared" si="94"/>
        <v>166902.59648697654</v>
      </c>
      <c r="U392" s="57">
        <f t="shared" si="94"/>
        <v>168612.22382272358</v>
      </c>
      <c r="V392" s="62">
        <f t="shared" si="94"/>
        <v>170168.65957006504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5">IFERROR(SUMPRODUCT($BG$53:$BG$67,Q$53:Q$67)/SUM(Q$53:Q$67)*Q$69*(1+Q$188),0)</f>
        <v>0</v>
      </c>
      <c r="R393" s="57">
        <f t="shared" si="95"/>
        <v>0</v>
      </c>
      <c r="S393" s="57">
        <f t="shared" si="95"/>
        <v>0</v>
      </c>
      <c r="T393" s="57">
        <f t="shared" si="95"/>
        <v>0</v>
      </c>
      <c r="U393" s="57">
        <f t="shared" si="95"/>
        <v>0</v>
      </c>
      <c r="V393" s="62">
        <f t="shared" si="95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6">IFERROR(SUMPRODUCT($BH$53:$BH$67,Q$53:Q$67)/SUM(Q$53:Q$67)*Q$69*(1+Q$188),0)</f>
        <v>0</v>
      </c>
      <c r="R394" s="57">
        <f t="shared" si="96"/>
        <v>0</v>
      </c>
      <c r="S394" s="57">
        <f t="shared" si="96"/>
        <v>0</v>
      </c>
      <c r="T394" s="57">
        <f t="shared" si="96"/>
        <v>0</v>
      </c>
      <c r="U394" s="57">
        <f t="shared" si="96"/>
        <v>0</v>
      </c>
      <c r="V394" s="62">
        <f t="shared" si="96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7">SUM(P388:P394)</f>
        <v>0</v>
      </c>
      <c r="Q396" s="37">
        <f t="shared" si="97"/>
        <v>164620.57606448577</v>
      </c>
      <c r="R396" s="37">
        <f t="shared" si="97"/>
        <v>164695.42111749511</v>
      </c>
      <c r="S396" s="37">
        <f t="shared" si="97"/>
        <v>165934.37982925031</v>
      </c>
      <c r="T396" s="37">
        <f t="shared" si="97"/>
        <v>166902.59648697654</v>
      </c>
      <c r="U396" s="37">
        <f t="shared" si="97"/>
        <v>168612.22382272358</v>
      </c>
      <c r="V396" s="64">
        <f t="shared" si="97"/>
        <v>170168.65957006504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48">
    <mergeCell ref="H28:L28"/>
    <mergeCell ref="M28:Q28"/>
    <mergeCell ref="R28:V28"/>
    <mergeCell ref="H50:L50"/>
    <mergeCell ref="M50:Q50"/>
    <mergeCell ref="R50:V50"/>
    <mergeCell ref="H74:L74"/>
    <mergeCell ref="M74:Q74"/>
    <mergeCell ref="R74:V74"/>
    <mergeCell ref="H97:L97"/>
    <mergeCell ref="M97:Q97"/>
    <mergeCell ref="R97:V97"/>
    <mergeCell ref="H120:L120"/>
    <mergeCell ref="M120:Q120"/>
    <mergeCell ref="R120:V120"/>
    <mergeCell ref="H143:L143"/>
    <mergeCell ref="M143:Q143"/>
    <mergeCell ref="R143:V143"/>
    <mergeCell ref="H166:L166"/>
    <mergeCell ref="M166:Q166"/>
    <mergeCell ref="R166:V166"/>
    <mergeCell ref="H196:L196"/>
    <mergeCell ref="M196:Q196"/>
    <mergeCell ref="R196:V196"/>
    <mergeCell ref="H222:L222"/>
    <mergeCell ref="M222:Q222"/>
    <mergeCell ref="R222:V222"/>
    <mergeCell ref="H236:L236"/>
    <mergeCell ref="M236:Q236"/>
    <mergeCell ref="R236:V23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I399"/>
  <sheetViews>
    <sheetView topLeftCell="G4" workbookViewId="0">
      <selection activeCell="V35" sqref="V35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5" s="3" customFormat="1">
      <c r="A1" s="2" t="s">
        <v>2</v>
      </c>
    </row>
    <row r="2" spans="1:15" s="1" customFormat="1">
      <c r="A2" s="3" t="s">
        <v>187</v>
      </c>
    </row>
    <row r="3" spans="1:15" s="1" customFormat="1">
      <c r="A3" s="3" t="s">
        <v>95</v>
      </c>
    </row>
    <row r="4" spans="1:15" s="1" customFormat="1">
      <c r="A4" s="22" t="s">
        <v>43</v>
      </c>
    </row>
    <row r="6" spans="1:15" s="1" customFormat="1">
      <c r="A6" s="2">
        <v>2</v>
      </c>
      <c r="B6" s="2" t="s">
        <v>45</v>
      </c>
    </row>
    <row r="9" spans="1:15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  <c r="H9" s="94"/>
      <c r="I9" s="94"/>
      <c r="J9" s="94"/>
      <c r="K9" s="94"/>
      <c r="L9" s="94"/>
      <c r="M9" s="94"/>
    </row>
    <row r="10" spans="1:15">
      <c r="B10" s="8" t="s">
        <v>188</v>
      </c>
      <c r="D10" s="10">
        <v>0.02</v>
      </c>
      <c r="E10" s="10">
        <v>0.38</v>
      </c>
      <c r="F10" s="26">
        <f>D10+E10</f>
        <v>0.4</v>
      </c>
      <c r="G10" s="26">
        <f>1-F10</f>
        <v>0.6</v>
      </c>
      <c r="H10" s="94"/>
      <c r="I10" s="95"/>
      <c r="J10" s="95"/>
      <c r="K10" s="95"/>
      <c r="L10" s="95"/>
      <c r="M10" s="94"/>
    </row>
    <row r="11" spans="1:15">
      <c r="B11" s="8" t="s">
        <v>189</v>
      </c>
      <c r="D11" s="10">
        <v>0.02</v>
      </c>
      <c r="E11" s="10">
        <v>0.38</v>
      </c>
      <c r="F11" s="26">
        <f>D11+E11</f>
        <v>0.4</v>
      </c>
      <c r="G11" s="26">
        <f>1-F11</f>
        <v>0.6</v>
      </c>
      <c r="H11" s="94"/>
      <c r="I11" s="95"/>
      <c r="J11" s="95"/>
      <c r="K11" s="95"/>
      <c r="L11" s="95"/>
      <c r="M11" s="94"/>
    </row>
    <row r="12" spans="1:15">
      <c r="B12" s="8" t="s">
        <v>190</v>
      </c>
      <c r="D12" s="10">
        <v>0.02</v>
      </c>
      <c r="E12" s="10">
        <v>0.38</v>
      </c>
      <c r="F12" s="26">
        <f t="shared" ref="F12" si="0">D12+E12</f>
        <v>0.4</v>
      </c>
      <c r="G12" s="26">
        <f t="shared" ref="G12" si="1">1-F12</f>
        <v>0.6</v>
      </c>
      <c r="H12" s="94"/>
      <c r="I12" s="95"/>
      <c r="J12" s="95"/>
      <c r="K12" s="95"/>
      <c r="L12" s="95"/>
      <c r="M12" s="94"/>
    </row>
    <row r="13" spans="1:15">
      <c r="B13" s="8"/>
      <c r="D13" s="10"/>
      <c r="E13" s="10"/>
      <c r="F13" s="26"/>
      <c r="G13" s="26"/>
    </row>
    <row r="14" spans="1:15">
      <c r="B14" s="8"/>
      <c r="D14" s="10"/>
      <c r="E14" s="10"/>
      <c r="F14" s="27"/>
      <c r="G14" s="27"/>
      <c r="H14" s="94"/>
      <c r="I14" s="94"/>
      <c r="J14" s="94"/>
      <c r="K14" s="94"/>
      <c r="L14" s="94"/>
      <c r="M14" s="94"/>
      <c r="N14" s="94"/>
      <c r="O14" s="94"/>
    </row>
    <row r="15" spans="1:15">
      <c r="B15" s="8"/>
      <c r="D15" s="10"/>
      <c r="E15" s="10"/>
      <c r="F15" s="27"/>
      <c r="G15" s="27"/>
      <c r="H15" s="94"/>
      <c r="I15" s="94"/>
      <c r="J15" s="94"/>
      <c r="K15" s="94"/>
      <c r="L15" s="94"/>
      <c r="M15" s="94"/>
      <c r="N15" s="94"/>
      <c r="O15" s="94"/>
    </row>
    <row r="16" spans="1:15">
      <c r="B16" s="8"/>
      <c r="D16" s="10"/>
      <c r="E16" s="10"/>
      <c r="F16" s="27"/>
      <c r="G16" s="27"/>
      <c r="H16" s="94"/>
      <c r="I16" s="95"/>
      <c r="J16" s="95"/>
      <c r="K16" s="95"/>
      <c r="L16" s="95"/>
      <c r="M16" s="94"/>
      <c r="N16" s="94"/>
      <c r="O16" s="94"/>
    </row>
    <row r="17" spans="1:24">
      <c r="B17" s="8"/>
      <c r="D17" s="10"/>
      <c r="E17" s="10"/>
      <c r="F17" s="27"/>
      <c r="G17" s="27"/>
      <c r="H17" s="94"/>
      <c r="I17" s="95"/>
      <c r="J17" s="95"/>
      <c r="K17" s="95"/>
      <c r="L17" s="95"/>
      <c r="M17" s="94"/>
      <c r="N17" s="94"/>
      <c r="O17" s="94"/>
    </row>
    <row r="18" spans="1:24">
      <c r="B18" s="8"/>
      <c r="D18" s="10"/>
      <c r="E18" s="10"/>
      <c r="F18" s="27"/>
      <c r="G18" s="27"/>
      <c r="H18" s="94"/>
      <c r="I18" s="95"/>
      <c r="J18" s="95"/>
      <c r="K18" s="95"/>
      <c r="L18" s="95"/>
      <c r="M18" s="94"/>
      <c r="N18" s="94"/>
      <c r="O18" s="94"/>
    </row>
    <row r="19" spans="1:24">
      <c r="B19" s="8"/>
      <c r="D19" s="10"/>
      <c r="E19" s="10"/>
      <c r="F19" s="27"/>
      <c r="G19" s="27"/>
      <c r="H19" s="94"/>
      <c r="I19" s="94"/>
      <c r="J19" s="94"/>
      <c r="K19" s="94"/>
      <c r="L19" s="94"/>
      <c r="M19" s="94"/>
      <c r="N19" s="94"/>
      <c r="O19" s="94"/>
    </row>
    <row r="20" spans="1:24">
      <c r="B20" s="8"/>
      <c r="D20" s="10"/>
      <c r="E20" s="10"/>
      <c r="F20" s="27"/>
      <c r="G20" s="27"/>
      <c r="H20" s="94"/>
      <c r="I20" s="94"/>
      <c r="J20" s="94"/>
      <c r="K20" s="94"/>
      <c r="L20" s="94"/>
      <c r="M20" s="94"/>
      <c r="N20" s="94"/>
      <c r="O20" s="94"/>
    </row>
    <row r="21" spans="1:24">
      <c r="B21" s="8"/>
      <c r="D21" s="10"/>
      <c r="E21" s="10"/>
      <c r="F21" s="27"/>
      <c r="G21" s="27"/>
      <c r="H21" s="94"/>
      <c r="I21" s="94"/>
      <c r="J21" s="94"/>
      <c r="K21" s="94"/>
      <c r="L21" s="94"/>
      <c r="M21" s="94"/>
      <c r="N21" s="94"/>
      <c r="O21" s="94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51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90" t="s">
        <v>52</v>
      </c>
      <c r="I28" s="190"/>
      <c r="J28" s="190"/>
      <c r="K28" s="190"/>
      <c r="L28" s="190"/>
      <c r="M28" s="190" t="s">
        <v>53</v>
      </c>
      <c r="N28" s="190"/>
      <c r="O28" s="190"/>
      <c r="P28" s="190"/>
      <c r="Q28" s="190"/>
      <c r="R28" s="190" t="s">
        <v>54</v>
      </c>
      <c r="S28" s="190"/>
      <c r="T28" s="190"/>
      <c r="U28" s="190"/>
      <c r="V28" s="190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>IF(B10&lt;&gt;"",B10,"[blank]")</f>
        <v>Grove Regulator Replacement - I&amp;C</v>
      </c>
      <c r="D31" s="31" t="s">
        <v>179</v>
      </c>
      <c r="E31" s="31"/>
      <c r="P31" s="184"/>
      <c r="Q31" s="184"/>
      <c r="R31" s="184"/>
      <c r="S31" s="184"/>
      <c r="T31" s="184"/>
      <c r="U31" s="184"/>
      <c r="V31" s="184"/>
      <c r="X31" s="20"/>
    </row>
    <row r="32" spans="1:24">
      <c r="B32" s="4" t="str">
        <f t="shared" ref="B32:B45" si="2">IF(B11&lt;&gt;"",B11,"[blank]")</f>
        <v>298 Regulator Replacement</v>
      </c>
      <c r="D32" s="31" t="s">
        <v>179</v>
      </c>
      <c r="E32" s="31"/>
      <c r="P32" s="184"/>
      <c r="Q32" s="184"/>
      <c r="R32" s="184"/>
      <c r="S32" s="184"/>
      <c r="T32" s="184"/>
      <c r="U32" s="184"/>
      <c r="V32" s="184"/>
      <c r="X32" s="20"/>
    </row>
    <row r="33" spans="1:24">
      <c r="B33" s="4" t="str">
        <f t="shared" si="2"/>
        <v>Proactive Domestic Regulator Replacement</v>
      </c>
      <c r="D33" s="31" t="s">
        <v>179</v>
      </c>
      <c r="P33" s="184"/>
      <c r="Q33" s="184"/>
      <c r="R33" s="184"/>
      <c r="S33" s="184"/>
      <c r="T33" s="184"/>
      <c r="U33" s="184"/>
      <c r="V33" s="184"/>
      <c r="X33" s="20"/>
    </row>
    <row r="34" spans="1:24">
      <c r="B34" s="4" t="str">
        <f t="shared" si="2"/>
        <v>[blank]</v>
      </c>
      <c r="D34" s="31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2"/>
        <v>[blank]</v>
      </c>
      <c r="D35" s="31"/>
    </row>
    <row r="36" spans="1:24">
      <c r="B36" s="4" t="str">
        <f t="shared" si="2"/>
        <v>[blank]</v>
      </c>
      <c r="D36" s="31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7" spans="1:24" s="1" customFormat="1">
      <c r="A47" s="2">
        <v>4</v>
      </c>
      <c r="B47" s="2" t="s">
        <v>56</v>
      </c>
    </row>
    <row r="49" spans="2:32">
      <c r="H49" s="190" t="s">
        <v>52</v>
      </c>
      <c r="I49" s="190"/>
      <c r="J49" s="190"/>
      <c r="K49" s="190"/>
      <c r="L49" s="190"/>
      <c r="M49" s="190" t="s">
        <v>53</v>
      </c>
      <c r="N49" s="190"/>
      <c r="O49" s="190"/>
      <c r="P49" s="190"/>
      <c r="Q49" s="190"/>
      <c r="R49" s="190" t="s">
        <v>54</v>
      </c>
      <c r="S49" s="190"/>
      <c r="T49" s="190"/>
      <c r="U49" s="190"/>
      <c r="V49" s="190"/>
      <c r="X49" s="20"/>
    </row>
    <row r="50" spans="2:32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32">
      <c r="B51" s="5" t="s">
        <v>46</v>
      </c>
      <c r="D51" s="29" t="s">
        <v>55</v>
      </c>
      <c r="H51" s="16" t="s">
        <v>12</v>
      </c>
      <c r="I51" s="16" t="s">
        <v>12</v>
      </c>
      <c r="J51" s="16" t="s">
        <v>12</v>
      </c>
      <c r="K51" s="16" t="s">
        <v>12</v>
      </c>
      <c r="L51" s="16" t="s">
        <v>12</v>
      </c>
      <c r="M51" s="16" t="s">
        <v>12</v>
      </c>
      <c r="N51" s="16" t="s">
        <v>12</v>
      </c>
      <c r="O51" s="16" t="s">
        <v>12</v>
      </c>
      <c r="P51" s="16" t="s">
        <v>13</v>
      </c>
      <c r="Q51" s="16" t="s">
        <v>13</v>
      </c>
      <c r="R51" s="16" t="s">
        <v>13</v>
      </c>
      <c r="S51" s="16" t="s">
        <v>13</v>
      </c>
      <c r="T51" s="16" t="s">
        <v>13</v>
      </c>
      <c r="U51" s="16" t="s">
        <v>13</v>
      </c>
      <c r="V51" s="16" t="s">
        <v>13</v>
      </c>
      <c r="X51" s="94"/>
      <c r="Y51" s="94"/>
      <c r="Z51" s="94"/>
      <c r="AA51" s="94"/>
      <c r="AB51" s="94"/>
      <c r="AC51" s="94"/>
      <c r="AD51" s="94"/>
      <c r="AE51" s="94"/>
      <c r="AF51" s="94"/>
    </row>
    <row r="52" spans="2:32">
      <c r="B52" s="4" t="str">
        <f>IF(B10&lt;&gt;"",B10,"[blank]")</f>
        <v>Grove Regulator Replacement - I&amp;C</v>
      </c>
      <c r="D52" s="31" t="s">
        <v>180</v>
      </c>
      <c r="P52" s="77"/>
      <c r="Q52" s="184"/>
      <c r="R52" s="184"/>
      <c r="S52" s="184"/>
      <c r="T52" s="184"/>
      <c r="U52" s="184"/>
      <c r="V52" s="184"/>
      <c r="X52" s="20"/>
      <c r="Y52" s="94"/>
      <c r="Z52" s="94"/>
      <c r="AA52" s="94"/>
      <c r="AB52" s="94"/>
      <c r="AC52" s="94"/>
      <c r="AD52" s="94"/>
      <c r="AE52" s="94"/>
      <c r="AF52" s="94"/>
    </row>
    <row r="53" spans="2:32">
      <c r="B53" s="4" t="str">
        <f t="shared" ref="B53:B66" si="3">IF(B11&lt;&gt;"",B11,"[blank]")</f>
        <v>298 Regulator Replacement</v>
      </c>
      <c r="D53" s="31" t="s">
        <v>180</v>
      </c>
      <c r="P53" s="77"/>
      <c r="Q53" s="184"/>
      <c r="R53" s="184"/>
      <c r="S53" s="184"/>
      <c r="T53" s="184"/>
      <c r="U53" s="184"/>
      <c r="V53" s="184"/>
      <c r="X53" s="95"/>
      <c r="Y53" s="95"/>
      <c r="Z53" s="95"/>
      <c r="AA53" s="95"/>
      <c r="AB53" s="95"/>
      <c r="AC53" s="95"/>
      <c r="AD53" s="94"/>
      <c r="AE53" s="94"/>
      <c r="AF53" s="94"/>
    </row>
    <row r="54" spans="2:32">
      <c r="B54" s="4" t="str">
        <f t="shared" si="3"/>
        <v>Proactive Domestic Regulator Replacement</v>
      </c>
      <c r="D54" s="31" t="s">
        <v>180</v>
      </c>
      <c r="P54" s="77"/>
      <c r="Q54" s="184"/>
      <c r="R54" s="184"/>
      <c r="S54" s="184"/>
      <c r="T54" s="184"/>
      <c r="U54" s="184"/>
      <c r="V54" s="184"/>
      <c r="X54" s="20"/>
      <c r="Y54" s="94"/>
      <c r="Z54" s="94"/>
      <c r="AA54" s="94"/>
      <c r="AB54" s="94"/>
      <c r="AC54" s="94"/>
      <c r="AD54" s="94"/>
      <c r="AE54" s="94"/>
      <c r="AF54" s="94"/>
    </row>
    <row r="55" spans="2:32">
      <c r="B55" s="4" t="str">
        <f t="shared" si="3"/>
        <v>[blank]</v>
      </c>
      <c r="D55" s="31"/>
      <c r="P55" s="77"/>
      <c r="Q55" s="77"/>
      <c r="R55" s="77"/>
      <c r="S55" s="77"/>
      <c r="T55" s="77"/>
      <c r="U55" s="77"/>
      <c r="V55" s="77"/>
      <c r="X55" s="20"/>
    </row>
    <row r="56" spans="2:32">
      <c r="B56" s="4" t="str">
        <f t="shared" si="3"/>
        <v>[blank]</v>
      </c>
      <c r="D56" s="31"/>
      <c r="P56" s="94"/>
    </row>
    <row r="57" spans="2:32">
      <c r="B57" s="4" t="str">
        <f t="shared" si="3"/>
        <v>[blank]</v>
      </c>
      <c r="D57" s="31"/>
    </row>
    <row r="58" spans="2:32">
      <c r="B58" s="4" t="str">
        <f t="shared" si="3"/>
        <v>[blank]</v>
      </c>
      <c r="D58" s="31"/>
    </row>
    <row r="59" spans="2:32">
      <c r="B59" s="4" t="str">
        <f t="shared" si="3"/>
        <v>[blank]</v>
      </c>
      <c r="D59" s="31"/>
    </row>
    <row r="60" spans="2:32">
      <c r="B60" s="4" t="str">
        <f t="shared" si="3"/>
        <v>[blank]</v>
      </c>
      <c r="D60" s="31"/>
    </row>
    <row r="61" spans="2:32">
      <c r="B61" s="4" t="str">
        <f t="shared" si="3"/>
        <v>[blank]</v>
      </c>
      <c r="D61" s="31"/>
    </row>
    <row r="62" spans="2:32">
      <c r="B62" s="4" t="str">
        <f t="shared" si="3"/>
        <v>[blank]</v>
      </c>
      <c r="D62" s="31"/>
    </row>
    <row r="63" spans="2:32">
      <c r="B63" s="4" t="str">
        <f t="shared" si="3"/>
        <v>[blank]</v>
      </c>
      <c r="D63" s="31"/>
    </row>
    <row r="64" spans="2:32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61</v>
      </c>
    </row>
    <row r="69" spans="1:61">
      <c r="Z69" s="5" t="s">
        <v>73</v>
      </c>
      <c r="AM69" s="5" t="s">
        <v>110</v>
      </c>
      <c r="BB69" s="5" t="s">
        <v>133</v>
      </c>
    </row>
    <row r="70" spans="1:61">
      <c r="H70" s="190" t="s">
        <v>52</v>
      </c>
      <c r="I70" s="190"/>
      <c r="J70" s="190"/>
      <c r="K70" s="190"/>
      <c r="L70" s="190"/>
      <c r="M70" s="190" t="s">
        <v>53</v>
      </c>
      <c r="N70" s="190"/>
      <c r="O70" s="190"/>
      <c r="P70" s="190"/>
      <c r="Q70" s="190"/>
      <c r="R70" s="190" t="s">
        <v>54</v>
      </c>
      <c r="S70" s="190"/>
      <c r="T70" s="190"/>
      <c r="U70" s="190"/>
      <c r="V70" s="190"/>
      <c r="X70" s="38"/>
      <c r="Z70" s="39" t="s">
        <v>69</v>
      </c>
      <c r="AA70" s="39" t="s">
        <v>70</v>
      </c>
      <c r="AB70" s="39" t="s">
        <v>71</v>
      </c>
      <c r="AC70" s="39" t="s">
        <v>72</v>
      </c>
      <c r="AD70" s="39" t="s">
        <v>64</v>
      </c>
      <c r="AE70" s="39" t="s">
        <v>65</v>
      </c>
      <c r="AF70" s="39" t="s">
        <v>66</v>
      </c>
      <c r="AG70" s="39" t="s">
        <v>107</v>
      </c>
      <c r="AH70" s="39" t="s">
        <v>67</v>
      </c>
      <c r="AI70" s="39" t="s">
        <v>68</v>
      </c>
      <c r="AJ70" s="39" t="s">
        <v>108</v>
      </c>
      <c r="AM70" s="39" t="s">
        <v>111</v>
      </c>
      <c r="AN70" s="39" t="s">
        <v>112</v>
      </c>
      <c r="AO70" s="39" t="s">
        <v>113</v>
      </c>
      <c r="AP70" s="39" t="s">
        <v>114</v>
      </c>
      <c r="AQ70" s="39" t="s">
        <v>115</v>
      </c>
      <c r="AR70" s="39" t="s">
        <v>36</v>
      </c>
      <c r="AS70" s="39" t="s">
        <v>116</v>
      </c>
      <c r="AT70" s="39" t="s">
        <v>35</v>
      </c>
      <c r="AU70" s="39" t="s">
        <v>117</v>
      </c>
      <c r="AV70" s="39" t="s">
        <v>118</v>
      </c>
      <c r="AW70" s="39" t="s">
        <v>119</v>
      </c>
      <c r="AX70" s="39" t="s">
        <v>74</v>
      </c>
      <c r="AY70" s="39" t="s">
        <v>75</v>
      </c>
      <c r="BB70" s="39" t="s">
        <v>134</v>
      </c>
      <c r="BC70" s="39" t="s">
        <v>135</v>
      </c>
      <c r="BD70" s="39" t="s">
        <v>136</v>
      </c>
      <c r="BE70" s="39" t="s">
        <v>107</v>
      </c>
      <c r="BF70" s="39" t="s">
        <v>137</v>
      </c>
      <c r="BG70" s="39" t="s">
        <v>138</v>
      </c>
      <c r="BH70" s="39" t="s">
        <v>108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63</v>
      </c>
    </row>
    <row r="72" spans="1:61">
      <c r="B72" s="5" t="s">
        <v>46</v>
      </c>
      <c r="D72" s="29" t="s">
        <v>55</v>
      </c>
      <c r="H72" s="16" t="s">
        <v>12</v>
      </c>
      <c r="I72" s="16" t="s">
        <v>12</v>
      </c>
      <c r="J72" s="16" t="s">
        <v>12</v>
      </c>
      <c r="K72" s="16" t="s">
        <v>12</v>
      </c>
      <c r="L72" s="16" t="s">
        <v>12</v>
      </c>
      <c r="M72" s="16" t="s">
        <v>12</v>
      </c>
      <c r="N72" s="16" t="s">
        <v>12</v>
      </c>
      <c r="O72" s="16" t="s">
        <v>12</v>
      </c>
      <c r="P72" s="16" t="s">
        <v>13</v>
      </c>
      <c r="Q72" s="16" t="s">
        <v>13</v>
      </c>
      <c r="R72" s="16" t="s">
        <v>13</v>
      </c>
      <c r="S72" s="16" t="s">
        <v>13</v>
      </c>
      <c r="T72" s="16" t="s">
        <v>13</v>
      </c>
      <c r="U72" s="16" t="s">
        <v>13</v>
      </c>
      <c r="V72" s="16" t="s">
        <v>13</v>
      </c>
      <c r="X72" s="34" t="s">
        <v>13</v>
      </c>
    </row>
    <row r="73" spans="1:61">
      <c r="B73" s="4" t="str">
        <f>IF(B10&lt;&gt;"",B10,"[blank]")</f>
        <v>Grove Regulator Replacement - I&amp;C</v>
      </c>
      <c r="D73" s="31" t="s">
        <v>60</v>
      </c>
      <c r="O73" s="35"/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/>
      <c r="X73" s="40">
        <f>SUM(R73:V73)</f>
        <v>0</v>
      </c>
      <c r="Y73" s="75"/>
      <c r="Z73" s="10"/>
      <c r="AA73" s="10"/>
      <c r="AB73" s="10"/>
      <c r="AC73" s="10"/>
      <c r="AD73" s="10">
        <v>1</v>
      </c>
      <c r="AE73" s="10"/>
      <c r="AF73" s="10"/>
      <c r="AG73" s="10"/>
      <c r="AH73" s="10"/>
      <c r="AI73" s="10"/>
      <c r="AJ73" s="10"/>
      <c r="AK73" s="41">
        <f t="shared" ref="AK73:AK87" si="4">SUM(Z73:AI73)</f>
        <v>1</v>
      </c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41">
        <f t="shared" ref="AZ73:AZ87" si="5">SUM(AM73:AY73)</f>
        <v>1</v>
      </c>
      <c r="BB73" s="10"/>
      <c r="BC73" s="10"/>
      <c r="BD73" s="10"/>
      <c r="BE73" s="10"/>
      <c r="BF73" s="10">
        <v>1</v>
      </c>
      <c r="BG73" s="10"/>
      <c r="BH73" s="10"/>
      <c r="BI73" s="41">
        <f t="shared" ref="BI73:BI87" si="6">SUM(BB73:BH73)</f>
        <v>1</v>
      </c>
    </row>
    <row r="74" spans="1:61">
      <c r="B74" s="4" t="str">
        <f t="shared" ref="B74:B87" si="7">IF(B11&lt;&gt;"",B11,"[blank]")</f>
        <v>298 Regulator Replacement</v>
      </c>
      <c r="D74" s="31" t="s">
        <v>60</v>
      </c>
      <c r="O74" s="50"/>
      <c r="P74" s="35">
        <v>0</v>
      </c>
      <c r="Q74" s="35">
        <v>336947.54150915315</v>
      </c>
      <c r="R74" s="35">
        <v>261135.83160910322</v>
      </c>
      <c r="S74" s="35">
        <v>185011.69137206447</v>
      </c>
      <c r="T74" s="35">
        <v>387271.3635234072</v>
      </c>
      <c r="U74" s="35">
        <v>264987.17277530045</v>
      </c>
      <c r="V74" s="35">
        <v>266773.05146117311</v>
      </c>
      <c r="W74" s="35"/>
      <c r="X74" s="40">
        <f t="shared" ref="X74:X89" si="8">SUM(R74:V74)</f>
        <v>1365179.1107410486</v>
      </c>
      <c r="Y74" s="75"/>
      <c r="Z74" s="10"/>
      <c r="AA74" s="10"/>
      <c r="AB74" s="10"/>
      <c r="AC74" s="10"/>
      <c r="AD74" s="10">
        <v>1</v>
      </c>
      <c r="AE74" s="10"/>
      <c r="AF74" s="10"/>
      <c r="AG74" s="10"/>
      <c r="AH74" s="10"/>
      <c r="AI74" s="10"/>
      <c r="AJ74" s="10"/>
      <c r="AK74" s="41">
        <f t="shared" si="4"/>
        <v>1</v>
      </c>
      <c r="AM74" s="10"/>
      <c r="AN74" s="10"/>
      <c r="AO74" s="10"/>
      <c r="AP74" s="10"/>
      <c r="AQ74" s="10"/>
      <c r="AR74" s="10"/>
      <c r="AS74" s="10"/>
      <c r="AT74" s="10"/>
      <c r="AU74" s="10">
        <v>1</v>
      </c>
      <c r="AV74" s="10"/>
      <c r="AW74" s="10"/>
      <c r="AX74" s="10"/>
      <c r="AY74" s="10"/>
      <c r="AZ74" s="41">
        <f t="shared" si="5"/>
        <v>1</v>
      </c>
      <c r="BB74" s="10"/>
      <c r="BC74" s="10"/>
      <c r="BD74" s="10"/>
      <c r="BE74" s="10"/>
      <c r="BF74" s="10">
        <v>1</v>
      </c>
      <c r="BG74" s="10"/>
      <c r="BH74" s="10"/>
      <c r="BI74" s="41">
        <f t="shared" si="6"/>
        <v>1</v>
      </c>
    </row>
    <row r="75" spans="1:61">
      <c r="B75" s="4" t="str">
        <f t="shared" si="7"/>
        <v>Proactive Domestic Regulator Replacement</v>
      </c>
      <c r="D75" s="31" t="s">
        <v>60</v>
      </c>
      <c r="P75" s="35">
        <v>0</v>
      </c>
      <c r="Q75" s="35">
        <v>928229.21366835164</v>
      </c>
      <c r="R75" s="35">
        <v>1041035.9137961729</v>
      </c>
      <c r="S75" s="35">
        <v>1024625.5821003885</v>
      </c>
      <c r="T75" s="35">
        <v>974875.62158838275</v>
      </c>
      <c r="U75" s="35">
        <v>887156.27114403725</v>
      </c>
      <c r="V75" s="35">
        <v>1052231.3776250612</v>
      </c>
      <c r="W75" s="35"/>
      <c r="X75" s="40">
        <f t="shared" si="8"/>
        <v>4979924.7662540432</v>
      </c>
      <c r="Y75" s="75"/>
      <c r="Z75" s="10"/>
      <c r="AA75" s="10"/>
      <c r="AB75" s="10"/>
      <c r="AC75" s="10"/>
      <c r="AD75" s="10">
        <v>1</v>
      </c>
      <c r="AE75" s="10"/>
      <c r="AF75" s="10"/>
      <c r="AG75" s="10"/>
      <c r="AH75" s="10"/>
      <c r="AI75" s="10"/>
      <c r="AJ75" s="10"/>
      <c r="AK75" s="41">
        <f t="shared" si="4"/>
        <v>1</v>
      </c>
      <c r="AM75" s="10"/>
      <c r="AN75" s="10"/>
      <c r="AO75" s="10"/>
      <c r="AP75" s="10"/>
      <c r="AQ75" s="10"/>
      <c r="AR75" s="10"/>
      <c r="AS75" s="10"/>
      <c r="AT75" s="10"/>
      <c r="AU75" s="10">
        <v>1</v>
      </c>
      <c r="AV75" s="10"/>
      <c r="AW75" s="10"/>
      <c r="AX75" s="10"/>
      <c r="AY75" s="10"/>
      <c r="AZ75" s="41">
        <f t="shared" si="5"/>
        <v>1</v>
      </c>
      <c r="BB75" s="10"/>
      <c r="BC75" s="10"/>
      <c r="BD75" s="10"/>
      <c r="BE75" s="10"/>
      <c r="BF75" s="10">
        <v>1</v>
      </c>
      <c r="BG75" s="10"/>
      <c r="BH75" s="10"/>
      <c r="BI75" s="41">
        <f t="shared" si="6"/>
        <v>1</v>
      </c>
    </row>
    <row r="76" spans="1:61">
      <c r="B76" s="4" t="str">
        <f t="shared" si="7"/>
        <v>[blank]</v>
      </c>
      <c r="D76" s="31"/>
      <c r="P76" s="35"/>
      <c r="Q76" s="35"/>
      <c r="R76" s="35"/>
      <c r="S76" s="35"/>
      <c r="T76" s="35"/>
      <c r="U76" s="35"/>
      <c r="V76" s="35"/>
      <c r="W76" s="35"/>
      <c r="X76" s="40">
        <f t="shared" si="8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4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5"/>
        <v>0</v>
      </c>
      <c r="BB76" s="10"/>
      <c r="BC76" s="10"/>
      <c r="BD76" s="10"/>
      <c r="BE76" s="10"/>
      <c r="BF76" s="10"/>
      <c r="BG76" s="10"/>
      <c r="BH76" s="10"/>
      <c r="BI76" s="41">
        <f t="shared" si="6"/>
        <v>0</v>
      </c>
    </row>
    <row r="77" spans="1:61">
      <c r="B77" s="4" t="str">
        <f t="shared" si="7"/>
        <v>[blank]</v>
      </c>
      <c r="P77" s="35"/>
      <c r="X77" s="40">
        <f t="shared" si="8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4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5"/>
        <v>0</v>
      </c>
      <c r="BB77" s="10"/>
      <c r="BC77" s="10"/>
      <c r="BD77" s="10"/>
      <c r="BE77" s="10"/>
      <c r="BF77" s="10"/>
      <c r="BG77" s="10"/>
      <c r="BH77" s="10"/>
      <c r="BI77" s="41">
        <f t="shared" si="6"/>
        <v>0</v>
      </c>
    </row>
    <row r="78" spans="1:61">
      <c r="B78" s="4" t="str">
        <f t="shared" si="7"/>
        <v>[blank]</v>
      </c>
      <c r="P78" s="35"/>
      <c r="X78" s="40">
        <f t="shared" si="8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4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5"/>
        <v>0</v>
      </c>
      <c r="BB78" s="10"/>
      <c r="BC78" s="10"/>
      <c r="BD78" s="10"/>
      <c r="BE78" s="10"/>
      <c r="BF78" s="10"/>
      <c r="BG78" s="10"/>
      <c r="BH78" s="10"/>
      <c r="BI78" s="41">
        <f t="shared" si="6"/>
        <v>0</v>
      </c>
    </row>
    <row r="79" spans="1:61">
      <c r="B79" s="4" t="str">
        <f t="shared" si="7"/>
        <v>[blank]</v>
      </c>
      <c r="P79" s="35"/>
      <c r="X79" s="40">
        <f t="shared" si="8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4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5"/>
        <v>0</v>
      </c>
      <c r="BB79" s="10"/>
      <c r="BC79" s="10"/>
      <c r="BD79" s="10"/>
      <c r="BE79" s="10"/>
      <c r="BF79" s="10"/>
      <c r="BG79" s="10"/>
      <c r="BH79" s="10"/>
      <c r="BI79" s="41">
        <f t="shared" si="6"/>
        <v>0</v>
      </c>
    </row>
    <row r="80" spans="1:61">
      <c r="B80" s="4" t="str">
        <f t="shared" si="7"/>
        <v>[blank]</v>
      </c>
      <c r="P80" s="35"/>
      <c r="X80" s="40">
        <f t="shared" si="8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4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5"/>
        <v>0</v>
      </c>
      <c r="BB80" s="10"/>
      <c r="BC80" s="10"/>
      <c r="BD80" s="10"/>
      <c r="BE80" s="10"/>
      <c r="BF80" s="10"/>
      <c r="BG80" s="10"/>
      <c r="BH80" s="10"/>
      <c r="BI80" s="41">
        <f t="shared" si="6"/>
        <v>0</v>
      </c>
    </row>
    <row r="81" spans="1:61">
      <c r="B81" s="4" t="str">
        <f t="shared" si="7"/>
        <v>[blank]</v>
      </c>
      <c r="P81" s="35"/>
      <c r="X81" s="40">
        <f t="shared" si="8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4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5"/>
        <v>0</v>
      </c>
      <c r="BB81" s="10"/>
      <c r="BC81" s="10"/>
      <c r="BD81" s="10"/>
      <c r="BE81" s="10"/>
      <c r="BF81" s="10"/>
      <c r="BG81" s="10"/>
      <c r="BH81" s="10"/>
      <c r="BI81" s="41">
        <f t="shared" si="6"/>
        <v>0</v>
      </c>
    </row>
    <row r="82" spans="1:61">
      <c r="B82" s="4" t="str">
        <f t="shared" si="7"/>
        <v>[blank]</v>
      </c>
      <c r="P82" s="35"/>
      <c r="X82" s="40">
        <f t="shared" si="8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4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5"/>
        <v>0</v>
      </c>
      <c r="BB82" s="10"/>
      <c r="BC82" s="10"/>
      <c r="BD82" s="10"/>
      <c r="BE82" s="10"/>
      <c r="BF82" s="10"/>
      <c r="BG82" s="10"/>
      <c r="BH82" s="10"/>
      <c r="BI82" s="41">
        <f t="shared" si="6"/>
        <v>0</v>
      </c>
    </row>
    <row r="83" spans="1:61">
      <c r="B83" s="4" t="str">
        <f t="shared" si="7"/>
        <v>[blank]</v>
      </c>
      <c r="P83" s="35"/>
      <c r="X83" s="40">
        <f t="shared" si="8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4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5"/>
        <v>0</v>
      </c>
      <c r="BB83" s="10"/>
      <c r="BC83" s="10"/>
      <c r="BD83" s="10"/>
      <c r="BE83" s="10"/>
      <c r="BF83" s="10"/>
      <c r="BG83" s="10"/>
      <c r="BH83" s="10"/>
      <c r="BI83" s="41">
        <f t="shared" si="6"/>
        <v>0</v>
      </c>
    </row>
    <row r="84" spans="1:61">
      <c r="B84" s="4" t="str">
        <f t="shared" si="7"/>
        <v>[blank]</v>
      </c>
      <c r="P84" s="35"/>
      <c r="X84" s="40">
        <f t="shared" si="8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4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5"/>
        <v>0</v>
      </c>
      <c r="BB84" s="10"/>
      <c r="BC84" s="10"/>
      <c r="BD84" s="10"/>
      <c r="BE84" s="10"/>
      <c r="BF84" s="10"/>
      <c r="BG84" s="10"/>
      <c r="BH84" s="10"/>
      <c r="BI84" s="41">
        <f t="shared" si="6"/>
        <v>0</v>
      </c>
    </row>
    <row r="85" spans="1:61">
      <c r="B85" s="4" t="str">
        <f t="shared" si="7"/>
        <v>[blank]</v>
      </c>
      <c r="P85" s="35"/>
      <c r="X85" s="40">
        <f t="shared" si="8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4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5"/>
        <v>0</v>
      </c>
      <c r="BB85" s="10"/>
      <c r="BC85" s="10"/>
      <c r="BD85" s="10"/>
      <c r="BE85" s="10"/>
      <c r="BF85" s="10"/>
      <c r="BG85" s="10"/>
      <c r="BH85" s="10"/>
      <c r="BI85" s="41">
        <f t="shared" si="6"/>
        <v>0</v>
      </c>
    </row>
    <row r="86" spans="1:61">
      <c r="B86" s="4" t="str">
        <f t="shared" si="7"/>
        <v>[blank]</v>
      </c>
      <c r="P86" s="35"/>
      <c r="X86" s="40">
        <f t="shared" si="8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4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5"/>
        <v>0</v>
      </c>
      <c r="BB86" s="10"/>
      <c r="BC86" s="10"/>
      <c r="BD86" s="10"/>
      <c r="BE86" s="10"/>
      <c r="BF86" s="10"/>
      <c r="BG86" s="10"/>
      <c r="BH86" s="10"/>
      <c r="BI86" s="41">
        <f t="shared" si="6"/>
        <v>0</v>
      </c>
    </row>
    <row r="87" spans="1:61">
      <c r="B87" s="4" t="str">
        <f t="shared" si="7"/>
        <v>[blank]</v>
      </c>
      <c r="P87" s="35"/>
      <c r="X87" s="40">
        <f t="shared" si="8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4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5"/>
        <v>0</v>
      </c>
      <c r="BB87" s="10"/>
      <c r="BC87" s="10"/>
      <c r="BD87" s="10"/>
      <c r="BE87" s="10"/>
      <c r="BF87" s="10"/>
      <c r="BG87" s="10"/>
      <c r="BH87" s="10"/>
      <c r="BI87" s="41">
        <f t="shared" si="6"/>
        <v>0</v>
      </c>
    </row>
    <row r="88" spans="1:61">
      <c r="P88" s="35"/>
    </row>
    <row r="89" spans="1:61" ht="12.75" thickBot="1">
      <c r="B89" s="5" t="s">
        <v>62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9">SUM(P73:P87)</f>
        <v>0</v>
      </c>
      <c r="Q89" s="37">
        <f t="shared" si="9"/>
        <v>1265176.7551775048</v>
      </c>
      <c r="R89" s="37">
        <f t="shared" si="9"/>
        <v>1302171.7454052761</v>
      </c>
      <c r="S89" s="37">
        <f t="shared" si="9"/>
        <v>1209637.273472453</v>
      </c>
      <c r="T89" s="37">
        <f t="shared" si="9"/>
        <v>1362146.98511179</v>
      </c>
      <c r="U89" s="37">
        <f t="shared" si="9"/>
        <v>1152143.4439193378</v>
      </c>
      <c r="V89" s="37">
        <f t="shared" si="9"/>
        <v>1319004.4290862344</v>
      </c>
      <c r="X89" s="37">
        <f t="shared" si="8"/>
        <v>6345103.8769950904</v>
      </c>
    </row>
    <row r="91" spans="1:61">
      <c r="B91" s="5" t="s">
        <v>76</v>
      </c>
    </row>
    <row r="92" spans="1:61" s="1" customFormat="1">
      <c r="A92" s="4"/>
      <c r="B92" s="2" t="s">
        <v>77</v>
      </c>
    </row>
    <row r="94" spans="1:61">
      <c r="H94" s="190" t="s">
        <v>52</v>
      </c>
      <c r="I94" s="190"/>
      <c r="J94" s="190"/>
      <c r="K94" s="190"/>
      <c r="L94" s="190"/>
      <c r="M94" s="190" t="s">
        <v>53</v>
      </c>
      <c r="N94" s="190"/>
      <c r="O94" s="190"/>
      <c r="P94" s="190"/>
      <c r="Q94" s="190"/>
      <c r="R94" s="190" t="s">
        <v>54</v>
      </c>
      <c r="S94" s="190"/>
      <c r="T94" s="190"/>
      <c r="U94" s="190"/>
      <c r="V94" s="190"/>
      <c r="X94" s="38"/>
    </row>
    <row r="95" spans="1:61">
      <c r="B95" s="42" t="s">
        <v>79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63</v>
      </c>
    </row>
    <row r="96" spans="1:61">
      <c r="B96" s="5" t="s">
        <v>46</v>
      </c>
      <c r="D96" s="29" t="s">
        <v>55</v>
      </c>
      <c r="H96" s="16" t="s">
        <v>12</v>
      </c>
      <c r="I96" s="16" t="s">
        <v>12</v>
      </c>
      <c r="J96" s="16" t="s">
        <v>12</v>
      </c>
      <c r="K96" s="16" t="s">
        <v>12</v>
      </c>
      <c r="L96" s="16" t="s">
        <v>12</v>
      </c>
      <c r="M96" s="16" t="s">
        <v>12</v>
      </c>
      <c r="N96" s="16" t="s">
        <v>12</v>
      </c>
      <c r="O96" s="16" t="s">
        <v>12</v>
      </c>
      <c r="P96" s="16" t="s">
        <v>13</v>
      </c>
      <c r="Q96" s="16" t="s">
        <v>13</v>
      </c>
      <c r="R96" s="16" t="s">
        <v>13</v>
      </c>
      <c r="S96" s="16" t="s">
        <v>13</v>
      </c>
      <c r="T96" s="16" t="s">
        <v>13</v>
      </c>
      <c r="U96" s="16" t="s">
        <v>13</v>
      </c>
      <c r="V96" s="16" t="s">
        <v>13</v>
      </c>
      <c r="X96" s="34" t="s">
        <v>13</v>
      </c>
    </row>
    <row r="97" spans="2:24">
      <c r="B97" s="4" t="str">
        <f>IF(B10&lt;&gt;"",B10,"[blank]")</f>
        <v>Grove Regulator Replacement - I&amp;C</v>
      </c>
      <c r="D97" s="31" t="s">
        <v>60</v>
      </c>
      <c r="O97" s="35"/>
      <c r="P97" s="35">
        <f>$D10*P73</f>
        <v>0</v>
      </c>
      <c r="Q97" s="35">
        <f t="shared" ref="Q97:V97" si="10">$D10*Q73</f>
        <v>0</v>
      </c>
      <c r="R97" s="35">
        <f t="shared" si="10"/>
        <v>0</v>
      </c>
      <c r="S97" s="35">
        <f t="shared" si="10"/>
        <v>0</v>
      </c>
      <c r="T97" s="35">
        <f t="shared" si="10"/>
        <v>0</v>
      </c>
      <c r="U97" s="35">
        <f t="shared" si="10"/>
        <v>0</v>
      </c>
      <c r="V97" s="35">
        <f t="shared" si="10"/>
        <v>0</v>
      </c>
      <c r="X97" s="40">
        <f>SUM(R97:V97)</f>
        <v>0</v>
      </c>
    </row>
    <row r="98" spans="2:24">
      <c r="B98" s="4" t="str">
        <f t="shared" ref="B98:B111" si="11">IF(B11&lt;&gt;"",B11,"[blank]")</f>
        <v>298 Regulator Replacement</v>
      </c>
      <c r="D98" s="31" t="s">
        <v>60</v>
      </c>
      <c r="O98" s="50"/>
      <c r="P98" s="35">
        <f t="shared" ref="P98:V99" si="12">$D11*P74</f>
        <v>0</v>
      </c>
      <c r="Q98" s="35">
        <f t="shared" si="12"/>
        <v>6738.9508301830629</v>
      </c>
      <c r="R98" s="35">
        <f t="shared" si="12"/>
        <v>5222.7166321820641</v>
      </c>
      <c r="S98" s="35">
        <f t="shared" si="12"/>
        <v>3700.2338274412896</v>
      </c>
      <c r="T98" s="35">
        <f t="shared" si="12"/>
        <v>7745.4272704681443</v>
      </c>
      <c r="U98" s="35">
        <f t="shared" si="12"/>
        <v>5299.743455506009</v>
      </c>
      <c r="V98" s="35">
        <f t="shared" si="12"/>
        <v>5335.461029223462</v>
      </c>
      <c r="X98" s="40">
        <f t="shared" ref="X98:X111" si="13">SUM(R98:V98)</f>
        <v>27303.582214820966</v>
      </c>
    </row>
    <row r="99" spans="2:24">
      <c r="B99" s="4" t="str">
        <f t="shared" si="11"/>
        <v>Proactive Domestic Regulator Replacement</v>
      </c>
      <c r="D99" s="31" t="s">
        <v>60</v>
      </c>
      <c r="P99" s="35">
        <f t="shared" si="12"/>
        <v>0</v>
      </c>
      <c r="Q99" s="35">
        <f t="shared" si="12"/>
        <v>18564.584273367032</v>
      </c>
      <c r="R99" s="35">
        <f t="shared" si="12"/>
        <v>20820.71827592346</v>
      </c>
      <c r="S99" s="35">
        <f t="shared" si="12"/>
        <v>20492.511642007768</v>
      </c>
      <c r="T99" s="35">
        <f t="shared" si="12"/>
        <v>19497.512431767656</v>
      </c>
      <c r="U99" s="35">
        <f t="shared" si="12"/>
        <v>17743.125422880745</v>
      </c>
      <c r="V99" s="35">
        <f t="shared" si="12"/>
        <v>21044.627552501224</v>
      </c>
      <c r="X99" s="40">
        <f t="shared" si="13"/>
        <v>99598.495325080847</v>
      </c>
    </row>
    <row r="100" spans="2:24">
      <c r="B100" s="4" t="str">
        <f t="shared" si="11"/>
        <v>[blank]</v>
      </c>
      <c r="D100" s="31"/>
      <c r="P100" s="35"/>
      <c r="Q100" s="35"/>
      <c r="R100" s="35"/>
      <c r="S100" s="35"/>
      <c r="T100" s="35"/>
      <c r="U100" s="35"/>
      <c r="V100" s="35"/>
      <c r="X100" s="40">
        <f t="shared" si="13"/>
        <v>0</v>
      </c>
    </row>
    <row r="101" spans="2:24">
      <c r="B101" s="4" t="str">
        <f t="shared" si="11"/>
        <v>[blank]</v>
      </c>
      <c r="X101" s="40">
        <f t="shared" si="13"/>
        <v>0</v>
      </c>
    </row>
    <row r="102" spans="2:24">
      <c r="B102" s="4" t="str">
        <f t="shared" si="11"/>
        <v>[blank]</v>
      </c>
      <c r="X102" s="40">
        <f t="shared" si="13"/>
        <v>0</v>
      </c>
    </row>
    <row r="103" spans="2:24">
      <c r="B103" s="4" t="str">
        <f t="shared" si="11"/>
        <v>[blank]</v>
      </c>
      <c r="X103" s="40">
        <f t="shared" si="13"/>
        <v>0</v>
      </c>
    </row>
    <row r="104" spans="2:24">
      <c r="B104" s="4" t="str">
        <f t="shared" si="11"/>
        <v>[blank]</v>
      </c>
      <c r="X104" s="40">
        <f t="shared" si="13"/>
        <v>0</v>
      </c>
    </row>
    <row r="105" spans="2:24">
      <c r="B105" s="4" t="str">
        <f t="shared" si="11"/>
        <v>[blank]</v>
      </c>
      <c r="X105" s="40">
        <f t="shared" si="13"/>
        <v>0</v>
      </c>
    </row>
    <row r="106" spans="2:24">
      <c r="B106" s="4" t="str">
        <f t="shared" si="11"/>
        <v>[blank]</v>
      </c>
      <c r="X106" s="40">
        <f t="shared" si="13"/>
        <v>0</v>
      </c>
    </row>
    <row r="107" spans="2:24">
      <c r="B107" s="4" t="str">
        <f t="shared" si="11"/>
        <v>[blank]</v>
      </c>
      <c r="X107" s="40">
        <f t="shared" si="13"/>
        <v>0</v>
      </c>
    </row>
    <row r="108" spans="2:24">
      <c r="B108" s="4" t="str">
        <f t="shared" si="11"/>
        <v>[blank]</v>
      </c>
      <c r="X108" s="40">
        <f t="shared" si="13"/>
        <v>0</v>
      </c>
    </row>
    <row r="109" spans="2:24">
      <c r="B109" s="4" t="str">
        <f t="shared" si="11"/>
        <v>[blank]</v>
      </c>
      <c r="X109" s="40">
        <f t="shared" si="13"/>
        <v>0</v>
      </c>
    </row>
    <row r="110" spans="2:24">
      <c r="B110" s="4" t="str">
        <f t="shared" si="11"/>
        <v>[blank]</v>
      </c>
      <c r="X110" s="40">
        <f t="shared" si="13"/>
        <v>0</v>
      </c>
    </row>
    <row r="111" spans="2:24">
      <c r="B111" s="4" t="str">
        <f t="shared" si="11"/>
        <v>[blank]</v>
      </c>
      <c r="X111" s="40">
        <f t="shared" si="13"/>
        <v>0</v>
      </c>
    </row>
    <row r="113" spans="1:24" ht="12.75" thickBot="1">
      <c r="B113" s="5" t="s">
        <v>78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4">SUM(P97:P111)</f>
        <v>0</v>
      </c>
      <c r="Q113" s="37">
        <f t="shared" si="14"/>
        <v>25303.535103550093</v>
      </c>
      <c r="R113" s="37">
        <f t="shared" si="14"/>
        <v>26043.434908105526</v>
      </c>
      <c r="S113" s="37">
        <f t="shared" si="14"/>
        <v>24192.745469449059</v>
      </c>
      <c r="T113" s="37">
        <f t="shared" si="14"/>
        <v>27242.939702235803</v>
      </c>
      <c r="U113" s="37">
        <f t="shared" si="14"/>
        <v>23042.868878386755</v>
      </c>
      <c r="V113" s="37">
        <f t="shared" si="14"/>
        <v>26380.088581724685</v>
      </c>
      <c r="X113" s="37">
        <f t="shared" ref="X113" si="15">SUM(R113:V113)</f>
        <v>126902.07753990183</v>
      </c>
    </row>
    <row r="115" spans="1:24" s="1" customFormat="1">
      <c r="A115" s="4"/>
      <c r="B115" s="2" t="s">
        <v>80</v>
      </c>
    </row>
    <row r="117" spans="1:24">
      <c r="H117" s="190" t="s">
        <v>52</v>
      </c>
      <c r="I117" s="190"/>
      <c r="J117" s="190"/>
      <c r="K117" s="190"/>
      <c r="L117" s="190"/>
      <c r="M117" s="190" t="s">
        <v>53</v>
      </c>
      <c r="N117" s="190"/>
      <c r="O117" s="190"/>
      <c r="P117" s="190"/>
      <c r="Q117" s="190"/>
      <c r="R117" s="190" t="s">
        <v>54</v>
      </c>
      <c r="S117" s="190"/>
      <c r="T117" s="190"/>
      <c r="U117" s="190"/>
      <c r="V117" s="190"/>
      <c r="X117" s="38"/>
    </row>
    <row r="118" spans="1:24">
      <c r="B118" s="43" t="s">
        <v>81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63</v>
      </c>
    </row>
    <row r="119" spans="1:24">
      <c r="B119" s="5" t="s">
        <v>46</v>
      </c>
      <c r="D119" s="29" t="s">
        <v>55</v>
      </c>
      <c r="H119" s="16" t="s">
        <v>12</v>
      </c>
      <c r="I119" s="16" t="s">
        <v>12</v>
      </c>
      <c r="J119" s="16" t="s">
        <v>12</v>
      </c>
      <c r="K119" s="16" t="s">
        <v>12</v>
      </c>
      <c r="L119" s="16" t="s">
        <v>12</v>
      </c>
      <c r="M119" s="16" t="s">
        <v>12</v>
      </c>
      <c r="N119" s="16" t="s">
        <v>12</v>
      </c>
      <c r="O119" s="16" t="s">
        <v>12</v>
      </c>
      <c r="P119" s="16" t="s">
        <v>13</v>
      </c>
      <c r="Q119" s="16" t="s">
        <v>13</v>
      </c>
      <c r="R119" s="16" t="s">
        <v>13</v>
      </c>
      <c r="S119" s="16" t="s">
        <v>13</v>
      </c>
      <c r="T119" s="16" t="s">
        <v>13</v>
      </c>
      <c r="U119" s="16" t="s">
        <v>13</v>
      </c>
      <c r="V119" s="16" t="s">
        <v>13</v>
      </c>
      <c r="X119" s="34" t="s">
        <v>13</v>
      </c>
    </row>
    <row r="120" spans="1:24">
      <c r="B120" s="4" t="str">
        <f>IF(B10&lt;&gt;"",B10,"[blank]")</f>
        <v>Grove Regulator Replacement - I&amp;C</v>
      </c>
      <c r="D120" s="31" t="s">
        <v>60</v>
      </c>
      <c r="O120" s="35"/>
      <c r="P120" s="35">
        <f>$E10*P73</f>
        <v>0</v>
      </c>
      <c r="Q120" s="35">
        <f t="shared" ref="Q120:V120" si="16">$E10*Q73</f>
        <v>0</v>
      </c>
      <c r="R120" s="35">
        <f t="shared" si="16"/>
        <v>0</v>
      </c>
      <c r="S120" s="35">
        <f t="shared" si="16"/>
        <v>0</v>
      </c>
      <c r="T120" s="35">
        <f t="shared" si="16"/>
        <v>0</v>
      </c>
      <c r="U120" s="35">
        <f t="shared" si="16"/>
        <v>0</v>
      </c>
      <c r="V120" s="35">
        <f t="shared" si="16"/>
        <v>0</v>
      </c>
      <c r="X120" s="40">
        <f>SUM(R120:V120)</f>
        <v>0</v>
      </c>
    </row>
    <row r="121" spans="1:24">
      <c r="B121" s="4" t="str">
        <f t="shared" ref="B121:B134" si="17">IF(B11&lt;&gt;"",B11,"[blank]")</f>
        <v>298 Regulator Replacement</v>
      </c>
      <c r="D121" s="31" t="s">
        <v>60</v>
      </c>
      <c r="O121" s="50"/>
      <c r="P121" s="35">
        <f t="shared" ref="P121:V122" si="18">$E11*P74</f>
        <v>0</v>
      </c>
      <c r="Q121" s="35">
        <f t="shared" si="18"/>
        <v>128040.0657734782</v>
      </c>
      <c r="R121" s="35">
        <f t="shared" si="18"/>
        <v>99231.61601145922</v>
      </c>
      <c r="S121" s="35">
        <f t="shared" si="18"/>
        <v>70304.442721384505</v>
      </c>
      <c r="T121" s="35">
        <f t="shared" si="18"/>
        <v>147163.11813889473</v>
      </c>
      <c r="U121" s="35">
        <f t="shared" si="18"/>
        <v>100695.12565461417</v>
      </c>
      <c r="V121" s="35">
        <f t="shared" si="18"/>
        <v>101373.75955524578</v>
      </c>
      <c r="X121" s="40">
        <f t="shared" ref="X121:X134" si="19">SUM(R121:V121)</f>
        <v>518768.06208159844</v>
      </c>
    </row>
    <row r="122" spans="1:24">
      <c r="B122" s="4" t="str">
        <f t="shared" si="17"/>
        <v>Proactive Domestic Regulator Replacement</v>
      </c>
      <c r="D122" s="31" t="s">
        <v>60</v>
      </c>
      <c r="P122" s="35">
        <f t="shared" si="18"/>
        <v>0</v>
      </c>
      <c r="Q122" s="35">
        <f t="shared" si="18"/>
        <v>352727.10119397362</v>
      </c>
      <c r="R122" s="35">
        <f t="shared" si="18"/>
        <v>395593.64724254573</v>
      </c>
      <c r="S122" s="35">
        <f t="shared" si="18"/>
        <v>389357.72119814763</v>
      </c>
      <c r="T122" s="35">
        <f t="shared" si="18"/>
        <v>370452.73620358546</v>
      </c>
      <c r="U122" s="35">
        <f t="shared" si="18"/>
        <v>337119.38303473417</v>
      </c>
      <c r="V122" s="35">
        <f t="shared" si="18"/>
        <v>399847.92349752324</v>
      </c>
      <c r="X122" s="40">
        <f t="shared" si="19"/>
        <v>1892371.4111765362</v>
      </c>
    </row>
    <row r="123" spans="1:24">
      <c r="B123" s="4" t="str">
        <f t="shared" si="17"/>
        <v>[blank]</v>
      </c>
      <c r="D123" s="31"/>
      <c r="P123" s="35"/>
      <c r="Q123" s="35"/>
      <c r="R123" s="35"/>
      <c r="S123" s="35"/>
      <c r="T123" s="35"/>
      <c r="U123" s="35"/>
      <c r="V123" s="35"/>
      <c r="X123" s="40">
        <f t="shared" si="19"/>
        <v>0</v>
      </c>
    </row>
    <row r="124" spans="1:24">
      <c r="B124" s="4" t="str">
        <f t="shared" si="17"/>
        <v>[blank]</v>
      </c>
      <c r="X124" s="40">
        <f t="shared" si="19"/>
        <v>0</v>
      </c>
    </row>
    <row r="125" spans="1:24">
      <c r="B125" s="4" t="str">
        <f t="shared" si="17"/>
        <v>[blank]</v>
      </c>
      <c r="X125" s="40">
        <f t="shared" si="19"/>
        <v>0</v>
      </c>
    </row>
    <row r="126" spans="1:24">
      <c r="B126" s="4" t="str">
        <f t="shared" si="17"/>
        <v>[blank]</v>
      </c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6" spans="1:24" ht="12.75" thickBot="1">
      <c r="B136" s="5" t="s">
        <v>82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0">SUM(P120:P134)</f>
        <v>0</v>
      </c>
      <c r="Q136" s="37">
        <f t="shared" si="20"/>
        <v>480767.16696745181</v>
      </c>
      <c r="R136" s="37">
        <f t="shared" si="20"/>
        <v>494825.26325400494</v>
      </c>
      <c r="S136" s="37">
        <f t="shared" si="20"/>
        <v>459662.16391953215</v>
      </c>
      <c r="T136" s="37">
        <f t="shared" si="20"/>
        <v>517615.85434248019</v>
      </c>
      <c r="U136" s="37">
        <f t="shared" si="20"/>
        <v>437814.50868934835</v>
      </c>
      <c r="V136" s="37">
        <f t="shared" si="20"/>
        <v>501221.68305276905</v>
      </c>
      <c r="X136" s="37">
        <f t="shared" ref="X136" si="21">SUM(R136:V136)</f>
        <v>2411139.4732581349</v>
      </c>
    </row>
    <row r="138" spans="1:24" s="1" customFormat="1">
      <c r="A138" s="4"/>
      <c r="B138" s="2" t="s">
        <v>83</v>
      </c>
    </row>
    <row r="140" spans="1:24">
      <c r="H140" s="190" t="s">
        <v>52</v>
      </c>
      <c r="I140" s="190"/>
      <c r="J140" s="190"/>
      <c r="K140" s="190"/>
      <c r="L140" s="190"/>
      <c r="M140" s="190" t="s">
        <v>53</v>
      </c>
      <c r="N140" s="190"/>
      <c r="O140" s="190"/>
      <c r="P140" s="190"/>
      <c r="Q140" s="190"/>
      <c r="R140" s="190" t="s">
        <v>54</v>
      </c>
      <c r="S140" s="190"/>
      <c r="T140" s="190"/>
      <c r="U140" s="190"/>
      <c r="V140" s="190"/>
      <c r="X140" s="38"/>
    </row>
    <row r="141" spans="1:24">
      <c r="B141" s="43" t="s">
        <v>84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63</v>
      </c>
    </row>
    <row r="142" spans="1:24">
      <c r="B142" s="5" t="s">
        <v>46</v>
      </c>
      <c r="D142" s="29" t="s">
        <v>55</v>
      </c>
      <c r="H142" s="16" t="s">
        <v>12</v>
      </c>
      <c r="I142" s="16" t="s">
        <v>12</v>
      </c>
      <c r="J142" s="16" t="s">
        <v>12</v>
      </c>
      <c r="K142" s="16" t="s">
        <v>12</v>
      </c>
      <c r="L142" s="16" t="s">
        <v>12</v>
      </c>
      <c r="M142" s="16" t="s">
        <v>12</v>
      </c>
      <c r="N142" s="16" t="s">
        <v>12</v>
      </c>
      <c r="O142" s="16" t="s">
        <v>12</v>
      </c>
      <c r="P142" s="16" t="s">
        <v>13</v>
      </c>
      <c r="Q142" s="16" t="s">
        <v>13</v>
      </c>
      <c r="R142" s="16" t="s">
        <v>13</v>
      </c>
      <c r="S142" s="16" t="s">
        <v>13</v>
      </c>
      <c r="T142" s="16" t="s">
        <v>13</v>
      </c>
      <c r="U142" s="16" t="s">
        <v>13</v>
      </c>
      <c r="V142" s="16" t="s">
        <v>13</v>
      </c>
      <c r="X142" s="34" t="s">
        <v>13</v>
      </c>
    </row>
    <row r="143" spans="1:24">
      <c r="B143" s="4" t="str">
        <f>IF(B10&lt;&gt;"",B10,"[blank]")</f>
        <v>Grove Regulator Replacement - I&amp;C</v>
      </c>
      <c r="D143" s="31" t="s">
        <v>60</v>
      </c>
      <c r="O143" s="35"/>
      <c r="P143" s="35">
        <f>P97+P120</f>
        <v>0</v>
      </c>
      <c r="Q143" s="35">
        <f t="shared" ref="Q143:V143" si="22">Q97+Q120</f>
        <v>0</v>
      </c>
      <c r="R143" s="35">
        <f t="shared" si="22"/>
        <v>0</v>
      </c>
      <c r="S143" s="35">
        <f t="shared" si="22"/>
        <v>0</v>
      </c>
      <c r="T143" s="35">
        <f t="shared" si="22"/>
        <v>0</v>
      </c>
      <c r="U143" s="35">
        <f t="shared" si="22"/>
        <v>0</v>
      </c>
      <c r="V143" s="35">
        <f t="shared" si="22"/>
        <v>0</v>
      </c>
      <c r="X143" s="40">
        <f>SUM(R143:V143)</f>
        <v>0</v>
      </c>
    </row>
    <row r="144" spans="1:24">
      <c r="B144" s="4" t="str">
        <f t="shared" ref="B144:B157" si="23">IF(B11&lt;&gt;"",B11,"[blank]")</f>
        <v>298 Regulator Replacement</v>
      </c>
      <c r="D144" s="31" t="s">
        <v>60</v>
      </c>
      <c r="O144" s="50"/>
      <c r="P144" s="35">
        <f t="shared" ref="P144:V145" si="24">P98+P121</f>
        <v>0</v>
      </c>
      <c r="Q144" s="35">
        <f t="shared" si="24"/>
        <v>134779.01660366126</v>
      </c>
      <c r="R144" s="35">
        <f t="shared" si="24"/>
        <v>104454.33264364129</v>
      </c>
      <c r="S144" s="35">
        <f t="shared" si="24"/>
        <v>74004.676548825795</v>
      </c>
      <c r="T144" s="35">
        <f t="shared" si="24"/>
        <v>154908.54540936288</v>
      </c>
      <c r="U144" s="35">
        <f t="shared" si="24"/>
        <v>105994.86911012017</v>
      </c>
      <c r="V144" s="35">
        <f t="shared" si="24"/>
        <v>106709.22058446924</v>
      </c>
      <c r="X144" s="40">
        <f t="shared" ref="X144:X157" si="25">SUM(R144:V144)</f>
        <v>546071.64429641934</v>
      </c>
    </row>
    <row r="145" spans="2:24">
      <c r="B145" s="4" t="str">
        <f t="shared" si="23"/>
        <v>Proactive Domestic Regulator Replacement</v>
      </c>
      <c r="D145" s="31" t="s">
        <v>60</v>
      </c>
      <c r="P145" s="35">
        <f t="shared" si="24"/>
        <v>0</v>
      </c>
      <c r="Q145" s="35">
        <f t="shared" si="24"/>
        <v>371291.68546734063</v>
      </c>
      <c r="R145" s="35">
        <f t="shared" si="24"/>
        <v>416414.36551846919</v>
      </c>
      <c r="S145" s="35">
        <f t="shared" si="24"/>
        <v>409850.23284015537</v>
      </c>
      <c r="T145" s="35">
        <f t="shared" si="24"/>
        <v>389950.24863535311</v>
      </c>
      <c r="U145" s="35">
        <f t="shared" si="24"/>
        <v>354862.50845761492</v>
      </c>
      <c r="V145" s="35">
        <f t="shared" si="24"/>
        <v>420892.55105002446</v>
      </c>
      <c r="X145" s="40">
        <f t="shared" si="25"/>
        <v>1991969.9065016173</v>
      </c>
    </row>
    <row r="146" spans="2:24">
      <c r="B146" s="4" t="str">
        <f t="shared" si="23"/>
        <v>[blank]</v>
      </c>
      <c r="D146" s="31"/>
      <c r="P146" s="35"/>
      <c r="Q146" s="35"/>
      <c r="R146" s="35"/>
      <c r="S146" s="35"/>
      <c r="T146" s="35"/>
      <c r="U146" s="35"/>
      <c r="V146" s="35"/>
      <c r="X146" s="40">
        <f t="shared" si="25"/>
        <v>0</v>
      </c>
    </row>
    <row r="147" spans="2:24">
      <c r="B147" s="4" t="str">
        <f t="shared" si="23"/>
        <v>[blank]</v>
      </c>
      <c r="X147" s="40">
        <f t="shared" si="25"/>
        <v>0</v>
      </c>
    </row>
    <row r="148" spans="2:24">
      <c r="B148" s="4" t="str">
        <f t="shared" si="23"/>
        <v>[blank]</v>
      </c>
      <c r="X148" s="40">
        <f t="shared" si="25"/>
        <v>0</v>
      </c>
    </row>
    <row r="149" spans="2:24">
      <c r="B149" s="4" t="str">
        <f t="shared" si="23"/>
        <v>[blank]</v>
      </c>
      <c r="X149" s="40">
        <f t="shared" si="25"/>
        <v>0</v>
      </c>
    </row>
    <row r="150" spans="2:24">
      <c r="B150" s="4" t="str">
        <f t="shared" si="23"/>
        <v>[blank]</v>
      </c>
      <c r="X150" s="40">
        <f t="shared" si="25"/>
        <v>0</v>
      </c>
    </row>
    <row r="151" spans="2:24">
      <c r="B151" s="4" t="str">
        <f t="shared" si="23"/>
        <v>[blank]</v>
      </c>
      <c r="X151" s="40">
        <f t="shared" si="25"/>
        <v>0</v>
      </c>
    </row>
    <row r="152" spans="2:24">
      <c r="B152" s="4" t="str">
        <f t="shared" si="23"/>
        <v>[blank]</v>
      </c>
      <c r="X152" s="40">
        <f t="shared" si="25"/>
        <v>0</v>
      </c>
    </row>
    <row r="153" spans="2:24">
      <c r="B153" s="4" t="str">
        <f t="shared" si="23"/>
        <v>[blank]</v>
      </c>
      <c r="X153" s="40">
        <f t="shared" si="25"/>
        <v>0</v>
      </c>
    </row>
    <row r="154" spans="2:24">
      <c r="B154" s="4" t="str">
        <f t="shared" si="23"/>
        <v>[blank]</v>
      </c>
      <c r="X154" s="40">
        <f t="shared" si="25"/>
        <v>0</v>
      </c>
    </row>
    <row r="155" spans="2:24">
      <c r="B155" s="4" t="str">
        <f t="shared" si="23"/>
        <v>[blank]</v>
      </c>
      <c r="X155" s="40">
        <f t="shared" si="25"/>
        <v>0</v>
      </c>
    </row>
    <row r="156" spans="2:24">
      <c r="B156" s="4" t="str">
        <f t="shared" si="23"/>
        <v>[blank]</v>
      </c>
      <c r="X156" s="40">
        <f t="shared" si="25"/>
        <v>0</v>
      </c>
    </row>
    <row r="157" spans="2:24">
      <c r="B157" s="4" t="str">
        <f t="shared" si="23"/>
        <v>[blank]</v>
      </c>
      <c r="X157" s="40">
        <f t="shared" si="25"/>
        <v>0</v>
      </c>
    </row>
    <row r="159" spans="2:24" ht="12.75" thickBot="1">
      <c r="B159" s="5" t="s">
        <v>85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6">SUM(Q143:Q157)</f>
        <v>506070.70207100187</v>
      </c>
      <c r="R159" s="37">
        <f t="shared" si="26"/>
        <v>520868.69816211046</v>
      </c>
      <c r="S159" s="37">
        <f t="shared" si="26"/>
        <v>483854.90938898118</v>
      </c>
      <c r="T159" s="37">
        <f t="shared" si="26"/>
        <v>544858.79404471605</v>
      </c>
      <c r="U159" s="37">
        <f t="shared" si="26"/>
        <v>460857.37756773509</v>
      </c>
      <c r="V159" s="37">
        <f t="shared" si="26"/>
        <v>527601.77163449372</v>
      </c>
      <c r="X159" s="37">
        <f t="shared" ref="X159" si="27">SUM(R159:V159)</f>
        <v>2538041.5507980362</v>
      </c>
    </row>
    <row r="161" spans="1:24" s="1" customFormat="1">
      <c r="A161" s="4"/>
      <c r="B161" s="2" t="s">
        <v>86</v>
      </c>
    </row>
    <row r="163" spans="1:24">
      <c r="H163" s="190" t="s">
        <v>52</v>
      </c>
      <c r="I163" s="190"/>
      <c r="J163" s="190"/>
      <c r="K163" s="190"/>
      <c r="L163" s="190"/>
      <c r="M163" s="190" t="s">
        <v>53</v>
      </c>
      <c r="N163" s="190"/>
      <c r="O163" s="190"/>
      <c r="P163" s="190"/>
      <c r="Q163" s="190"/>
      <c r="R163" s="190" t="s">
        <v>54</v>
      </c>
      <c r="S163" s="190"/>
      <c r="T163" s="190"/>
      <c r="U163" s="190"/>
      <c r="V163" s="190"/>
      <c r="X163" s="38"/>
    </row>
    <row r="164" spans="1:24">
      <c r="B164" s="44" t="s">
        <v>50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63</v>
      </c>
    </row>
    <row r="165" spans="1:24">
      <c r="B165" s="5" t="s">
        <v>46</v>
      </c>
      <c r="D165" s="29" t="s">
        <v>55</v>
      </c>
      <c r="H165" s="16" t="s">
        <v>12</v>
      </c>
      <c r="I165" s="16" t="s">
        <v>12</v>
      </c>
      <c r="J165" s="16" t="s">
        <v>12</v>
      </c>
      <c r="K165" s="16" t="s">
        <v>12</v>
      </c>
      <c r="L165" s="16" t="s">
        <v>12</v>
      </c>
      <c r="M165" s="16" t="s">
        <v>12</v>
      </c>
      <c r="N165" s="16" t="s">
        <v>12</v>
      </c>
      <c r="O165" s="16" t="s">
        <v>12</v>
      </c>
      <c r="P165" s="16" t="s">
        <v>13</v>
      </c>
      <c r="Q165" s="16" t="s">
        <v>13</v>
      </c>
      <c r="R165" s="16" t="s">
        <v>13</v>
      </c>
      <c r="S165" s="16" t="s">
        <v>13</v>
      </c>
      <c r="T165" s="16" t="s">
        <v>13</v>
      </c>
      <c r="U165" s="16" t="s">
        <v>13</v>
      </c>
      <c r="V165" s="16" t="s">
        <v>13</v>
      </c>
      <c r="X165" s="34" t="s">
        <v>13</v>
      </c>
    </row>
    <row r="166" spans="1:24">
      <c r="B166" s="4" t="str">
        <f>IF(B10&lt;&gt;"",B10,"[blank]")</f>
        <v>Grove Regulator Replacement - I&amp;C</v>
      </c>
      <c r="D166" s="31" t="s">
        <v>60</v>
      </c>
      <c r="O166" s="35"/>
      <c r="P166" s="35">
        <f>$G10*P73</f>
        <v>0</v>
      </c>
      <c r="Q166" s="35">
        <f t="shared" ref="Q166:V166" si="28">$G10*Q73</f>
        <v>0</v>
      </c>
      <c r="R166" s="35">
        <f t="shared" si="28"/>
        <v>0</v>
      </c>
      <c r="S166" s="35">
        <f t="shared" si="28"/>
        <v>0</v>
      </c>
      <c r="T166" s="35">
        <f t="shared" si="28"/>
        <v>0</v>
      </c>
      <c r="U166" s="35">
        <f t="shared" si="28"/>
        <v>0</v>
      </c>
      <c r="V166" s="35">
        <f t="shared" si="28"/>
        <v>0</v>
      </c>
      <c r="X166" s="40">
        <f>SUM(R166:V166)</f>
        <v>0</v>
      </c>
    </row>
    <row r="167" spans="1:24">
      <c r="B167" s="4" t="str">
        <f t="shared" ref="B167:B180" si="29">IF(B11&lt;&gt;"",B11,"[blank]")</f>
        <v>298 Regulator Replacement</v>
      </c>
      <c r="D167" s="31" t="s">
        <v>60</v>
      </c>
      <c r="O167" s="50"/>
      <c r="P167" s="35">
        <f t="shared" ref="P167:V168" si="30">$G11*P74</f>
        <v>0</v>
      </c>
      <c r="Q167" s="35">
        <f t="shared" si="30"/>
        <v>202168.52490549188</v>
      </c>
      <c r="R167" s="35">
        <f t="shared" si="30"/>
        <v>156681.49896546191</v>
      </c>
      <c r="S167" s="35">
        <f t="shared" si="30"/>
        <v>111007.01482323867</v>
      </c>
      <c r="T167" s="35">
        <f t="shared" si="30"/>
        <v>232362.81811404432</v>
      </c>
      <c r="U167" s="35">
        <f t="shared" si="30"/>
        <v>158992.30366518025</v>
      </c>
      <c r="V167" s="35">
        <f t="shared" si="30"/>
        <v>160063.83087670387</v>
      </c>
      <c r="X167" s="40">
        <f t="shared" ref="X167:X180" si="31">SUM(R167:V167)</f>
        <v>819107.46644462901</v>
      </c>
    </row>
    <row r="168" spans="1:24">
      <c r="B168" s="4" t="str">
        <f t="shared" si="29"/>
        <v>Proactive Domestic Regulator Replacement</v>
      </c>
      <c r="D168" s="31" t="s">
        <v>60</v>
      </c>
      <c r="P168" s="35">
        <f t="shared" si="30"/>
        <v>0</v>
      </c>
      <c r="Q168" s="35">
        <f t="shared" si="30"/>
        <v>556937.52820101101</v>
      </c>
      <c r="R168" s="35">
        <f t="shared" si="30"/>
        <v>624621.5482777037</v>
      </c>
      <c r="S168" s="35">
        <f t="shared" si="30"/>
        <v>614775.34926023311</v>
      </c>
      <c r="T168" s="35">
        <f t="shared" si="30"/>
        <v>584925.37295302958</v>
      </c>
      <c r="U168" s="35">
        <f t="shared" si="30"/>
        <v>532293.76268642233</v>
      </c>
      <c r="V168" s="35">
        <f t="shared" si="30"/>
        <v>631338.82657503674</v>
      </c>
      <c r="X168" s="40">
        <f t="shared" si="31"/>
        <v>2987954.8597524255</v>
      </c>
    </row>
    <row r="169" spans="1:24">
      <c r="B169" s="4" t="str">
        <f t="shared" si="29"/>
        <v>[blank]</v>
      </c>
      <c r="D169" s="31"/>
      <c r="P169" s="35"/>
      <c r="Q169" s="35"/>
      <c r="R169" s="35"/>
      <c r="S169" s="35"/>
      <c r="T169" s="35"/>
      <c r="U169" s="35"/>
      <c r="V169" s="35"/>
      <c r="X169" s="40">
        <f t="shared" si="31"/>
        <v>0</v>
      </c>
    </row>
    <row r="170" spans="1:24">
      <c r="B170" s="4" t="str">
        <f t="shared" si="29"/>
        <v>[blank]</v>
      </c>
      <c r="X170" s="40">
        <f t="shared" si="31"/>
        <v>0</v>
      </c>
    </row>
    <row r="171" spans="1:24">
      <c r="B171" s="4" t="str">
        <f t="shared" si="29"/>
        <v>[blank]</v>
      </c>
      <c r="X171" s="40">
        <f t="shared" si="31"/>
        <v>0</v>
      </c>
    </row>
    <row r="172" spans="1:24">
      <c r="B172" s="4" t="str">
        <f t="shared" si="29"/>
        <v>[blank]</v>
      </c>
      <c r="X172" s="40">
        <f t="shared" si="31"/>
        <v>0</v>
      </c>
    </row>
    <row r="173" spans="1:24">
      <c r="B173" s="4" t="str">
        <f t="shared" si="29"/>
        <v>[blank]</v>
      </c>
      <c r="X173" s="40">
        <f t="shared" si="31"/>
        <v>0</v>
      </c>
    </row>
    <row r="174" spans="1:24">
      <c r="B174" s="4" t="str">
        <f t="shared" si="29"/>
        <v>[blank]</v>
      </c>
      <c r="X174" s="40">
        <f t="shared" si="31"/>
        <v>0</v>
      </c>
    </row>
    <row r="175" spans="1:24">
      <c r="B175" s="4" t="str">
        <f t="shared" si="29"/>
        <v>[blank]</v>
      </c>
      <c r="X175" s="40">
        <f t="shared" si="31"/>
        <v>0</v>
      </c>
    </row>
    <row r="176" spans="1:24">
      <c r="B176" s="4" t="str">
        <f t="shared" si="29"/>
        <v>[blank]</v>
      </c>
      <c r="X176" s="40">
        <f t="shared" si="31"/>
        <v>0</v>
      </c>
    </row>
    <row r="177" spans="1:24">
      <c r="B177" s="4" t="str">
        <f t="shared" si="29"/>
        <v>[blank]</v>
      </c>
      <c r="X177" s="40">
        <f t="shared" si="31"/>
        <v>0</v>
      </c>
    </row>
    <row r="178" spans="1:24">
      <c r="B178" s="4" t="str">
        <f t="shared" si="29"/>
        <v>[blank]</v>
      </c>
      <c r="X178" s="40">
        <f t="shared" si="31"/>
        <v>0</v>
      </c>
    </row>
    <row r="179" spans="1:24">
      <c r="B179" s="4" t="str">
        <f t="shared" si="29"/>
        <v>[blank]</v>
      </c>
      <c r="X179" s="40">
        <f t="shared" si="31"/>
        <v>0</v>
      </c>
    </row>
    <row r="180" spans="1:24">
      <c r="B180" s="4" t="str">
        <f t="shared" si="29"/>
        <v>[blank]</v>
      </c>
      <c r="X180" s="40">
        <f t="shared" si="31"/>
        <v>0</v>
      </c>
    </row>
    <row r="182" spans="1:24" ht="12.75" thickBot="1">
      <c r="B182" s="5" t="s">
        <v>87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32">SUM(Q166:Q180)</f>
        <v>759106.05310650286</v>
      </c>
      <c r="R182" s="37">
        <f t="shared" si="32"/>
        <v>781303.04724316555</v>
      </c>
      <c r="S182" s="37">
        <f t="shared" si="32"/>
        <v>725782.36408347182</v>
      </c>
      <c r="T182" s="37">
        <f t="shared" si="32"/>
        <v>817288.19106707396</v>
      </c>
      <c r="U182" s="37">
        <f t="shared" si="32"/>
        <v>691286.06635160255</v>
      </c>
      <c r="V182" s="37">
        <f t="shared" si="32"/>
        <v>791402.65745174058</v>
      </c>
      <c r="X182" s="37">
        <f t="shared" ref="X182" si="33">SUM(R182:V182)</f>
        <v>3807062.3261970542</v>
      </c>
    </row>
    <row r="184" spans="1:24" s="1" customFormat="1">
      <c r="A184" s="2">
        <v>6</v>
      </c>
      <c r="B184" s="2" t="s">
        <v>89</v>
      </c>
    </row>
    <row r="186" spans="1:24">
      <c r="H186" s="190" t="s">
        <v>52</v>
      </c>
      <c r="I186" s="190"/>
      <c r="J186" s="190"/>
      <c r="K186" s="190"/>
      <c r="L186" s="190"/>
      <c r="M186" s="190" t="s">
        <v>53</v>
      </c>
      <c r="N186" s="190"/>
      <c r="O186" s="190"/>
      <c r="P186" s="190"/>
      <c r="Q186" s="190"/>
      <c r="R186" s="190" t="s">
        <v>54</v>
      </c>
      <c r="S186" s="190"/>
      <c r="T186" s="190"/>
      <c r="U186" s="190"/>
      <c r="V186" s="190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63</v>
      </c>
    </row>
    <row r="188" spans="1:24">
      <c r="B188" s="5" t="s">
        <v>46</v>
      </c>
      <c r="D188" s="29" t="s">
        <v>55</v>
      </c>
      <c r="H188" s="16" t="s">
        <v>12</v>
      </c>
      <c r="I188" s="16" t="s">
        <v>12</v>
      </c>
      <c r="J188" s="16" t="s">
        <v>12</v>
      </c>
      <c r="K188" s="16" t="s">
        <v>12</v>
      </c>
      <c r="L188" s="16" t="s">
        <v>12</v>
      </c>
      <c r="M188" s="16" t="s">
        <v>12</v>
      </c>
      <c r="N188" s="16" t="s">
        <v>12</v>
      </c>
      <c r="O188" s="16" t="s">
        <v>12</v>
      </c>
      <c r="P188" s="16" t="s">
        <v>13</v>
      </c>
      <c r="Q188" s="16" t="s">
        <v>13</v>
      </c>
      <c r="R188" s="16" t="s">
        <v>13</v>
      </c>
      <c r="S188" s="16" t="s">
        <v>13</v>
      </c>
      <c r="T188" s="16" t="s">
        <v>13</v>
      </c>
      <c r="U188" s="16" t="s">
        <v>13</v>
      </c>
      <c r="V188" s="16" t="s">
        <v>13</v>
      </c>
      <c r="X188" s="34" t="s">
        <v>13</v>
      </c>
    </row>
    <row r="189" spans="1:24">
      <c r="B189" s="4" t="str">
        <f>IF(B10&lt;&gt;"",B10,"[blank]")</f>
        <v>Grove Regulator Replacement - I&amp;C</v>
      </c>
      <c r="D189" s="31" t="s">
        <v>60</v>
      </c>
      <c r="O189" s="35"/>
      <c r="P189" s="35">
        <f>P73*P$208</f>
        <v>0</v>
      </c>
      <c r="Q189" s="35">
        <f t="shared" ref="Q189:V189" si="34">Q73*Q$208</f>
        <v>0</v>
      </c>
      <c r="R189" s="35">
        <f t="shared" si="34"/>
        <v>0</v>
      </c>
      <c r="S189" s="35">
        <f t="shared" si="34"/>
        <v>0</v>
      </c>
      <c r="T189" s="35">
        <f t="shared" si="34"/>
        <v>0</v>
      </c>
      <c r="U189" s="35">
        <f t="shared" si="34"/>
        <v>0</v>
      </c>
      <c r="V189" s="35">
        <f t="shared" si="34"/>
        <v>0</v>
      </c>
      <c r="X189" s="40">
        <f>SUM(R189:V189)</f>
        <v>0</v>
      </c>
    </row>
    <row r="190" spans="1:24">
      <c r="B190" s="4" t="str">
        <f t="shared" ref="B190:B203" si="35">IF(B11&lt;&gt;"",B11,"[blank]")</f>
        <v>298 Regulator Replacement</v>
      </c>
      <c r="D190" s="31" t="s">
        <v>60</v>
      </c>
      <c r="O190" s="50"/>
      <c r="P190" s="35">
        <f t="shared" ref="P190:V191" si="36">P74*P$208</f>
        <v>0</v>
      </c>
      <c r="Q190" s="35">
        <f t="shared" si="36"/>
        <v>25217.725832715478</v>
      </c>
      <c r="R190" s="35">
        <f t="shared" si="36"/>
        <v>18846.384290638522</v>
      </c>
      <c r="S190" s="35">
        <f t="shared" si="36"/>
        <v>14109.56442303587</v>
      </c>
      <c r="T190" s="35">
        <f t="shared" si="36"/>
        <v>29985.127694034163</v>
      </c>
      <c r="U190" s="35">
        <f t="shared" si="36"/>
        <v>21653.607723329649</v>
      </c>
      <c r="V190" s="35">
        <f t="shared" si="36"/>
        <v>22513.669807937447</v>
      </c>
      <c r="X190" s="40">
        <f t="shared" ref="X190:X203" si="37">SUM(R190:V190)</f>
        <v>107108.35393897565</v>
      </c>
    </row>
    <row r="191" spans="1:24">
      <c r="B191" s="4" t="str">
        <f t="shared" si="35"/>
        <v>Proactive Domestic Regulator Replacement</v>
      </c>
      <c r="D191" s="31" t="s">
        <v>60</v>
      </c>
      <c r="P191" s="35">
        <f t="shared" si="36"/>
        <v>0</v>
      </c>
      <c r="Q191" s="35">
        <f t="shared" si="36"/>
        <v>69470.24962807064</v>
      </c>
      <c r="R191" s="35">
        <f t="shared" si="36"/>
        <v>75132.404353944527</v>
      </c>
      <c r="S191" s="35">
        <f t="shared" si="36"/>
        <v>78141.119368843167</v>
      </c>
      <c r="T191" s="35">
        <f t="shared" si="36"/>
        <v>75481.362043340894</v>
      </c>
      <c r="U191" s="35">
        <f t="shared" si="36"/>
        <v>72494.58033553329</v>
      </c>
      <c r="V191" s="35">
        <f t="shared" si="36"/>
        <v>88800.535390095873</v>
      </c>
      <c r="X191" s="40">
        <f t="shared" si="37"/>
        <v>390050.00149175769</v>
      </c>
    </row>
    <row r="192" spans="1:24">
      <c r="B192" s="4" t="str">
        <f t="shared" si="35"/>
        <v>[blank]</v>
      </c>
      <c r="D192" s="31"/>
      <c r="P192" s="35"/>
      <c r="Q192" s="35"/>
      <c r="R192" s="35"/>
      <c r="S192" s="35"/>
      <c r="T192" s="35"/>
      <c r="U192" s="35"/>
      <c r="V192" s="35"/>
      <c r="X192" s="40">
        <f t="shared" si="37"/>
        <v>0</v>
      </c>
    </row>
    <row r="193" spans="2:24">
      <c r="B193" s="4" t="str">
        <f t="shared" si="35"/>
        <v>[blank]</v>
      </c>
      <c r="X193" s="40">
        <f t="shared" si="37"/>
        <v>0</v>
      </c>
    </row>
    <row r="194" spans="2:24">
      <c r="B194" s="4" t="str">
        <f t="shared" si="35"/>
        <v>[blank]</v>
      </c>
      <c r="X194" s="40">
        <f t="shared" si="37"/>
        <v>0</v>
      </c>
    </row>
    <row r="195" spans="2:24">
      <c r="B195" s="4" t="str">
        <f t="shared" si="35"/>
        <v>[blank]</v>
      </c>
      <c r="X195" s="40">
        <f t="shared" si="37"/>
        <v>0</v>
      </c>
    </row>
    <row r="196" spans="2:24">
      <c r="B196" s="4" t="str">
        <f t="shared" si="35"/>
        <v>[blank]</v>
      </c>
      <c r="X196" s="40">
        <f t="shared" si="37"/>
        <v>0</v>
      </c>
    </row>
    <row r="197" spans="2:24">
      <c r="B197" s="4" t="str">
        <f t="shared" si="35"/>
        <v>[blank]</v>
      </c>
      <c r="X197" s="40">
        <f t="shared" si="37"/>
        <v>0</v>
      </c>
    </row>
    <row r="198" spans="2:24">
      <c r="B198" s="4" t="str">
        <f t="shared" si="35"/>
        <v>[blank]</v>
      </c>
      <c r="X198" s="40">
        <f t="shared" si="37"/>
        <v>0</v>
      </c>
    </row>
    <row r="199" spans="2:24">
      <c r="B199" s="4" t="str">
        <f t="shared" si="35"/>
        <v>[blank]</v>
      </c>
      <c r="X199" s="40">
        <f t="shared" si="37"/>
        <v>0</v>
      </c>
    </row>
    <row r="200" spans="2:24">
      <c r="B200" s="4" t="str">
        <f t="shared" si="35"/>
        <v>[blank]</v>
      </c>
      <c r="X200" s="40">
        <f t="shared" si="37"/>
        <v>0</v>
      </c>
    </row>
    <row r="201" spans="2:24">
      <c r="B201" s="4" t="str">
        <f t="shared" si="35"/>
        <v>[blank]</v>
      </c>
      <c r="X201" s="40">
        <f t="shared" si="37"/>
        <v>0</v>
      </c>
    </row>
    <row r="202" spans="2:24">
      <c r="B202" s="4" t="str">
        <f t="shared" si="35"/>
        <v>[blank]</v>
      </c>
      <c r="X202" s="40">
        <f t="shared" si="37"/>
        <v>0</v>
      </c>
    </row>
    <row r="203" spans="2:24">
      <c r="B203" s="4" t="str">
        <f t="shared" si="35"/>
        <v>[blank]</v>
      </c>
      <c r="X203" s="40">
        <f t="shared" si="37"/>
        <v>0</v>
      </c>
    </row>
    <row r="205" spans="2:24" ht="12.75" thickBot="1">
      <c r="B205" s="5" t="s">
        <v>88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8">SUM(Q189:Q203)</f>
        <v>94687.97546078611</v>
      </c>
      <c r="R205" s="37">
        <f t="shared" si="38"/>
        <v>93978.788644583052</v>
      </c>
      <c r="S205" s="37">
        <f t="shared" si="38"/>
        <v>92250.683791879041</v>
      </c>
      <c r="T205" s="37">
        <f t="shared" si="38"/>
        <v>105466.48973737506</v>
      </c>
      <c r="U205" s="37">
        <f t="shared" si="38"/>
        <v>94148.188058862943</v>
      </c>
      <c r="V205" s="37">
        <f t="shared" si="38"/>
        <v>111314.20519803332</v>
      </c>
      <c r="X205" s="37">
        <f t="shared" ref="X205" si="39">SUM(R205:V205)</f>
        <v>497158.35543073335</v>
      </c>
    </row>
    <row r="207" spans="2:24">
      <c r="B207" s="4" t="s">
        <v>92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40">Q89</f>
        <v>1265176.7551775048</v>
      </c>
      <c r="R207" s="45">
        <f t="shared" si="40"/>
        <v>1302171.7454052761</v>
      </c>
      <c r="S207" s="45">
        <f t="shared" si="40"/>
        <v>1209637.273472453</v>
      </c>
      <c r="T207" s="45">
        <f t="shared" si="40"/>
        <v>1362146.98511179</v>
      </c>
      <c r="U207" s="45">
        <f t="shared" si="40"/>
        <v>1152143.4439193378</v>
      </c>
      <c r="V207" s="45">
        <f t="shared" si="40"/>
        <v>1319004.4290862344</v>
      </c>
      <c r="W207" s="45"/>
      <c r="X207" s="40">
        <f t="shared" si="40"/>
        <v>6345103.8769950904</v>
      </c>
    </row>
    <row r="208" spans="2:24">
      <c r="B208" s="4" t="s">
        <v>90</v>
      </c>
      <c r="H208" s="21" t="str">
        <f>IFERROR(H212/H207,"")</f>
        <v/>
      </c>
      <c r="I208" s="21" t="str">
        <f t="shared" ref="I208:O208" si="41">IFERROR(I212/I207,"")</f>
        <v/>
      </c>
      <c r="J208" s="21" t="str">
        <f t="shared" si="41"/>
        <v/>
      </c>
      <c r="K208" s="21" t="str">
        <f t="shared" si="41"/>
        <v/>
      </c>
      <c r="L208" s="21" t="str">
        <f t="shared" si="41"/>
        <v/>
      </c>
      <c r="M208" s="21" t="str">
        <f t="shared" si="41"/>
        <v/>
      </c>
      <c r="N208" s="21" t="str">
        <f t="shared" si="41"/>
        <v/>
      </c>
      <c r="O208" s="21" t="str">
        <f t="shared" si="41"/>
        <v/>
      </c>
      <c r="P208" s="21">
        <f>'General assumptions'!S59</f>
        <v>0</v>
      </c>
      <c r="Q208" s="21">
        <f>'General assumptions'!T59</f>
        <v>7.4841697077734692E-2</v>
      </c>
      <c r="R208" s="21">
        <f>'General assumptions'!U59</f>
        <v>7.2170809247081261E-2</v>
      </c>
      <c r="S208" s="21">
        <f>'General assumptions'!V59</f>
        <v>7.6263096231367788E-2</v>
      </c>
      <c r="T208" s="21">
        <f>'General assumptions'!W59</f>
        <v>7.7426658716070601E-2</v>
      </c>
      <c r="U208" s="21">
        <f>'General assumptions'!X59</f>
        <v>8.1715682674538839E-2</v>
      </c>
      <c r="V208" s="21">
        <f>'General assumptions'!Y59</f>
        <v>8.4392593946897035E-2</v>
      </c>
      <c r="W208" s="21"/>
      <c r="X208" s="75">
        <f>X205/X207</f>
        <v>7.8353067982580807E-2</v>
      </c>
    </row>
    <row r="210" spans="1:24" ht="12.75" thickBot="1">
      <c r="B210" s="5" t="s">
        <v>91</v>
      </c>
      <c r="H210" s="37">
        <f t="shared" ref="H210:N210" si="42">IF(H188="forecast",H207*(1+H208),H207+H212)</f>
        <v>0</v>
      </c>
      <c r="I210" s="37">
        <f t="shared" si="42"/>
        <v>0</v>
      </c>
      <c r="J210" s="37">
        <f t="shared" si="42"/>
        <v>0</v>
      </c>
      <c r="K210" s="37">
        <f t="shared" si="42"/>
        <v>0</v>
      </c>
      <c r="L210" s="37">
        <f t="shared" si="42"/>
        <v>0</v>
      </c>
      <c r="M210" s="37">
        <f t="shared" si="42"/>
        <v>0</v>
      </c>
      <c r="N210" s="37">
        <f t="shared" si="42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3">IF(Q188="forecast",Q207*(1+Q208),Q207+Q212)</f>
        <v>1359864.7306382912</v>
      </c>
      <c r="R210" s="37">
        <f t="shared" si="43"/>
        <v>1396150.534049859</v>
      </c>
      <c r="S210" s="37">
        <f t="shared" si="43"/>
        <v>1301887.9572643319</v>
      </c>
      <c r="T210" s="37">
        <f t="shared" si="43"/>
        <v>1467613.474849165</v>
      </c>
      <c r="U210" s="37">
        <f t="shared" si="43"/>
        <v>1246291.6319782007</v>
      </c>
      <c r="V210" s="37">
        <f t="shared" si="43"/>
        <v>1430318.6342842677</v>
      </c>
      <c r="X210" s="37">
        <f t="shared" ref="X210" si="44">IF(X188="forecast",X207*(1+X208),X207+X212)</f>
        <v>6842262.2324258238</v>
      </c>
    </row>
    <row r="212" spans="1:24">
      <c r="B212" s="4" t="s">
        <v>18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45">Q210-Q207</f>
        <v>94687.975460786372</v>
      </c>
      <c r="R212" s="45">
        <f t="shared" si="45"/>
        <v>93978.788644582964</v>
      </c>
      <c r="S212" s="45">
        <f t="shared" si="45"/>
        <v>92250.683791878866</v>
      </c>
      <c r="T212" s="45">
        <f t="shared" si="45"/>
        <v>105466.48973737494</v>
      </c>
      <c r="U212" s="45">
        <f t="shared" si="45"/>
        <v>94148.188058862928</v>
      </c>
      <c r="V212" s="45">
        <f t="shared" si="45"/>
        <v>111314.20519803325</v>
      </c>
      <c r="X212" s="40">
        <f t="shared" ref="X212" si="46">X210-X207</f>
        <v>497158.35543073341</v>
      </c>
    </row>
    <row r="214" spans="1:24" s="1" customFormat="1">
      <c r="A214" s="2">
        <v>7</v>
      </c>
      <c r="B214" s="2" t="s">
        <v>74</v>
      </c>
    </row>
    <row r="216" spans="1:24">
      <c r="H216" s="190" t="s">
        <v>52</v>
      </c>
      <c r="I216" s="190"/>
      <c r="J216" s="190"/>
      <c r="K216" s="190"/>
      <c r="L216" s="190"/>
      <c r="M216" s="190" t="s">
        <v>53</v>
      </c>
      <c r="N216" s="190"/>
      <c r="O216" s="190"/>
      <c r="P216" s="190"/>
      <c r="Q216" s="190"/>
      <c r="R216" s="190" t="s">
        <v>54</v>
      </c>
      <c r="S216" s="190"/>
      <c r="T216" s="190"/>
      <c r="U216" s="190"/>
      <c r="V216" s="190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63</v>
      </c>
    </row>
    <row r="218" spans="1:24">
      <c r="D218" s="29" t="s">
        <v>55</v>
      </c>
      <c r="H218" s="16" t="s">
        <v>12</v>
      </c>
      <c r="I218" s="16" t="s">
        <v>12</v>
      </c>
      <c r="J218" s="16" t="s">
        <v>12</v>
      </c>
      <c r="K218" s="16" t="s">
        <v>12</v>
      </c>
      <c r="L218" s="16" t="s">
        <v>12</v>
      </c>
      <c r="M218" s="16" t="s">
        <v>12</v>
      </c>
      <c r="N218" s="16" t="s">
        <v>12</v>
      </c>
      <c r="O218" s="16" t="s">
        <v>12</v>
      </c>
      <c r="P218" s="16" t="s">
        <v>13</v>
      </c>
      <c r="Q218" s="16" t="s">
        <v>13</v>
      </c>
      <c r="R218" s="16" t="s">
        <v>13</v>
      </c>
      <c r="S218" s="16" t="s">
        <v>13</v>
      </c>
      <c r="T218" s="16" t="s">
        <v>13</v>
      </c>
      <c r="U218" s="16" t="s">
        <v>13</v>
      </c>
      <c r="V218" s="16" t="s">
        <v>13</v>
      </c>
      <c r="X218" s="34" t="s">
        <v>13</v>
      </c>
    </row>
    <row r="219" spans="1:24">
      <c r="B219" s="5" t="s">
        <v>94</v>
      </c>
      <c r="D219" s="31" t="s">
        <v>105</v>
      </c>
      <c r="H219" s="4" t="str">
        <f t="shared" ref="H219:O219" si="47">IFERROR(-H238/H210,"")</f>
        <v/>
      </c>
      <c r="I219" s="4" t="str">
        <f t="shared" si="47"/>
        <v/>
      </c>
      <c r="J219" s="4" t="str">
        <f t="shared" si="47"/>
        <v/>
      </c>
      <c r="K219" s="4" t="str">
        <f t="shared" si="47"/>
        <v/>
      </c>
      <c r="L219" s="4" t="str">
        <f t="shared" si="47"/>
        <v/>
      </c>
      <c r="M219" s="4" t="str">
        <f t="shared" si="47"/>
        <v/>
      </c>
      <c r="N219" s="4" t="str">
        <f t="shared" si="47"/>
        <v/>
      </c>
      <c r="O219" s="4" t="str">
        <f t="shared" si="47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46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Grove Regulator Replacement - I&amp;C</v>
      </c>
      <c r="D222" s="31" t="s">
        <v>60</v>
      </c>
      <c r="P222" s="45">
        <f>(-P73*(1+P$208))*P$219</f>
        <v>0</v>
      </c>
      <c r="Q222" s="45">
        <f t="shared" ref="Q222:V222" si="48">(-Q73*(1+Q$208))*Q$219</f>
        <v>0</v>
      </c>
      <c r="R222" s="45">
        <f t="shared" si="48"/>
        <v>0</v>
      </c>
      <c r="S222" s="45">
        <f t="shared" si="48"/>
        <v>0</v>
      </c>
      <c r="T222" s="45">
        <f t="shared" si="48"/>
        <v>0</v>
      </c>
      <c r="U222" s="45">
        <f t="shared" si="48"/>
        <v>0</v>
      </c>
      <c r="V222" s="45">
        <f t="shared" si="48"/>
        <v>0</v>
      </c>
      <c r="X222" s="40">
        <f t="shared" ref="X222" si="49">SUM(R222:V222)</f>
        <v>0</v>
      </c>
    </row>
    <row r="223" spans="1:24">
      <c r="B223" s="4" t="str">
        <f t="shared" ref="B223:B236" si="50">IF(B11&lt;&gt;"",B11,"[blank]")</f>
        <v>298 Regulator Replacement</v>
      </c>
      <c r="D223" s="31" t="s">
        <v>60</v>
      </c>
      <c r="P223" s="45">
        <f t="shared" ref="P223:V225" si="51">(-P74*(1+P$208))*P$219</f>
        <v>0</v>
      </c>
      <c r="Q223" s="45">
        <f t="shared" si="51"/>
        <v>0</v>
      </c>
      <c r="R223" s="45">
        <f t="shared" si="51"/>
        <v>0</v>
      </c>
      <c r="S223" s="45">
        <f t="shared" si="51"/>
        <v>0</v>
      </c>
      <c r="T223" s="45">
        <f t="shared" si="51"/>
        <v>0</v>
      </c>
      <c r="U223" s="45">
        <f t="shared" si="51"/>
        <v>0</v>
      </c>
      <c r="V223" s="45">
        <f t="shared" si="51"/>
        <v>0</v>
      </c>
      <c r="X223" s="40"/>
    </row>
    <row r="224" spans="1:24">
      <c r="B224" s="4" t="str">
        <f t="shared" si="50"/>
        <v>Proactive Domestic Regulator Replacement</v>
      </c>
      <c r="D224" s="31" t="s">
        <v>60</v>
      </c>
      <c r="P224" s="45">
        <f t="shared" si="51"/>
        <v>0</v>
      </c>
      <c r="Q224" s="45">
        <f t="shared" si="51"/>
        <v>0</v>
      </c>
      <c r="R224" s="45">
        <f t="shared" si="51"/>
        <v>0</v>
      </c>
      <c r="S224" s="45">
        <f t="shared" si="51"/>
        <v>0</v>
      </c>
      <c r="T224" s="45">
        <f t="shared" si="51"/>
        <v>0</v>
      </c>
      <c r="U224" s="45">
        <f t="shared" si="51"/>
        <v>0</v>
      </c>
      <c r="V224" s="45">
        <f t="shared" si="51"/>
        <v>0</v>
      </c>
      <c r="X224" s="40"/>
    </row>
    <row r="225" spans="1:24">
      <c r="B225" s="4" t="str">
        <f t="shared" si="50"/>
        <v>[blank]</v>
      </c>
      <c r="D225" s="31" t="s">
        <v>60</v>
      </c>
      <c r="P225" s="45">
        <f t="shared" si="51"/>
        <v>0</v>
      </c>
      <c r="Q225" s="45">
        <f t="shared" si="51"/>
        <v>0</v>
      </c>
      <c r="R225" s="45">
        <f t="shared" si="51"/>
        <v>0</v>
      </c>
      <c r="S225" s="45">
        <f t="shared" si="51"/>
        <v>0</v>
      </c>
      <c r="T225" s="45">
        <f t="shared" si="51"/>
        <v>0</v>
      </c>
      <c r="U225" s="45">
        <f t="shared" si="51"/>
        <v>0</v>
      </c>
      <c r="V225" s="45">
        <f t="shared" si="51"/>
        <v>0</v>
      </c>
      <c r="X225" s="40"/>
    </row>
    <row r="226" spans="1:24">
      <c r="B226" s="4" t="str">
        <f t="shared" si="50"/>
        <v>[blank]</v>
      </c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50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50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50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50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50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50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50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50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50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50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93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52">-P219*P210</f>
        <v>0</v>
      </c>
      <c r="Q238" s="37">
        <f t="shared" si="52"/>
        <v>0</v>
      </c>
      <c r="R238" s="37">
        <f t="shared" si="52"/>
        <v>0</v>
      </c>
      <c r="S238" s="37">
        <f t="shared" si="52"/>
        <v>0</v>
      </c>
      <c r="T238" s="37">
        <f t="shared" si="52"/>
        <v>0</v>
      </c>
      <c r="U238" s="37">
        <f t="shared" si="52"/>
        <v>0</v>
      </c>
      <c r="V238" s="37">
        <f t="shared" si="52"/>
        <v>0</v>
      </c>
      <c r="X238" s="37">
        <f t="shared" ref="X238" si="53">SUM(R238:V238)</f>
        <v>0</v>
      </c>
    </row>
    <row r="240" spans="1:24" s="1" customFormat="1">
      <c r="A240" s="2">
        <v>8</v>
      </c>
      <c r="B240" s="2" t="s">
        <v>75</v>
      </c>
    </row>
    <row r="242" spans="1:24">
      <c r="H242" s="190" t="s">
        <v>52</v>
      </c>
      <c r="I242" s="190"/>
      <c r="J242" s="190"/>
      <c r="K242" s="190"/>
      <c r="L242" s="190"/>
      <c r="M242" s="190" t="s">
        <v>53</v>
      </c>
      <c r="N242" s="190"/>
      <c r="O242" s="190"/>
      <c r="P242" s="190"/>
      <c r="Q242" s="190"/>
      <c r="R242" s="190" t="s">
        <v>54</v>
      </c>
      <c r="S242" s="190"/>
      <c r="T242" s="190"/>
      <c r="U242" s="190"/>
      <c r="V242" s="190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63</v>
      </c>
    </row>
    <row r="244" spans="1:24">
      <c r="D244" s="29" t="s">
        <v>55</v>
      </c>
      <c r="H244" s="16" t="s">
        <v>12</v>
      </c>
      <c r="I244" s="16" t="s">
        <v>12</v>
      </c>
      <c r="J244" s="16" t="s">
        <v>12</v>
      </c>
      <c r="K244" s="16" t="s">
        <v>12</v>
      </c>
      <c r="L244" s="16" t="s">
        <v>12</v>
      </c>
      <c r="M244" s="16" t="s">
        <v>12</v>
      </c>
      <c r="N244" s="16" t="s">
        <v>12</v>
      </c>
      <c r="O244" s="16" t="s">
        <v>12</v>
      </c>
      <c r="P244" s="16" t="s">
        <v>13</v>
      </c>
      <c r="Q244" s="16" t="s">
        <v>13</v>
      </c>
      <c r="R244" s="16" t="s">
        <v>13</v>
      </c>
      <c r="S244" s="16" t="s">
        <v>13</v>
      </c>
      <c r="T244" s="16" t="s">
        <v>13</v>
      </c>
      <c r="U244" s="16" t="s">
        <v>13</v>
      </c>
      <c r="V244" s="16" t="s">
        <v>13</v>
      </c>
      <c r="X244" s="34" t="s">
        <v>13</v>
      </c>
    </row>
    <row r="245" spans="1:24">
      <c r="B245" s="38" t="s">
        <v>96</v>
      </c>
      <c r="D245" s="31"/>
      <c r="X245" s="40"/>
    </row>
    <row r="246" spans="1:24">
      <c r="B246" s="47" t="s">
        <v>97</v>
      </c>
      <c r="D246" s="31" t="s">
        <v>60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54">SUM(R246:V246)</f>
        <v>0</v>
      </c>
    </row>
    <row r="247" spans="1:24">
      <c r="B247" s="47" t="s">
        <v>98</v>
      </c>
      <c r="D247" s="31" t="s">
        <v>60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54"/>
        <v>0</v>
      </c>
    </row>
    <row r="248" spans="1:24">
      <c r="B248" s="47" t="s">
        <v>99</v>
      </c>
      <c r="D248" s="31" t="s">
        <v>60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54"/>
        <v>0</v>
      </c>
    </row>
    <row r="249" spans="1:24">
      <c r="B249" s="47" t="s">
        <v>100</v>
      </c>
      <c r="D249" s="31" t="s">
        <v>60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54"/>
        <v>0</v>
      </c>
    </row>
    <row r="250" spans="1:24">
      <c r="B250" s="47" t="s">
        <v>101</v>
      </c>
      <c r="D250" s="31" t="s">
        <v>60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54"/>
        <v>0</v>
      </c>
    </row>
    <row r="252" spans="1:24" ht="12.75" thickBot="1">
      <c r="B252" s="5" t="s">
        <v>102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55">SUM(Q246:Q250)</f>
        <v>0</v>
      </c>
      <c r="R252" s="49">
        <f t="shared" si="55"/>
        <v>0</v>
      </c>
      <c r="S252" s="49">
        <f t="shared" si="55"/>
        <v>0</v>
      </c>
      <c r="T252" s="49">
        <f t="shared" si="55"/>
        <v>0</v>
      </c>
      <c r="U252" s="49">
        <f t="shared" si="55"/>
        <v>0</v>
      </c>
      <c r="V252" s="49">
        <f t="shared" si="55"/>
        <v>0</v>
      </c>
      <c r="X252" s="37">
        <f t="shared" si="54"/>
        <v>0</v>
      </c>
    </row>
    <row r="254" spans="1:24" s="1" customFormat="1">
      <c r="A254" s="2">
        <v>9</v>
      </c>
      <c r="B254" s="2" t="s">
        <v>103</v>
      </c>
    </row>
    <row r="256" spans="1:24">
      <c r="H256" s="190" t="s">
        <v>52</v>
      </c>
      <c r="I256" s="190"/>
      <c r="J256" s="190"/>
      <c r="K256" s="190"/>
      <c r="L256" s="190"/>
      <c r="M256" s="190" t="s">
        <v>53</v>
      </c>
      <c r="N256" s="190"/>
      <c r="O256" s="190"/>
      <c r="P256" s="190"/>
      <c r="Q256" s="190"/>
      <c r="R256" s="190" t="s">
        <v>54</v>
      </c>
      <c r="S256" s="190"/>
      <c r="T256" s="190"/>
      <c r="U256" s="190"/>
      <c r="V256" s="190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63</v>
      </c>
    </row>
    <row r="258" spans="1:24">
      <c r="D258" s="29" t="s">
        <v>55</v>
      </c>
      <c r="H258" s="16" t="s">
        <v>12</v>
      </c>
      <c r="I258" s="16" t="s">
        <v>12</v>
      </c>
      <c r="J258" s="16" t="s">
        <v>12</v>
      </c>
      <c r="K258" s="16" t="s">
        <v>12</v>
      </c>
      <c r="L258" s="16" t="s">
        <v>12</v>
      </c>
      <c r="M258" s="16" t="s">
        <v>12</v>
      </c>
      <c r="N258" s="16" t="s">
        <v>12</v>
      </c>
      <c r="O258" s="16" t="s">
        <v>12</v>
      </c>
      <c r="P258" s="16" t="s">
        <v>13</v>
      </c>
      <c r="Q258" s="16" t="s">
        <v>13</v>
      </c>
      <c r="R258" s="16" t="s">
        <v>13</v>
      </c>
      <c r="S258" s="16" t="s">
        <v>13</v>
      </c>
      <c r="T258" s="16" t="s">
        <v>13</v>
      </c>
      <c r="U258" s="16" t="s">
        <v>13</v>
      </c>
      <c r="V258" s="16" t="s">
        <v>13</v>
      </c>
      <c r="X258" s="34" t="s">
        <v>13</v>
      </c>
    </row>
    <row r="259" spans="1:24">
      <c r="B259" s="4" t="s">
        <v>104</v>
      </c>
      <c r="D259" s="31" t="s">
        <v>60</v>
      </c>
      <c r="H259" s="45">
        <f t="shared" ref="H259:V259" si="56">H210</f>
        <v>0</v>
      </c>
      <c r="I259" s="45">
        <f t="shared" si="56"/>
        <v>0</v>
      </c>
      <c r="J259" s="45">
        <f t="shared" si="56"/>
        <v>0</v>
      </c>
      <c r="K259" s="45">
        <f t="shared" si="56"/>
        <v>0</v>
      </c>
      <c r="L259" s="45">
        <f t="shared" si="56"/>
        <v>0</v>
      </c>
      <c r="M259" s="45">
        <f t="shared" si="56"/>
        <v>0</v>
      </c>
      <c r="N259" s="45">
        <f t="shared" si="56"/>
        <v>0</v>
      </c>
      <c r="O259" s="45">
        <f t="shared" si="56"/>
        <v>0</v>
      </c>
      <c r="P259" s="45">
        <f t="shared" si="56"/>
        <v>0</v>
      </c>
      <c r="Q259" s="45">
        <f t="shared" si="56"/>
        <v>1359864.7306382912</v>
      </c>
      <c r="R259" s="45">
        <f t="shared" si="56"/>
        <v>1396150.534049859</v>
      </c>
      <c r="S259" s="45">
        <f t="shared" si="56"/>
        <v>1301887.9572643319</v>
      </c>
      <c r="T259" s="45">
        <f t="shared" si="56"/>
        <v>1467613.474849165</v>
      </c>
      <c r="U259" s="45">
        <f t="shared" si="56"/>
        <v>1246291.6319782007</v>
      </c>
      <c r="V259" s="45">
        <f t="shared" si="56"/>
        <v>1430318.6342842677</v>
      </c>
      <c r="X259" s="40">
        <f t="shared" ref="X259:X261" si="57">SUM(R259:V259)</f>
        <v>6842262.2324258238</v>
      </c>
    </row>
    <row r="260" spans="1:24">
      <c r="B260" s="4" t="s">
        <v>74</v>
      </c>
      <c r="D260" s="31" t="s">
        <v>60</v>
      </c>
      <c r="H260" s="45">
        <f>H238</f>
        <v>0</v>
      </c>
      <c r="I260" s="45">
        <f t="shared" ref="I260:V260" si="58">I238</f>
        <v>0</v>
      </c>
      <c r="J260" s="45">
        <f t="shared" si="58"/>
        <v>0</v>
      </c>
      <c r="K260" s="45">
        <f t="shared" si="58"/>
        <v>0</v>
      </c>
      <c r="L260" s="45">
        <f t="shared" si="58"/>
        <v>0</v>
      </c>
      <c r="M260" s="45">
        <f t="shared" si="58"/>
        <v>0</v>
      </c>
      <c r="N260" s="45">
        <f t="shared" si="58"/>
        <v>0</v>
      </c>
      <c r="O260" s="45">
        <f t="shared" si="58"/>
        <v>0</v>
      </c>
      <c r="P260" s="45">
        <f t="shared" si="58"/>
        <v>0</v>
      </c>
      <c r="Q260" s="45">
        <f t="shared" si="58"/>
        <v>0</v>
      </c>
      <c r="R260" s="45">
        <f t="shared" si="58"/>
        <v>0</v>
      </c>
      <c r="S260" s="45">
        <f t="shared" si="58"/>
        <v>0</v>
      </c>
      <c r="T260" s="45">
        <f t="shared" si="58"/>
        <v>0</v>
      </c>
      <c r="U260" s="45">
        <f t="shared" si="58"/>
        <v>0</v>
      </c>
      <c r="V260" s="45">
        <f t="shared" si="58"/>
        <v>0</v>
      </c>
      <c r="X260" s="40">
        <f t="shared" si="57"/>
        <v>0</v>
      </c>
    </row>
    <row r="261" spans="1:24">
      <c r="B261" s="4" t="s">
        <v>75</v>
      </c>
      <c r="D261" s="31" t="s">
        <v>60</v>
      </c>
      <c r="H261" s="45">
        <f>H252</f>
        <v>0</v>
      </c>
      <c r="I261" s="45">
        <f t="shared" ref="I261:V261" si="59">I252</f>
        <v>0</v>
      </c>
      <c r="J261" s="45">
        <f t="shared" si="59"/>
        <v>0</v>
      </c>
      <c r="K261" s="45">
        <f t="shared" si="59"/>
        <v>0</v>
      </c>
      <c r="L261" s="45">
        <f t="shared" si="59"/>
        <v>0</v>
      </c>
      <c r="M261" s="45">
        <f t="shared" si="59"/>
        <v>0</v>
      </c>
      <c r="N261" s="45">
        <f t="shared" si="59"/>
        <v>0</v>
      </c>
      <c r="O261" s="45">
        <f t="shared" si="59"/>
        <v>0</v>
      </c>
      <c r="P261" s="45">
        <f t="shared" si="59"/>
        <v>0</v>
      </c>
      <c r="Q261" s="45">
        <f t="shared" si="59"/>
        <v>0</v>
      </c>
      <c r="R261" s="45">
        <f t="shared" si="59"/>
        <v>0</v>
      </c>
      <c r="S261" s="45">
        <f t="shared" si="59"/>
        <v>0</v>
      </c>
      <c r="T261" s="45">
        <f t="shared" si="59"/>
        <v>0</v>
      </c>
      <c r="U261" s="45">
        <f t="shared" si="59"/>
        <v>0</v>
      </c>
      <c r="V261" s="45">
        <f t="shared" si="59"/>
        <v>0</v>
      </c>
      <c r="X261" s="40">
        <f t="shared" si="57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103</v>
      </c>
      <c r="D263" s="31" t="s">
        <v>60</v>
      </c>
      <c r="H263" s="37">
        <f>SUM(H259:H261)</f>
        <v>0</v>
      </c>
      <c r="I263" s="37">
        <f t="shared" ref="I263:V263" si="60">SUM(I259:I261)</f>
        <v>0</v>
      </c>
      <c r="J263" s="37">
        <f t="shared" si="60"/>
        <v>0</v>
      </c>
      <c r="K263" s="37">
        <f t="shared" si="60"/>
        <v>0</v>
      </c>
      <c r="L263" s="37">
        <f t="shared" si="60"/>
        <v>0</v>
      </c>
      <c r="M263" s="37">
        <f t="shared" si="60"/>
        <v>0</v>
      </c>
      <c r="N263" s="37">
        <f t="shared" si="60"/>
        <v>0</v>
      </c>
      <c r="O263" s="37">
        <f t="shared" si="60"/>
        <v>0</v>
      </c>
      <c r="P263" s="37">
        <f t="shared" si="60"/>
        <v>0</v>
      </c>
      <c r="Q263" s="37">
        <f t="shared" si="60"/>
        <v>1359864.7306382912</v>
      </c>
      <c r="R263" s="37">
        <f t="shared" si="60"/>
        <v>1396150.534049859</v>
      </c>
      <c r="S263" s="37">
        <f t="shared" si="60"/>
        <v>1301887.9572643319</v>
      </c>
      <c r="T263" s="37">
        <f t="shared" si="60"/>
        <v>1467613.474849165</v>
      </c>
      <c r="U263" s="37">
        <f t="shared" si="60"/>
        <v>1246291.6319782007</v>
      </c>
      <c r="V263" s="37">
        <f t="shared" si="60"/>
        <v>1430318.6342842677</v>
      </c>
      <c r="X263" s="37">
        <f t="shared" ref="X263" si="61">SUM(R263:V263)</f>
        <v>6842262.2324258238</v>
      </c>
    </row>
    <row r="264" spans="1:24">
      <c r="D264" s="31"/>
    </row>
    <row r="266" spans="1:24" s="66" customFormat="1">
      <c r="A266" s="65">
        <v>10</v>
      </c>
      <c r="B266" s="65" t="s">
        <v>121</v>
      </c>
    </row>
    <row r="268" spans="1:24">
      <c r="B268" s="69" t="s">
        <v>120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325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62">IFERROR(SUMPRODUCT($Z$73:$Z$87,Q$73:Q$87)/SUM(Q$73:Q$87)*Q$89,0)</f>
        <v>0</v>
      </c>
      <c r="R276" s="57">
        <f t="shared" si="62"/>
        <v>0</v>
      </c>
      <c r="S276" s="57">
        <f t="shared" si="62"/>
        <v>0</v>
      </c>
      <c r="T276" s="57">
        <f t="shared" si="62"/>
        <v>0</v>
      </c>
      <c r="U276" s="57">
        <f t="shared" si="62"/>
        <v>0</v>
      </c>
      <c r="V276" s="62">
        <f t="shared" si="62"/>
        <v>0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63">IFERROR(SUMPRODUCT($AA$73:$AA$87,Q$73:Q$87)/SUM(Q$73:Q$87)*Q$89,0)</f>
        <v>0</v>
      </c>
      <c r="R277" s="57">
        <f t="shared" si="63"/>
        <v>0</v>
      </c>
      <c r="S277" s="57">
        <f t="shared" si="63"/>
        <v>0</v>
      </c>
      <c r="T277" s="57">
        <f t="shared" si="63"/>
        <v>0</v>
      </c>
      <c r="U277" s="57">
        <f t="shared" si="63"/>
        <v>0</v>
      </c>
      <c r="V277" s="62">
        <f t="shared" si="63"/>
        <v>0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64">IFERROR(SUMPRODUCT($AB$73:$AB$87,Q$73:Q$87)/SUM(Q$73:Q$87)*Q$89,0)</f>
        <v>0</v>
      </c>
      <c r="R278" s="57">
        <f t="shared" si="64"/>
        <v>0</v>
      </c>
      <c r="S278" s="57">
        <f t="shared" si="64"/>
        <v>0</v>
      </c>
      <c r="T278" s="57">
        <f t="shared" si="64"/>
        <v>0</v>
      </c>
      <c r="U278" s="57">
        <f t="shared" si="64"/>
        <v>0</v>
      </c>
      <c r="V278" s="62">
        <f t="shared" si="64"/>
        <v>0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65">IFERROR(SUMPRODUCT($AC$73:$AC$87,Q$73:Q$87)/SUM(Q$73:Q$87)*Q$89,0)</f>
        <v>0</v>
      </c>
      <c r="R279" s="57">
        <f t="shared" si="65"/>
        <v>0</v>
      </c>
      <c r="S279" s="57">
        <f t="shared" si="65"/>
        <v>0</v>
      </c>
      <c r="T279" s="57">
        <f t="shared" si="65"/>
        <v>0</v>
      </c>
      <c r="U279" s="57">
        <f t="shared" si="65"/>
        <v>0</v>
      </c>
      <c r="V279" s="62">
        <f t="shared" si="65"/>
        <v>0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66">IFERROR(SUMPRODUCT($AD$73:$AD$87,Q$73:Q$87)/SUM(Q$73:Q$87)*Q$89,0)</f>
        <v>1265176.7551775048</v>
      </c>
      <c r="R280" s="57">
        <f t="shared" si="66"/>
        <v>1302171.7454052761</v>
      </c>
      <c r="S280" s="57">
        <f t="shared" si="66"/>
        <v>1209637.273472453</v>
      </c>
      <c r="T280" s="57">
        <f t="shared" si="66"/>
        <v>1362146.98511179</v>
      </c>
      <c r="U280" s="57">
        <f t="shared" si="66"/>
        <v>1152143.4439193378</v>
      </c>
      <c r="V280" s="62">
        <f t="shared" si="66"/>
        <v>1319004.4290862344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67">IFERROR(SUMPRODUCT($AE$73:$AE$87,Q$73:Q$87)/SUM(Q$73:Q$87)*Q$89,0)</f>
        <v>0</v>
      </c>
      <c r="R281" s="57">
        <f t="shared" si="67"/>
        <v>0</v>
      </c>
      <c r="S281" s="57">
        <f t="shared" si="67"/>
        <v>0</v>
      </c>
      <c r="T281" s="57">
        <f t="shared" si="67"/>
        <v>0</v>
      </c>
      <c r="U281" s="57">
        <f t="shared" si="67"/>
        <v>0</v>
      </c>
      <c r="V281" s="62">
        <f t="shared" si="67"/>
        <v>0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8">IFERROR(SUMPRODUCT($AF$73:$AF$87,Q$73:Q$87)/SUM(Q$73:Q$87)*Q$89,0)</f>
        <v>0</v>
      </c>
      <c r="R282" s="57">
        <f t="shared" si="68"/>
        <v>0</v>
      </c>
      <c r="S282" s="57">
        <f t="shared" si="68"/>
        <v>0</v>
      </c>
      <c r="T282" s="57">
        <f t="shared" si="68"/>
        <v>0</v>
      </c>
      <c r="U282" s="57">
        <f t="shared" si="68"/>
        <v>0</v>
      </c>
      <c r="V282" s="62">
        <f t="shared" si="68"/>
        <v>0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9">IFERROR(SUMPRODUCT($AG$73:$AG$87,Q$73:Q$87)/SUM(Q$73:Q$87)*Q$89,0)</f>
        <v>0</v>
      </c>
      <c r="R283" s="57">
        <f t="shared" si="69"/>
        <v>0</v>
      </c>
      <c r="S283" s="57">
        <f t="shared" si="69"/>
        <v>0</v>
      </c>
      <c r="T283" s="57">
        <f t="shared" si="69"/>
        <v>0</v>
      </c>
      <c r="U283" s="57">
        <f t="shared" si="69"/>
        <v>0</v>
      </c>
      <c r="V283" s="62">
        <f t="shared" si="69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70">IFERROR(SUMPRODUCT($AH$73:$AH$87,Q$73:Q$87)/SUM(Q$73:Q$87)*Q$89,0)</f>
        <v>0</v>
      </c>
      <c r="R284" s="57">
        <f t="shared" si="70"/>
        <v>0</v>
      </c>
      <c r="S284" s="57">
        <f t="shared" si="70"/>
        <v>0</v>
      </c>
      <c r="T284" s="57">
        <f t="shared" si="70"/>
        <v>0</v>
      </c>
      <c r="U284" s="57">
        <f t="shared" si="70"/>
        <v>0</v>
      </c>
      <c r="V284" s="62">
        <f t="shared" si="70"/>
        <v>0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71">IFERROR(SUMPRODUCT($AI$73:$AI$87,Q$73:Q$87)/SUM(Q$73:Q$87)*Q$89,0)</f>
        <v>0</v>
      </c>
      <c r="R285" s="57">
        <f t="shared" si="71"/>
        <v>0</v>
      </c>
      <c r="S285" s="57">
        <f t="shared" si="71"/>
        <v>0</v>
      </c>
      <c r="T285" s="57">
        <f t="shared" si="71"/>
        <v>0</v>
      </c>
      <c r="U285" s="57">
        <f t="shared" si="71"/>
        <v>0</v>
      </c>
      <c r="V285" s="62">
        <f t="shared" si="71"/>
        <v>0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72">IFERROR(SUMPRODUCT($AJ$73:$AJ$87,Q$73:Q$87)/SUM(Q$73:Q$87)*Q$89,0)</f>
        <v>0</v>
      </c>
      <c r="R286" s="57">
        <f t="shared" si="72"/>
        <v>0</v>
      </c>
      <c r="S286" s="57">
        <f t="shared" si="72"/>
        <v>0</v>
      </c>
      <c r="T286" s="57">
        <f t="shared" si="72"/>
        <v>0</v>
      </c>
      <c r="U286" s="57">
        <f t="shared" si="72"/>
        <v>0</v>
      </c>
      <c r="V286" s="62">
        <f t="shared" si="72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73">SUM(Q276:Q286)</f>
        <v>1265176.7551775048</v>
      </c>
      <c r="R288" s="37">
        <f t="shared" si="73"/>
        <v>1302171.7454052761</v>
      </c>
      <c r="S288" s="37">
        <f t="shared" si="73"/>
        <v>1209637.273472453</v>
      </c>
      <c r="T288" s="37">
        <f t="shared" si="73"/>
        <v>1362146.98511179</v>
      </c>
      <c r="U288" s="37">
        <f t="shared" si="73"/>
        <v>1152143.4439193378</v>
      </c>
      <c r="V288" s="64">
        <f t="shared" si="73"/>
        <v>1319004.4290862344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270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74">P276*(1+P$208)</f>
        <v>0</v>
      </c>
      <c r="Q297" s="57">
        <f t="shared" si="74"/>
        <v>0</v>
      </c>
      <c r="R297" s="57">
        <f t="shared" si="74"/>
        <v>0</v>
      </c>
      <c r="S297" s="57">
        <f t="shared" si="74"/>
        <v>0</v>
      </c>
      <c r="T297" s="57">
        <f t="shared" si="74"/>
        <v>0</v>
      </c>
      <c r="U297" s="57">
        <f t="shared" si="74"/>
        <v>0</v>
      </c>
      <c r="V297" s="62">
        <f t="shared" si="74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74"/>
        <v>0</v>
      </c>
      <c r="Q298" s="57">
        <f t="shared" si="74"/>
        <v>0</v>
      </c>
      <c r="R298" s="57">
        <f t="shared" si="74"/>
        <v>0</v>
      </c>
      <c r="S298" s="57">
        <f t="shared" si="74"/>
        <v>0</v>
      </c>
      <c r="T298" s="57">
        <f t="shared" si="74"/>
        <v>0</v>
      </c>
      <c r="U298" s="57">
        <f t="shared" si="74"/>
        <v>0</v>
      </c>
      <c r="V298" s="62">
        <f t="shared" si="74"/>
        <v>0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74"/>
        <v>0</v>
      </c>
      <c r="Q299" s="57">
        <f t="shared" si="74"/>
        <v>0</v>
      </c>
      <c r="R299" s="57">
        <f t="shared" si="74"/>
        <v>0</v>
      </c>
      <c r="S299" s="57">
        <f t="shared" si="74"/>
        <v>0</v>
      </c>
      <c r="T299" s="57">
        <f t="shared" si="74"/>
        <v>0</v>
      </c>
      <c r="U299" s="57">
        <f t="shared" si="74"/>
        <v>0</v>
      </c>
      <c r="V299" s="62">
        <f t="shared" si="74"/>
        <v>0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74"/>
        <v>0</v>
      </c>
      <c r="Q300" s="57">
        <f t="shared" si="74"/>
        <v>0</v>
      </c>
      <c r="R300" s="57">
        <f t="shared" si="74"/>
        <v>0</v>
      </c>
      <c r="S300" s="57">
        <f t="shared" si="74"/>
        <v>0</v>
      </c>
      <c r="T300" s="57">
        <f t="shared" si="74"/>
        <v>0</v>
      </c>
      <c r="U300" s="57">
        <f t="shared" si="74"/>
        <v>0</v>
      </c>
      <c r="V300" s="62">
        <f t="shared" si="74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74"/>
        <v>0</v>
      </c>
      <c r="Q301" s="57">
        <f t="shared" si="74"/>
        <v>1359864.7306382912</v>
      </c>
      <c r="R301" s="57">
        <f t="shared" si="74"/>
        <v>1396150.534049859</v>
      </c>
      <c r="S301" s="57">
        <f t="shared" si="74"/>
        <v>1301887.9572643319</v>
      </c>
      <c r="T301" s="57">
        <f t="shared" si="74"/>
        <v>1467613.474849165</v>
      </c>
      <c r="U301" s="57">
        <f t="shared" si="74"/>
        <v>1246291.6319782007</v>
      </c>
      <c r="V301" s="62">
        <f t="shared" si="74"/>
        <v>1430318.6342842677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74"/>
        <v>0</v>
      </c>
      <c r="Q302" s="57">
        <f t="shared" si="74"/>
        <v>0</v>
      </c>
      <c r="R302" s="57">
        <f t="shared" si="74"/>
        <v>0</v>
      </c>
      <c r="S302" s="57">
        <f t="shared" si="74"/>
        <v>0</v>
      </c>
      <c r="T302" s="57">
        <f t="shared" si="74"/>
        <v>0</v>
      </c>
      <c r="U302" s="57">
        <f t="shared" si="74"/>
        <v>0</v>
      </c>
      <c r="V302" s="62">
        <f t="shared" si="74"/>
        <v>0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74"/>
        <v>0</v>
      </c>
      <c r="Q303" s="57">
        <f t="shared" si="74"/>
        <v>0</v>
      </c>
      <c r="R303" s="57">
        <f t="shared" si="74"/>
        <v>0</v>
      </c>
      <c r="S303" s="57">
        <f t="shared" si="74"/>
        <v>0</v>
      </c>
      <c r="T303" s="57">
        <f t="shared" si="74"/>
        <v>0</v>
      </c>
      <c r="U303" s="57">
        <f t="shared" si="74"/>
        <v>0</v>
      </c>
      <c r="V303" s="62">
        <f t="shared" si="74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74"/>
        <v>0</v>
      </c>
      <c r="Q304" s="57">
        <f t="shared" si="74"/>
        <v>0</v>
      </c>
      <c r="R304" s="57">
        <f t="shared" si="74"/>
        <v>0</v>
      </c>
      <c r="S304" s="57">
        <f t="shared" si="74"/>
        <v>0</v>
      </c>
      <c r="T304" s="57">
        <f t="shared" si="74"/>
        <v>0</v>
      </c>
      <c r="U304" s="57">
        <f t="shared" si="74"/>
        <v>0</v>
      </c>
      <c r="V304" s="62">
        <f t="shared" si="74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74"/>
        <v>0</v>
      </c>
      <c r="Q305" s="57">
        <f t="shared" si="74"/>
        <v>0</v>
      </c>
      <c r="R305" s="57">
        <f t="shared" si="74"/>
        <v>0</v>
      </c>
      <c r="S305" s="57">
        <f t="shared" si="74"/>
        <v>0</v>
      </c>
      <c r="T305" s="57">
        <f t="shared" si="74"/>
        <v>0</v>
      </c>
      <c r="U305" s="57">
        <f t="shared" si="74"/>
        <v>0</v>
      </c>
      <c r="V305" s="62">
        <f t="shared" si="74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74"/>
        <v>0</v>
      </c>
      <c r="Q306" s="57">
        <f t="shared" si="74"/>
        <v>0</v>
      </c>
      <c r="R306" s="57">
        <f t="shared" si="74"/>
        <v>0</v>
      </c>
      <c r="S306" s="57">
        <f t="shared" si="74"/>
        <v>0</v>
      </c>
      <c r="T306" s="57">
        <f t="shared" si="74"/>
        <v>0</v>
      </c>
      <c r="U306" s="57">
        <f t="shared" si="74"/>
        <v>0</v>
      </c>
      <c r="V306" s="62">
        <f t="shared" si="74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74"/>
        <v>0</v>
      </c>
      <c r="Q307" s="57">
        <f t="shared" si="74"/>
        <v>0</v>
      </c>
      <c r="R307" s="57">
        <f t="shared" si="74"/>
        <v>0</v>
      </c>
      <c r="S307" s="57">
        <f t="shared" si="74"/>
        <v>0</v>
      </c>
      <c r="T307" s="57">
        <f t="shared" si="74"/>
        <v>0</v>
      </c>
      <c r="U307" s="57">
        <f t="shared" si="74"/>
        <v>0</v>
      </c>
      <c r="V307" s="62">
        <f t="shared" si="74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75">SUM(Q297:Q307)</f>
        <v>1359864.7306382912</v>
      </c>
      <c r="R309" s="37">
        <f t="shared" si="75"/>
        <v>1396150.534049859</v>
      </c>
      <c r="S309" s="37">
        <f t="shared" si="75"/>
        <v>1301887.9572643319</v>
      </c>
      <c r="T309" s="37">
        <f t="shared" si="75"/>
        <v>1467613.474849165</v>
      </c>
      <c r="U309" s="37">
        <f t="shared" si="75"/>
        <v>1246291.6319782007</v>
      </c>
      <c r="V309" s="64">
        <f t="shared" si="75"/>
        <v>1430318.6342842677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271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6">P297*(1-P$219)</f>
        <v>0</v>
      </c>
      <c r="Q318" s="57">
        <f t="shared" si="76"/>
        <v>0</v>
      </c>
      <c r="R318" s="57">
        <f t="shared" si="76"/>
        <v>0</v>
      </c>
      <c r="S318" s="57">
        <f t="shared" si="76"/>
        <v>0</v>
      </c>
      <c r="T318" s="57">
        <f t="shared" si="76"/>
        <v>0</v>
      </c>
      <c r="U318" s="57">
        <f t="shared" si="76"/>
        <v>0</v>
      </c>
      <c r="V318" s="62">
        <f t="shared" si="76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6"/>
        <v>0</v>
      </c>
      <c r="Q319" s="57">
        <f t="shared" si="76"/>
        <v>0</v>
      </c>
      <c r="R319" s="57">
        <f t="shared" si="76"/>
        <v>0</v>
      </c>
      <c r="S319" s="57">
        <f t="shared" si="76"/>
        <v>0</v>
      </c>
      <c r="T319" s="57">
        <f t="shared" si="76"/>
        <v>0</v>
      </c>
      <c r="U319" s="57">
        <f t="shared" si="76"/>
        <v>0</v>
      </c>
      <c r="V319" s="62">
        <f t="shared" si="76"/>
        <v>0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6"/>
        <v>0</v>
      </c>
      <c r="Q320" s="57">
        <f t="shared" si="76"/>
        <v>0</v>
      </c>
      <c r="R320" s="57">
        <f t="shared" si="76"/>
        <v>0</v>
      </c>
      <c r="S320" s="57">
        <f t="shared" si="76"/>
        <v>0</v>
      </c>
      <c r="T320" s="57">
        <f t="shared" si="76"/>
        <v>0</v>
      </c>
      <c r="U320" s="57">
        <f t="shared" si="76"/>
        <v>0</v>
      </c>
      <c r="V320" s="62">
        <f t="shared" si="76"/>
        <v>0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6"/>
        <v>0</v>
      </c>
      <c r="Q321" s="57">
        <f t="shared" si="76"/>
        <v>0</v>
      </c>
      <c r="R321" s="57">
        <f t="shared" si="76"/>
        <v>0</v>
      </c>
      <c r="S321" s="57">
        <f t="shared" si="76"/>
        <v>0</v>
      </c>
      <c r="T321" s="57">
        <f t="shared" si="76"/>
        <v>0</v>
      </c>
      <c r="U321" s="57">
        <f t="shared" si="76"/>
        <v>0</v>
      </c>
      <c r="V321" s="62">
        <f t="shared" si="76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6"/>
        <v>0</v>
      </c>
      <c r="Q322" s="57">
        <f t="shared" si="76"/>
        <v>1359864.7306382912</v>
      </c>
      <c r="R322" s="57">
        <f t="shared" si="76"/>
        <v>1396150.534049859</v>
      </c>
      <c r="S322" s="57">
        <f t="shared" si="76"/>
        <v>1301887.9572643319</v>
      </c>
      <c r="T322" s="57">
        <f t="shared" si="76"/>
        <v>1467613.474849165</v>
      </c>
      <c r="U322" s="57">
        <f t="shared" si="76"/>
        <v>1246291.6319782007</v>
      </c>
      <c r="V322" s="62">
        <f t="shared" si="76"/>
        <v>1430318.6342842677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6"/>
        <v>0</v>
      </c>
      <c r="Q323" s="57">
        <f t="shared" si="76"/>
        <v>0</v>
      </c>
      <c r="R323" s="57">
        <f t="shared" si="76"/>
        <v>0</v>
      </c>
      <c r="S323" s="57">
        <f t="shared" si="76"/>
        <v>0</v>
      </c>
      <c r="T323" s="57">
        <f t="shared" si="76"/>
        <v>0</v>
      </c>
      <c r="U323" s="57">
        <f t="shared" si="76"/>
        <v>0</v>
      </c>
      <c r="V323" s="62">
        <f t="shared" si="76"/>
        <v>0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6"/>
        <v>0</v>
      </c>
      <c r="Q324" s="57">
        <f t="shared" si="76"/>
        <v>0</v>
      </c>
      <c r="R324" s="57">
        <f t="shared" si="76"/>
        <v>0</v>
      </c>
      <c r="S324" s="57">
        <f t="shared" si="76"/>
        <v>0</v>
      </c>
      <c r="T324" s="57">
        <f t="shared" si="76"/>
        <v>0</v>
      </c>
      <c r="U324" s="57">
        <f t="shared" si="76"/>
        <v>0</v>
      </c>
      <c r="V324" s="62">
        <f t="shared" si="76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6"/>
        <v>0</v>
      </c>
      <c r="Q325" s="57">
        <f t="shared" si="76"/>
        <v>0</v>
      </c>
      <c r="R325" s="57">
        <f t="shared" si="76"/>
        <v>0</v>
      </c>
      <c r="S325" s="57">
        <f t="shared" si="76"/>
        <v>0</v>
      </c>
      <c r="T325" s="57">
        <f t="shared" si="76"/>
        <v>0</v>
      </c>
      <c r="U325" s="57">
        <f t="shared" si="76"/>
        <v>0</v>
      </c>
      <c r="V325" s="62">
        <f t="shared" si="76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6"/>
        <v>0</v>
      </c>
      <c r="Q326" s="57">
        <f t="shared" si="76"/>
        <v>0</v>
      </c>
      <c r="R326" s="57">
        <f t="shared" si="76"/>
        <v>0</v>
      </c>
      <c r="S326" s="57">
        <f t="shared" si="76"/>
        <v>0</v>
      </c>
      <c r="T326" s="57">
        <f t="shared" si="76"/>
        <v>0</v>
      </c>
      <c r="U326" s="57">
        <f t="shared" si="76"/>
        <v>0</v>
      </c>
      <c r="V326" s="62">
        <f t="shared" si="76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6"/>
        <v>0</v>
      </c>
      <c r="Q327" s="57">
        <f t="shared" si="76"/>
        <v>0</v>
      </c>
      <c r="R327" s="57">
        <f t="shared" si="76"/>
        <v>0</v>
      </c>
      <c r="S327" s="57">
        <f t="shared" si="76"/>
        <v>0</v>
      </c>
      <c r="T327" s="57">
        <f t="shared" si="76"/>
        <v>0</v>
      </c>
      <c r="U327" s="57">
        <f t="shared" si="76"/>
        <v>0</v>
      </c>
      <c r="V327" s="62">
        <f t="shared" si="76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6"/>
        <v>0</v>
      </c>
      <c r="Q328" s="57">
        <f t="shared" si="76"/>
        <v>0</v>
      </c>
      <c r="R328" s="57">
        <f t="shared" si="76"/>
        <v>0</v>
      </c>
      <c r="S328" s="57">
        <f t="shared" si="76"/>
        <v>0</v>
      </c>
      <c r="T328" s="57">
        <f t="shared" si="76"/>
        <v>0</v>
      </c>
      <c r="U328" s="57">
        <f t="shared" si="76"/>
        <v>0</v>
      </c>
      <c r="V328" s="62">
        <f t="shared" si="76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7">SUM(Q318:Q328)</f>
        <v>1359864.7306382912</v>
      </c>
      <c r="R330" s="37">
        <f t="shared" si="77"/>
        <v>1396150.534049859</v>
      </c>
      <c r="S330" s="37">
        <f t="shared" si="77"/>
        <v>1301887.9572643319</v>
      </c>
      <c r="T330" s="37">
        <f t="shared" si="77"/>
        <v>1467613.474849165</v>
      </c>
      <c r="U330" s="37">
        <f t="shared" si="77"/>
        <v>1246291.6319782007</v>
      </c>
      <c r="V330" s="64">
        <f t="shared" si="77"/>
        <v>1430318.6342842677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272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8">Q297*Q$219</f>
        <v>0</v>
      </c>
      <c r="R339" s="57">
        <f t="shared" si="78"/>
        <v>0</v>
      </c>
      <c r="S339" s="57">
        <f t="shared" si="78"/>
        <v>0</v>
      </c>
      <c r="T339" s="57">
        <f t="shared" si="78"/>
        <v>0</v>
      </c>
      <c r="U339" s="57">
        <f t="shared" si="78"/>
        <v>0</v>
      </c>
      <c r="V339" s="62">
        <f t="shared" si="78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9">P298*P$219</f>
        <v>0</v>
      </c>
      <c r="Q340" s="57">
        <f t="shared" si="78"/>
        <v>0</v>
      </c>
      <c r="R340" s="57">
        <f t="shared" si="78"/>
        <v>0</v>
      </c>
      <c r="S340" s="57">
        <f t="shared" si="78"/>
        <v>0</v>
      </c>
      <c r="T340" s="57">
        <f t="shared" si="78"/>
        <v>0</v>
      </c>
      <c r="U340" s="57">
        <f t="shared" si="78"/>
        <v>0</v>
      </c>
      <c r="V340" s="62">
        <f t="shared" si="78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9"/>
        <v>0</v>
      </c>
      <c r="Q341" s="57">
        <f t="shared" si="78"/>
        <v>0</v>
      </c>
      <c r="R341" s="57">
        <f t="shared" si="78"/>
        <v>0</v>
      </c>
      <c r="S341" s="57">
        <f t="shared" si="78"/>
        <v>0</v>
      </c>
      <c r="T341" s="57">
        <f t="shared" si="78"/>
        <v>0</v>
      </c>
      <c r="U341" s="57">
        <f t="shared" si="78"/>
        <v>0</v>
      </c>
      <c r="V341" s="62">
        <f t="shared" si="78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9"/>
        <v>0</v>
      </c>
      <c r="Q342" s="57">
        <f t="shared" si="78"/>
        <v>0</v>
      </c>
      <c r="R342" s="57">
        <f t="shared" si="78"/>
        <v>0</v>
      </c>
      <c r="S342" s="57">
        <f t="shared" si="78"/>
        <v>0</v>
      </c>
      <c r="T342" s="57">
        <f t="shared" si="78"/>
        <v>0</v>
      </c>
      <c r="U342" s="57">
        <f t="shared" si="78"/>
        <v>0</v>
      </c>
      <c r="V342" s="62">
        <f t="shared" si="78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9"/>
        <v>0</v>
      </c>
      <c r="Q343" s="57">
        <f t="shared" si="78"/>
        <v>0</v>
      </c>
      <c r="R343" s="57">
        <f t="shared" si="78"/>
        <v>0</v>
      </c>
      <c r="S343" s="57">
        <f t="shared" si="78"/>
        <v>0</v>
      </c>
      <c r="T343" s="57">
        <f t="shared" si="78"/>
        <v>0</v>
      </c>
      <c r="U343" s="57">
        <f t="shared" si="78"/>
        <v>0</v>
      </c>
      <c r="V343" s="62">
        <f t="shared" si="78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9"/>
        <v>0</v>
      </c>
      <c r="Q344" s="57">
        <f t="shared" si="78"/>
        <v>0</v>
      </c>
      <c r="R344" s="57">
        <f t="shared" si="78"/>
        <v>0</v>
      </c>
      <c r="S344" s="57">
        <f t="shared" si="78"/>
        <v>0</v>
      </c>
      <c r="T344" s="57">
        <f t="shared" si="78"/>
        <v>0</v>
      </c>
      <c r="U344" s="57">
        <f t="shared" si="78"/>
        <v>0</v>
      </c>
      <c r="V344" s="62">
        <f t="shared" si="78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9"/>
        <v>0</v>
      </c>
      <c r="Q345" s="57">
        <f t="shared" si="78"/>
        <v>0</v>
      </c>
      <c r="R345" s="57">
        <f t="shared" si="78"/>
        <v>0</v>
      </c>
      <c r="S345" s="57">
        <f t="shared" si="78"/>
        <v>0</v>
      </c>
      <c r="T345" s="57">
        <f t="shared" si="78"/>
        <v>0</v>
      </c>
      <c r="U345" s="57">
        <f t="shared" si="78"/>
        <v>0</v>
      </c>
      <c r="V345" s="62">
        <f t="shared" si="78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9"/>
        <v>0</v>
      </c>
      <c r="Q346" s="57">
        <f t="shared" si="78"/>
        <v>0</v>
      </c>
      <c r="R346" s="57">
        <f t="shared" si="78"/>
        <v>0</v>
      </c>
      <c r="S346" s="57">
        <f t="shared" si="78"/>
        <v>0</v>
      </c>
      <c r="T346" s="57">
        <f t="shared" si="78"/>
        <v>0</v>
      </c>
      <c r="U346" s="57">
        <f t="shared" si="78"/>
        <v>0</v>
      </c>
      <c r="V346" s="62">
        <f t="shared" si="78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9"/>
        <v>0</v>
      </c>
      <c r="Q347" s="57">
        <f t="shared" si="78"/>
        <v>0</v>
      </c>
      <c r="R347" s="57">
        <f t="shared" si="78"/>
        <v>0</v>
      </c>
      <c r="S347" s="57">
        <f t="shared" si="78"/>
        <v>0</v>
      </c>
      <c r="T347" s="57">
        <f t="shared" si="78"/>
        <v>0</v>
      </c>
      <c r="U347" s="57">
        <f t="shared" si="78"/>
        <v>0</v>
      </c>
      <c r="V347" s="62">
        <f t="shared" si="78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9"/>
        <v>0</v>
      </c>
      <c r="Q348" s="57">
        <f t="shared" si="78"/>
        <v>0</v>
      </c>
      <c r="R348" s="57">
        <f t="shared" si="78"/>
        <v>0</v>
      </c>
      <c r="S348" s="57">
        <f t="shared" si="78"/>
        <v>0</v>
      </c>
      <c r="T348" s="57">
        <f t="shared" si="78"/>
        <v>0</v>
      </c>
      <c r="U348" s="57">
        <f t="shared" si="78"/>
        <v>0</v>
      </c>
      <c r="V348" s="62">
        <f t="shared" si="78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9"/>
        <v>0</v>
      </c>
      <c r="Q349" s="57">
        <f t="shared" si="78"/>
        <v>0</v>
      </c>
      <c r="R349" s="57">
        <f t="shared" si="78"/>
        <v>0</v>
      </c>
      <c r="S349" s="57">
        <f t="shared" si="78"/>
        <v>0</v>
      </c>
      <c r="T349" s="57">
        <f t="shared" si="78"/>
        <v>0</v>
      </c>
      <c r="U349" s="57">
        <f t="shared" si="78"/>
        <v>0</v>
      </c>
      <c r="V349" s="62">
        <f t="shared" si="78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80">SUM(Q339:Q349)</f>
        <v>0</v>
      </c>
      <c r="R351" s="37">
        <f t="shared" si="80"/>
        <v>0</v>
      </c>
      <c r="S351" s="37">
        <f t="shared" si="80"/>
        <v>0</v>
      </c>
      <c r="T351" s="37">
        <f t="shared" si="80"/>
        <v>0</v>
      </c>
      <c r="U351" s="37">
        <f t="shared" si="80"/>
        <v>0</v>
      </c>
      <c r="V351" s="64">
        <f t="shared" si="80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4" ht="12.75" customHeight="1"/>
    <row r="354" spans="2:24">
      <c r="B354" s="70" t="s">
        <v>122</v>
      </c>
      <c r="C354" s="71"/>
      <c r="D354" s="71"/>
    </row>
    <row r="356" spans="2:24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4">
      <c r="F357" s="63" t="s">
        <v>270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4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4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4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4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4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1">IFERROR(SUMPRODUCT($AM$73:$AM$87,Q$73:Q$87)/SUM(Q$73:Q$87)*Q$89,0)</f>
        <v>0</v>
      </c>
      <c r="R362" s="57">
        <f t="shared" si="81"/>
        <v>0</v>
      </c>
      <c r="S362" s="57">
        <f t="shared" si="81"/>
        <v>0</v>
      </c>
      <c r="T362" s="57">
        <f t="shared" si="81"/>
        <v>0</v>
      </c>
      <c r="U362" s="57">
        <f t="shared" si="81"/>
        <v>0</v>
      </c>
      <c r="V362" s="84">
        <f t="shared" si="81"/>
        <v>0</v>
      </c>
    </row>
    <row r="363" spans="2:24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82">IFERROR(SUMPRODUCT($AN$73:$AN$87,Q$73:Q$87)/SUM(Q$73:Q$87)*Q$89,0)</f>
        <v>0</v>
      </c>
      <c r="R363" s="57">
        <f t="shared" si="82"/>
        <v>0</v>
      </c>
      <c r="S363" s="57">
        <f t="shared" si="82"/>
        <v>0</v>
      </c>
      <c r="T363" s="57">
        <f t="shared" si="82"/>
        <v>0</v>
      </c>
      <c r="U363" s="57">
        <f t="shared" si="82"/>
        <v>0</v>
      </c>
      <c r="V363" s="62">
        <f t="shared" si="82"/>
        <v>0</v>
      </c>
    </row>
    <row r="364" spans="2:24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83">IFERROR(SUMPRODUCT($AO$73:$AO$87,Q$73:Q$87)/SUM(Q$73:Q$87)*Q$89,0)</f>
        <v>0</v>
      </c>
      <c r="R364" s="57">
        <f t="shared" si="83"/>
        <v>0</v>
      </c>
      <c r="S364" s="57">
        <f t="shared" si="83"/>
        <v>0</v>
      </c>
      <c r="T364" s="57">
        <f t="shared" si="83"/>
        <v>0</v>
      </c>
      <c r="U364" s="57">
        <f t="shared" si="83"/>
        <v>0</v>
      </c>
      <c r="V364" s="62">
        <f t="shared" si="83"/>
        <v>0</v>
      </c>
    </row>
    <row r="365" spans="2:24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84">IFERROR(SUMPRODUCT($AP$73:$AP$87,Q$73:Q$87)/SUM(Q$73:Q$87)*Q$89,0)</f>
        <v>0</v>
      </c>
      <c r="R365" s="57">
        <f t="shared" si="84"/>
        <v>0</v>
      </c>
      <c r="S365" s="57">
        <f t="shared" si="84"/>
        <v>0</v>
      </c>
      <c r="T365" s="57">
        <f t="shared" si="84"/>
        <v>0</v>
      </c>
      <c r="U365" s="57">
        <f t="shared" si="84"/>
        <v>0</v>
      </c>
      <c r="V365" s="62">
        <f t="shared" si="84"/>
        <v>0</v>
      </c>
      <c r="X365" s="75"/>
    </row>
    <row r="366" spans="2:24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85">IFERROR(SUMPRODUCT($AQ$73:$AQ$87,Q$73:Q$87)/SUM(Q$73:Q$87)*Q$89,0)</f>
        <v>0</v>
      </c>
      <c r="R366" s="57">
        <f t="shared" si="85"/>
        <v>0</v>
      </c>
      <c r="S366" s="57">
        <f t="shared" si="85"/>
        <v>0</v>
      </c>
      <c r="T366" s="57">
        <f t="shared" si="85"/>
        <v>0</v>
      </c>
      <c r="U366" s="57">
        <f t="shared" si="85"/>
        <v>0</v>
      </c>
      <c r="V366" s="62">
        <f t="shared" si="85"/>
        <v>0</v>
      </c>
      <c r="X366" s="75"/>
    </row>
    <row r="367" spans="2:24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86">IFERROR(SUMPRODUCT($AR$73:$AR$87,Q$73:Q$87)/SUM(Q$73:Q$87)*Q$89,0)</f>
        <v>0</v>
      </c>
      <c r="R367" s="57">
        <f t="shared" si="86"/>
        <v>0</v>
      </c>
      <c r="S367" s="57">
        <f t="shared" si="86"/>
        <v>0</v>
      </c>
      <c r="T367" s="57">
        <f t="shared" si="86"/>
        <v>0</v>
      </c>
      <c r="U367" s="57">
        <f t="shared" si="86"/>
        <v>0</v>
      </c>
      <c r="V367" s="62">
        <f t="shared" si="86"/>
        <v>0</v>
      </c>
    </row>
    <row r="368" spans="2:24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7">IFERROR(SUMPRODUCT($AS$73:$AS$87,Q$73:Q$87)/SUM(Q$73:Q$87)*Q$89,0)</f>
        <v>0</v>
      </c>
      <c r="R368" s="57">
        <f t="shared" si="87"/>
        <v>0</v>
      </c>
      <c r="S368" s="57">
        <f t="shared" si="87"/>
        <v>0</v>
      </c>
      <c r="T368" s="57">
        <f t="shared" si="87"/>
        <v>0</v>
      </c>
      <c r="U368" s="57">
        <f t="shared" si="87"/>
        <v>0</v>
      </c>
      <c r="V368" s="62">
        <f t="shared" si="87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8">IFERROR(SUMPRODUCT($AT$73:$AT$87,Q$73:Q$87)/SUM(Q$73:Q$87)*Q$89,0)</f>
        <v>0</v>
      </c>
      <c r="R369" s="57">
        <f t="shared" si="88"/>
        <v>0</v>
      </c>
      <c r="S369" s="57">
        <f t="shared" si="88"/>
        <v>0</v>
      </c>
      <c r="T369" s="57">
        <f t="shared" si="88"/>
        <v>0</v>
      </c>
      <c r="U369" s="57">
        <f t="shared" si="88"/>
        <v>0</v>
      </c>
      <c r="V369" s="62">
        <f t="shared" si="88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9">IFERROR(SUMPRODUCT($AU$73:$AU$87,Q$73:Q$87)/SUM(Q$73:Q$87)*Q$89,0)</f>
        <v>1265176.7551775048</v>
      </c>
      <c r="R370" s="57">
        <f t="shared" si="89"/>
        <v>1302171.7454052761</v>
      </c>
      <c r="S370" s="57">
        <f t="shared" si="89"/>
        <v>1209637.273472453</v>
      </c>
      <c r="T370" s="57">
        <f t="shared" si="89"/>
        <v>1362146.98511179</v>
      </c>
      <c r="U370" s="57">
        <f t="shared" si="89"/>
        <v>1152143.4439193378</v>
      </c>
      <c r="V370" s="62">
        <f t="shared" si="89"/>
        <v>1319004.4290862344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90">IFERROR(SUMPRODUCT($AV$73:$AV$87,Q$73:Q$87)/SUM(Q$73:Q$87)*Q$89,0)</f>
        <v>0</v>
      </c>
      <c r="R371" s="57">
        <f t="shared" si="90"/>
        <v>0</v>
      </c>
      <c r="S371" s="57">
        <f t="shared" si="90"/>
        <v>0</v>
      </c>
      <c r="T371" s="57">
        <f t="shared" si="90"/>
        <v>0</v>
      </c>
      <c r="U371" s="57">
        <f t="shared" si="90"/>
        <v>0</v>
      </c>
      <c r="V371" s="62">
        <f t="shared" si="90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1">IFERROR(SUMPRODUCT($AW$73:$AW$87,Q$73:Q$87)/SUM(Q$73:Q$87)*Q$89,0)</f>
        <v>0</v>
      </c>
      <c r="R372" s="57">
        <f t="shared" si="91"/>
        <v>0</v>
      </c>
      <c r="S372" s="57">
        <f t="shared" si="91"/>
        <v>0</v>
      </c>
      <c r="T372" s="57">
        <f t="shared" si="91"/>
        <v>0</v>
      </c>
      <c r="U372" s="57">
        <f t="shared" si="91"/>
        <v>0</v>
      </c>
      <c r="V372" s="62">
        <f t="shared" si="91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92">Q238</f>
        <v>0</v>
      </c>
      <c r="R373" s="57">
        <f t="shared" si="92"/>
        <v>0</v>
      </c>
      <c r="S373" s="57">
        <f t="shared" si="92"/>
        <v>0</v>
      </c>
      <c r="T373" s="57">
        <f t="shared" si="92"/>
        <v>0</v>
      </c>
      <c r="U373" s="57">
        <f t="shared" si="92"/>
        <v>0</v>
      </c>
      <c r="V373" s="62">
        <f t="shared" si="92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93">Q252</f>
        <v>0</v>
      </c>
      <c r="R374" s="57">
        <f t="shared" si="93"/>
        <v>0</v>
      </c>
      <c r="S374" s="57">
        <f t="shared" si="93"/>
        <v>0</v>
      </c>
      <c r="T374" s="57">
        <f t="shared" si="93"/>
        <v>0</v>
      </c>
      <c r="U374" s="57">
        <f t="shared" si="93"/>
        <v>0</v>
      </c>
      <c r="V374" s="62">
        <f t="shared" si="93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>SUM(Q362:Q372)*'General assumptions'!T47</f>
        <v>94687.975460786125</v>
      </c>
      <c r="R375" s="57">
        <f>SUM(R362:R372)*'General assumptions'!U47</f>
        <v>93978.788644583037</v>
      </c>
      <c r="S375" s="57">
        <f>SUM(S362:S372)*'General assumptions'!V47</f>
        <v>92250.683791879041</v>
      </c>
      <c r="T375" s="57">
        <f>SUM(T362:T372)*'General assumptions'!W47</f>
        <v>105466.48973737507</v>
      </c>
      <c r="U375" s="57">
        <f>SUM(U362:U372)*'General assumptions'!X47</f>
        <v>94148.188058862943</v>
      </c>
      <c r="V375" s="62">
        <f>SUM(V362:V372)*'General assumptions'!Y47</f>
        <v>111314.20519803332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8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94">SUM(P362:P375)</f>
        <v>0</v>
      </c>
      <c r="Q377" s="37">
        <f t="shared" si="94"/>
        <v>1359864.730638291</v>
      </c>
      <c r="R377" s="37">
        <f t="shared" si="94"/>
        <v>1396150.534049859</v>
      </c>
      <c r="S377" s="37">
        <f t="shared" si="94"/>
        <v>1301887.9572643321</v>
      </c>
      <c r="T377" s="37">
        <f t="shared" si="94"/>
        <v>1467613.4748491652</v>
      </c>
      <c r="U377" s="37">
        <f t="shared" si="94"/>
        <v>1246291.6319782007</v>
      </c>
      <c r="V377" s="64">
        <f t="shared" si="94"/>
        <v>1430318.6342842677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270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95">IFERROR(SUMPRODUCT($BB$73:$BB$87,Q$73:Q$87)/SUM(Q$73:Q$87)*Q$89*(1+Q$208),0)</f>
        <v>0</v>
      </c>
      <c r="R388" s="57">
        <f t="shared" si="95"/>
        <v>0</v>
      </c>
      <c r="S388" s="57">
        <f t="shared" si="95"/>
        <v>0</v>
      </c>
      <c r="T388" s="57">
        <f t="shared" si="95"/>
        <v>0</v>
      </c>
      <c r="U388" s="57">
        <f t="shared" si="95"/>
        <v>0</v>
      </c>
      <c r="V388" s="62">
        <f t="shared" si="95"/>
        <v>0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96">IFERROR(SUMPRODUCT($BC$73:$BC$87,Q$73:Q$87)/SUM(Q$73:Q$87)*Q$89*(1+Q$208),0)</f>
        <v>0</v>
      </c>
      <c r="R389" s="57">
        <f t="shared" si="96"/>
        <v>0</v>
      </c>
      <c r="S389" s="57">
        <f t="shared" si="96"/>
        <v>0</v>
      </c>
      <c r="T389" s="57">
        <f t="shared" si="96"/>
        <v>0</v>
      </c>
      <c r="U389" s="57">
        <f t="shared" si="96"/>
        <v>0</v>
      </c>
      <c r="V389" s="62">
        <f t="shared" si="96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7">IFERROR(SUMPRODUCT($BD$73:$BD$87,Q$73:Q$87)/SUM(Q$73:Q$87)*Q$89*(1+Q$208),0)</f>
        <v>0</v>
      </c>
      <c r="R390" s="57">
        <f t="shared" si="97"/>
        <v>0</v>
      </c>
      <c r="S390" s="57">
        <f t="shared" si="97"/>
        <v>0</v>
      </c>
      <c r="T390" s="57">
        <f t="shared" si="97"/>
        <v>0</v>
      </c>
      <c r="U390" s="57">
        <f t="shared" si="97"/>
        <v>0</v>
      </c>
      <c r="V390" s="62">
        <f t="shared" si="97"/>
        <v>0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8">IFERROR(SUMPRODUCT($BE$73:$BE$87,Q$73:Q$87)/SUM(Q$73:Q$87)*Q$89*(1+Q$208),0)</f>
        <v>0</v>
      </c>
      <c r="R391" s="57">
        <f t="shared" si="98"/>
        <v>0</v>
      </c>
      <c r="S391" s="57">
        <f t="shared" si="98"/>
        <v>0</v>
      </c>
      <c r="T391" s="57">
        <f t="shared" si="98"/>
        <v>0</v>
      </c>
      <c r="U391" s="57">
        <f t="shared" si="98"/>
        <v>0</v>
      </c>
      <c r="V391" s="62">
        <f t="shared" si="98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9">IFERROR(SUMPRODUCT($BF$73:$BF$87,Q$73:Q$87)/SUM(Q$73:Q$87)*Q$89*(1+Q$208),0)</f>
        <v>1359864.7306382912</v>
      </c>
      <c r="R392" s="57">
        <f t="shared" si="99"/>
        <v>1396150.534049859</v>
      </c>
      <c r="S392" s="57">
        <f t="shared" si="99"/>
        <v>1301887.9572643319</v>
      </c>
      <c r="T392" s="57">
        <f t="shared" si="99"/>
        <v>1467613.474849165</v>
      </c>
      <c r="U392" s="57">
        <f t="shared" si="99"/>
        <v>1246291.6319782007</v>
      </c>
      <c r="V392" s="62">
        <f t="shared" si="99"/>
        <v>1430318.6342842677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0">IFERROR(SUMPRODUCT($BG$73:$BG$87,Q$73:Q$87)/SUM(Q$73:Q$87)*Q$89*(1+Q$208),0)</f>
        <v>0</v>
      </c>
      <c r="R393" s="57">
        <f t="shared" si="100"/>
        <v>0</v>
      </c>
      <c r="S393" s="57">
        <f t="shared" si="100"/>
        <v>0</v>
      </c>
      <c r="T393" s="57">
        <f t="shared" si="100"/>
        <v>0</v>
      </c>
      <c r="U393" s="57">
        <f t="shared" si="100"/>
        <v>0</v>
      </c>
      <c r="V393" s="62">
        <f t="shared" si="100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01">IFERROR(SUMPRODUCT($BH$73:$BH$87,Q$73:Q$87)/SUM(Q$73:Q$87)*Q$89*(1+Q$208),0)</f>
        <v>0</v>
      </c>
      <c r="R394" s="57">
        <f t="shared" si="101"/>
        <v>0</v>
      </c>
      <c r="S394" s="57">
        <f t="shared" si="101"/>
        <v>0</v>
      </c>
      <c r="T394" s="57">
        <f t="shared" si="101"/>
        <v>0</v>
      </c>
      <c r="U394" s="57">
        <f t="shared" si="101"/>
        <v>0</v>
      </c>
      <c r="V394" s="62">
        <f t="shared" si="101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2">SUM(P388:P394)</f>
        <v>0</v>
      </c>
      <c r="Q396" s="37">
        <f t="shared" si="102"/>
        <v>1359864.7306382912</v>
      </c>
      <c r="R396" s="37">
        <f t="shared" si="102"/>
        <v>1396150.534049859</v>
      </c>
      <c r="S396" s="37">
        <f t="shared" si="102"/>
        <v>1301887.9572643319</v>
      </c>
      <c r="T396" s="37">
        <f t="shared" si="102"/>
        <v>1467613.474849165</v>
      </c>
      <c r="U396" s="37">
        <f t="shared" si="102"/>
        <v>1246291.6319782007</v>
      </c>
      <c r="V396" s="64">
        <f t="shared" si="102"/>
        <v>1430318.6342842677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47"/>
  <sheetViews>
    <sheetView topLeftCell="A16" workbookViewId="0">
      <selection activeCell="C37" sqref="C37"/>
    </sheetView>
  </sheetViews>
  <sheetFormatPr defaultColWidth="9.140625" defaultRowHeight="12"/>
  <cols>
    <col min="1" max="16384" width="9.140625" style="4"/>
  </cols>
  <sheetData>
    <row r="1" spans="1:3" s="3" customFormat="1">
      <c r="A1" s="2" t="s">
        <v>2</v>
      </c>
    </row>
    <row r="2" spans="1:3" s="1" customFormat="1">
      <c r="A2" s="3" t="s">
        <v>3</v>
      </c>
    </row>
    <row r="3" spans="1:3" s="1" customFormat="1">
      <c r="A3" s="22" t="s">
        <v>44</v>
      </c>
    </row>
    <row r="5" spans="1:3" ht="15">
      <c r="B5" s="6" t="s">
        <v>4</v>
      </c>
    </row>
    <row r="7" spans="1:3">
      <c r="B7" s="5" t="s">
        <v>5</v>
      </c>
      <c r="C7" s="5" t="s">
        <v>6</v>
      </c>
    </row>
    <row r="8" spans="1:3" s="94" customFormat="1">
      <c r="B8" s="38">
        <v>1</v>
      </c>
      <c r="C8" s="86" t="s">
        <v>432</v>
      </c>
    </row>
    <row r="9" spans="1:3">
      <c r="B9" s="4">
        <v>2</v>
      </c>
      <c r="C9" s="86" t="s">
        <v>350</v>
      </c>
    </row>
    <row r="10" spans="1:3">
      <c r="B10" s="38">
        <v>3</v>
      </c>
      <c r="C10" s="86" t="s">
        <v>59</v>
      </c>
    </row>
    <row r="11" spans="1:3" s="94" customFormat="1">
      <c r="B11" s="94">
        <v>4</v>
      </c>
      <c r="C11" s="86" t="s">
        <v>429</v>
      </c>
    </row>
    <row r="12" spans="1:3">
      <c r="B12" s="38">
        <v>5</v>
      </c>
      <c r="C12" s="86" t="s">
        <v>106</v>
      </c>
    </row>
    <row r="13" spans="1:3">
      <c r="B13" s="94">
        <v>6</v>
      </c>
      <c r="C13" s="86" t="s">
        <v>144</v>
      </c>
    </row>
    <row r="14" spans="1:3">
      <c r="B14" s="38">
        <v>7</v>
      </c>
      <c r="C14" s="86" t="s">
        <v>150</v>
      </c>
    </row>
    <row r="15" spans="1:3">
      <c r="B15" s="94">
        <v>8</v>
      </c>
      <c r="C15" s="86" t="s">
        <v>151</v>
      </c>
    </row>
    <row r="16" spans="1:3">
      <c r="B16" s="38">
        <v>9</v>
      </c>
      <c r="C16" s="86" t="s">
        <v>152</v>
      </c>
    </row>
    <row r="17" spans="2:13">
      <c r="B17" s="94">
        <v>10</v>
      </c>
      <c r="C17" s="86" t="s">
        <v>153</v>
      </c>
    </row>
    <row r="18" spans="2:13">
      <c r="B18" s="38">
        <v>11</v>
      </c>
      <c r="C18" s="86" t="s">
        <v>167</v>
      </c>
    </row>
    <row r="19" spans="2:13">
      <c r="B19" s="94">
        <v>12</v>
      </c>
      <c r="C19" s="86" t="s">
        <v>172</v>
      </c>
      <c r="D19" s="79"/>
      <c r="L19" s="94"/>
      <c r="M19" s="86"/>
    </row>
    <row r="20" spans="2:13">
      <c r="B20" s="38">
        <v>13</v>
      </c>
      <c r="C20" s="86" t="s">
        <v>175</v>
      </c>
      <c r="L20" s="94"/>
      <c r="M20" s="94"/>
    </row>
    <row r="21" spans="2:13">
      <c r="B21" s="94">
        <v>14</v>
      </c>
      <c r="C21" s="86" t="s">
        <v>176</v>
      </c>
      <c r="L21" s="94"/>
      <c r="M21" s="94"/>
    </row>
    <row r="22" spans="2:13">
      <c r="B22" s="38">
        <v>15</v>
      </c>
      <c r="C22" s="86" t="s">
        <v>178</v>
      </c>
      <c r="L22" s="94"/>
      <c r="M22" s="94"/>
    </row>
    <row r="23" spans="2:13">
      <c r="B23" s="94">
        <v>16</v>
      </c>
      <c r="C23" s="86" t="s">
        <v>185</v>
      </c>
      <c r="L23" s="94"/>
      <c r="M23" s="94"/>
    </row>
    <row r="24" spans="2:13">
      <c r="B24" s="38">
        <v>17</v>
      </c>
      <c r="C24" s="86" t="s">
        <v>187</v>
      </c>
      <c r="L24" s="94"/>
      <c r="M24" s="94"/>
    </row>
    <row r="25" spans="2:13">
      <c r="B25" s="94">
        <v>18</v>
      </c>
      <c r="C25" s="86" t="s">
        <v>191</v>
      </c>
      <c r="L25" s="94"/>
      <c r="M25" s="94"/>
    </row>
    <row r="26" spans="2:13">
      <c r="B26" s="38">
        <v>19</v>
      </c>
      <c r="C26" s="86" t="s">
        <v>192</v>
      </c>
      <c r="L26" s="94"/>
      <c r="M26" s="94"/>
    </row>
    <row r="27" spans="2:13">
      <c r="B27" s="94">
        <v>20</v>
      </c>
      <c r="C27" s="86" t="s">
        <v>195</v>
      </c>
      <c r="L27" s="94"/>
      <c r="M27" s="94"/>
    </row>
    <row r="28" spans="2:13">
      <c r="B28" s="38">
        <v>21</v>
      </c>
      <c r="C28" s="86" t="s">
        <v>196</v>
      </c>
      <c r="L28" s="94"/>
      <c r="M28" s="94"/>
    </row>
    <row r="29" spans="2:13">
      <c r="B29" s="94">
        <v>22</v>
      </c>
      <c r="C29" s="86" t="s">
        <v>204</v>
      </c>
      <c r="L29" s="94"/>
      <c r="M29" s="94"/>
    </row>
    <row r="30" spans="2:13">
      <c r="B30" s="38">
        <v>23</v>
      </c>
      <c r="C30" s="86" t="s">
        <v>206</v>
      </c>
      <c r="L30" s="94"/>
      <c r="M30" s="94"/>
    </row>
    <row r="31" spans="2:13">
      <c r="B31" s="94">
        <v>24</v>
      </c>
      <c r="C31" s="86" t="s">
        <v>207</v>
      </c>
      <c r="L31" s="94"/>
      <c r="M31" s="94"/>
    </row>
    <row r="32" spans="2:13">
      <c r="B32" s="38">
        <v>25</v>
      </c>
      <c r="C32" s="86" t="s">
        <v>208</v>
      </c>
      <c r="L32" s="94"/>
      <c r="M32" s="94"/>
    </row>
    <row r="33" spans="1:13">
      <c r="B33" s="94">
        <v>26</v>
      </c>
      <c r="C33" s="86" t="s">
        <v>211</v>
      </c>
      <c r="L33" s="94"/>
      <c r="M33" s="94"/>
    </row>
    <row r="34" spans="1:13">
      <c r="B34" s="38">
        <v>27</v>
      </c>
      <c r="C34" s="86" t="s">
        <v>213</v>
      </c>
      <c r="L34" s="94"/>
      <c r="M34" s="94"/>
    </row>
    <row r="35" spans="1:13">
      <c r="B35" s="94">
        <v>28</v>
      </c>
      <c r="C35" s="86" t="s">
        <v>214</v>
      </c>
    </row>
    <row r="36" spans="1:13">
      <c r="B36" s="38">
        <v>29</v>
      </c>
      <c r="C36" s="86" t="s">
        <v>215</v>
      </c>
    </row>
    <row r="37" spans="1:13">
      <c r="B37" s="94">
        <v>30</v>
      </c>
      <c r="C37" s="86" t="s">
        <v>224</v>
      </c>
    </row>
    <row r="38" spans="1:13">
      <c r="B38" s="38">
        <v>31</v>
      </c>
      <c r="C38" s="86" t="s">
        <v>217</v>
      </c>
    </row>
    <row r="39" spans="1:13">
      <c r="B39" s="94">
        <v>32</v>
      </c>
      <c r="C39" s="86" t="s">
        <v>222</v>
      </c>
    </row>
    <row r="40" spans="1:13" s="94" customFormat="1">
      <c r="B40" s="38">
        <v>33</v>
      </c>
      <c r="C40" s="86" t="s">
        <v>232</v>
      </c>
    </row>
    <row r="41" spans="1:13" s="94" customFormat="1">
      <c r="B41" s="94">
        <v>34</v>
      </c>
      <c r="C41" s="86" t="s">
        <v>340</v>
      </c>
    </row>
    <row r="42" spans="1:13" s="94" customFormat="1">
      <c r="B42" s="38">
        <v>35</v>
      </c>
      <c r="C42" s="86" t="s">
        <v>342</v>
      </c>
    </row>
    <row r="43" spans="1:13" s="94" customFormat="1">
      <c r="B43" s="94">
        <v>36</v>
      </c>
      <c r="C43" s="86" t="s">
        <v>415</v>
      </c>
    </row>
    <row r="44" spans="1:13" s="94" customFormat="1">
      <c r="B44" s="38">
        <v>37</v>
      </c>
      <c r="C44" s="86" t="s">
        <v>154</v>
      </c>
    </row>
    <row r="45" spans="1:13" s="94" customFormat="1">
      <c r="B45" s="94">
        <v>38</v>
      </c>
      <c r="C45" s="86" t="s">
        <v>396</v>
      </c>
    </row>
    <row r="46" spans="1:13" s="94" customFormat="1">
      <c r="C46" s="86"/>
    </row>
    <row r="47" spans="1:13" s="1" customFormat="1">
      <c r="A47" s="2"/>
      <c r="B47" s="2" t="s">
        <v>42</v>
      </c>
    </row>
  </sheetData>
  <hyperlinks>
    <hyperlink ref="A3" location="'Cover page'!A1" display="Back to title page"/>
    <hyperlink ref="C10" location="'General assumptions'!A1" display="General assumptions"/>
    <hyperlink ref="C12" location="'Capex forecast - 3001'!A1" display="Capex forecast for work code 3001 (low pressure replacement - planned)"/>
    <hyperlink ref="C13" location="'Capex forecast - 3002'!A1" display="Capex forecast for work code 3002 (low pressure replacement - ad hoc)"/>
    <hyperlink ref="C14" location="'Capex forecast - 3003'!A1" display="Capex forecast for work code 3003 (medium pressure replacement - planned)"/>
    <hyperlink ref="C15" location="'Capex forecast - 3004'!A1" display="Capex forecast for work code 3004 (medium pressure replacement - ad hoc)"/>
    <hyperlink ref="C16" location="'Capex forecast - 3005'!A1" display="Capex forecast for work code 3005 (high pressure replacement - planned)"/>
    <hyperlink ref="C17" location="'Capex forecast - 3006'!A1" display="Capex forecast for work code 3004 (high pressure replacement - ad hoc)"/>
    <hyperlink ref="C18" location="'Capex forecast - 3007'!A1" display="Capex forecast for work code 3007 (residential meters - planned)"/>
    <hyperlink ref="C19" location="'Capex forecast - 3008'!A1" display="Capex forecast for work code 3008 (residential meters - ad hoc)"/>
    <hyperlink ref="C20" location="'Capex forecast - 3009'!A1" display="Capex forecast for work code 3009 (industrial and commercial meters - planned)"/>
    <hyperlink ref="C21" location="'Capex forecast - 3010'!A1" display="Capex forecast for work code 3010 (industrial and commercial meters - ad hoc)"/>
    <hyperlink ref="C22" location="'Capex forecast - 3011'!A1" display="Capex forecast for work code 3011 (network regulators - planned)"/>
    <hyperlink ref="C23" location="'Capex forecast - 3012'!A1" display="Capex forecast for work code 3012 (network regulators - ad hoc)"/>
    <hyperlink ref="C24" location="'Capex forecast - 3013'!A1" display="Capex forecast for work code 3013 (customer regulators - planned)"/>
    <hyperlink ref="C25" location="'Capex forecast - 3014'!A1" display="Capex forecast for work code 3014 (customer regulators - ad hoc)"/>
    <hyperlink ref="C26" location="'Capex forecast - 3015'!A1" display="Capex forecast for work code 3015 (cathodic protection)"/>
    <hyperlink ref="C27" location="'Capex forecast - 3016'!A1" display="Capex forecast for work code 3016 (SCADA)"/>
    <hyperlink ref="C28" location="'Capex forecast - 3017'!A1" display="Capex forecast for work code 3017 (augmentation)"/>
    <hyperlink ref="C29" location="'Capex forecast - 3018'!A1" display="Capex forecast for work code 3018 (other non-demand)"/>
    <hyperlink ref="C30" location="'Capex forecast - 3019'!A1" display="Capex forecast for work code 3019 (residential connections)"/>
    <hyperlink ref="C31" location="'Capex forecast - 3020'!A1" display="Capex forecast for work code 3020 (industrial and commercial connections)"/>
    <hyperlink ref="C32" location="'Capex forecast - 3021'!A1" display="Capex forecast for work code 3021 (Tariff D connections)"/>
    <hyperlink ref="C33" location="'Capex forecast - 3022'!A1" display="Capex forecast for work code 3022 (major alterations)"/>
    <hyperlink ref="C34" location="'Capex forecast - 3023'!A1" display="Capex forecast for work code 3023 (Extensions - New Towns)"/>
    <hyperlink ref="C35" location="'Capex forecast - 3024'!A1" display="Capex forecast for work code 3024 (Extensions - Other)"/>
    <hyperlink ref="C36" location="'Capex forecast - 3025'!A1" display="Capex forecast for work code 3025 (City Gate Security Fence Upgrades)"/>
    <hyperlink ref="C37" location="'Capex forecast - IT'!A1" display="Capex forecast for IT"/>
    <hyperlink ref="C38" location="'Capex forecast - other non-IT'!A1" display="Capex forecast for other non-IT"/>
    <hyperlink ref="C39" location="'Capex forecast - work code'!A1" display="Capex forecast by work code"/>
    <hyperlink ref="C40" location="'Capex forecast - RAB'!A1" display="Capex forecast by RAB category"/>
    <hyperlink ref="C41" location="'Capex forecast - driver'!A1" display="Capex forecast by driver"/>
    <hyperlink ref="C42" location="'Capex forecast - tax'!A1" display="Capex forecast by tax category"/>
    <hyperlink ref="C44" location="'Overheads forecast'!A1" display="Overheads analysis"/>
    <hyperlink ref="C9" location="'Forecast summary'!A1" display="Forecast summary"/>
    <hyperlink ref="C8" location="'PTRM &amp; RFM input'!A1" display="PTRM &amp; RFM input"/>
    <hyperlink ref="C11" location="'AMP inputs'!A1" display="AMP inputs"/>
    <hyperlink ref="C43" location="'Capex forecast - input type'!A1" display="Capex forecast by input type"/>
    <hyperlink ref="C45" location="'Labour price forecast'!A1" display="Labour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I399"/>
  <sheetViews>
    <sheetView topLeftCell="E10" workbookViewId="0">
      <selection activeCell="R34" sqref="R3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2</v>
      </c>
    </row>
    <row r="2" spans="1:7" s="1" customFormat="1">
      <c r="A2" s="3" t="s">
        <v>191</v>
      </c>
    </row>
    <row r="3" spans="1:7" s="1" customFormat="1">
      <c r="A3" s="3" t="s">
        <v>95</v>
      </c>
    </row>
    <row r="4" spans="1:7" s="1" customFormat="1">
      <c r="A4" s="22" t="s">
        <v>43</v>
      </c>
    </row>
    <row r="6" spans="1:7" s="1" customFormat="1">
      <c r="A6" s="2">
        <v>2</v>
      </c>
      <c r="B6" s="2" t="s">
        <v>45</v>
      </c>
    </row>
    <row r="9" spans="1:7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</row>
    <row r="10" spans="1:7">
      <c r="B10" s="8" t="s">
        <v>358</v>
      </c>
      <c r="D10" s="10">
        <v>0.02</v>
      </c>
      <c r="E10" s="10">
        <v>0.38</v>
      </c>
      <c r="F10" s="26">
        <f>D10+E10</f>
        <v>0.4</v>
      </c>
      <c r="G10" s="26">
        <f>1-F10</f>
        <v>0.6</v>
      </c>
    </row>
    <row r="11" spans="1:7">
      <c r="B11" s="8" t="s">
        <v>359</v>
      </c>
      <c r="D11" s="10">
        <v>0.02</v>
      </c>
      <c r="E11" s="10">
        <v>0.38</v>
      </c>
      <c r="F11" s="26">
        <f>D11+E11</f>
        <v>0.4</v>
      </c>
      <c r="G11" s="26">
        <f>1-F11</f>
        <v>0.6</v>
      </c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32">
      <c r="B17" s="8"/>
      <c r="D17" s="10"/>
      <c r="E17" s="10"/>
      <c r="F17" s="27"/>
      <c r="G17" s="27"/>
    </row>
    <row r="18" spans="1:32">
      <c r="B18" s="8"/>
      <c r="D18" s="10"/>
      <c r="E18" s="10"/>
      <c r="F18" s="27"/>
      <c r="G18" s="27"/>
    </row>
    <row r="19" spans="1:32">
      <c r="B19" s="8"/>
      <c r="D19" s="10"/>
      <c r="E19" s="10"/>
      <c r="F19" s="27"/>
      <c r="G19" s="27"/>
    </row>
    <row r="20" spans="1:32">
      <c r="B20" s="8"/>
      <c r="D20" s="10"/>
      <c r="E20" s="10"/>
      <c r="F20" s="27"/>
      <c r="G20" s="27"/>
    </row>
    <row r="21" spans="1:32">
      <c r="B21" s="8"/>
      <c r="D21" s="10"/>
      <c r="E21" s="10"/>
      <c r="F21" s="27"/>
      <c r="G21" s="27"/>
    </row>
    <row r="22" spans="1:32">
      <c r="B22" s="8"/>
      <c r="D22" s="10"/>
      <c r="E22" s="10"/>
      <c r="F22" s="27"/>
      <c r="G22" s="27"/>
    </row>
    <row r="23" spans="1:32">
      <c r="B23" s="8"/>
      <c r="D23" s="10"/>
      <c r="E23" s="10"/>
      <c r="F23" s="27"/>
      <c r="G23" s="27"/>
    </row>
    <row r="24" spans="1:32">
      <c r="B24" s="8"/>
      <c r="D24" s="10"/>
      <c r="E24" s="10"/>
      <c r="F24" s="27"/>
      <c r="G24" s="27"/>
    </row>
    <row r="26" spans="1:32" s="1" customFormat="1">
      <c r="A26" s="2">
        <v>3</v>
      </c>
      <c r="B26" s="2" t="s">
        <v>51</v>
      </c>
    </row>
    <row r="27" spans="1:32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32">
      <c r="G28" s="30"/>
      <c r="H28" s="190" t="s">
        <v>52</v>
      </c>
      <c r="I28" s="190"/>
      <c r="J28" s="190"/>
      <c r="K28" s="190"/>
      <c r="L28" s="190"/>
      <c r="M28" s="190" t="s">
        <v>53</v>
      </c>
      <c r="N28" s="190"/>
      <c r="O28" s="190"/>
      <c r="P28" s="190"/>
      <c r="Q28" s="190"/>
      <c r="R28" s="190" t="s">
        <v>54</v>
      </c>
      <c r="S28" s="190"/>
      <c r="T28" s="190"/>
      <c r="U28" s="190"/>
      <c r="V28" s="190"/>
    </row>
    <row r="29" spans="1:32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  <c r="Z29" s="94"/>
      <c r="AA29" s="94"/>
      <c r="AB29" s="94"/>
      <c r="AC29" s="94"/>
      <c r="AD29" s="94"/>
      <c r="AE29" s="94"/>
      <c r="AF29" s="94"/>
    </row>
    <row r="30" spans="1:32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  <c r="Z30" s="94"/>
      <c r="AA30" s="94"/>
      <c r="AB30" s="94"/>
      <c r="AC30" s="94"/>
      <c r="AD30" s="94"/>
      <c r="AE30" s="94"/>
      <c r="AF30" s="94"/>
    </row>
    <row r="31" spans="1:32">
      <c r="B31" s="4" t="str">
        <f>IF(B10&lt;&gt;"",B10,"[blank]")</f>
        <v>Miscellanous work</v>
      </c>
      <c r="D31" s="31" t="s">
        <v>60</v>
      </c>
      <c r="E31" s="31"/>
      <c r="P31" s="77"/>
      <c r="Q31" s="33">
        <f>'AMP inputs'!G45*'General assumptions'!$S$21*($D10*'General assumptions'!T$35+$E10*'General assumptions'!T$36+$G10*'General assumptions'!T$42)</f>
        <v>204210.63121766859</v>
      </c>
      <c r="R31" s="33">
        <f>'AMP inputs'!H45*'General assumptions'!$S$21*($D10*'General assumptions'!U$35+$E10*'General assumptions'!U$36+$G10*'General assumptions'!U$42)</f>
        <v>204812.41694831624</v>
      </c>
      <c r="S31" s="33">
        <f>'AMP inputs'!I45*'General assumptions'!$S$21*($D10*'General assumptions'!V$35+$E10*'General assumptions'!V$36+$G10*'General assumptions'!V$42)</f>
        <v>205568.54596896056</v>
      </c>
      <c r="T31" s="33">
        <f>'AMP inputs'!J45*'General assumptions'!$S$21*($D10*'General assumptions'!W$35+$E10*'General assumptions'!W$36+$G10*'General assumptions'!W$42)</f>
        <v>206544.72721248385</v>
      </c>
      <c r="U31" s="33">
        <f>'AMP inputs'!K45*'General assumptions'!$S$21*($D10*'General assumptions'!X$35+$E10*'General assumptions'!X$36+$G10*'General assumptions'!X$42)</f>
        <v>207833.07668651018</v>
      </c>
      <c r="V31" s="33">
        <f>'AMP inputs'!L45*'General assumptions'!$S$21*($D10*'General assumptions'!Y$35+$E10*'General assumptions'!Y$36+$G10*'General assumptions'!Y$42)</f>
        <v>209233.76585190051</v>
      </c>
      <c r="X31" s="20"/>
      <c r="Z31" s="94"/>
      <c r="AA31" s="95"/>
      <c r="AB31" s="95"/>
      <c r="AC31" s="95"/>
      <c r="AD31" s="95"/>
      <c r="AE31" s="95"/>
      <c r="AF31" s="94"/>
    </row>
    <row r="32" spans="1:32">
      <c r="B32" s="4" t="str">
        <f t="shared" ref="B32:B45" si="0">IF(B11&lt;&gt;"",B11,"[blank]")</f>
        <v>Domestic regulators</v>
      </c>
      <c r="D32" s="31" t="s">
        <v>179</v>
      </c>
      <c r="E32" s="31"/>
      <c r="P32" s="182"/>
      <c r="Q32" s="182"/>
      <c r="R32" s="182"/>
      <c r="S32" s="182"/>
      <c r="T32" s="182"/>
      <c r="U32" s="182"/>
      <c r="V32" s="182"/>
      <c r="X32" s="20"/>
      <c r="Z32" s="94"/>
      <c r="AA32" s="94"/>
      <c r="AB32" s="94"/>
      <c r="AC32" s="94"/>
      <c r="AD32" s="94"/>
      <c r="AE32" s="94"/>
      <c r="AF32" s="94"/>
    </row>
    <row r="33" spans="1:32">
      <c r="B33" s="4" t="str">
        <f t="shared" si="0"/>
        <v>[blank]</v>
      </c>
      <c r="D33" s="31"/>
      <c r="P33" s="77"/>
      <c r="Q33" s="77"/>
      <c r="R33" s="77"/>
      <c r="S33" s="77"/>
      <c r="T33" s="77"/>
      <c r="U33" s="77"/>
      <c r="V33" s="77"/>
      <c r="X33" s="20"/>
      <c r="Z33" s="94"/>
      <c r="AA33" s="94"/>
      <c r="AB33" s="94"/>
      <c r="AC33" s="94"/>
      <c r="AD33" s="94"/>
      <c r="AE33" s="94"/>
      <c r="AF33" s="94"/>
    </row>
    <row r="34" spans="1:32">
      <c r="B34" s="4" t="str">
        <f t="shared" si="0"/>
        <v>[blank]</v>
      </c>
      <c r="D34" s="31"/>
      <c r="Q34" s="67"/>
      <c r="R34" s="67"/>
      <c r="S34" s="67"/>
      <c r="T34" s="67"/>
      <c r="U34" s="67"/>
      <c r="V34" s="67"/>
      <c r="X34" s="20"/>
    </row>
    <row r="35" spans="1:32">
      <c r="B35" s="4" t="str">
        <f t="shared" si="0"/>
        <v>[blank]</v>
      </c>
      <c r="D35" s="31"/>
    </row>
    <row r="36" spans="1:32">
      <c r="B36" s="4" t="str">
        <f t="shared" si="0"/>
        <v>[blank]</v>
      </c>
      <c r="D36" s="31"/>
    </row>
    <row r="37" spans="1:32">
      <c r="B37" s="4" t="str">
        <f t="shared" si="0"/>
        <v>[blank]</v>
      </c>
      <c r="D37" s="31"/>
    </row>
    <row r="38" spans="1:32">
      <c r="B38" s="4" t="str">
        <f t="shared" si="0"/>
        <v>[blank]</v>
      </c>
      <c r="D38" s="31"/>
    </row>
    <row r="39" spans="1:32">
      <c r="B39" s="4" t="str">
        <f t="shared" si="0"/>
        <v>[blank]</v>
      </c>
      <c r="D39" s="31"/>
    </row>
    <row r="40" spans="1:32">
      <c r="B40" s="4" t="str">
        <f t="shared" si="0"/>
        <v>[blank]</v>
      </c>
      <c r="D40" s="31"/>
    </row>
    <row r="41" spans="1:32">
      <c r="B41" s="4" t="str">
        <f t="shared" si="0"/>
        <v>[blank]</v>
      </c>
      <c r="D41" s="31"/>
    </row>
    <row r="42" spans="1:32">
      <c r="B42" s="4" t="str">
        <f t="shared" si="0"/>
        <v>[blank]</v>
      </c>
      <c r="D42" s="31"/>
    </row>
    <row r="43" spans="1:32">
      <c r="B43" s="4" t="str">
        <f t="shared" si="0"/>
        <v>[blank]</v>
      </c>
      <c r="D43" s="31"/>
    </row>
    <row r="44" spans="1:32">
      <c r="B44" s="4" t="str">
        <f t="shared" si="0"/>
        <v>[blank]</v>
      </c>
      <c r="D44" s="31"/>
    </row>
    <row r="45" spans="1:32">
      <c r="B45" s="4" t="str">
        <f t="shared" si="0"/>
        <v>[blank]</v>
      </c>
      <c r="D45" s="31"/>
    </row>
    <row r="47" spans="1:32" s="1" customFormat="1">
      <c r="A47" s="2">
        <v>4</v>
      </c>
      <c r="B47" s="2" t="s">
        <v>56</v>
      </c>
    </row>
    <row r="49" spans="2:33">
      <c r="H49" s="190" t="s">
        <v>52</v>
      </c>
      <c r="I49" s="190"/>
      <c r="J49" s="190"/>
      <c r="K49" s="190"/>
      <c r="L49" s="190"/>
      <c r="M49" s="190" t="s">
        <v>53</v>
      </c>
      <c r="N49" s="190"/>
      <c r="O49" s="190"/>
      <c r="P49" s="190"/>
      <c r="Q49" s="190"/>
      <c r="R49" s="190" t="s">
        <v>54</v>
      </c>
      <c r="S49" s="190"/>
      <c r="T49" s="190"/>
      <c r="U49" s="190"/>
      <c r="V49" s="190"/>
      <c r="X49" s="20"/>
    </row>
    <row r="50" spans="2:33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33">
      <c r="B51" s="5" t="s">
        <v>46</v>
      </c>
      <c r="D51" s="29" t="s">
        <v>55</v>
      </c>
      <c r="H51" s="16" t="s">
        <v>12</v>
      </c>
      <c r="I51" s="16" t="s">
        <v>12</v>
      </c>
      <c r="J51" s="16" t="s">
        <v>12</v>
      </c>
      <c r="K51" s="16" t="s">
        <v>12</v>
      </c>
      <c r="L51" s="16" t="s">
        <v>12</v>
      </c>
      <c r="M51" s="16" t="s">
        <v>12</v>
      </c>
      <c r="N51" s="16" t="s">
        <v>12</v>
      </c>
      <c r="O51" s="16" t="s">
        <v>12</v>
      </c>
      <c r="P51" s="16" t="s">
        <v>13</v>
      </c>
      <c r="Q51" s="16" t="s">
        <v>13</v>
      </c>
      <c r="R51" s="16" t="s">
        <v>13</v>
      </c>
      <c r="S51" s="16" t="s">
        <v>13</v>
      </c>
      <c r="T51" s="16" t="s">
        <v>13</v>
      </c>
      <c r="U51" s="16" t="s">
        <v>13</v>
      </c>
      <c r="V51" s="16" t="s">
        <v>13</v>
      </c>
    </row>
    <row r="52" spans="2:33">
      <c r="B52" s="4" t="str">
        <f>IF(B10&lt;&gt;"",B10,"[blank]")</f>
        <v>Miscellanous work</v>
      </c>
      <c r="D52" s="31" t="s">
        <v>364</v>
      </c>
      <c r="P52" s="77"/>
      <c r="Q52" s="33">
        <f>'AMP inputs'!N45</f>
        <v>1</v>
      </c>
      <c r="R52" s="33">
        <f>'AMP inputs'!O45</f>
        <v>1</v>
      </c>
      <c r="S52" s="33">
        <f>'AMP inputs'!P45</f>
        <v>1</v>
      </c>
      <c r="T52" s="33">
        <f>'AMP inputs'!Q45</f>
        <v>1</v>
      </c>
      <c r="U52" s="33">
        <f>'AMP inputs'!R45</f>
        <v>1</v>
      </c>
      <c r="V52" s="33">
        <f>'AMP inputs'!S45</f>
        <v>1</v>
      </c>
      <c r="X52" s="20"/>
      <c r="Z52" s="94"/>
      <c r="AA52" s="94"/>
      <c r="AB52" s="94"/>
      <c r="AC52" s="94"/>
      <c r="AD52" s="94"/>
      <c r="AE52" s="94"/>
      <c r="AF52" s="94"/>
      <c r="AG52" s="94"/>
    </row>
    <row r="53" spans="2:33">
      <c r="B53" s="4" t="str">
        <f t="shared" ref="B53:B66" si="1">IF(B11&lt;&gt;"",B11,"[blank]")</f>
        <v>Domestic regulators</v>
      </c>
      <c r="D53" s="31" t="s">
        <v>180</v>
      </c>
      <c r="P53" s="77"/>
      <c r="Q53" s="184"/>
      <c r="R53" s="184"/>
      <c r="S53" s="184"/>
      <c r="T53" s="184"/>
      <c r="U53" s="184"/>
      <c r="V53" s="184"/>
      <c r="X53" s="20"/>
      <c r="Z53" s="94"/>
      <c r="AA53" s="95"/>
      <c r="AB53" s="95"/>
      <c r="AC53" s="95"/>
      <c r="AD53" s="95"/>
      <c r="AE53" s="95"/>
      <c r="AF53" s="95"/>
      <c r="AG53" s="95"/>
    </row>
    <row r="54" spans="2:33">
      <c r="B54" s="4" t="str">
        <f t="shared" si="1"/>
        <v>[blank]</v>
      </c>
      <c r="D54" s="31"/>
      <c r="P54" s="77"/>
      <c r="Q54" s="77"/>
      <c r="R54" s="77"/>
      <c r="S54" s="77"/>
      <c r="T54" s="77"/>
      <c r="U54" s="77"/>
      <c r="V54" s="77"/>
      <c r="X54" s="20"/>
      <c r="Z54" s="94"/>
      <c r="AA54" s="94"/>
      <c r="AB54" s="94"/>
      <c r="AC54" s="94"/>
      <c r="AD54" s="94"/>
      <c r="AE54" s="94"/>
      <c r="AF54" s="94"/>
      <c r="AG54" s="94"/>
    </row>
    <row r="55" spans="2:33">
      <c r="B55" s="4" t="str">
        <f t="shared" si="1"/>
        <v>[blank]</v>
      </c>
      <c r="D55" s="31"/>
      <c r="P55" s="77"/>
      <c r="Q55" s="77"/>
      <c r="R55" s="77"/>
      <c r="S55" s="77"/>
      <c r="T55" s="77"/>
      <c r="U55" s="77"/>
      <c r="V55" s="77"/>
      <c r="X55" s="20"/>
    </row>
    <row r="56" spans="2:33">
      <c r="B56" s="4" t="str">
        <f t="shared" si="1"/>
        <v>[blank]</v>
      </c>
      <c r="D56" s="31"/>
    </row>
    <row r="57" spans="2:33">
      <c r="B57" s="4" t="str">
        <f t="shared" si="1"/>
        <v>[blank]</v>
      </c>
      <c r="D57" s="31"/>
    </row>
    <row r="58" spans="2:33">
      <c r="B58" s="4" t="str">
        <f t="shared" si="1"/>
        <v>[blank]</v>
      </c>
      <c r="D58" s="31"/>
    </row>
    <row r="59" spans="2:33">
      <c r="B59" s="4" t="str">
        <f t="shared" si="1"/>
        <v>[blank]</v>
      </c>
      <c r="D59" s="31"/>
    </row>
    <row r="60" spans="2:33">
      <c r="B60" s="4" t="str">
        <f t="shared" si="1"/>
        <v>[blank]</v>
      </c>
      <c r="D60" s="31"/>
    </row>
    <row r="61" spans="2:33">
      <c r="B61" s="4" t="str">
        <f t="shared" si="1"/>
        <v>[blank]</v>
      </c>
      <c r="D61" s="31"/>
    </row>
    <row r="62" spans="2:33">
      <c r="B62" s="4" t="str">
        <f t="shared" si="1"/>
        <v>[blank]</v>
      </c>
      <c r="D62" s="31"/>
    </row>
    <row r="63" spans="2:33">
      <c r="B63" s="4" t="str">
        <f t="shared" si="1"/>
        <v>[blank]</v>
      </c>
      <c r="D63" s="31"/>
    </row>
    <row r="64" spans="2:33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  <c r="O65" s="94"/>
      <c r="P65" s="94"/>
      <c r="Q65" s="94"/>
      <c r="R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</row>
    <row r="66" spans="1:61">
      <c r="B66" s="4" t="str">
        <f t="shared" si="1"/>
        <v>[blank]</v>
      </c>
      <c r="D66" s="31"/>
      <c r="O66" s="94"/>
      <c r="P66" s="102"/>
      <c r="Q66" s="102"/>
      <c r="R66" s="94"/>
      <c r="Z66" s="102"/>
      <c r="AA66" s="102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102"/>
      <c r="AN66" s="102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102"/>
      <c r="BC66" s="102"/>
      <c r="BD66" s="94"/>
    </row>
    <row r="68" spans="1:61" s="1" customFormat="1">
      <c r="A68" s="2">
        <v>5</v>
      </c>
      <c r="B68" s="2" t="s">
        <v>61</v>
      </c>
    </row>
    <row r="69" spans="1:61">
      <c r="Z69" s="5" t="s">
        <v>73</v>
      </c>
      <c r="AM69" s="5" t="s">
        <v>110</v>
      </c>
      <c r="BB69" s="5" t="s">
        <v>133</v>
      </c>
    </row>
    <row r="70" spans="1:61">
      <c r="H70" s="190" t="s">
        <v>52</v>
      </c>
      <c r="I70" s="190"/>
      <c r="J70" s="190"/>
      <c r="K70" s="190"/>
      <c r="L70" s="190"/>
      <c r="M70" s="190" t="s">
        <v>53</v>
      </c>
      <c r="N70" s="190"/>
      <c r="O70" s="190"/>
      <c r="P70" s="190"/>
      <c r="Q70" s="190"/>
      <c r="R70" s="190" t="s">
        <v>54</v>
      </c>
      <c r="S70" s="190"/>
      <c r="T70" s="190"/>
      <c r="U70" s="190"/>
      <c r="V70" s="190"/>
      <c r="X70" s="38"/>
      <c r="Z70" s="39" t="s">
        <v>69</v>
      </c>
      <c r="AA70" s="39" t="s">
        <v>70</v>
      </c>
      <c r="AB70" s="39" t="s">
        <v>71</v>
      </c>
      <c r="AC70" s="39" t="s">
        <v>72</v>
      </c>
      <c r="AD70" s="39" t="s">
        <v>64</v>
      </c>
      <c r="AE70" s="39" t="s">
        <v>65</v>
      </c>
      <c r="AF70" s="39" t="s">
        <v>66</v>
      </c>
      <c r="AG70" s="39" t="s">
        <v>107</v>
      </c>
      <c r="AH70" s="39" t="s">
        <v>67</v>
      </c>
      <c r="AI70" s="39" t="s">
        <v>68</v>
      </c>
      <c r="AJ70" s="39" t="s">
        <v>108</v>
      </c>
      <c r="AM70" s="39" t="s">
        <v>111</v>
      </c>
      <c r="AN70" s="39" t="s">
        <v>112</v>
      </c>
      <c r="AO70" s="39" t="s">
        <v>113</v>
      </c>
      <c r="AP70" s="39" t="s">
        <v>114</v>
      </c>
      <c r="AQ70" s="39" t="s">
        <v>115</v>
      </c>
      <c r="AR70" s="39" t="s">
        <v>36</v>
      </c>
      <c r="AS70" s="39" t="s">
        <v>116</v>
      </c>
      <c r="AT70" s="39" t="s">
        <v>35</v>
      </c>
      <c r="AU70" s="39" t="s">
        <v>117</v>
      </c>
      <c r="AV70" s="39" t="s">
        <v>118</v>
      </c>
      <c r="AW70" s="39" t="s">
        <v>119</v>
      </c>
      <c r="AX70" s="39" t="s">
        <v>74</v>
      </c>
      <c r="AY70" s="39" t="s">
        <v>75</v>
      </c>
      <c r="BB70" s="39" t="s">
        <v>134</v>
      </c>
      <c r="BC70" s="39" t="s">
        <v>135</v>
      </c>
      <c r="BD70" s="39" t="s">
        <v>136</v>
      </c>
      <c r="BE70" s="39" t="s">
        <v>107</v>
      </c>
      <c r="BF70" s="39" t="s">
        <v>137</v>
      </c>
      <c r="BG70" s="39" t="s">
        <v>138</v>
      </c>
      <c r="BH70" s="39" t="s">
        <v>108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63</v>
      </c>
    </row>
    <row r="72" spans="1:61">
      <c r="B72" s="5" t="s">
        <v>46</v>
      </c>
      <c r="D72" s="29" t="s">
        <v>55</v>
      </c>
      <c r="H72" s="16" t="s">
        <v>12</v>
      </c>
      <c r="I72" s="16" t="s">
        <v>12</v>
      </c>
      <c r="J72" s="16" t="s">
        <v>12</v>
      </c>
      <c r="K72" s="16" t="s">
        <v>12</v>
      </c>
      <c r="L72" s="16" t="s">
        <v>12</v>
      </c>
      <c r="M72" s="16" t="s">
        <v>12</v>
      </c>
      <c r="N72" s="16" t="s">
        <v>12</v>
      </c>
      <c r="O72" s="16" t="s">
        <v>12</v>
      </c>
      <c r="P72" s="16" t="s">
        <v>13</v>
      </c>
      <c r="Q72" s="16" t="s">
        <v>13</v>
      </c>
      <c r="R72" s="16" t="s">
        <v>13</v>
      </c>
      <c r="S72" s="16" t="s">
        <v>13</v>
      </c>
      <c r="T72" s="16" t="s">
        <v>13</v>
      </c>
      <c r="U72" s="16" t="s">
        <v>13</v>
      </c>
      <c r="V72" s="16" t="s">
        <v>13</v>
      </c>
      <c r="X72" s="34" t="s">
        <v>13</v>
      </c>
    </row>
    <row r="73" spans="1:61">
      <c r="B73" s="4" t="str">
        <f>IF(B10&lt;&gt;"",B10,"[blank]")</f>
        <v>Miscellanous work</v>
      </c>
      <c r="D73" s="31" t="s">
        <v>60</v>
      </c>
      <c r="O73" s="35"/>
      <c r="P73" s="35">
        <f t="shared" ref="P73:V73" si="2">P31*P52</f>
        <v>0</v>
      </c>
      <c r="Q73" s="35">
        <f t="shared" si="2"/>
        <v>204210.63121766859</v>
      </c>
      <c r="R73" s="35">
        <f t="shared" si="2"/>
        <v>204812.41694831624</v>
      </c>
      <c r="S73" s="35">
        <f t="shared" si="2"/>
        <v>205568.54596896056</v>
      </c>
      <c r="T73" s="35">
        <f t="shared" si="2"/>
        <v>206544.72721248385</v>
      </c>
      <c r="U73" s="35">
        <f t="shared" si="2"/>
        <v>207833.07668651018</v>
      </c>
      <c r="V73" s="35">
        <f t="shared" si="2"/>
        <v>209233.76585190051</v>
      </c>
      <c r="W73" s="35"/>
      <c r="X73" s="40">
        <f>SUM(R73:V73)</f>
        <v>1033992.5326681712</v>
      </c>
      <c r="Z73" s="10"/>
      <c r="AA73" s="10"/>
      <c r="AB73" s="10"/>
      <c r="AC73" s="10"/>
      <c r="AD73" s="10">
        <v>1</v>
      </c>
      <c r="AE73" s="10"/>
      <c r="AF73" s="10"/>
      <c r="AG73" s="10"/>
      <c r="AH73" s="10"/>
      <c r="AI73" s="10"/>
      <c r="AJ73" s="10"/>
      <c r="AK73" s="41">
        <f t="shared" ref="AK73:AK87" si="3">SUM(Z73:AI73)</f>
        <v>1</v>
      </c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41">
        <f t="shared" ref="AZ73:AZ87" si="4">SUM(AM73:AY73)</f>
        <v>1</v>
      </c>
      <c r="BB73" s="10"/>
      <c r="BC73" s="10"/>
      <c r="BD73" s="10"/>
      <c r="BE73" s="10"/>
      <c r="BF73" s="10">
        <v>1</v>
      </c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Domestic regulators</v>
      </c>
      <c r="D74" s="31" t="s">
        <v>60</v>
      </c>
      <c r="O74" s="50"/>
      <c r="P74" s="35">
        <v>0</v>
      </c>
      <c r="Q74" s="35">
        <v>1004471.2528334681</v>
      </c>
      <c r="R74" s="35">
        <v>1037907.4041272873</v>
      </c>
      <c r="S74" s="35">
        <v>1072574.4454476486</v>
      </c>
      <c r="T74" s="35">
        <v>1110219.2177125432</v>
      </c>
      <c r="U74" s="35">
        <v>1151145.8451512426</v>
      </c>
      <c r="V74" s="35">
        <v>1194222.6419763071</v>
      </c>
      <c r="W74" s="35"/>
      <c r="X74" s="40">
        <f t="shared" ref="X74:X89" si="7">SUM(R74:V74)</f>
        <v>5566069.5544150295</v>
      </c>
      <c r="Z74" s="10"/>
      <c r="AA74" s="10"/>
      <c r="AB74" s="10"/>
      <c r="AC74" s="10"/>
      <c r="AD74" s="10">
        <v>1</v>
      </c>
      <c r="AE74" s="10"/>
      <c r="AF74" s="10"/>
      <c r="AG74" s="10"/>
      <c r="AH74" s="10"/>
      <c r="AI74" s="10"/>
      <c r="AJ74" s="10"/>
      <c r="AK74" s="41">
        <f t="shared" si="3"/>
        <v>1</v>
      </c>
      <c r="AM74" s="10"/>
      <c r="AN74" s="10"/>
      <c r="AO74" s="10"/>
      <c r="AP74" s="10"/>
      <c r="AQ74" s="10"/>
      <c r="AR74" s="10"/>
      <c r="AS74" s="10"/>
      <c r="AT74" s="10"/>
      <c r="AU74" s="10">
        <v>1</v>
      </c>
      <c r="AV74" s="10"/>
      <c r="AW74" s="10"/>
      <c r="AX74" s="10"/>
      <c r="AY74" s="10"/>
      <c r="AZ74" s="41">
        <f t="shared" si="4"/>
        <v>1</v>
      </c>
      <c r="BB74" s="10"/>
      <c r="BC74" s="10"/>
      <c r="BD74" s="10"/>
      <c r="BE74" s="10"/>
      <c r="BF74" s="10">
        <v>1</v>
      </c>
      <c r="BG74" s="10"/>
      <c r="BH74" s="10"/>
      <c r="BI74" s="41">
        <f t="shared" si="5"/>
        <v>1</v>
      </c>
    </row>
    <row r="75" spans="1:61">
      <c r="B75" s="4" t="str">
        <f t="shared" si="6"/>
        <v>[blank]</v>
      </c>
      <c r="D75" s="31" t="s">
        <v>60</v>
      </c>
      <c r="P75" s="35"/>
      <c r="Q75" s="35"/>
      <c r="R75" s="35"/>
      <c r="S75" s="35"/>
      <c r="T75" s="35"/>
      <c r="U75" s="35"/>
      <c r="V75" s="35"/>
      <c r="W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D76" s="31"/>
      <c r="P76" s="35"/>
      <c r="Q76" s="35"/>
      <c r="R76" s="35"/>
      <c r="S76" s="35"/>
      <c r="T76" s="35"/>
      <c r="U76" s="35"/>
      <c r="V76" s="35"/>
      <c r="W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P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62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1208681.8840511367</v>
      </c>
      <c r="R89" s="37">
        <f t="shared" si="8"/>
        <v>1242719.8210756036</v>
      </c>
      <c r="S89" s="37">
        <f t="shared" si="8"/>
        <v>1278142.9914166091</v>
      </c>
      <c r="T89" s="37">
        <f t="shared" si="8"/>
        <v>1316763.944925027</v>
      </c>
      <c r="U89" s="37">
        <f t="shared" si="8"/>
        <v>1358978.9218377527</v>
      </c>
      <c r="V89" s="37">
        <f t="shared" si="8"/>
        <v>1403456.4078282076</v>
      </c>
      <c r="X89" s="37">
        <f t="shared" si="7"/>
        <v>6600062.0870832</v>
      </c>
    </row>
    <row r="91" spans="1:61">
      <c r="B91" s="5" t="s">
        <v>76</v>
      </c>
    </row>
    <row r="92" spans="1:61" s="1" customFormat="1">
      <c r="A92" s="4"/>
      <c r="B92" s="2" t="s">
        <v>77</v>
      </c>
    </row>
    <row r="94" spans="1:61">
      <c r="H94" s="190" t="s">
        <v>52</v>
      </c>
      <c r="I94" s="190"/>
      <c r="J94" s="190"/>
      <c r="K94" s="190"/>
      <c r="L94" s="190"/>
      <c r="M94" s="190" t="s">
        <v>53</v>
      </c>
      <c r="N94" s="190"/>
      <c r="O94" s="190"/>
      <c r="P94" s="190"/>
      <c r="Q94" s="190"/>
      <c r="R94" s="190" t="s">
        <v>54</v>
      </c>
      <c r="S94" s="190"/>
      <c r="T94" s="190"/>
      <c r="U94" s="190"/>
      <c r="V94" s="190"/>
      <c r="X94" s="38"/>
    </row>
    <row r="95" spans="1:61">
      <c r="B95" s="42" t="s">
        <v>79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63</v>
      </c>
    </row>
    <row r="96" spans="1:61">
      <c r="B96" s="5" t="s">
        <v>46</v>
      </c>
      <c r="D96" s="29" t="s">
        <v>55</v>
      </c>
      <c r="H96" s="16" t="s">
        <v>12</v>
      </c>
      <c r="I96" s="16" t="s">
        <v>12</v>
      </c>
      <c r="J96" s="16" t="s">
        <v>12</v>
      </c>
      <c r="K96" s="16" t="s">
        <v>12</v>
      </c>
      <c r="L96" s="16" t="s">
        <v>12</v>
      </c>
      <c r="M96" s="16" t="s">
        <v>12</v>
      </c>
      <c r="N96" s="16" t="s">
        <v>12</v>
      </c>
      <c r="O96" s="16" t="s">
        <v>12</v>
      </c>
      <c r="P96" s="16" t="s">
        <v>13</v>
      </c>
      <c r="Q96" s="16" t="s">
        <v>13</v>
      </c>
      <c r="R96" s="16" t="s">
        <v>13</v>
      </c>
      <c r="S96" s="16" t="s">
        <v>13</v>
      </c>
      <c r="T96" s="16" t="s">
        <v>13</v>
      </c>
      <c r="U96" s="16" t="s">
        <v>13</v>
      </c>
      <c r="V96" s="16" t="s">
        <v>13</v>
      </c>
      <c r="X96" s="34" t="s">
        <v>13</v>
      </c>
    </row>
    <row r="97" spans="2:24">
      <c r="B97" s="4" t="str">
        <f>IF(B10&lt;&gt;"",B10,"[blank]")</f>
        <v>Miscellanous work</v>
      </c>
      <c r="D97" s="31" t="s">
        <v>60</v>
      </c>
      <c r="O97" s="35"/>
      <c r="P97" s="35">
        <f>$D10*P73</f>
        <v>0</v>
      </c>
      <c r="Q97" s="35">
        <f t="shared" ref="Q97:V97" si="9">$D10*Q73</f>
        <v>4084.2126243533717</v>
      </c>
      <c r="R97" s="35">
        <f t="shared" si="9"/>
        <v>4096.2483389663248</v>
      </c>
      <c r="S97" s="35">
        <f t="shared" si="9"/>
        <v>4111.370919379211</v>
      </c>
      <c r="T97" s="35">
        <f t="shared" si="9"/>
        <v>4130.894544249677</v>
      </c>
      <c r="U97" s="35">
        <f t="shared" si="9"/>
        <v>4156.6615337302037</v>
      </c>
      <c r="V97" s="35">
        <f t="shared" si="9"/>
        <v>4184.6753170380098</v>
      </c>
      <c r="X97" s="40">
        <f>SUM(R97:V97)</f>
        <v>20679.850653363428</v>
      </c>
    </row>
    <row r="98" spans="2:24">
      <c r="B98" s="4" t="str">
        <f t="shared" ref="B98:B111" si="10">IF(B11&lt;&gt;"",B11,"[blank]")</f>
        <v>Domestic regulators</v>
      </c>
      <c r="D98" s="31" t="s">
        <v>60</v>
      </c>
      <c r="O98" s="50"/>
      <c r="P98" s="35">
        <f t="shared" ref="P98:V99" si="11">$D11*P74</f>
        <v>0</v>
      </c>
      <c r="Q98" s="35">
        <f t="shared" si="11"/>
        <v>20089.425056669363</v>
      </c>
      <c r="R98" s="35">
        <f t="shared" si="11"/>
        <v>20758.148082545747</v>
      </c>
      <c r="S98" s="35">
        <f t="shared" si="11"/>
        <v>21451.488908952972</v>
      </c>
      <c r="T98" s="35">
        <f t="shared" si="11"/>
        <v>22204.384354250866</v>
      </c>
      <c r="U98" s="35">
        <f t="shared" si="11"/>
        <v>23022.916903024852</v>
      </c>
      <c r="V98" s="35">
        <f t="shared" si="11"/>
        <v>23884.452839526144</v>
      </c>
      <c r="X98" s="40">
        <f t="shared" ref="X98:X111" si="12">SUM(R98:V98)</f>
        <v>111321.39108830059</v>
      </c>
    </row>
    <row r="99" spans="2:24">
      <c r="B99" s="4" t="str">
        <f t="shared" si="10"/>
        <v>[blank]</v>
      </c>
      <c r="D99" s="31" t="s">
        <v>60</v>
      </c>
      <c r="P99" s="35">
        <f t="shared" si="11"/>
        <v>0</v>
      </c>
      <c r="Q99" s="35">
        <f t="shared" si="11"/>
        <v>0</v>
      </c>
      <c r="R99" s="35">
        <f t="shared" si="11"/>
        <v>0</v>
      </c>
      <c r="S99" s="35">
        <f t="shared" si="11"/>
        <v>0</v>
      </c>
      <c r="T99" s="35">
        <f t="shared" si="11"/>
        <v>0</v>
      </c>
      <c r="U99" s="35">
        <f t="shared" si="11"/>
        <v>0</v>
      </c>
      <c r="V99" s="35">
        <f t="shared" si="11"/>
        <v>0</v>
      </c>
      <c r="X99" s="40">
        <f t="shared" si="12"/>
        <v>0</v>
      </c>
    </row>
    <row r="100" spans="2:24">
      <c r="B100" s="4" t="str">
        <f t="shared" si="10"/>
        <v>[blank]</v>
      </c>
      <c r="D100" s="31"/>
      <c r="P100" s="35"/>
      <c r="Q100" s="35"/>
      <c r="R100" s="35"/>
      <c r="S100" s="35"/>
      <c r="T100" s="35"/>
      <c r="U100" s="35"/>
      <c r="V100" s="35"/>
      <c r="X100" s="40">
        <f t="shared" si="12"/>
        <v>0</v>
      </c>
    </row>
    <row r="101" spans="2:24">
      <c r="B101" s="4" t="str">
        <f t="shared" si="10"/>
        <v>[blank]</v>
      </c>
      <c r="X101" s="40">
        <f t="shared" si="12"/>
        <v>0</v>
      </c>
    </row>
    <row r="102" spans="2:24">
      <c r="B102" s="4" t="str">
        <f t="shared" si="10"/>
        <v>[blank]</v>
      </c>
      <c r="X102" s="40">
        <f t="shared" si="12"/>
        <v>0</v>
      </c>
    </row>
    <row r="103" spans="2:24">
      <c r="B103" s="4" t="str">
        <f t="shared" si="10"/>
        <v>[blank]</v>
      </c>
      <c r="X103" s="40">
        <f t="shared" si="12"/>
        <v>0</v>
      </c>
    </row>
    <row r="104" spans="2:24">
      <c r="B104" s="4" t="str">
        <f t="shared" si="10"/>
        <v>[blank]</v>
      </c>
      <c r="X104" s="40">
        <f t="shared" si="12"/>
        <v>0</v>
      </c>
    </row>
    <row r="105" spans="2:24">
      <c r="B105" s="4" t="str">
        <f t="shared" si="10"/>
        <v>[blank]</v>
      </c>
      <c r="X105" s="40">
        <f t="shared" si="12"/>
        <v>0</v>
      </c>
    </row>
    <row r="106" spans="2:24">
      <c r="B106" s="4" t="str">
        <f t="shared" si="10"/>
        <v>[blank]</v>
      </c>
      <c r="X106" s="40">
        <f t="shared" si="12"/>
        <v>0</v>
      </c>
    </row>
    <row r="107" spans="2:24">
      <c r="B107" s="4" t="str">
        <f t="shared" si="10"/>
        <v>[blank]</v>
      </c>
      <c r="X107" s="40">
        <f t="shared" si="12"/>
        <v>0</v>
      </c>
    </row>
    <row r="108" spans="2:24">
      <c r="B108" s="4" t="str">
        <f t="shared" si="10"/>
        <v>[blank]</v>
      </c>
      <c r="X108" s="40">
        <f t="shared" si="12"/>
        <v>0</v>
      </c>
    </row>
    <row r="109" spans="2:24">
      <c r="B109" s="4" t="str">
        <f t="shared" si="10"/>
        <v>[blank]</v>
      </c>
      <c r="X109" s="40">
        <f t="shared" si="12"/>
        <v>0</v>
      </c>
    </row>
    <row r="110" spans="2:24">
      <c r="B110" s="4" t="str">
        <f t="shared" si="10"/>
        <v>[blank]</v>
      </c>
      <c r="X110" s="40">
        <f t="shared" si="12"/>
        <v>0</v>
      </c>
    </row>
    <row r="111" spans="2:24">
      <c r="B111" s="4" t="str">
        <f t="shared" si="10"/>
        <v>[blank]</v>
      </c>
      <c r="X111" s="40">
        <f t="shared" si="12"/>
        <v>0</v>
      </c>
    </row>
    <row r="113" spans="1:24" ht="12.75" thickBot="1">
      <c r="B113" s="5" t="s">
        <v>78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3">SUM(P97:P111)</f>
        <v>0</v>
      </c>
      <c r="Q113" s="37">
        <f t="shared" si="13"/>
        <v>24173.637681022734</v>
      </c>
      <c r="R113" s="37">
        <f t="shared" si="13"/>
        <v>24854.396421512072</v>
      </c>
      <c r="S113" s="37">
        <f t="shared" si="13"/>
        <v>25562.859828332184</v>
      </c>
      <c r="T113" s="37">
        <f t="shared" si="13"/>
        <v>26335.278898500543</v>
      </c>
      <c r="U113" s="37">
        <f t="shared" si="13"/>
        <v>27179.578436755055</v>
      </c>
      <c r="V113" s="37">
        <f t="shared" si="13"/>
        <v>28069.128156564155</v>
      </c>
      <c r="X113" s="37">
        <f t="shared" ref="X113" si="14">SUM(R113:V113)</f>
        <v>132001.24174166401</v>
      </c>
    </row>
    <row r="115" spans="1:24" s="1" customFormat="1">
      <c r="A115" s="4"/>
      <c r="B115" s="2" t="s">
        <v>80</v>
      </c>
    </row>
    <row r="117" spans="1:24">
      <c r="H117" s="190" t="s">
        <v>52</v>
      </c>
      <c r="I117" s="190"/>
      <c r="J117" s="190"/>
      <c r="K117" s="190"/>
      <c r="L117" s="190"/>
      <c r="M117" s="190" t="s">
        <v>53</v>
      </c>
      <c r="N117" s="190"/>
      <c r="O117" s="190"/>
      <c r="P117" s="190"/>
      <c r="Q117" s="190"/>
      <c r="R117" s="190" t="s">
        <v>54</v>
      </c>
      <c r="S117" s="190"/>
      <c r="T117" s="190"/>
      <c r="U117" s="190"/>
      <c r="V117" s="190"/>
      <c r="X117" s="38"/>
    </row>
    <row r="118" spans="1:24">
      <c r="B118" s="43" t="s">
        <v>81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63</v>
      </c>
    </row>
    <row r="119" spans="1:24">
      <c r="B119" s="5" t="s">
        <v>46</v>
      </c>
      <c r="D119" s="29" t="s">
        <v>55</v>
      </c>
      <c r="H119" s="16" t="s">
        <v>12</v>
      </c>
      <c r="I119" s="16" t="s">
        <v>12</v>
      </c>
      <c r="J119" s="16" t="s">
        <v>12</v>
      </c>
      <c r="K119" s="16" t="s">
        <v>12</v>
      </c>
      <c r="L119" s="16" t="s">
        <v>12</v>
      </c>
      <c r="M119" s="16" t="s">
        <v>12</v>
      </c>
      <c r="N119" s="16" t="s">
        <v>12</v>
      </c>
      <c r="O119" s="16" t="s">
        <v>12</v>
      </c>
      <c r="P119" s="16" t="s">
        <v>13</v>
      </c>
      <c r="Q119" s="16" t="s">
        <v>13</v>
      </c>
      <c r="R119" s="16" t="s">
        <v>13</v>
      </c>
      <c r="S119" s="16" t="s">
        <v>13</v>
      </c>
      <c r="T119" s="16" t="s">
        <v>13</v>
      </c>
      <c r="U119" s="16" t="s">
        <v>13</v>
      </c>
      <c r="V119" s="16" t="s">
        <v>13</v>
      </c>
      <c r="X119" s="34" t="s">
        <v>13</v>
      </c>
    </row>
    <row r="120" spans="1:24">
      <c r="B120" s="4" t="str">
        <f>IF(B10&lt;&gt;"",B10,"[blank]")</f>
        <v>Miscellanous work</v>
      </c>
      <c r="D120" s="31" t="s">
        <v>60</v>
      </c>
      <c r="O120" s="35"/>
      <c r="P120" s="35">
        <f>$E10*P73</f>
        <v>0</v>
      </c>
      <c r="Q120" s="35">
        <f t="shared" ref="Q120:V120" si="15">$E10*Q73</f>
        <v>77600.039862714068</v>
      </c>
      <c r="R120" s="35">
        <f t="shared" si="15"/>
        <v>77828.718440360171</v>
      </c>
      <c r="S120" s="35">
        <f t="shared" si="15"/>
        <v>78116.047468205012</v>
      </c>
      <c r="T120" s="35">
        <f t="shared" si="15"/>
        <v>78486.996340743863</v>
      </c>
      <c r="U120" s="35">
        <f t="shared" si="15"/>
        <v>78976.569140873864</v>
      </c>
      <c r="V120" s="35">
        <f t="shared" si="15"/>
        <v>79508.831023722189</v>
      </c>
      <c r="X120" s="40">
        <f>SUM(R120:V120)</f>
        <v>392917.16241390508</v>
      </c>
    </row>
    <row r="121" spans="1:24">
      <c r="B121" s="4" t="str">
        <f t="shared" ref="B121:B134" si="16">IF(B11&lt;&gt;"",B11,"[blank]")</f>
        <v>Domestic regulators</v>
      </c>
      <c r="D121" s="31" t="s">
        <v>60</v>
      </c>
      <c r="O121" s="50"/>
      <c r="P121" s="35">
        <f t="shared" ref="P121:V122" si="17">$E11*P74</f>
        <v>0</v>
      </c>
      <c r="Q121" s="35">
        <f t="shared" si="17"/>
        <v>381699.07607671787</v>
      </c>
      <c r="R121" s="35">
        <f t="shared" si="17"/>
        <v>394404.81356836919</v>
      </c>
      <c r="S121" s="35">
        <f t="shared" si="17"/>
        <v>407578.28927010647</v>
      </c>
      <c r="T121" s="35">
        <f t="shared" si="17"/>
        <v>421883.30273076642</v>
      </c>
      <c r="U121" s="35">
        <f t="shared" si="17"/>
        <v>437435.42115747218</v>
      </c>
      <c r="V121" s="35">
        <f t="shared" si="17"/>
        <v>453804.60395099671</v>
      </c>
      <c r="X121" s="40">
        <f t="shared" ref="X121:X134" si="18">SUM(R121:V121)</f>
        <v>2115106.430677711</v>
      </c>
    </row>
    <row r="122" spans="1:24">
      <c r="B122" s="4" t="str">
        <f t="shared" si="16"/>
        <v>[blank]</v>
      </c>
      <c r="D122" s="31" t="s">
        <v>60</v>
      </c>
      <c r="P122" s="35">
        <f t="shared" si="17"/>
        <v>0</v>
      </c>
      <c r="Q122" s="35">
        <f t="shared" si="17"/>
        <v>0</v>
      </c>
      <c r="R122" s="35">
        <f t="shared" si="17"/>
        <v>0</v>
      </c>
      <c r="S122" s="35">
        <f t="shared" si="17"/>
        <v>0</v>
      </c>
      <c r="T122" s="35">
        <f t="shared" si="17"/>
        <v>0</v>
      </c>
      <c r="U122" s="35">
        <f t="shared" si="17"/>
        <v>0</v>
      </c>
      <c r="V122" s="35">
        <f t="shared" si="17"/>
        <v>0</v>
      </c>
      <c r="X122" s="40">
        <f t="shared" si="18"/>
        <v>0</v>
      </c>
    </row>
    <row r="123" spans="1:24">
      <c r="B123" s="4" t="str">
        <f t="shared" si="16"/>
        <v>[blank]</v>
      </c>
      <c r="D123" s="31"/>
      <c r="P123" s="35"/>
      <c r="Q123" s="35"/>
      <c r="R123" s="35"/>
      <c r="S123" s="35"/>
      <c r="T123" s="35"/>
      <c r="U123" s="35"/>
      <c r="V123" s="35"/>
      <c r="X123" s="40">
        <f t="shared" si="18"/>
        <v>0</v>
      </c>
    </row>
    <row r="124" spans="1:24">
      <c r="B124" s="4" t="str">
        <f t="shared" si="16"/>
        <v>[blank]</v>
      </c>
      <c r="X124" s="40">
        <f t="shared" si="18"/>
        <v>0</v>
      </c>
    </row>
    <row r="125" spans="1:24">
      <c r="B125" s="4" t="str">
        <f t="shared" si="16"/>
        <v>[blank]</v>
      </c>
      <c r="X125" s="40">
        <f t="shared" si="18"/>
        <v>0</v>
      </c>
    </row>
    <row r="126" spans="1:24">
      <c r="B126" s="4" t="str">
        <f t="shared" si="16"/>
        <v>[blank]</v>
      </c>
      <c r="X126" s="40">
        <f t="shared" si="18"/>
        <v>0</v>
      </c>
    </row>
    <row r="127" spans="1:24">
      <c r="B127" s="4" t="str">
        <f t="shared" si="16"/>
        <v>[blank]</v>
      </c>
      <c r="X127" s="40">
        <f t="shared" si="18"/>
        <v>0</v>
      </c>
    </row>
    <row r="128" spans="1:24">
      <c r="B128" s="4" t="str">
        <f t="shared" si="16"/>
        <v>[blank]</v>
      </c>
      <c r="X128" s="40">
        <f t="shared" si="18"/>
        <v>0</v>
      </c>
    </row>
    <row r="129" spans="1:24">
      <c r="B129" s="4" t="str">
        <f t="shared" si="16"/>
        <v>[blank]</v>
      </c>
      <c r="X129" s="40">
        <f t="shared" si="18"/>
        <v>0</v>
      </c>
    </row>
    <row r="130" spans="1:24">
      <c r="B130" s="4" t="str">
        <f t="shared" si="16"/>
        <v>[blank]</v>
      </c>
      <c r="X130" s="40">
        <f t="shared" si="18"/>
        <v>0</v>
      </c>
    </row>
    <row r="131" spans="1:24">
      <c r="B131" s="4" t="str">
        <f t="shared" si="16"/>
        <v>[blank]</v>
      </c>
      <c r="X131" s="40">
        <f t="shared" si="18"/>
        <v>0</v>
      </c>
    </row>
    <row r="132" spans="1:24">
      <c r="B132" s="4" t="str">
        <f t="shared" si="16"/>
        <v>[blank]</v>
      </c>
      <c r="X132" s="40">
        <f t="shared" si="18"/>
        <v>0</v>
      </c>
    </row>
    <row r="133" spans="1:24">
      <c r="B133" s="4" t="str">
        <f t="shared" si="16"/>
        <v>[blank]</v>
      </c>
      <c r="X133" s="40">
        <f t="shared" si="18"/>
        <v>0</v>
      </c>
    </row>
    <row r="134" spans="1:24">
      <c r="B134" s="4" t="str">
        <f t="shared" si="16"/>
        <v>[blank]</v>
      </c>
      <c r="X134" s="40">
        <f t="shared" si="18"/>
        <v>0</v>
      </c>
    </row>
    <row r="136" spans="1:24" ht="12.75" thickBot="1">
      <c r="B136" s="5" t="s">
        <v>82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9">SUM(P120:P134)</f>
        <v>0</v>
      </c>
      <c r="Q136" s="37">
        <f t="shared" si="19"/>
        <v>459299.11593943194</v>
      </c>
      <c r="R136" s="37">
        <f t="shared" si="19"/>
        <v>472233.53200872935</v>
      </c>
      <c r="S136" s="37">
        <f t="shared" si="19"/>
        <v>485694.33673831145</v>
      </c>
      <c r="T136" s="37">
        <f t="shared" si="19"/>
        <v>500370.29907151026</v>
      </c>
      <c r="U136" s="37">
        <f t="shared" si="19"/>
        <v>516411.99029834603</v>
      </c>
      <c r="V136" s="37">
        <f t="shared" si="19"/>
        <v>533313.43497471884</v>
      </c>
      <c r="X136" s="37">
        <f t="shared" ref="X136" si="20">SUM(R136:V136)</f>
        <v>2508023.5930916159</v>
      </c>
    </row>
    <row r="138" spans="1:24" s="1" customFormat="1">
      <c r="A138" s="4"/>
      <c r="B138" s="2" t="s">
        <v>83</v>
      </c>
    </row>
    <row r="140" spans="1:24">
      <c r="H140" s="190" t="s">
        <v>52</v>
      </c>
      <c r="I140" s="190"/>
      <c r="J140" s="190"/>
      <c r="K140" s="190"/>
      <c r="L140" s="190"/>
      <c r="M140" s="190" t="s">
        <v>53</v>
      </c>
      <c r="N140" s="190"/>
      <c r="O140" s="190"/>
      <c r="P140" s="190"/>
      <c r="Q140" s="190"/>
      <c r="R140" s="190" t="s">
        <v>54</v>
      </c>
      <c r="S140" s="190"/>
      <c r="T140" s="190"/>
      <c r="U140" s="190"/>
      <c r="V140" s="190"/>
      <c r="X140" s="38"/>
    </row>
    <row r="141" spans="1:24">
      <c r="B141" s="43" t="s">
        <v>84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63</v>
      </c>
    </row>
    <row r="142" spans="1:24">
      <c r="B142" s="5" t="s">
        <v>46</v>
      </c>
      <c r="D142" s="29" t="s">
        <v>55</v>
      </c>
      <c r="H142" s="16" t="s">
        <v>12</v>
      </c>
      <c r="I142" s="16" t="s">
        <v>12</v>
      </c>
      <c r="J142" s="16" t="s">
        <v>12</v>
      </c>
      <c r="K142" s="16" t="s">
        <v>12</v>
      </c>
      <c r="L142" s="16" t="s">
        <v>12</v>
      </c>
      <c r="M142" s="16" t="s">
        <v>12</v>
      </c>
      <c r="N142" s="16" t="s">
        <v>12</v>
      </c>
      <c r="O142" s="16" t="s">
        <v>12</v>
      </c>
      <c r="P142" s="16" t="s">
        <v>13</v>
      </c>
      <c r="Q142" s="16" t="s">
        <v>13</v>
      </c>
      <c r="R142" s="16" t="s">
        <v>13</v>
      </c>
      <c r="S142" s="16" t="s">
        <v>13</v>
      </c>
      <c r="T142" s="16" t="s">
        <v>13</v>
      </c>
      <c r="U142" s="16" t="s">
        <v>13</v>
      </c>
      <c r="V142" s="16" t="s">
        <v>13</v>
      </c>
      <c r="X142" s="34" t="s">
        <v>13</v>
      </c>
    </row>
    <row r="143" spans="1:24">
      <c r="B143" s="4" t="str">
        <f>IF(B10&lt;&gt;"",B10,"[blank]")</f>
        <v>Miscellanous work</v>
      </c>
      <c r="D143" s="31" t="s">
        <v>60</v>
      </c>
      <c r="O143" s="35"/>
      <c r="P143" s="35">
        <f>P97+P120</f>
        <v>0</v>
      </c>
      <c r="Q143" s="35">
        <f t="shared" ref="Q143:V143" si="21">Q97+Q120</f>
        <v>81684.252487067439</v>
      </c>
      <c r="R143" s="35">
        <f t="shared" si="21"/>
        <v>81924.966779326496</v>
      </c>
      <c r="S143" s="35">
        <f t="shared" si="21"/>
        <v>82227.418387584228</v>
      </c>
      <c r="T143" s="35">
        <f t="shared" si="21"/>
        <v>82617.89088499354</v>
      </c>
      <c r="U143" s="35">
        <f t="shared" si="21"/>
        <v>83133.23067460407</v>
      </c>
      <c r="V143" s="35">
        <f t="shared" si="21"/>
        <v>83693.506340760199</v>
      </c>
      <c r="X143" s="40">
        <f>SUM(R143:V143)</f>
        <v>413597.01306726853</v>
      </c>
    </row>
    <row r="144" spans="1:24">
      <c r="B144" s="4" t="str">
        <f t="shared" ref="B144:B157" si="22">IF(B11&lt;&gt;"",B11,"[blank]")</f>
        <v>Domestic regulators</v>
      </c>
      <c r="D144" s="31" t="s">
        <v>60</v>
      </c>
      <c r="O144" s="50"/>
      <c r="P144" s="35">
        <f t="shared" ref="P144:V145" si="23">P98+P121</f>
        <v>0</v>
      </c>
      <c r="Q144" s="35">
        <f t="shared" si="23"/>
        <v>401788.50113338721</v>
      </c>
      <c r="R144" s="35">
        <f t="shared" si="23"/>
        <v>415162.96165091492</v>
      </c>
      <c r="S144" s="35">
        <f t="shared" si="23"/>
        <v>429029.77817905945</v>
      </c>
      <c r="T144" s="35">
        <f t="shared" si="23"/>
        <v>444087.68708501727</v>
      </c>
      <c r="U144" s="35">
        <f t="shared" si="23"/>
        <v>460458.33806049702</v>
      </c>
      <c r="V144" s="35">
        <f t="shared" si="23"/>
        <v>477689.05679052288</v>
      </c>
      <c r="X144" s="40">
        <f t="shared" ref="X144:X157" si="24">SUM(R144:V144)</f>
        <v>2226427.8217660114</v>
      </c>
    </row>
    <row r="145" spans="2:24">
      <c r="B145" s="4" t="str">
        <f t="shared" si="22"/>
        <v>[blank]</v>
      </c>
      <c r="D145" s="31" t="s">
        <v>60</v>
      </c>
      <c r="P145" s="35">
        <f t="shared" si="23"/>
        <v>0</v>
      </c>
      <c r="Q145" s="35">
        <f t="shared" si="23"/>
        <v>0</v>
      </c>
      <c r="R145" s="35">
        <f t="shared" si="23"/>
        <v>0</v>
      </c>
      <c r="S145" s="35">
        <f t="shared" si="23"/>
        <v>0</v>
      </c>
      <c r="T145" s="35">
        <f t="shared" si="23"/>
        <v>0</v>
      </c>
      <c r="U145" s="35">
        <f t="shared" si="23"/>
        <v>0</v>
      </c>
      <c r="V145" s="35">
        <f t="shared" si="23"/>
        <v>0</v>
      </c>
      <c r="X145" s="40">
        <f t="shared" si="24"/>
        <v>0</v>
      </c>
    </row>
    <row r="146" spans="2:24">
      <c r="B146" s="4" t="str">
        <f t="shared" si="22"/>
        <v>[blank]</v>
      </c>
      <c r="D146" s="31"/>
      <c r="P146" s="35"/>
      <c r="Q146" s="35"/>
      <c r="R146" s="35"/>
      <c r="S146" s="35"/>
      <c r="T146" s="35"/>
      <c r="U146" s="35"/>
      <c r="V146" s="35"/>
      <c r="X146" s="40">
        <f t="shared" si="24"/>
        <v>0</v>
      </c>
    </row>
    <row r="147" spans="2:24">
      <c r="B147" s="4" t="str">
        <f t="shared" si="22"/>
        <v>[blank]</v>
      </c>
      <c r="X147" s="40">
        <f t="shared" si="24"/>
        <v>0</v>
      </c>
    </row>
    <row r="148" spans="2:24">
      <c r="B148" s="4" t="str">
        <f t="shared" si="22"/>
        <v>[blank]</v>
      </c>
      <c r="X148" s="40">
        <f t="shared" si="24"/>
        <v>0</v>
      </c>
    </row>
    <row r="149" spans="2:24">
      <c r="B149" s="4" t="str">
        <f t="shared" si="22"/>
        <v>[blank]</v>
      </c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9" spans="2:24" ht="12.75" thickBot="1">
      <c r="B159" s="5" t="s">
        <v>85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5">SUM(Q143:Q157)</f>
        <v>483472.75362045463</v>
      </c>
      <c r="R159" s="37">
        <f t="shared" si="25"/>
        <v>497087.92843024142</v>
      </c>
      <c r="S159" s="37">
        <f t="shared" si="25"/>
        <v>511257.19656664366</v>
      </c>
      <c r="T159" s="37">
        <f t="shared" si="25"/>
        <v>526705.57797001081</v>
      </c>
      <c r="U159" s="37">
        <f t="shared" si="25"/>
        <v>543591.56873510103</v>
      </c>
      <c r="V159" s="37">
        <f t="shared" si="25"/>
        <v>561382.56313128304</v>
      </c>
      <c r="X159" s="37">
        <f t="shared" ref="X159" si="26">SUM(R159:V159)</f>
        <v>2640024.8348332802</v>
      </c>
    </row>
    <row r="161" spans="1:24" s="1" customFormat="1">
      <c r="A161" s="4"/>
      <c r="B161" s="2" t="s">
        <v>86</v>
      </c>
    </row>
    <row r="163" spans="1:24">
      <c r="H163" s="190" t="s">
        <v>52</v>
      </c>
      <c r="I163" s="190"/>
      <c r="J163" s="190"/>
      <c r="K163" s="190"/>
      <c r="L163" s="190"/>
      <c r="M163" s="190" t="s">
        <v>53</v>
      </c>
      <c r="N163" s="190"/>
      <c r="O163" s="190"/>
      <c r="P163" s="190"/>
      <c r="Q163" s="190"/>
      <c r="R163" s="190" t="s">
        <v>54</v>
      </c>
      <c r="S163" s="190"/>
      <c r="T163" s="190"/>
      <c r="U163" s="190"/>
      <c r="V163" s="190"/>
      <c r="X163" s="38"/>
    </row>
    <row r="164" spans="1:24">
      <c r="B164" s="44" t="s">
        <v>50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63</v>
      </c>
    </row>
    <row r="165" spans="1:24">
      <c r="B165" s="5" t="s">
        <v>46</v>
      </c>
      <c r="D165" s="29" t="s">
        <v>55</v>
      </c>
      <c r="H165" s="16" t="s">
        <v>12</v>
      </c>
      <c r="I165" s="16" t="s">
        <v>12</v>
      </c>
      <c r="J165" s="16" t="s">
        <v>12</v>
      </c>
      <c r="K165" s="16" t="s">
        <v>12</v>
      </c>
      <c r="L165" s="16" t="s">
        <v>12</v>
      </c>
      <c r="M165" s="16" t="s">
        <v>12</v>
      </c>
      <c r="N165" s="16" t="s">
        <v>12</v>
      </c>
      <c r="O165" s="16" t="s">
        <v>12</v>
      </c>
      <c r="P165" s="16" t="s">
        <v>13</v>
      </c>
      <c r="Q165" s="16" t="s">
        <v>13</v>
      </c>
      <c r="R165" s="16" t="s">
        <v>13</v>
      </c>
      <c r="S165" s="16" t="s">
        <v>13</v>
      </c>
      <c r="T165" s="16" t="s">
        <v>13</v>
      </c>
      <c r="U165" s="16" t="s">
        <v>13</v>
      </c>
      <c r="V165" s="16" t="s">
        <v>13</v>
      </c>
      <c r="X165" s="34" t="s">
        <v>13</v>
      </c>
    </row>
    <row r="166" spans="1:24">
      <c r="B166" s="4" t="str">
        <f>IF(B10&lt;&gt;"",B10,"[blank]")</f>
        <v>Miscellanous work</v>
      </c>
      <c r="D166" s="31" t="s">
        <v>60</v>
      </c>
      <c r="O166" s="35"/>
      <c r="P166" s="35">
        <f>$G10*P73</f>
        <v>0</v>
      </c>
      <c r="Q166" s="35">
        <f t="shared" ref="Q166:V166" si="27">$G10*Q73</f>
        <v>122526.37873060115</v>
      </c>
      <c r="R166" s="35">
        <f t="shared" si="27"/>
        <v>122887.45016898974</v>
      </c>
      <c r="S166" s="35">
        <f t="shared" si="27"/>
        <v>123341.12758137634</v>
      </c>
      <c r="T166" s="35">
        <f t="shared" si="27"/>
        <v>123926.83632749031</v>
      </c>
      <c r="U166" s="35">
        <f t="shared" si="27"/>
        <v>124699.84601190611</v>
      </c>
      <c r="V166" s="35">
        <f t="shared" si="27"/>
        <v>125540.25951114029</v>
      </c>
      <c r="X166" s="40">
        <f>SUM(R166:V166)</f>
        <v>620395.51960090268</v>
      </c>
    </row>
    <row r="167" spans="1:24">
      <c r="B167" s="4" t="str">
        <f t="shared" ref="B167:B180" si="28">IF(B11&lt;&gt;"",B11,"[blank]")</f>
        <v>Domestic regulators</v>
      </c>
      <c r="D167" s="31" t="s">
        <v>60</v>
      </c>
      <c r="O167" s="50"/>
      <c r="P167" s="35">
        <f t="shared" ref="P167:V168" si="29">$G11*P74</f>
        <v>0</v>
      </c>
      <c r="Q167" s="35">
        <f t="shared" si="29"/>
        <v>602682.75170008081</v>
      </c>
      <c r="R167" s="35">
        <f t="shared" si="29"/>
        <v>622744.44247637235</v>
      </c>
      <c r="S167" s="35">
        <f t="shared" si="29"/>
        <v>643544.66726858914</v>
      </c>
      <c r="T167" s="35">
        <f t="shared" si="29"/>
        <v>666131.53062752588</v>
      </c>
      <c r="U167" s="35">
        <f t="shared" si="29"/>
        <v>690687.50709074549</v>
      </c>
      <c r="V167" s="35">
        <f t="shared" si="29"/>
        <v>716533.58518578426</v>
      </c>
      <c r="X167" s="40">
        <f t="shared" ref="X167:X180" si="30">SUM(R167:V167)</f>
        <v>3339641.7326490171</v>
      </c>
    </row>
    <row r="168" spans="1:24">
      <c r="B168" s="4" t="str">
        <f t="shared" si="28"/>
        <v>[blank]</v>
      </c>
      <c r="D168" s="31" t="s">
        <v>60</v>
      </c>
      <c r="P168" s="35">
        <f t="shared" si="29"/>
        <v>0</v>
      </c>
      <c r="Q168" s="35">
        <f t="shared" si="29"/>
        <v>0</v>
      </c>
      <c r="R168" s="35">
        <f t="shared" si="29"/>
        <v>0</v>
      </c>
      <c r="S168" s="35">
        <f t="shared" si="29"/>
        <v>0</v>
      </c>
      <c r="T168" s="35">
        <f t="shared" si="29"/>
        <v>0</v>
      </c>
      <c r="U168" s="35">
        <f t="shared" si="29"/>
        <v>0</v>
      </c>
      <c r="V168" s="35">
        <f t="shared" si="29"/>
        <v>0</v>
      </c>
      <c r="X168" s="40">
        <f t="shared" si="30"/>
        <v>0</v>
      </c>
    </row>
    <row r="169" spans="1:24">
      <c r="B169" s="4" t="str">
        <f t="shared" si="28"/>
        <v>[blank]</v>
      </c>
      <c r="D169" s="31"/>
      <c r="P169" s="35"/>
      <c r="Q169" s="35"/>
      <c r="R169" s="35"/>
      <c r="S169" s="35"/>
      <c r="T169" s="35"/>
      <c r="U169" s="35"/>
      <c r="V169" s="35"/>
      <c r="X169" s="40">
        <f t="shared" si="30"/>
        <v>0</v>
      </c>
    </row>
    <row r="170" spans="1:24">
      <c r="B170" s="4" t="str">
        <f t="shared" si="28"/>
        <v>[blank]</v>
      </c>
      <c r="X170" s="40">
        <f t="shared" si="30"/>
        <v>0</v>
      </c>
    </row>
    <row r="171" spans="1:24">
      <c r="B171" s="4" t="str">
        <f t="shared" si="28"/>
        <v>[blank]</v>
      </c>
      <c r="X171" s="40">
        <f t="shared" si="30"/>
        <v>0</v>
      </c>
    </row>
    <row r="172" spans="1:24">
      <c r="B172" s="4" t="str">
        <f t="shared" si="28"/>
        <v>[blank]</v>
      </c>
      <c r="X172" s="40">
        <f t="shared" si="30"/>
        <v>0</v>
      </c>
    </row>
    <row r="173" spans="1:24">
      <c r="B173" s="4" t="str">
        <f t="shared" si="28"/>
        <v>[blank]</v>
      </c>
      <c r="X173" s="40">
        <f t="shared" si="30"/>
        <v>0</v>
      </c>
    </row>
    <row r="174" spans="1:24">
      <c r="B174" s="4" t="str">
        <f t="shared" si="28"/>
        <v>[blank]</v>
      </c>
      <c r="X174" s="40">
        <f t="shared" si="30"/>
        <v>0</v>
      </c>
    </row>
    <row r="175" spans="1:24">
      <c r="B175" s="4" t="str">
        <f t="shared" si="28"/>
        <v>[blank]</v>
      </c>
      <c r="X175" s="40">
        <f t="shared" si="30"/>
        <v>0</v>
      </c>
    </row>
    <row r="176" spans="1:24">
      <c r="B176" s="4" t="str">
        <f t="shared" si="28"/>
        <v>[blank]</v>
      </c>
      <c r="X176" s="40">
        <f t="shared" si="30"/>
        <v>0</v>
      </c>
    </row>
    <row r="177" spans="1:24">
      <c r="B177" s="4" t="str">
        <f t="shared" si="28"/>
        <v>[blank]</v>
      </c>
      <c r="X177" s="40">
        <f t="shared" si="30"/>
        <v>0</v>
      </c>
    </row>
    <row r="178" spans="1:24">
      <c r="B178" s="4" t="str">
        <f t="shared" si="28"/>
        <v>[blank]</v>
      </c>
      <c r="X178" s="40">
        <f t="shared" si="30"/>
        <v>0</v>
      </c>
    </row>
    <row r="179" spans="1:24">
      <c r="B179" s="4" t="str">
        <f t="shared" si="28"/>
        <v>[blank]</v>
      </c>
      <c r="X179" s="40">
        <f t="shared" si="30"/>
        <v>0</v>
      </c>
    </row>
    <row r="180" spans="1:24">
      <c r="B180" s="4" t="str">
        <f t="shared" si="28"/>
        <v>[blank]</v>
      </c>
      <c r="X180" s="40">
        <f t="shared" si="30"/>
        <v>0</v>
      </c>
    </row>
    <row r="182" spans="1:24" ht="12.75" thickBot="1">
      <c r="B182" s="5" t="s">
        <v>87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31">SUM(Q166:Q180)</f>
        <v>725209.13043068198</v>
      </c>
      <c r="R182" s="37">
        <f t="shared" si="31"/>
        <v>745631.89264536207</v>
      </c>
      <c r="S182" s="37">
        <f t="shared" si="31"/>
        <v>766885.79484996549</v>
      </c>
      <c r="T182" s="37">
        <f t="shared" si="31"/>
        <v>790058.36695501616</v>
      </c>
      <c r="U182" s="37">
        <f t="shared" si="31"/>
        <v>815387.35310265166</v>
      </c>
      <c r="V182" s="37">
        <f t="shared" si="31"/>
        <v>842073.84469692456</v>
      </c>
      <c r="X182" s="37">
        <f t="shared" ref="X182" si="32">SUM(R182:V182)</f>
        <v>3960037.2522499203</v>
      </c>
    </row>
    <row r="184" spans="1:24" s="1" customFormat="1">
      <c r="A184" s="2">
        <v>6</v>
      </c>
      <c r="B184" s="2" t="s">
        <v>89</v>
      </c>
    </row>
    <row r="186" spans="1:24">
      <c r="H186" s="190" t="s">
        <v>52</v>
      </c>
      <c r="I186" s="190"/>
      <c r="J186" s="190"/>
      <c r="K186" s="190"/>
      <c r="L186" s="190"/>
      <c r="M186" s="190" t="s">
        <v>53</v>
      </c>
      <c r="N186" s="190"/>
      <c r="O186" s="190"/>
      <c r="P186" s="190"/>
      <c r="Q186" s="190"/>
      <c r="R186" s="190" t="s">
        <v>54</v>
      </c>
      <c r="S186" s="190"/>
      <c r="T186" s="190"/>
      <c r="U186" s="190"/>
      <c r="V186" s="190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63</v>
      </c>
    </row>
    <row r="188" spans="1:24">
      <c r="B188" s="5" t="s">
        <v>46</v>
      </c>
      <c r="D188" s="29" t="s">
        <v>55</v>
      </c>
      <c r="H188" s="16" t="s">
        <v>12</v>
      </c>
      <c r="I188" s="16" t="s">
        <v>12</v>
      </c>
      <c r="J188" s="16" t="s">
        <v>12</v>
      </c>
      <c r="K188" s="16" t="s">
        <v>12</v>
      </c>
      <c r="L188" s="16" t="s">
        <v>12</v>
      </c>
      <c r="M188" s="16" t="s">
        <v>12</v>
      </c>
      <c r="N188" s="16" t="s">
        <v>12</v>
      </c>
      <c r="O188" s="16" t="s">
        <v>12</v>
      </c>
      <c r="P188" s="16" t="s">
        <v>13</v>
      </c>
      <c r="Q188" s="16" t="s">
        <v>13</v>
      </c>
      <c r="R188" s="16" t="s">
        <v>13</v>
      </c>
      <c r="S188" s="16" t="s">
        <v>13</v>
      </c>
      <c r="T188" s="16" t="s">
        <v>13</v>
      </c>
      <c r="U188" s="16" t="s">
        <v>13</v>
      </c>
      <c r="V188" s="16" t="s">
        <v>13</v>
      </c>
      <c r="X188" s="34" t="s">
        <v>13</v>
      </c>
    </row>
    <row r="189" spans="1:24">
      <c r="B189" s="4" t="str">
        <f>IF(B10&lt;&gt;"",B10,"[blank]")</f>
        <v>Miscellanous work</v>
      </c>
      <c r="D189" s="31" t="s">
        <v>60</v>
      </c>
      <c r="O189" s="35"/>
      <c r="P189" s="35">
        <f>P73*P$208</f>
        <v>0</v>
      </c>
      <c r="Q189" s="35">
        <f t="shared" ref="Q189:V189" si="33">Q73*Q$208</f>
        <v>15283.470201645745</v>
      </c>
      <c r="R189" s="35">
        <f t="shared" si="33"/>
        <v>14781.477875010605</v>
      </c>
      <c r="S189" s="35">
        <f t="shared" si="33"/>
        <v>15677.293803373192</v>
      </c>
      <c r="T189" s="35">
        <f t="shared" si="33"/>
        <v>15992.068103484888</v>
      </c>
      <c r="U189" s="35">
        <f t="shared" si="33"/>
        <v>16983.221743787963</v>
      </c>
      <c r="V189" s="35">
        <f t="shared" si="33"/>
        <v>17657.780241519569</v>
      </c>
      <c r="X189" s="40">
        <f>SUM(R189:V189)</f>
        <v>81091.841767176229</v>
      </c>
    </row>
    <row r="190" spans="1:24">
      <c r="B190" s="4" t="str">
        <f t="shared" ref="B190:B203" si="34">IF(B11&lt;&gt;"",B11,"[blank]")</f>
        <v>Domestic regulators</v>
      </c>
      <c r="D190" s="31" t="s">
        <v>60</v>
      </c>
      <c r="O190" s="50"/>
      <c r="P190" s="35">
        <f t="shared" ref="P190:V191" si="35">P74*P$208</f>
        <v>0</v>
      </c>
      <c r="Q190" s="35">
        <f t="shared" si="35"/>
        <v>75176.333227855081</v>
      </c>
      <c r="R190" s="35">
        <f t="shared" si="35"/>
        <v>74906.617279403741</v>
      </c>
      <c r="S190" s="35">
        <f t="shared" si="35"/>
        <v>81797.84814847997</v>
      </c>
      <c r="T190" s="35">
        <f t="shared" si="35"/>
        <v>85960.564469851961</v>
      </c>
      <c r="U190" s="35">
        <f t="shared" si="35"/>
        <v>94066.668594492759</v>
      </c>
      <c r="V190" s="35">
        <f t="shared" si="35"/>
        <v>100783.54650649708</v>
      </c>
      <c r="X190" s="40">
        <f t="shared" ref="X190:X203" si="36">SUM(R190:V190)</f>
        <v>437515.24499872554</v>
      </c>
    </row>
    <row r="191" spans="1:24">
      <c r="B191" s="4" t="str">
        <f t="shared" si="34"/>
        <v>[blank]</v>
      </c>
      <c r="D191" s="31" t="s">
        <v>60</v>
      </c>
      <c r="P191" s="35">
        <f t="shared" si="35"/>
        <v>0</v>
      </c>
      <c r="Q191" s="35">
        <f t="shared" si="35"/>
        <v>0</v>
      </c>
      <c r="R191" s="35">
        <f t="shared" si="35"/>
        <v>0</v>
      </c>
      <c r="S191" s="35">
        <f t="shared" si="35"/>
        <v>0</v>
      </c>
      <c r="T191" s="35">
        <f t="shared" si="35"/>
        <v>0</v>
      </c>
      <c r="U191" s="35">
        <f t="shared" si="35"/>
        <v>0</v>
      </c>
      <c r="V191" s="35">
        <f t="shared" si="35"/>
        <v>0</v>
      </c>
      <c r="X191" s="40">
        <f t="shared" si="36"/>
        <v>0</v>
      </c>
    </row>
    <row r="192" spans="1:24">
      <c r="B192" s="4" t="str">
        <f t="shared" si="34"/>
        <v>[blank]</v>
      </c>
      <c r="D192" s="31"/>
      <c r="P192" s="35"/>
      <c r="Q192" s="35"/>
      <c r="R192" s="35"/>
      <c r="S192" s="35"/>
      <c r="T192" s="35"/>
      <c r="U192" s="35"/>
      <c r="V192" s="35"/>
      <c r="X192" s="40">
        <f t="shared" si="36"/>
        <v>0</v>
      </c>
    </row>
    <row r="193" spans="2:24">
      <c r="B193" s="4" t="str">
        <f t="shared" si="34"/>
        <v>[blank]</v>
      </c>
      <c r="X193" s="40">
        <f t="shared" si="36"/>
        <v>0</v>
      </c>
    </row>
    <row r="194" spans="2:24">
      <c r="B194" s="4" t="str">
        <f t="shared" si="34"/>
        <v>[blank]</v>
      </c>
      <c r="X194" s="40">
        <f t="shared" si="36"/>
        <v>0</v>
      </c>
    </row>
    <row r="195" spans="2:24">
      <c r="B195" s="4" t="str">
        <f t="shared" si="34"/>
        <v>[blank]</v>
      </c>
      <c r="X195" s="40">
        <f t="shared" si="36"/>
        <v>0</v>
      </c>
    </row>
    <row r="196" spans="2:24">
      <c r="B196" s="4" t="str">
        <f t="shared" si="34"/>
        <v>[blank]</v>
      </c>
      <c r="X196" s="40">
        <f t="shared" si="36"/>
        <v>0</v>
      </c>
    </row>
    <row r="197" spans="2:24">
      <c r="B197" s="4" t="str">
        <f t="shared" si="34"/>
        <v>[blank]</v>
      </c>
      <c r="X197" s="40">
        <f t="shared" si="36"/>
        <v>0</v>
      </c>
    </row>
    <row r="198" spans="2:24">
      <c r="B198" s="4" t="str">
        <f t="shared" si="34"/>
        <v>[blank]</v>
      </c>
      <c r="X198" s="40">
        <f t="shared" si="36"/>
        <v>0</v>
      </c>
    </row>
    <row r="199" spans="2:24">
      <c r="B199" s="4" t="str">
        <f t="shared" si="34"/>
        <v>[blank]</v>
      </c>
      <c r="X199" s="40">
        <f t="shared" si="36"/>
        <v>0</v>
      </c>
    </row>
    <row r="200" spans="2:24">
      <c r="B200" s="4" t="str">
        <f t="shared" si="34"/>
        <v>[blank]</v>
      </c>
      <c r="X200" s="40">
        <f t="shared" si="36"/>
        <v>0</v>
      </c>
    </row>
    <row r="201" spans="2:24">
      <c r="B201" s="4" t="str">
        <f t="shared" si="34"/>
        <v>[blank]</v>
      </c>
      <c r="X201" s="40">
        <f t="shared" si="36"/>
        <v>0</v>
      </c>
    </row>
    <row r="202" spans="2:24">
      <c r="B202" s="4" t="str">
        <f t="shared" si="34"/>
        <v>[blank]</v>
      </c>
      <c r="X202" s="40">
        <f t="shared" si="36"/>
        <v>0</v>
      </c>
    </row>
    <row r="203" spans="2:24">
      <c r="B203" s="4" t="str">
        <f t="shared" si="34"/>
        <v>[blank]</v>
      </c>
      <c r="X203" s="40">
        <f t="shared" si="36"/>
        <v>0</v>
      </c>
    </row>
    <row r="205" spans="2:24" ht="12.75" thickBot="1">
      <c r="B205" s="5" t="s">
        <v>88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7">SUM(Q189:Q203)</f>
        <v>90459.803429500826</v>
      </c>
      <c r="R205" s="37">
        <f t="shared" si="37"/>
        <v>89688.095154414346</v>
      </c>
      <c r="S205" s="37">
        <f t="shared" si="37"/>
        <v>97475.141951853162</v>
      </c>
      <c r="T205" s="37">
        <f t="shared" si="37"/>
        <v>101952.63257333684</v>
      </c>
      <c r="U205" s="37">
        <f t="shared" si="37"/>
        <v>111049.89033828072</v>
      </c>
      <c r="V205" s="37">
        <f t="shared" si="37"/>
        <v>118441.32674801664</v>
      </c>
      <c r="X205" s="37">
        <f t="shared" ref="X205" si="38">SUM(R205:V205)</f>
        <v>518607.08676590171</v>
      </c>
    </row>
    <row r="207" spans="2:24">
      <c r="B207" s="4" t="s">
        <v>92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9">Q89</f>
        <v>1208681.8840511367</v>
      </c>
      <c r="R207" s="45">
        <f t="shared" si="39"/>
        <v>1242719.8210756036</v>
      </c>
      <c r="S207" s="45">
        <f t="shared" si="39"/>
        <v>1278142.9914166091</v>
      </c>
      <c r="T207" s="45">
        <f t="shared" si="39"/>
        <v>1316763.944925027</v>
      </c>
      <c r="U207" s="45">
        <f t="shared" si="39"/>
        <v>1358978.9218377527</v>
      </c>
      <c r="V207" s="45">
        <f t="shared" si="39"/>
        <v>1403456.4078282076</v>
      </c>
      <c r="W207" s="45"/>
      <c r="X207" s="40">
        <f t="shared" si="39"/>
        <v>6600062.0870832</v>
      </c>
    </row>
    <row r="208" spans="2:24">
      <c r="B208" s="4" t="s">
        <v>90</v>
      </c>
      <c r="H208" s="21" t="str">
        <f>IFERROR(H212/H207,"")</f>
        <v/>
      </c>
      <c r="I208" s="21" t="str">
        <f t="shared" ref="I208:O208" si="40">IFERROR(I212/I207,"")</f>
        <v/>
      </c>
      <c r="J208" s="21" t="str">
        <f t="shared" si="40"/>
        <v/>
      </c>
      <c r="K208" s="21" t="str">
        <f t="shared" si="40"/>
        <v/>
      </c>
      <c r="L208" s="21" t="str">
        <f t="shared" si="40"/>
        <v/>
      </c>
      <c r="M208" s="21" t="str">
        <f t="shared" si="40"/>
        <v/>
      </c>
      <c r="N208" s="21" t="str">
        <f t="shared" si="40"/>
        <v/>
      </c>
      <c r="O208" s="21" t="str">
        <f t="shared" si="40"/>
        <v/>
      </c>
      <c r="P208" s="21">
        <f>'General assumptions'!S60</f>
        <v>0</v>
      </c>
      <c r="Q208" s="21">
        <f>'General assumptions'!T60</f>
        <v>7.4841697077734692E-2</v>
      </c>
      <c r="R208" s="21">
        <f>'General assumptions'!U60</f>
        <v>7.2170809247081261E-2</v>
      </c>
      <c r="S208" s="21">
        <f>'General assumptions'!V60</f>
        <v>7.6263096231367788E-2</v>
      </c>
      <c r="T208" s="21">
        <f>'General assumptions'!W60</f>
        <v>7.7426658716070601E-2</v>
      </c>
      <c r="U208" s="21">
        <f>'General assumptions'!X60</f>
        <v>8.1715682674538839E-2</v>
      </c>
      <c r="V208" s="21">
        <f>'General assumptions'!Y60</f>
        <v>8.4392593946897035E-2</v>
      </c>
      <c r="W208" s="21"/>
      <c r="X208" s="75">
        <f>X205/X207</f>
        <v>7.8576092152353144E-2</v>
      </c>
    </row>
    <row r="210" spans="1:24" ht="12.75" thickBot="1">
      <c r="B210" s="5" t="s">
        <v>91</v>
      </c>
      <c r="H210" s="37">
        <f t="shared" ref="H210:N210" si="41">IF(H188="forecast",H207*(1+H208),H207+H212)</f>
        <v>0</v>
      </c>
      <c r="I210" s="37">
        <f t="shared" si="41"/>
        <v>0</v>
      </c>
      <c r="J210" s="37">
        <f t="shared" si="41"/>
        <v>0</v>
      </c>
      <c r="K210" s="37">
        <f t="shared" si="41"/>
        <v>0</v>
      </c>
      <c r="L210" s="37">
        <f t="shared" si="41"/>
        <v>0</v>
      </c>
      <c r="M210" s="37">
        <f t="shared" si="41"/>
        <v>0</v>
      </c>
      <c r="N210" s="37">
        <f t="shared" si="41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2">IF(Q188="forecast",Q207*(1+Q208),Q207+Q212)</f>
        <v>1299141.6874806376</v>
      </c>
      <c r="R210" s="37">
        <f t="shared" si="42"/>
        <v>1332407.9162300178</v>
      </c>
      <c r="S210" s="37">
        <f t="shared" si="42"/>
        <v>1375618.1333684623</v>
      </c>
      <c r="T210" s="37">
        <f t="shared" si="42"/>
        <v>1418716.5774983638</v>
      </c>
      <c r="U210" s="37">
        <f t="shared" si="42"/>
        <v>1470028.8121760334</v>
      </c>
      <c r="V210" s="37">
        <f t="shared" si="42"/>
        <v>1521897.7345762241</v>
      </c>
      <c r="X210" s="37">
        <f t="shared" ref="X210" si="43">IF(X188="forecast",X207*(1+X208),X207+X212)</f>
        <v>7118669.1738491012</v>
      </c>
    </row>
    <row r="212" spans="1:24">
      <c r="B212" s="4" t="s">
        <v>18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44">Q210-Q207</f>
        <v>90459.803429500898</v>
      </c>
      <c r="R212" s="45">
        <f t="shared" si="44"/>
        <v>89688.095154414186</v>
      </c>
      <c r="S212" s="45">
        <f t="shared" si="44"/>
        <v>97475.141951853177</v>
      </c>
      <c r="T212" s="45">
        <f t="shared" si="44"/>
        <v>101952.63257333683</v>
      </c>
      <c r="U212" s="45">
        <f t="shared" si="44"/>
        <v>111049.8903382807</v>
      </c>
      <c r="V212" s="45">
        <f t="shared" si="44"/>
        <v>118441.32674801652</v>
      </c>
      <c r="X212" s="40">
        <f t="shared" ref="X212" si="45">X210-X207</f>
        <v>518607.08676590119</v>
      </c>
    </row>
    <row r="214" spans="1:24" s="1" customFormat="1">
      <c r="A214" s="2">
        <v>7</v>
      </c>
      <c r="B214" s="2" t="s">
        <v>74</v>
      </c>
    </row>
    <row r="216" spans="1:24">
      <c r="H216" s="190" t="s">
        <v>52</v>
      </c>
      <c r="I216" s="190"/>
      <c r="J216" s="190"/>
      <c r="K216" s="190"/>
      <c r="L216" s="190"/>
      <c r="M216" s="190" t="s">
        <v>53</v>
      </c>
      <c r="N216" s="190"/>
      <c r="O216" s="190"/>
      <c r="P216" s="190"/>
      <c r="Q216" s="190"/>
      <c r="R216" s="190" t="s">
        <v>54</v>
      </c>
      <c r="S216" s="190"/>
      <c r="T216" s="190"/>
      <c r="U216" s="190"/>
      <c r="V216" s="190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63</v>
      </c>
    </row>
    <row r="218" spans="1:24">
      <c r="D218" s="29" t="s">
        <v>55</v>
      </c>
      <c r="H218" s="16" t="s">
        <v>12</v>
      </c>
      <c r="I218" s="16" t="s">
        <v>12</v>
      </c>
      <c r="J218" s="16" t="s">
        <v>12</v>
      </c>
      <c r="K218" s="16" t="s">
        <v>12</v>
      </c>
      <c r="L218" s="16" t="s">
        <v>12</v>
      </c>
      <c r="M218" s="16" t="s">
        <v>12</v>
      </c>
      <c r="N218" s="16" t="s">
        <v>12</v>
      </c>
      <c r="O218" s="16" t="s">
        <v>12</v>
      </c>
      <c r="P218" s="16" t="s">
        <v>13</v>
      </c>
      <c r="Q218" s="16" t="s">
        <v>13</v>
      </c>
      <c r="R218" s="16" t="s">
        <v>13</v>
      </c>
      <c r="S218" s="16" t="s">
        <v>13</v>
      </c>
      <c r="T218" s="16" t="s">
        <v>13</v>
      </c>
      <c r="U218" s="16" t="s">
        <v>13</v>
      </c>
      <c r="V218" s="16" t="s">
        <v>13</v>
      </c>
      <c r="X218" s="34" t="s">
        <v>13</v>
      </c>
    </row>
    <row r="219" spans="1:24">
      <c r="B219" s="5" t="s">
        <v>94</v>
      </c>
      <c r="D219" s="31" t="s">
        <v>105</v>
      </c>
      <c r="H219" s="4" t="str">
        <f t="shared" ref="H219:O219" si="46">IFERROR(-H238/H210,"")</f>
        <v/>
      </c>
      <c r="I219" s="4" t="str">
        <f t="shared" si="46"/>
        <v/>
      </c>
      <c r="J219" s="4" t="str">
        <f t="shared" si="46"/>
        <v/>
      </c>
      <c r="K219" s="4" t="str">
        <f t="shared" si="46"/>
        <v/>
      </c>
      <c r="L219" s="4" t="str">
        <f t="shared" si="46"/>
        <v/>
      </c>
      <c r="M219" s="4" t="str">
        <f t="shared" si="46"/>
        <v/>
      </c>
      <c r="N219" s="4" t="str">
        <f t="shared" si="46"/>
        <v/>
      </c>
      <c r="O219" s="4" t="str">
        <f t="shared" si="46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46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Miscellanous work</v>
      </c>
      <c r="D222" s="31" t="s">
        <v>60</v>
      </c>
      <c r="P222" s="45">
        <f>(-P73*(1+P$208))*P$219</f>
        <v>0</v>
      </c>
      <c r="Q222" s="45">
        <f t="shared" ref="Q222:V222" si="47">(-Q73*(1+Q$208))*Q$219</f>
        <v>0</v>
      </c>
      <c r="R222" s="45">
        <f t="shared" si="47"/>
        <v>0</v>
      </c>
      <c r="S222" s="45">
        <f t="shared" si="47"/>
        <v>0</v>
      </c>
      <c r="T222" s="45">
        <f t="shared" si="47"/>
        <v>0</v>
      </c>
      <c r="U222" s="45">
        <f t="shared" si="47"/>
        <v>0</v>
      </c>
      <c r="V222" s="45">
        <f t="shared" si="47"/>
        <v>0</v>
      </c>
      <c r="X222" s="40">
        <f t="shared" ref="X222" si="48">SUM(R222:V222)</f>
        <v>0</v>
      </c>
    </row>
    <row r="223" spans="1:24">
      <c r="B223" s="4" t="str">
        <f t="shared" ref="B223:B236" si="49">IF(B11&lt;&gt;"",B11,"[blank]")</f>
        <v>Domestic regulators</v>
      </c>
      <c r="D223" s="31" t="s">
        <v>60</v>
      </c>
      <c r="P223" s="45">
        <f t="shared" ref="P223:V225" si="50">(-P74*(1+P$208))*P$219</f>
        <v>0</v>
      </c>
      <c r="Q223" s="45">
        <f t="shared" si="50"/>
        <v>0</v>
      </c>
      <c r="R223" s="45">
        <f t="shared" si="50"/>
        <v>0</v>
      </c>
      <c r="S223" s="45">
        <f t="shared" si="50"/>
        <v>0</v>
      </c>
      <c r="T223" s="45">
        <f t="shared" si="50"/>
        <v>0</v>
      </c>
      <c r="U223" s="45">
        <f t="shared" si="50"/>
        <v>0</v>
      </c>
      <c r="V223" s="45">
        <f t="shared" si="50"/>
        <v>0</v>
      </c>
      <c r="X223" s="40"/>
    </row>
    <row r="224" spans="1:24">
      <c r="B224" s="4" t="str">
        <f t="shared" si="49"/>
        <v>[blank]</v>
      </c>
      <c r="D224" s="31" t="s">
        <v>60</v>
      </c>
      <c r="P224" s="45">
        <f t="shared" si="50"/>
        <v>0</v>
      </c>
      <c r="Q224" s="45">
        <f t="shared" si="50"/>
        <v>0</v>
      </c>
      <c r="R224" s="45">
        <f t="shared" si="50"/>
        <v>0</v>
      </c>
      <c r="S224" s="45">
        <f t="shared" si="50"/>
        <v>0</v>
      </c>
      <c r="T224" s="45">
        <f t="shared" si="50"/>
        <v>0</v>
      </c>
      <c r="U224" s="45">
        <f t="shared" si="50"/>
        <v>0</v>
      </c>
      <c r="V224" s="45">
        <f t="shared" si="50"/>
        <v>0</v>
      </c>
      <c r="X224" s="40"/>
    </row>
    <row r="225" spans="1:24">
      <c r="B225" s="4" t="str">
        <f t="shared" si="49"/>
        <v>[blank]</v>
      </c>
      <c r="D225" s="31" t="s">
        <v>60</v>
      </c>
      <c r="P225" s="45">
        <f t="shared" si="50"/>
        <v>0</v>
      </c>
      <c r="Q225" s="45">
        <f t="shared" si="50"/>
        <v>0</v>
      </c>
      <c r="R225" s="45">
        <f t="shared" si="50"/>
        <v>0</v>
      </c>
      <c r="S225" s="45">
        <f t="shared" si="50"/>
        <v>0</v>
      </c>
      <c r="T225" s="45">
        <f t="shared" si="50"/>
        <v>0</v>
      </c>
      <c r="U225" s="45">
        <f t="shared" si="50"/>
        <v>0</v>
      </c>
      <c r="V225" s="45">
        <f t="shared" si="50"/>
        <v>0</v>
      </c>
      <c r="X225" s="40"/>
    </row>
    <row r="226" spans="1:24">
      <c r="B226" s="4" t="str">
        <f t="shared" si="49"/>
        <v>[blank]</v>
      </c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49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49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49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49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49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49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49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49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49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49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93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51">-P219*P210</f>
        <v>0</v>
      </c>
      <c r="Q238" s="37">
        <f t="shared" si="51"/>
        <v>0</v>
      </c>
      <c r="R238" s="37">
        <f t="shared" si="51"/>
        <v>0</v>
      </c>
      <c r="S238" s="37">
        <f t="shared" si="51"/>
        <v>0</v>
      </c>
      <c r="T238" s="37">
        <f t="shared" si="51"/>
        <v>0</v>
      </c>
      <c r="U238" s="37">
        <f t="shared" si="51"/>
        <v>0</v>
      </c>
      <c r="V238" s="37">
        <f t="shared" si="51"/>
        <v>0</v>
      </c>
      <c r="X238" s="37">
        <f t="shared" ref="X238" si="52">SUM(R238:V238)</f>
        <v>0</v>
      </c>
    </row>
    <row r="240" spans="1:24" s="1" customFormat="1">
      <c r="A240" s="2">
        <v>8</v>
      </c>
      <c r="B240" s="2" t="s">
        <v>75</v>
      </c>
    </row>
    <row r="242" spans="1:24">
      <c r="H242" s="190" t="s">
        <v>52</v>
      </c>
      <c r="I242" s="190"/>
      <c r="J242" s="190"/>
      <c r="K242" s="190"/>
      <c r="L242" s="190"/>
      <c r="M242" s="190" t="s">
        <v>53</v>
      </c>
      <c r="N242" s="190"/>
      <c r="O242" s="190"/>
      <c r="P242" s="190"/>
      <c r="Q242" s="190"/>
      <c r="R242" s="190" t="s">
        <v>54</v>
      </c>
      <c r="S242" s="190"/>
      <c r="T242" s="190"/>
      <c r="U242" s="190"/>
      <c r="V242" s="190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63</v>
      </c>
    </row>
    <row r="244" spans="1:24">
      <c r="D244" s="29" t="s">
        <v>55</v>
      </c>
      <c r="H244" s="16" t="s">
        <v>12</v>
      </c>
      <c r="I244" s="16" t="s">
        <v>12</v>
      </c>
      <c r="J244" s="16" t="s">
        <v>12</v>
      </c>
      <c r="K244" s="16" t="s">
        <v>12</v>
      </c>
      <c r="L244" s="16" t="s">
        <v>12</v>
      </c>
      <c r="M244" s="16" t="s">
        <v>12</v>
      </c>
      <c r="N244" s="16" t="s">
        <v>12</v>
      </c>
      <c r="O244" s="16" t="s">
        <v>12</v>
      </c>
      <c r="P244" s="16" t="s">
        <v>13</v>
      </c>
      <c r="Q244" s="16" t="s">
        <v>13</v>
      </c>
      <c r="R244" s="16" t="s">
        <v>13</v>
      </c>
      <c r="S244" s="16" t="s">
        <v>13</v>
      </c>
      <c r="T244" s="16" t="s">
        <v>13</v>
      </c>
      <c r="U244" s="16" t="s">
        <v>13</v>
      </c>
      <c r="V244" s="16" t="s">
        <v>13</v>
      </c>
      <c r="X244" s="34" t="s">
        <v>13</v>
      </c>
    </row>
    <row r="245" spans="1:24">
      <c r="B245" s="38" t="s">
        <v>96</v>
      </c>
      <c r="D245" s="31"/>
      <c r="X245" s="40"/>
    </row>
    <row r="246" spans="1:24">
      <c r="B246" s="47" t="s">
        <v>97</v>
      </c>
      <c r="D246" s="31" t="s">
        <v>60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53">SUM(R246:V246)</f>
        <v>0</v>
      </c>
    </row>
    <row r="247" spans="1:24">
      <c r="B247" s="47" t="s">
        <v>98</v>
      </c>
      <c r="D247" s="31" t="s">
        <v>60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53"/>
        <v>0</v>
      </c>
    </row>
    <row r="248" spans="1:24">
      <c r="B248" s="47" t="s">
        <v>99</v>
      </c>
      <c r="D248" s="31" t="s">
        <v>60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53"/>
        <v>0</v>
      </c>
    </row>
    <row r="249" spans="1:24">
      <c r="B249" s="47" t="s">
        <v>100</v>
      </c>
      <c r="D249" s="31" t="s">
        <v>60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53"/>
        <v>0</v>
      </c>
    </row>
    <row r="250" spans="1:24">
      <c r="B250" s="47" t="s">
        <v>101</v>
      </c>
      <c r="D250" s="31" t="s">
        <v>60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53"/>
        <v>0</v>
      </c>
    </row>
    <row r="252" spans="1:24" ht="12.75" thickBot="1">
      <c r="B252" s="5" t="s">
        <v>102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54">SUM(Q246:Q250)</f>
        <v>0</v>
      </c>
      <c r="R252" s="49">
        <f t="shared" si="54"/>
        <v>0</v>
      </c>
      <c r="S252" s="49">
        <f t="shared" si="54"/>
        <v>0</v>
      </c>
      <c r="T252" s="49">
        <f t="shared" si="54"/>
        <v>0</v>
      </c>
      <c r="U252" s="49">
        <f t="shared" si="54"/>
        <v>0</v>
      </c>
      <c r="V252" s="49">
        <f t="shared" si="54"/>
        <v>0</v>
      </c>
      <c r="X252" s="37">
        <f t="shared" si="53"/>
        <v>0</v>
      </c>
    </row>
    <row r="254" spans="1:24" s="1" customFormat="1">
      <c r="A254" s="2">
        <v>9</v>
      </c>
      <c r="B254" s="2" t="s">
        <v>103</v>
      </c>
    </row>
    <row r="256" spans="1:24">
      <c r="H256" s="190" t="s">
        <v>52</v>
      </c>
      <c r="I256" s="190"/>
      <c r="J256" s="190"/>
      <c r="K256" s="190"/>
      <c r="L256" s="190"/>
      <c r="M256" s="190" t="s">
        <v>53</v>
      </c>
      <c r="N256" s="190"/>
      <c r="O256" s="190"/>
      <c r="P256" s="190"/>
      <c r="Q256" s="190"/>
      <c r="R256" s="190" t="s">
        <v>54</v>
      </c>
      <c r="S256" s="190"/>
      <c r="T256" s="190"/>
      <c r="U256" s="190"/>
      <c r="V256" s="190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63</v>
      </c>
    </row>
    <row r="258" spans="1:24">
      <c r="D258" s="29" t="s">
        <v>55</v>
      </c>
      <c r="H258" s="16" t="s">
        <v>12</v>
      </c>
      <c r="I258" s="16" t="s">
        <v>12</v>
      </c>
      <c r="J258" s="16" t="s">
        <v>12</v>
      </c>
      <c r="K258" s="16" t="s">
        <v>12</v>
      </c>
      <c r="L258" s="16" t="s">
        <v>12</v>
      </c>
      <c r="M258" s="16" t="s">
        <v>12</v>
      </c>
      <c r="N258" s="16" t="s">
        <v>12</v>
      </c>
      <c r="O258" s="16" t="s">
        <v>12</v>
      </c>
      <c r="P258" s="16" t="s">
        <v>13</v>
      </c>
      <c r="Q258" s="16" t="s">
        <v>13</v>
      </c>
      <c r="R258" s="16" t="s">
        <v>13</v>
      </c>
      <c r="S258" s="16" t="s">
        <v>13</v>
      </c>
      <c r="T258" s="16" t="s">
        <v>13</v>
      </c>
      <c r="U258" s="16" t="s">
        <v>13</v>
      </c>
      <c r="V258" s="16" t="s">
        <v>13</v>
      </c>
      <c r="X258" s="34" t="s">
        <v>13</v>
      </c>
    </row>
    <row r="259" spans="1:24">
      <c r="B259" s="4" t="s">
        <v>104</v>
      </c>
      <c r="D259" s="31" t="s">
        <v>60</v>
      </c>
      <c r="H259" s="45">
        <f t="shared" ref="H259:V259" si="55">H210</f>
        <v>0</v>
      </c>
      <c r="I259" s="45">
        <f t="shared" si="55"/>
        <v>0</v>
      </c>
      <c r="J259" s="45">
        <f t="shared" si="55"/>
        <v>0</v>
      </c>
      <c r="K259" s="45">
        <f t="shared" si="55"/>
        <v>0</v>
      </c>
      <c r="L259" s="45">
        <f t="shared" si="55"/>
        <v>0</v>
      </c>
      <c r="M259" s="45">
        <f t="shared" si="55"/>
        <v>0</v>
      </c>
      <c r="N259" s="45">
        <f t="shared" si="55"/>
        <v>0</v>
      </c>
      <c r="O259" s="45">
        <f t="shared" si="55"/>
        <v>0</v>
      </c>
      <c r="P259" s="45">
        <f t="shared" si="55"/>
        <v>0</v>
      </c>
      <c r="Q259" s="45">
        <f t="shared" si="55"/>
        <v>1299141.6874806376</v>
      </c>
      <c r="R259" s="45">
        <f t="shared" si="55"/>
        <v>1332407.9162300178</v>
      </c>
      <c r="S259" s="45">
        <f t="shared" si="55"/>
        <v>1375618.1333684623</v>
      </c>
      <c r="T259" s="45">
        <f t="shared" si="55"/>
        <v>1418716.5774983638</v>
      </c>
      <c r="U259" s="45">
        <f t="shared" si="55"/>
        <v>1470028.8121760334</v>
      </c>
      <c r="V259" s="45">
        <f t="shared" si="55"/>
        <v>1521897.7345762241</v>
      </c>
      <c r="X259" s="40">
        <f t="shared" ref="X259:X261" si="56">SUM(R259:V259)</f>
        <v>7118669.1738491012</v>
      </c>
    </row>
    <row r="260" spans="1:24">
      <c r="B260" s="4" t="s">
        <v>74</v>
      </c>
      <c r="D260" s="31" t="s">
        <v>60</v>
      </c>
      <c r="H260" s="45">
        <f>H238</f>
        <v>0</v>
      </c>
      <c r="I260" s="45">
        <f t="shared" ref="I260:V260" si="57">I238</f>
        <v>0</v>
      </c>
      <c r="J260" s="45">
        <f t="shared" si="57"/>
        <v>0</v>
      </c>
      <c r="K260" s="45">
        <f t="shared" si="57"/>
        <v>0</v>
      </c>
      <c r="L260" s="45">
        <f t="shared" si="57"/>
        <v>0</v>
      </c>
      <c r="M260" s="45">
        <f t="shared" si="57"/>
        <v>0</v>
      </c>
      <c r="N260" s="45">
        <f t="shared" si="57"/>
        <v>0</v>
      </c>
      <c r="O260" s="45">
        <f t="shared" si="57"/>
        <v>0</v>
      </c>
      <c r="P260" s="45">
        <f t="shared" si="57"/>
        <v>0</v>
      </c>
      <c r="Q260" s="45">
        <f t="shared" si="57"/>
        <v>0</v>
      </c>
      <c r="R260" s="45">
        <f t="shared" si="57"/>
        <v>0</v>
      </c>
      <c r="S260" s="45">
        <f t="shared" si="57"/>
        <v>0</v>
      </c>
      <c r="T260" s="45">
        <f t="shared" si="57"/>
        <v>0</v>
      </c>
      <c r="U260" s="45">
        <f t="shared" si="57"/>
        <v>0</v>
      </c>
      <c r="V260" s="45">
        <f t="shared" si="57"/>
        <v>0</v>
      </c>
      <c r="X260" s="40">
        <f t="shared" si="56"/>
        <v>0</v>
      </c>
    </row>
    <row r="261" spans="1:24">
      <c r="B261" s="4" t="s">
        <v>75</v>
      </c>
      <c r="D261" s="31" t="s">
        <v>60</v>
      </c>
      <c r="H261" s="45">
        <f>H252</f>
        <v>0</v>
      </c>
      <c r="I261" s="45">
        <f t="shared" ref="I261:V261" si="58">I252</f>
        <v>0</v>
      </c>
      <c r="J261" s="45">
        <f t="shared" si="58"/>
        <v>0</v>
      </c>
      <c r="K261" s="45">
        <f t="shared" si="58"/>
        <v>0</v>
      </c>
      <c r="L261" s="45">
        <f t="shared" si="58"/>
        <v>0</v>
      </c>
      <c r="M261" s="45">
        <f t="shared" si="58"/>
        <v>0</v>
      </c>
      <c r="N261" s="45">
        <f t="shared" si="58"/>
        <v>0</v>
      </c>
      <c r="O261" s="45">
        <f t="shared" si="58"/>
        <v>0</v>
      </c>
      <c r="P261" s="45">
        <f t="shared" si="58"/>
        <v>0</v>
      </c>
      <c r="Q261" s="45">
        <f t="shared" si="58"/>
        <v>0</v>
      </c>
      <c r="R261" s="45">
        <f t="shared" si="58"/>
        <v>0</v>
      </c>
      <c r="S261" s="45">
        <f t="shared" si="58"/>
        <v>0</v>
      </c>
      <c r="T261" s="45">
        <f t="shared" si="58"/>
        <v>0</v>
      </c>
      <c r="U261" s="45">
        <f t="shared" si="58"/>
        <v>0</v>
      </c>
      <c r="V261" s="45">
        <f t="shared" si="58"/>
        <v>0</v>
      </c>
      <c r="X261" s="40">
        <f t="shared" si="56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103</v>
      </c>
      <c r="D263" s="31" t="s">
        <v>60</v>
      </c>
      <c r="H263" s="37">
        <f>SUM(H259:H261)</f>
        <v>0</v>
      </c>
      <c r="I263" s="37">
        <f t="shared" ref="I263:V263" si="59">SUM(I259:I261)</f>
        <v>0</v>
      </c>
      <c r="J263" s="37">
        <f t="shared" si="59"/>
        <v>0</v>
      </c>
      <c r="K263" s="37">
        <f t="shared" si="59"/>
        <v>0</v>
      </c>
      <c r="L263" s="37">
        <f t="shared" si="59"/>
        <v>0</v>
      </c>
      <c r="M263" s="37">
        <f t="shared" si="59"/>
        <v>0</v>
      </c>
      <c r="N263" s="37">
        <f t="shared" si="59"/>
        <v>0</v>
      </c>
      <c r="O263" s="37">
        <f t="shared" si="59"/>
        <v>0</v>
      </c>
      <c r="P263" s="37">
        <f t="shared" si="59"/>
        <v>0</v>
      </c>
      <c r="Q263" s="37">
        <f t="shared" si="59"/>
        <v>1299141.6874806376</v>
      </c>
      <c r="R263" s="37">
        <f t="shared" si="59"/>
        <v>1332407.9162300178</v>
      </c>
      <c r="S263" s="37">
        <f t="shared" si="59"/>
        <v>1375618.1333684623</v>
      </c>
      <c r="T263" s="37">
        <f t="shared" si="59"/>
        <v>1418716.5774983638</v>
      </c>
      <c r="U263" s="37">
        <f t="shared" si="59"/>
        <v>1470028.8121760334</v>
      </c>
      <c r="V263" s="37">
        <f t="shared" si="59"/>
        <v>1521897.7345762241</v>
      </c>
      <c r="X263" s="37">
        <f t="shared" ref="X263" si="60">SUM(R263:V263)</f>
        <v>7118669.1738491012</v>
      </c>
    </row>
    <row r="264" spans="1:24">
      <c r="D264" s="31"/>
    </row>
    <row r="266" spans="1:24" s="66" customFormat="1">
      <c r="A266" s="65">
        <v>10</v>
      </c>
      <c r="B266" s="65" t="s">
        <v>121</v>
      </c>
    </row>
    <row r="268" spans="1:24">
      <c r="B268" s="69" t="s">
        <v>120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326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61">IFERROR(SUMPRODUCT($Z$73:$Z$87,Q$73:Q$87)/SUM(Q$73:Q$87)*Q$89,0)</f>
        <v>0</v>
      </c>
      <c r="R276" s="57">
        <f t="shared" si="61"/>
        <v>0</v>
      </c>
      <c r="S276" s="57">
        <f t="shared" si="61"/>
        <v>0</v>
      </c>
      <c r="T276" s="57">
        <f t="shared" si="61"/>
        <v>0</v>
      </c>
      <c r="U276" s="57">
        <f t="shared" si="61"/>
        <v>0</v>
      </c>
      <c r="V276" s="62">
        <f t="shared" si="61"/>
        <v>0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62">IFERROR(SUMPRODUCT($AA$73:$AA$87,Q$73:Q$87)/SUM(Q$73:Q$87)*Q$89,0)</f>
        <v>0</v>
      </c>
      <c r="R277" s="57">
        <f t="shared" si="62"/>
        <v>0</v>
      </c>
      <c r="S277" s="57">
        <f t="shared" si="62"/>
        <v>0</v>
      </c>
      <c r="T277" s="57">
        <f t="shared" si="62"/>
        <v>0</v>
      </c>
      <c r="U277" s="57">
        <f t="shared" si="62"/>
        <v>0</v>
      </c>
      <c r="V277" s="62">
        <f t="shared" si="62"/>
        <v>0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63">IFERROR(SUMPRODUCT($AB$73:$AB$87,Q$73:Q$87)/SUM(Q$73:Q$87)*Q$89,0)</f>
        <v>0</v>
      </c>
      <c r="R278" s="57">
        <f t="shared" si="63"/>
        <v>0</v>
      </c>
      <c r="S278" s="57">
        <f t="shared" si="63"/>
        <v>0</v>
      </c>
      <c r="T278" s="57">
        <f t="shared" si="63"/>
        <v>0</v>
      </c>
      <c r="U278" s="57">
        <f t="shared" si="63"/>
        <v>0</v>
      </c>
      <c r="V278" s="62">
        <f t="shared" si="63"/>
        <v>0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64">IFERROR(SUMPRODUCT($AC$73:$AC$87,Q$73:Q$87)/SUM(Q$73:Q$87)*Q$89,0)</f>
        <v>0</v>
      </c>
      <c r="R279" s="57">
        <f t="shared" si="64"/>
        <v>0</v>
      </c>
      <c r="S279" s="57">
        <f t="shared" si="64"/>
        <v>0</v>
      </c>
      <c r="T279" s="57">
        <f t="shared" si="64"/>
        <v>0</v>
      </c>
      <c r="U279" s="57">
        <f t="shared" si="64"/>
        <v>0</v>
      </c>
      <c r="V279" s="62">
        <f t="shared" si="64"/>
        <v>0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65">IFERROR(SUMPRODUCT($AD$73:$AD$87,Q$73:Q$87)/SUM(Q$73:Q$87)*Q$89,0)</f>
        <v>1208681.8840511367</v>
      </c>
      <c r="R280" s="57">
        <f t="shared" si="65"/>
        <v>1242719.8210756036</v>
      </c>
      <c r="S280" s="57">
        <f t="shared" si="65"/>
        <v>1278142.9914166091</v>
      </c>
      <c r="T280" s="57">
        <f t="shared" si="65"/>
        <v>1316763.944925027</v>
      </c>
      <c r="U280" s="57">
        <f t="shared" si="65"/>
        <v>1358978.9218377527</v>
      </c>
      <c r="V280" s="62">
        <f t="shared" si="65"/>
        <v>1403456.4078282076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66">IFERROR(SUMPRODUCT($AE$73:$AE$87,Q$73:Q$87)/SUM(Q$73:Q$87)*Q$89,0)</f>
        <v>0</v>
      </c>
      <c r="R281" s="57">
        <f t="shared" si="66"/>
        <v>0</v>
      </c>
      <c r="S281" s="57">
        <f t="shared" si="66"/>
        <v>0</v>
      </c>
      <c r="T281" s="57">
        <f t="shared" si="66"/>
        <v>0</v>
      </c>
      <c r="U281" s="57">
        <f t="shared" si="66"/>
        <v>0</v>
      </c>
      <c r="V281" s="62">
        <f t="shared" si="66"/>
        <v>0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7">IFERROR(SUMPRODUCT($AF$73:$AF$87,Q$73:Q$87)/SUM(Q$73:Q$87)*Q$89,0)</f>
        <v>0</v>
      </c>
      <c r="R282" s="57">
        <f t="shared" si="67"/>
        <v>0</v>
      </c>
      <c r="S282" s="57">
        <f t="shared" si="67"/>
        <v>0</v>
      </c>
      <c r="T282" s="57">
        <f t="shared" si="67"/>
        <v>0</v>
      </c>
      <c r="U282" s="57">
        <f t="shared" si="67"/>
        <v>0</v>
      </c>
      <c r="V282" s="62">
        <f t="shared" si="67"/>
        <v>0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8">IFERROR(SUMPRODUCT($AG$73:$AG$87,Q$73:Q$87)/SUM(Q$73:Q$87)*Q$89,0)</f>
        <v>0</v>
      </c>
      <c r="R283" s="57">
        <f t="shared" si="68"/>
        <v>0</v>
      </c>
      <c r="S283" s="57">
        <f t="shared" si="68"/>
        <v>0</v>
      </c>
      <c r="T283" s="57">
        <f t="shared" si="68"/>
        <v>0</v>
      </c>
      <c r="U283" s="57">
        <f t="shared" si="68"/>
        <v>0</v>
      </c>
      <c r="V283" s="62">
        <f t="shared" si="68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9">IFERROR(SUMPRODUCT($AH$73:$AH$87,Q$73:Q$87)/SUM(Q$73:Q$87)*Q$89,0)</f>
        <v>0</v>
      </c>
      <c r="R284" s="57">
        <f t="shared" si="69"/>
        <v>0</v>
      </c>
      <c r="S284" s="57">
        <f t="shared" si="69"/>
        <v>0</v>
      </c>
      <c r="T284" s="57">
        <f t="shared" si="69"/>
        <v>0</v>
      </c>
      <c r="U284" s="57">
        <f t="shared" si="69"/>
        <v>0</v>
      </c>
      <c r="V284" s="62">
        <f t="shared" si="69"/>
        <v>0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70">IFERROR(SUMPRODUCT($AI$73:$AI$87,Q$73:Q$87)/SUM(Q$73:Q$87)*Q$89,0)</f>
        <v>0</v>
      </c>
      <c r="R285" s="57">
        <f t="shared" si="70"/>
        <v>0</v>
      </c>
      <c r="S285" s="57">
        <f t="shared" si="70"/>
        <v>0</v>
      </c>
      <c r="T285" s="57">
        <f t="shared" si="70"/>
        <v>0</v>
      </c>
      <c r="U285" s="57">
        <f t="shared" si="70"/>
        <v>0</v>
      </c>
      <c r="V285" s="62">
        <f t="shared" si="70"/>
        <v>0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71">IFERROR(SUMPRODUCT($AJ$73:$AJ$87,Q$73:Q$87)/SUM(Q$73:Q$87)*Q$89,0)</f>
        <v>0</v>
      </c>
      <c r="R286" s="57">
        <f t="shared" si="71"/>
        <v>0</v>
      </c>
      <c r="S286" s="57">
        <f t="shared" si="71"/>
        <v>0</v>
      </c>
      <c r="T286" s="57">
        <f t="shared" si="71"/>
        <v>0</v>
      </c>
      <c r="U286" s="57">
        <f t="shared" si="71"/>
        <v>0</v>
      </c>
      <c r="V286" s="62">
        <f t="shared" si="71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72">SUM(Q276:Q286)</f>
        <v>1208681.8840511367</v>
      </c>
      <c r="R288" s="37">
        <f t="shared" si="72"/>
        <v>1242719.8210756036</v>
      </c>
      <c r="S288" s="37">
        <f t="shared" si="72"/>
        <v>1278142.9914166091</v>
      </c>
      <c r="T288" s="37">
        <f t="shared" si="72"/>
        <v>1316763.944925027</v>
      </c>
      <c r="U288" s="37">
        <f t="shared" si="72"/>
        <v>1358978.9218377527</v>
      </c>
      <c r="V288" s="64">
        <f t="shared" si="72"/>
        <v>1403456.4078282076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273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73">P276*(1+P$208)</f>
        <v>0</v>
      </c>
      <c r="Q297" s="57">
        <f t="shared" si="73"/>
        <v>0</v>
      </c>
      <c r="R297" s="57">
        <f t="shared" si="73"/>
        <v>0</v>
      </c>
      <c r="S297" s="57">
        <f t="shared" si="73"/>
        <v>0</v>
      </c>
      <c r="T297" s="57">
        <f t="shared" si="73"/>
        <v>0</v>
      </c>
      <c r="U297" s="57">
        <f t="shared" si="73"/>
        <v>0</v>
      </c>
      <c r="V297" s="62">
        <f t="shared" si="73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73"/>
        <v>0</v>
      </c>
      <c r="Q298" s="57">
        <f t="shared" si="73"/>
        <v>0</v>
      </c>
      <c r="R298" s="57">
        <f t="shared" si="73"/>
        <v>0</v>
      </c>
      <c r="S298" s="57">
        <f t="shared" si="73"/>
        <v>0</v>
      </c>
      <c r="T298" s="57">
        <f t="shared" si="73"/>
        <v>0</v>
      </c>
      <c r="U298" s="57">
        <f t="shared" si="73"/>
        <v>0</v>
      </c>
      <c r="V298" s="62">
        <f t="shared" si="73"/>
        <v>0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73"/>
        <v>0</v>
      </c>
      <c r="Q299" s="57">
        <f t="shared" si="73"/>
        <v>0</v>
      </c>
      <c r="R299" s="57">
        <f t="shared" si="73"/>
        <v>0</v>
      </c>
      <c r="S299" s="57">
        <f t="shared" si="73"/>
        <v>0</v>
      </c>
      <c r="T299" s="57">
        <f t="shared" si="73"/>
        <v>0</v>
      </c>
      <c r="U299" s="57">
        <f t="shared" si="73"/>
        <v>0</v>
      </c>
      <c r="V299" s="62">
        <f t="shared" si="73"/>
        <v>0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73"/>
        <v>0</v>
      </c>
      <c r="Q300" s="57">
        <f t="shared" si="73"/>
        <v>0</v>
      </c>
      <c r="R300" s="57">
        <f t="shared" si="73"/>
        <v>0</v>
      </c>
      <c r="S300" s="57">
        <f t="shared" si="73"/>
        <v>0</v>
      </c>
      <c r="T300" s="57">
        <f t="shared" si="73"/>
        <v>0</v>
      </c>
      <c r="U300" s="57">
        <f t="shared" si="73"/>
        <v>0</v>
      </c>
      <c r="V300" s="62">
        <f t="shared" si="73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73"/>
        <v>0</v>
      </c>
      <c r="Q301" s="57">
        <f t="shared" si="73"/>
        <v>1299141.6874806376</v>
      </c>
      <c r="R301" s="57">
        <f t="shared" si="73"/>
        <v>1332407.9162300178</v>
      </c>
      <c r="S301" s="57">
        <f t="shared" si="73"/>
        <v>1375618.1333684623</v>
      </c>
      <c r="T301" s="57">
        <f t="shared" si="73"/>
        <v>1418716.5774983638</v>
      </c>
      <c r="U301" s="57">
        <f t="shared" si="73"/>
        <v>1470028.8121760334</v>
      </c>
      <c r="V301" s="62">
        <f t="shared" si="73"/>
        <v>1521897.7345762241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73"/>
        <v>0</v>
      </c>
      <c r="Q302" s="57">
        <f t="shared" si="73"/>
        <v>0</v>
      </c>
      <c r="R302" s="57">
        <f t="shared" si="73"/>
        <v>0</v>
      </c>
      <c r="S302" s="57">
        <f t="shared" si="73"/>
        <v>0</v>
      </c>
      <c r="T302" s="57">
        <f t="shared" si="73"/>
        <v>0</v>
      </c>
      <c r="U302" s="57">
        <f t="shared" si="73"/>
        <v>0</v>
      </c>
      <c r="V302" s="62">
        <f t="shared" si="73"/>
        <v>0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73"/>
        <v>0</v>
      </c>
      <c r="Q303" s="57">
        <f t="shared" si="73"/>
        <v>0</v>
      </c>
      <c r="R303" s="57">
        <f t="shared" si="73"/>
        <v>0</v>
      </c>
      <c r="S303" s="57">
        <f t="shared" si="73"/>
        <v>0</v>
      </c>
      <c r="T303" s="57">
        <f t="shared" si="73"/>
        <v>0</v>
      </c>
      <c r="U303" s="57">
        <f t="shared" si="73"/>
        <v>0</v>
      </c>
      <c r="V303" s="62">
        <f t="shared" si="73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73"/>
        <v>0</v>
      </c>
      <c r="Q304" s="57">
        <f t="shared" si="73"/>
        <v>0</v>
      </c>
      <c r="R304" s="57">
        <f t="shared" si="73"/>
        <v>0</v>
      </c>
      <c r="S304" s="57">
        <f t="shared" si="73"/>
        <v>0</v>
      </c>
      <c r="T304" s="57">
        <f t="shared" si="73"/>
        <v>0</v>
      </c>
      <c r="U304" s="57">
        <f t="shared" si="73"/>
        <v>0</v>
      </c>
      <c r="V304" s="62">
        <f t="shared" si="73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73"/>
        <v>0</v>
      </c>
      <c r="Q305" s="57">
        <f t="shared" si="73"/>
        <v>0</v>
      </c>
      <c r="R305" s="57">
        <f t="shared" si="73"/>
        <v>0</v>
      </c>
      <c r="S305" s="57">
        <f t="shared" si="73"/>
        <v>0</v>
      </c>
      <c r="T305" s="57">
        <f t="shared" si="73"/>
        <v>0</v>
      </c>
      <c r="U305" s="57">
        <f t="shared" si="73"/>
        <v>0</v>
      </c>
      <c r="V305" s="62">
        <f t="shared" si="73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73"/>
        <v>0</v>
      </c>
      <c r="Q306" s="57">
        <f t="shared" si="73"/>
        <v>0</v>
      </c>
      <c r="R306" s="57">
        <f t="shared" si="73"/>
        <v>0</v>
      </c>
      <c r="S306" s="57">
        <f t="shared" si="73"/>
        <v>0</v>
      </c>
      <c r="T306" s="57">
        <f t="shared" si="73"/>
        <v>0</v>
      </c>
      <c r="U306" s="57">
        <f t="shared" si="73"/>
        <v>0</v>
      </c>
      <c r="V306" s="62">
        <f t="shared" si="73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73"/>
        <v>0</v>
      </c>
      <c r="Q307" s="57">
        <f t="shared" si="73"/>
        <v>0</v>
      </c>
      <c r="R307" s="57">
        <f t="shared" si="73"/>
        <v>0</v>
      </c>
      <c r="S307" s="57">
        <f t="shared" si="73"/>
        <v>0</v>
      </c>
      <c r="T307" s="57">
        <f t="shared" si="73"/>
        <v>0</v>
      </c>
      <c r="U307" s="57">
        <f t="shared" si="73"/>
        <v>0</v>
      </c>
      <c r="V307" s="62">
        <f t="shared" si="73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74">SUM(Q297:Q307)</f>
        <v>1299141.6874806376</v>
      </c>
      <c r="R309" s="37">
        <f t="shared" si="74"/>
        <v>1332407.9162300178</v>
      </c>
      <c r="S309" s="37">
        <f t="shared" si="74"/>
        <v>1375618.1333684623</v>
      </c>
      <c r="T309" s="37">
        <f t="shared" si="74"/>
        <v>1418716.5774983638</v>
      </c>
      <c r="U309" s="37">
        <f t="shared" si="74"/>
        <v>1470028.8121760334</v>
      </c>
      <c r="V309" s="64">
        <f t="shared" si="74"/>
        <v>1521897.7345762241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274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5">P297*(1-P$219)</f>
        <v>0</v>
      </c>
      <c r="Q318" s="57">
        <f t="shared" si="75"/>
        <v>0</v>
      </c>
      <c r="R318" s="57">
        <f t="shared" si="75"/>
        <v>0</v>
      </c>
      <c r="S318" s="57">
        <f t="shared" si="75"/>
        <v>0</v>
      </c>
      <c r="T318" s="57">
        <f t="shared" si="75"/>
        <v>0</v>
      </c>
      <c r="U318" s="57">
        <f t="shared" si="75"/>
        <v>0</v>
      </c>
      <c r="V318" s="62">
        <f t="shared" si="75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5"/>
        <v>0</v>
      </c>
      <c r="Q319" s="57">
        <f t="shared" si="75"/>
        <v>0</v>
      </c>
      <c r="R319" s="57">
        <f t="shared" si="75"/>
        <v>0</v>
      </c>
      <c r="S319" s="57">
        <f t="shared" si="75"/>
        <v>0</v>
      </c>
      <c r="T319" s="57">
        <f t="shared" si="75"/>
        <v>0</v>
      </c>
      <c r="U319" s="57">
        <f t="shared" si="75"/>
        <v>0</v>
      </c>
      <c r="V319" s="62">
        <f t="shared" si="75"/>
        <v>0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5"/>
        <v>0</v>
      </c>
      <c r="Q320" s="57">
        <f t="shared" si="75"/>
        <v>0</v>
      </c>
      <c r="R320" s="57">
        <f t="shared" si="75"/>
        <v>0</v>
      </c>
      <c r="S320" s="57">
        <f t="shared" si="75"/>
        <v>0</v>
      </c>
      <c r="T320" s="57">
        <f t="shared" si="75"/>
        <v>0</v>
      </c>
      <c r="U320" s="57">
        <f t="shared" si="75"/>
        <v>0</v>
      </c>
      <c r="V320" s="62">
        <f t="shared" si="75"/>
        <v>0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5"/>
        <v>0</v>
      </c>
      <c r="Q321" s="57">
        <f t="shared" si="75"/>
        <v>0</v>
      </c>
      <c r="R321" s="57">
        <f t="shared" si="75"/>
        <v>0</v>
      </c>
      <c r="S321" s="57">
        <f t="shared" si="75"/>
        <v>0</v>
      </c>
      <c r="T321" s="57">
        <f t="shared" si="75"/>
        <v>0</v>
      </c>
      <c r="U321" s="57">
        <f t="shared" si="75"/>
        <v>0</v>
      </c>
      <c r="V321" s="62">
        <f t="shared" si="75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5"/>
        <v>0</v>
      </c>
      <c r="Q322" s="57">
        <f t="shared" si="75"/>
        <v>1299141.6874806376</v>
      </c>
      <c r="R322" s="57">
        <f t="shared" si="75"/>
        <v>1332407.9162300178</v>
      </c>
      <c r="S322" s="57">
        <f t="shared" si="75"/>
        <v>1375618.1333684623</v>
      </c>
      <c r="T322" s="57">
        <f t="shared" si="75"/>
        <v>1418716.5774983638</v>
      </c>
      <c r="U322" s="57">
        <f t="shared" si="75"/>
        <v>1470028.8121760334</v>
      </c>
      <c r="V322" s="62">
        <f t="shared" si="75"/>
        <v>1521897.7345762241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5"/>
        <v>0</v>
      </c>
      <c r="Q323" s="57">
        <f t="shared" si="75"/>
        <v>0</v>
      </c>
      <c r="R323" s="57">
        <f t="shared" si="75"/>
        <v>0</v>
      </c>
      <c r="S323" s="57">
        <f t="shared" si="75"/>
        <v>0</v>
      </c>
      <c r="T323" s="57">
        <f t="shared" si="75"/>
        <v>0</v>
      </c>
      <c r="U323" s="57">
        <f t="shared" si="75"/>
        <v>0</v>
      </c>
      <c r="V323" s="62">
        <f t="shared" si="75"/>
        <v>0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5"/>
        <v>0</v>
      </c>
      <c r="Q324" s="57">
        <f t="shared" si="75"/>
        <v>0</v>
      </c>
      <c r="R324" s="57">
        <f t="shared" si="75"/>
        <v>0</v>
      </c>
      <c r="S324" s="57">
        <f t="shared" si="75"/>
        <v>0</v>
      </c>
      <c r="T324" s="57">
        <f t="shared" si="75"/>
        <v>0</v>
      </c>
      <c r="U324" s="57">
        <f t="shared" si="75"/>
        <v>0</v>
      </c>
      <c r="V324" s="62">
        <f t="shared" si="75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5"/>
        <v>0</v>
      </c>
      <c r="Q325" s="57">
        <f t="shared" si="75"/>
        <v>0</v>
      </c>
      <c r="R325" s="57">
        <f t="shared" si="75"/>
        <v>0</v>
      </c>
      <c r="S325" s="57">
        <f t="shared" si="75"/>
        <v>0</v>
      </c>
      <c r="T325" s="57">
        <f t="shared" si="75"/>
        <v>0</v>
      </c>
      <c r="U325" s="57">
        <f t="shared" si="75"/>
        <v>0</v>
      </c>
      <c r="V325" s="62">
        <f t="shared" si="75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5"/>
        <v>0</v>
      </c>
      <c r="Q326" s="57">
        <f t="shared" si="75"/>
        <v>0</v>
      </c>
      <c r="R326" s="57">
        <f t="shared" si="75"/>
        <v>0</v>
      </c>
      <c r="S326" s="57">
        <f t="shared" si="75"/>
        <v>0</v>
      </c>
      <c r="T326" s="57">
        <f t="shared" si="75"/>
        <v>0</v>
      </c>
      <c r="U326" s="57">
        <f t="shared" si="75"/>
        <v>0</v>
      </c>
      <c r="V326" s="62">
        <f t="shared" si="75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5"/>
        <v>0</v>
      </c>
      <c r="Q327" s="57">
        <f t="shared" si="75"/>
        <v>0</v>
      </c>
      <c r="R327" s="57">
        <f t="shared" si="75"/>
        <v>0</v>
      </c>
      <c r="S327" s="57">
        <f t="shared" si="75"/>
        <v>0</v>
      </c>
      <c r="T327" s="57">
        <f t="shared" si="75"/>
        <v>0</v>
      </c>
      <c r="U327" s="57">
        <f t="shared" si="75"/>
        <v>0</v>
      </c>
      <c r="V327" s="62">
        <f t="shared" si="75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5"/>
        <v>0</v>
      </c>
      <c r="Q328" s="57">
        <f t="shared" si="75"/>
        <v>0</v>
      </c>
      <c r="R328" s="57">
        <f t="shared" si="75"/>
        <v>0</v>
      </c>
      <c r="S328" s="57">
        <f t="shared" si="75"/>
        <v>0</v>
      </c>
      <c r="T328" s="57">
        <f t="shared" si="75"/>
        <v>0</v>
      </c>
      <c r="U328" s="57">
        <f t="shared" si="75"/>
        <v>0</v>
      </c>
      <c r="V328" s="62">
        <f t="shared" si="75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6">SUM(Q318:Q328)</f>
        <v>1299141.6874806376</v>
      </c>
      <c r="R330" s="37">
        <f t="shared" si="76"/>
        <v>1332407.9162300178</v>
      </c>
      <c r="S330" s="37">
        <f t="shared" si="76"/>
        <v>1375618.1333684623</v>
      </c>
      <c r="T330" s="37">
        <f t="shared" si="76"/>
        <v>1418716.5774983638</v>
      </c>
      <c r="U330" s="37">
        <f t="shared" si="76"/>
        <v>1470028.8121760334</v>
      </c>
      <c r="V330" s="64">
        <f t="shared" si="76"/>
        <v>1521897.7345762241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275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7">Q297*Q$219</f>
        <v>0</v>
      </c>
      <c r="R339" s="57">
        <f t="shared" si="77"/>
        <v>0</v>
      </c>
      <c r="S339" s="57">
        <f t="shared" si="77"/>
        <v>0</v>
      </c>
      <c r="T339" s="57">
        <f t="shared" si="77"/>
        <v>0</v>
      </c>
      <c r="U339" s="57">
        <f t="shared" si="77"/>
        <v>0</v>
      </c>
      <c r="V339" s="62">
        <f t="shared" si="77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8">P298*P$219</f>
        <v>0</v>
      </c>
      <c r="Q340" s="57">
        <f t="shared" si="77"/>
        <v>0</v>
      </c>
      <c r="R340" s="57">
        <f t="shared" si="77"/>
        <v>0</v>
      </c>
      <c r="S340" s="57">
        <f t="shared" si="77"/>
        <v>0</v>
      </c>
      <c r="T340" s="57">
        <f t="shared" si="77"/>
        <v>0</v>
      </c>
      <c r="U340" s="57">
        <f t="shared" si="77"/>
        <v>0</v>
      </c>
      <c r="V340" s="62">
        <f t="shared" si="77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8"/>
        <v>0</v>
      </c>
      <c r="Q341" s="57">
        <f t="shared" si="77"/>
        <v>0</v>
      </c>
      <c r="R341" s="57">
        <f t="shared" si="77"/>
        <v>0</v>
      </c>
      <c r="S341" s="57">
        <f t="shared" si="77"/>
        <v>0</v>
      </c>
      <c r="T341" s="57">
        <f t="shared" si="77"/>
        <v>0</v>
      </c>
      <c r="U341" s="57">
        <f t="shared" si="77"/>
        <v>0</v>
      </c>
      <c r="V341" s="62">
        <f t="shared" si="77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8"/>
        <v>0</v>
      </c>
      <c r="Q342" s="57">
        <f t="shared" si="77"/>
        <v>0</v>
      </c>
      <c r="R342" s="57">
        <f t="shared" si="77"/>
        <v>0</v>
      </c>
      <c r="S342" s="57">
        <f t="shared" si="77"/>
        <v>0</v>
      </c>
      <c r="T342" s="57">
        <f t="shared" si="77"/>
        <v>0</v>
      </c>
      <c r="U342" s="57">
        <f t="shared" si="77"/>
        <v>0</v>
      </c>
      <c r="V342" s="62">
        <f t="shared" si="77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8"/>
        <v>0</v>
      </c>
      <c r="Q343" s="57">
        <f t="shared" si="77"/>
        <v>0</v>
      </c>
      <c r="R343" s="57">
        <f t="shared" si="77"/>
        <v>0</v>
      </c>
      <c r="S343" s="57">
        <f t="shared" si="77"/>
        <v>0</v>
      </c>
      <c r="T343" s="57">
        <f t="shared" si="77"/>
        <v>0</v>
      </c>
      <c r="U343" s="57">
        <f t="shared" si="77"/>
        <v>0</v>
      </c>
      <c r="V343" s="62">
        <f t="shared" si="77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8"/>
        <v>0</v>
      </c>
      <c r="Q344" s="57">
        <f t="shared" si="77"/>
        <v>0</v>
      </c>
      <c r="R344" s="57">
        <f t="shared" si="77"/>
        <v>0</v>
      </c>
      <c r="S344" s="57">
        <f t="shared" si="77"/>
        <v>0</v>
      </c>
      <c r="T344" s="57">
        <f t="shared" si="77"/>
        <v>0</v>
      </c>
      <c r="U344" s="57">
        <f t="shared" si="77"/>
        <v>0</v>
      </c>
      <c r="V344" s="62">
        <f t="shared" si="77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8"/>
        <v>0</v>
      </c>
      <c r="Q345" s="57">
        <f t="shared" si="77"/>
        <v>0</v>
      </c>
      <c r="R345" s="57">
        <f t="shared" si="77"/>
        <v>0</v>
      </c>
      <c r="S345" s="57">
        <f t="shared" si="77"/>
        <v>0</v>
      </c>
      <c r="T345" s="57">
        <f t="shared" si="77"/>
        <v>0</v>
      </c>
      <c r="U345" s="57">
        <f t="shared" si="77"/>
        <v>0</v>
      </c>
      <c r="V345" s="62">
        <f t="shared" si="77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8"/>
        <v>0</v>
      </c>
      <c r="Q346" s="57">
        <f t="shared" si="77"/>
        <v>0</v>
      </c>
      <c r="R346" s="57">
        <f t="shared" si="77"/>
        <v>0</v>
      </c>
      <c r="S346" s="57">
        <f t="shared" si="77"/>
        <v>0</v>
      </c>
      <c r="T346" s="57">
        <f t="shared" si="77"/>
        <v>0</v>
      </c>
      <c r="U346" s="57">
        <f t="shared" si="77"/>
        <v>0</v>
      </c>
      <c r="V346" s="62">
        <f t="shared" si="77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8"/>
        <v>0</v>
      </c>
      <c r="Q347" s="57">
        <f t="shared" si="77"/>
        <v>0</v>
      </c>
      <c r="R347" s="57">
        <f t="shared" si="77"/>
        <v>0</v>
      </c>
      <c r="S347" s="57">
        <f t="shared" si="77"/>
        <v>0</v>
      </c>
      <c r="T347" s="57">
        <f t="shared" si="77"/>
        <v>0</v>
      </c>
      <c r="U347" s="57">
        <f t="shared" si="77"/>
        <v>0</v>
      </c>
      <c r="V347" s="62">
        <f t="shared" si="77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8"/>
        <v>0</v>
      </c>
      <c r="Q348" s="57">
        <f t="shared" si="77"/>
        <v>0</v>
      </c>
      <c r="R348" s="57">
        <f t="shared" si="77"/>
        <v>0</v>
      </c>
      <c r="S348" s="57">
        <f t="shared" si="77"/>
        <v>0</v>
      </c>
      <c r="T348" s="57">
        <f t="shared" si="77"/>
        <v>0</v>
      </c>
      <c r="U348" s="57">
        <f t="shared" si="77"/>
        <v>0</v>
      </c>
      <c r="V348" s="62">
        <f t="shared" si="77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8"/>
        <v>0</v>
      </c>
      <c r="Q349" s="57">
        <f t="shared" si="77"/>
        <v>0</v>
      </c>
      <c r="R349" s="57">
        <f t="shared" si="77"/>
        <v>0</v>
      </c>
      <c r="S349" s="57">
        <f t="shared" si="77"/>
        <v>0</v>
      </c>
      <c r="T349" s="57">
        <f t="shared" si="77"/>
        <v>0</v>
      </c>
      <c r="U349" s="57">
        <f t="shared" si="77"/>
        <v>0</v>
      </c>
      <c r="V349" s="62">
        <f t="shared" si="77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9">SUM(Q339:Q349)</f>
        <v>0</v>
      </c>
      <c r="R351" s="37">
        <f t="shared" si="79"/>
        <v>0</v>
      </c>
      <c r="S351" s="37">
        <f t="shared" si="79"/>
        <v>0</v>
      </c>
      <c r="T351" s="37">
        <f t="shared" si="79"/>
        <v>0</v>
      </c>
      <c r="U351" s="37">
        <f t="shared" si="79"/>
        <v>0</v>
      </c>
      <c r="V351" s="64">
        <f t="shared" si="79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273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0">IFERROR(SUMPRODUCT($AM$73:$AM$87,Q$73:Q$87)/SUM(Q$73:Q$87)*Q$89,0)</f>
        <v>0</v>
      </c>
      <c r="R362" s="57">
        <f t="shared" si="80"/>
        <v>0</v>
      </c>
      <c r="S362" s="57">
        <f t="shared" si="80"/>
        <v>0</v>
      </c>
      <c r="T362" s="57">
        <f t="shared" si="80"/>
        <v>0</v>
      </c>
      <c r="U362" s="57">
        <f t="shared" si="80"/>
        <v>0</v>
      </c>
      <c r="V362" s="62">
        <f t="shared" si="80"/>
        <v>0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81">IFERROR(SUMPRODUCT($AN$73:$AN$87,Q$73:Q$87)/SUM(Q$73:Q$87)*Q$89,0)</f>
        <v>0</v>
      </c>
      <c r="R363" s="57">
        <f t="shared" si="81"/>
        <v>0</v>
      </c>
      <c r="S363" s="57">
        <f t="shared" si="81"/>
        <v>0</v>
      </c>
      <c r="T363" s="57">
        <f t="shared" si="81"/>
        <v>0</v>
      </c>
      <c r="U363" s="57">
        <f t="shared" si="81"/>
        <v>0</v>
      </c>
      <c r="V363" s="62">
        <f t="shared" si="81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82">IFERROR(SUMPRODUCT($AO$73:$AO$87,Q$73:Q$87)/SUM(Q$73:Q$87)*Q$89,0)</f>
        <v>0</v>
      </c>
      <c r="R364" s="57">
        <f t="shared" si="82"/>
        <v>0</v>
      </c>
      <c r="S364" s="57">
        <f t="shared" si="82"/>
        <v>0</v>
      </c>
      <c r="T364" s="57">
        <f t="shared" si="82"/>
        <v>0</v>
      </c>
      <c r="U364" s="57">
        <f t="shared" si="82"/>
        <v>0</v>
      </c>
      <c r="V364" s="62">
        <f t="shared" si="82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83">IFERROR(SUMPRODUCT($AP$73:$AP$87,Q$73:Q$87)/SUM(Q$73:Q$87)*Q$89,0)</f>
        <v>0</v>
      </c>
      <c r="R365" s="57">
        <f t="shared" si="83"/>
        <v>0</v>
      </c>
      <c r="S365" s="57">
        <f t="shared" si="83"/>
        <v>0</v>
      </c>
      <c r="T365" s="57">
        <f t="shared" si="83"/>
        <v>0</v>
      </c>
      <c r="U365" s="57">
        <f t="shared" si="83"/>
        <v>0</v>
      </c>
      <c r="V365" s="62">
        <f t="shared" si="83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84">IFERROR(SUMPRODUCT($AQ$73:$AQ$87,Q$73:Q$87)/SUM(Q$73:Q$87)*Q$89,0)</f>
        <v>0</v>
      </c>
      <c r="R366" s="57">
        <f t="shared" si="84"/>
        <v>0</v>
      </c>
      <c r="S366" s="57">
        <f t="shared" si="84"/>
        <v>0</v>
      </c>
      <c r="T366" s="57">
        <f t="shared" si="84"/>
        <v>0</v>
      </c>
      <c r="U366" s="57">
        <f t="shared" si="84"/>
        <v>0</v>
      </c>
      <c r="V366" s="62">
        <f t="shared" si="84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85">IFERROR(SUMPRODUCT($AR$73:$AR$87,Q$73:Q$87)/SUM(Q$73:Q$87)*Q$89,0)</f>
        <v>0</v>
      </c>
      <c r="R367" s="57">
        <f t="shared" si="85"/>
        <v>0</v>
      </c>
      <c r="S367" s="57">
        <f t="shared" si="85"/>
        <v>0</v>
      </c>
      <c r="T367" s="57">
        <f t="shared" si="85"/>
        <v>0</v>
      </c>
      <c r="U367" s="57">
        <f t="shared" si="85"/>
        <v>0</v>
      </c>
      <c r="V367" s="62">
        <f t="shared" si="85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6">IFERROR(SUMPRODUCT($AS$73:$AS$87,Q$73:Q$87)/SUM(Q$73:Q$87)*Q$89,0)</f>
        <v>0</v>
      </c>
      <c r="R368" s="57">
        <f t="shared" si="86"/>
        <v>0</v>
      </c>
      <c r="S368" s="57">
        <f t="shared" si="86"/>
        <v>0</v>
      </c>
      <c r="T368" s="57">
        <f t="shared" si="86"/>
        <v>0</v>
      </c>
      <c r="U368" s="57">
        <f t="shared" si="86"/>
        <v>0</v>
      </c>
      <c r="V368" s="62">
        <f t="shared" si="86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7">IFERROR(SUMPRODUCT($AT$73:$AT$87,Q$73:Q$87)/SUM(Q$73:Q$87)*Q$89,0)</f>
        <v>0</v>
      </c>
      <c r="R369" s="57">
        <f t="shared" si="87"/>
        <v>0</v>
      </c>
      <c r="S369" s="57">
        <f t="shared" si="87"/>
        <v>0</v>
      </c>
      <c r="T369" s="57">
        <f t="shared" si="87"/>
        <v>0</v>
      </c>
      <c r="U369" s="57">
        <f t="shared" si="87"/>
        <v>0</v>
      </c>
      <c r="V369" s="62">
        <f t="shared" si="87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8">IFERROR(SUMPRODUCT($AU$73:$AU$87,Q$73:Q$87)/SUM(Q$73:Q$87)*Q$89,0)</f>
        <v>1208681.8840511367</v>
      </c>
      <c r="R370" s="57">
        <f t="shared" si="88"/>
        <v>1242719.8210756036</v>
      </c>
      <c r="S370" s="57">
        <f t="shared" si="88"/>
        <v>1278142.9914166091</v>
      </c>
      <c r="T370" s="57">
        <f t="shared" si="88"/>
        <v>1316763.944925027</v>
      </c>
      <c r="U370" s="57">
        <f t="shared" si="88"/>
        <v>1358978.9218377527</v>
      </c>
      <c r="V370" s="62">
        <f t="shared" si="88"/>
        <v>1403456.4078282076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9">IFERROR(SUMPRODUCT($AV$73:$AV$87,Q$73:Q$87)/SUM(Q$73:Q$87)*Q$89,0)</f>
        <v>0</v>
      </c>
      <c r="R371" s="57">
        <f t="shared" si="89"/>
        <v>0</v>
      </c>
      <c r="S371" s="57">
        <f t="shared" si="89"/>
        <v>0</v>
      </c>
      <c r="T371" s="57">
        <f t="shared" si="89"/>
        <v>0</v>
      </c>
      <c r="U371" s="57">
        <f t="shared" si="89"/>
        <v>0</v>
      </c>
      <c r="V371" s="62">
        <f t="shared" si="89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0">IFERROR(SUMPRODUCT($AW$73:$AW$87,Q$73:Q$87)/SUM(Q$73:Q$87)*Q$89,0)</f>
        <v>0</v>
      </c>
      <c r="R372" s="57">
        <f t="shared" si="90"/>
        <v>0</v>
      </c>
      <c r="S372" s="57">
        <f t="shared" si="90"/>
        <v>0</v>
      </c>
      <c r="T372" s="57">
        <f t="shared" si="90"/>
        <v>0</v>
      </c>
      <c r="U372" s="57">
        <f t="shared" si="90"/>
        <v>0</v>
      </c>
      <c r="V372" s="62">
        <f t="shared" si="90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91">Q238</f>
        <v>0</v>
      </c>
      <c r="R373" s="57">
        <f t="shared" si="91"/>
        <v>0</v>
      </c>
      <c r="S373" s="57">
        <f t="shared" si="91"/>
        <v>0</v>
      </c>
      <c r="T373" s="57">
        <f t="shared" si="91"/>
        <v>0</v>
      </c>
      <c r="U373" s="57">
        <f t="shared" si="91"/>
        <v>0</v>
      </c>
      <c r="V373" s="62">
        <f t="shared" si="91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92">Q252</f>
        <v>0</v>
      </c>
      <c r="R374" s="57">
        <f t="shared" si="92"/>
        <v>0</v>
      </c>
      <c r="S374" s="57">
        <f t="shared" si="92"/>
        <v>0</v>
      </c>
      <c r="T374" s="57">
        <f t="shared" si="92"/>
        <v>0</v>
      </c>
      <c r="U374" s="57">
        <f t="shared" si="92"/>
        <v>0</v>
      </c>
      <c r="V374" s="62">
        <f t="shared" si="92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>SUM(Q362:Q372)*'General assumptions'!T47</f>
        <v>90459.803429500811</v>
      </c>
      <c r="R375" s="57">
        <f>SUM(R362:R372)*'General assumptions'!U47</f>
        <v>89688.095154414346</v>
      </c>
      <c r="S375" s="57">
        <f>SUM(S362:S372)*'General assumptions'!V47</f>
        <v>97475.141951853162</v>
      </c>
      <c r="T375" s="57">
        <f>SUM(T362:T372)*'General assumptions'!W47</f>
        <v>101952.63257333684</v>
      </c>
      <c r="U375" s="57">
        <f>SUM(U362:U372)*'General assumptions'!X47</f>
        <v>111049.89033828072</v>
      </c>
      <c r="V375" s="62">
        <f>SUM(V362:V372)*'General assumptions'!Y47</f>
        <v>118441.32674801665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93">SUM(P362:P375)</f>
        <v>0</v>
      </c>
      <c r="Q377" s="37">
        <f t="shared" si="93"/>
        <v>1299141.6874806376</v>
      </c>
      <c r="R377" s="37">
        <f t="shared" si="93"/>
        <v>1332407.916230018</v>
      </c>
      <c r="S377" s="37">
        <f t="shared" si="93"/>
        <v>1375618.1333684623</v>
      </c>
      <c r="T377" s="37">
        <f t="shared" si="93"/>
        <v>1418716.5774983638</v>
      </c>
      <c r="U377" s="37">
        <f t="shared" si="93"/>
        <v>1470028.8121760334</v>
      </c>
      <c r="V377" s="64">
        <f t="shared" si="93"/>
        <v>1521897.7345762243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273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94">IFERROR(SUMPRODUCT($BB$73:$BB$87,Q$73:Q$87)/SUM(Q$73:Q$87)*Q$89*(1+Q$208),0)</f>
        <v>0</v>
      </c>
      <c r="R388" s="57">
        <f t="shared" si="94"/>
        <v>0</v>
      </c>
      <c r="S388" s="57">
        <f t="shared" si="94"/>
        <v>0</v>
      </c>
      <c r="T388" s="57">
        <f t="shared" si="94"/>
        <v>0</v>
      </c>
      <c r="U388" s="57">
        <f t="shared" si="94"/>
        <v>0</v>
      </c>
      <c r="V388" s="62">
        <f t="shared" si="94"/>
        <v>0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95">IFERROR(SUMPRODUCT($BC$73:$BC$87,Q$73:Q$87)/SUM(Q$73:Q$87)*Q$89*(1+Q$208),0)</f>
        <v>0</v>
      </c>
      <c r="R389" s="57">
        <f t="shared" si="95"/>
        <v>0</v>
      </c>
      <c r="S389" s="57">
        <f t="shared" si="95"/>
        <v>0</v>
      </c>
      <c r="T389" s="57">
        <f t="shared" si="95"/>
        <v>0</v>
      </c>
      <c r="U389" s="57">
        <f t="shared" si="95"/>
        <v>0</v>
      </c>
      <c r="V389" s="62">
        <f t="shared" si="95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6">IFERROR(SUMPRODUCT($BD$73:$BD$87,Q$73:Q$87)/SUM(Q$73:Q$87)*Q$89*(1+Q$208),0)</f>
        <v>0</v>
      </c>
      <c r="R390" s="57">
        <f t="shared" si="96"/>
        <v>0</v>
      </c>
      <c r="S390" s="57">
        <f t="shared" si="96"/>
        <v>0</v>
      </c>
      <c r="T390" s="57">
        <f t="shared" si="96"/>
        <v>0</v>
      </c>
      <c r="U390" s="57">
        <f t="shared" si="96"/>
        <v>0</v>
      </c>
      <c r="V390" s="62">
        <f t="shared" si="96"/>
        <v>0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7">IFERROR(SUMPRODUCT($BE$73:$BE$87,Q$73:Q$87)/SUM(Q$73:Q$87)*Q$89*(1+Q$208),0)</f>
        <v>0</v>
      </c>
      <c r="R391" s="57">
        <f t="shared" si="97"/>
        <v>0</v>
      </c>
      <c r="S391" s="57">
        <f t="shared" si="97"/>
        <v>0</v>
      </c>
      <c r="T391" s="57">
        <f t="shared" si="97"/>
        <v>0</v>
      </c>
      <c r="U391" s="57">
        <f t="shared" si="97"/>
        <v>0</v>
      </c>
      <c r="V391" s="62">
        <f t="shared" si="97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8">IFERROR(SUMPRODUCT($BF$73:$BF$87,Q$73:Q$87)/SUM(Q$73:Q$87)*Q$89*(1+Q$208),0)</f>
        <v>1299141.6874806376</v>
      </c>
      <c r="R392" s="57">
        <f t="shared" si="98"/>
        <v>1332407.9162300178</v>
      </c>
      <c r="S392" s="57">
        <f t="shared" si="98"/>
        <v>1375618.1333684623</v>
      </c>
      <c r="T392" s="57">
        <f t="shared" si="98"/>
        <v>1418716.5774983638</v>
      </c>
      <c r="U392" s="57">
        <f t="shared" si="98"/>
        <v>1470028.8121760334</v>
      </c>
      <c r="V392" s="62">
        <f t="shared" si="98"/>
        <v>1521897.7345762241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99">IFERROR(SUMPRODUCT($BG$73:$BG$87,Q$73:Q$87)/SUM(Q$73:Q$87)*Q$89*(1+Q$208),0)</f>
        <v>0</v>
      </c>
      <c r="R393" s="57">
        <f t="shared" si="99"/>
        <v>0</v>
      </c>
      <c r="S393" s="57">
        <f t="shared" si="99"/>
        <v>0</v>
      </c>
      <c r="T393" s="57">
        <f t="shared" si="99"/>
        <v>0</v>
      </c>
      <c r="U393" s="57">
        <f t="shared" si="99"/>
        <v>0</v>
      </c>
      <c r="V393" s="62">
        <f t="shared" si="99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00">IFERROR(SUMPRODUCT($BH$73:$BH$87,Q$73:Q$87)/SUM(Q$73:Q$87)*Q$89*(1+Q$208),0)</f>
        <v>0</v>
      </c>
      <c r="R394" s="57">
        <f t="shared" si="100"/>
        <v>0</v>
      </c>
      <c r="S394" s="57">
        <f t="shared" si="100"/>
        <v>0</v>
      </c>
      <c r="T394" s="57">
        <f t="shared" si="100"/>
        <v>0</v>
      </c>
      <c r="U394" s="57">
        <f t="shared" si="100"/>
        <v>0</v>
      </c>
      <c r="V394" s="62">
        <f t="shared" si="100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1">SUM(P388:P394)</f>
        <v>0</v>
      </c>
      <c r="Q396" s="37">
        <f t="shared" si="101"/>
        <v>1299141.6874806376</v>
      </c>
      <c r="R396" s="37">
        <f t="shared" si="101"/>
        <v>1332407.9162300178</v>
      </c>
      <c r="S396" s="37">
        <f t="shared" si="101"/>
        <v>1375618.1333684623</v>
      </c>
      <c r="T396" s="37">
        <f t="shared" si="101"/>
        <v>1418716.5774983638</v>
      </c>
      <c r="U396" s="37">
        <f t="shared" si="101"/>
        <v>1470028.8121760334</v>
      </c>
      <c r="V396" s="64">
        <f t="shared" si="101"/>
        <v>1521897.7345762241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I399"/>
  <sheetViews>
    <sheetView topLeftCell="E13" workbookViewId="0">
      <selection activeCell="R42" sqref="R42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20" s="3" customFormat="1">
      <c r="A1" s="2" t="s">
        <v>2</v>
      </c>
    </row>
    <row r="2" spans="1:20" s="1" customFormat="1">
      <c r="A2" s="3" t="s">
        <v>192</v>
      </c>
    </row>
    <row r="3" spans="1:20" s="1" customFormat="1">
      <c r="A3" s="3" t="s">
        <v>95</v>
      </c>
    </row>
    <row r="4" spans="1:20" s="1" customFormat="1">
      <c r="A4" s="22" t="s">
        <v>43</v>
      </c>
    </row>
    <row r="6" spans="1:20" s="1" customFormat="1">
      <c r="A6" s="2">
        <v>2</v>
      </c>
      <c r="B6" s="2" t="s">
        <v>45</v>
      </c>
    </row>
    <row r="8" spans="1:20">
      <c r="O8" s="95"/>
      <c r="P8" s="95"/>
      <c r="Q8" s="95"/>
      <c r="R8" s="95"/>
      <c r="S8" s="95"/>
      <c r="T8" s="94"/>
    </row>
    <row r="9" spans="1:20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  <c r="O9" s="94"/>
      <c r="P9" s="94"/>
      <c r="Q9" s="94"/>
      <c r="R9" s="94"/>
      <c r="S9" s="94"/>
      <c r="T9" s="94"/>
    </row>
    <row r="10" spans="1:20">
      <c r="B10" s="8" t="s">
        <v>72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  <c r="O10" s="94"/>
      <c r="P10" s="94"/>
      <c r="Q10" s="94"/>
      <c r="R10" s="94"/>
      <c r="S10" s="94"/>
      <c r="T10" s="94"/>
    </row>
    <row r="11" spans="1:20">
      <c r="B11" s="8"/>
      <c r="D11" s="10"/>
      <c r="E11" s="10"/>
      <c r="F11" s="26"/>
      <c r="G11" s="26"/>
      <c r="O11" s="94"/>
      <c r="P11" s="94"/>
      <c r="Q11" s="94"/>
      <c r="R11" s="94"/>
      <c r="S11" s="94"/>
      <c r="T11" s="94"/>
    </row>
    <row r="12" spans="1:20">
      <c r="B12" s="8"/>
      <c r="D12" s="10"/>
      <c r="E12" s="10"/>
      <c r="F12" s="26"/>
      <c r="G12" s="26"/>
    </row>
    <row r="13" spans="1:20">
      <c r="B13" s="8"/>
      <c r="D13" s="10"/>
      <c r="E13" s="10"/>
      <c r="F13" s="26"/>
      <c r="G13" s="26"/>
    </row>
    <row r="14" spans="1:20">
      <c r="B14" s="8"/>
      <c r="D14" s="10"/>
      <c r="E14" s="10"/>
      <c r="F14" s="26"/>
      <c r="G14" s="26"/>
    </row>
    <row r="15" spans="1:20">
      <c r="B15" s="8"/>
      <c r="D15" s="10"/>
      <c r="E15" s="10"/>
      <c r="F15" s="26"/>
      <c r="G15" s="26"/>
    </row>
    <row r="16" spans="1:20">
      <c r="B16" s="8"/>
      <c r="D16" s="10"/>
      <c r="E16" s="10"/>
      <c r="F16" s="26"/>
      <c r="G16" s="26"/>
    </row>
    <row r="17" spans="1:24">
      <c r="B17" s="8"/>
      <c r="D17" s="10"/>
      <c r="E17" s="10"/>
      <c r="F17" s="26"/>
      <c r="G17" s="26"/>
    </row>
    <row r="18" spans="1:24">
      <c r="B18" s="8"/>
      <c r="D18" s="10"/>
      <c r="E18" s="10"/>
      <c r="F18" s="26"/>
      <c r="G18" s="26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51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90" t="s">
        <v>52</v>
      </c>
      <c r="I28" s="190"/>
      <c r="J28" s="190"/>
      <c r="K28" s="190"/>
      <c r="L28" s="190"/>
      <c r="M28" s="190" t="s">
        <v>53</v>
      </c>
      <c r="N28" s="190"/>
      <c r="O28" s="190"/>
      <c r="P28" s="190"/>
      <c r="Q28" s="190"/>
      <c r="R28" s="190" t="s">
        <v>54</v>
      </c>
      <c r="S28" s="190"/>
      <c r="T28" s="190"/>
      <c r="U28" s="190"/>
      <c r="V28" s="190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 t="shared" ref="B31:B36" si="0">IF(B10&lt;&gt;"",B10,"[blank]")</f>
        <v>Cathodic protection</v>
      </c>
      <c r="D31" s="31" t="s">
        <v>193</v>
      </c>
      <c r="E31" s="31"/>
      <c r="P31" s="77"/>
      <c r="Q31" s="33">
        <f>'AMP inputs'!G47*'General assumptions'!$S$21*($D10*'General assumptions'!T$35+$E10*'General assumptions'!T$36+$G10*'General assumptions'!T$42)</f>
        <v>296037.97274349735</v>
      </c>
      <c r="R31" s="33">
        <f>'AMP inputs'!H47*'General assumptions'!$S$21*($D10*'General assumptions'!U$35+$E10*'General assumptions'!U$36+$G10*'General assumptions'!U$42)</f>
        <v>403034.09279218095</v>
      </c>
      <c r="S31" s="33">
        <f>'AMP inputs'!I47*'General assumptions'!$S$21*($D10*'General assumptions'!V$35+$E10*'General assumptions'!V$36+$G10*'General assumptions'!V$42)</f>
        <v>406001.89919820975</v>
      </c>
      <c r="T31" s="33">
        <f>'AMP inputs'!J47*'General assumptions'!$S$21*($D10*'General assumptions'!W$35+$E10*'General assumptions'!W$36+$G10*'General assumptions'!W$42)</f>
        <v>411921.73369026947</v>
      </c>
      <c r="U31" s="33">
        <f>'AMP inputs'!K47*'General assumptions'!$S$21*($D10*'General assumptions'!X$35+$E10*'General assumptions'!X$36+$G10*'General assumptions'!X$42)</f>
        <v>417004.2723653033</v>
      </c>
      <c r="V31" s="33">
        <f>'AMP inputs'!L47*'General assumptions'!$S$21*($D10*'General assumptions'!Y$35+$E10*'General assumptions'!Y$36+$G10*'General assumptions'!Y$42)</f>
        <v>422529.99112276814</v>
      </c>
      <c r="X31" s="20"/>
    </row>
    <row r="32" spans="1:24">
      <c r="B32" s="4" t="str">
        <f t="shared" si="0"/>
        <v>[blank]</v>
      </c>
      <c r="D32" s="31"/>
      <c r="E32" s="31"/>
      <c r="P32" s="77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P33" s="77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P34" s="77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  <c r="P35" s="77"/>
      <c r="Q35" s="67"/>
      <c r="R35" s="67"/>
      <c r="S35" s="67"/>
      <c r="T35" s="67"/>
      <c r="U35" s="67"/>
      <c r="V35" s="67"/>
      <c r="X35" s="20"/>
    </row>
    <row r="36" spans="1:24">
      <c r="B36" s="4" t="str">
        <f t="shared" si="0"/>
        <v>[blank]</v>
      </c>
      <c r="D36" s="31"/>
      <c r="Q36" s="77"/>
      <c r="R36" s="77"/>
      <c r="S36" s="77"/>
      <c r="T36" s="77"/>
      <c r="U36" s="77"/>
      <c r="V36" s="77"/>
      <c r="X36" s="20"/>
    </row>
    <row r="37" spans="1:24">
      <c r="B37" s="4" t="str">
        <f t="shared" ref="B37:B45" si="1">IF(B16&lt;&gt;"",B16,"[blank]")</f>
        <v>[blank]</v>
      </c>
      <c r="D37" s="31"/>
      <c r="Q37" s="77"/>
      <c r="R37" s="77"/>
      <c r="S37" s="77"/>
      <c r="T37" s="77"/>
      <c r="U37" s="77"/>
      <c r="V37" s="77"/>
    </row>
    <row r="38" spans="1:24">
      <c r="B38" s="4" t="str">
        <f t="shared" si="1"/>
        <v>[blank]</v>
      </c>
      <c r="D38" s="31"/>
      <c r="Q38" s="77"/>
      <c r="R38" s="77"/>
      <c r="S38" s="77"/>
      <c r="T38" s="77"/>
      <c r="U38" s="77"/>
      <c r="V38" s="77"/>
    </row>
    <row r="39" spans="1:24">
      <c r="B39" s="4" t="str">
        <f t="shared" si="1"/>
        <v>[blank]</v>
      </c>
      <c r="D39" s="31"/>
      <c r="Q39" s="77"/>
      <c r="R39" s="77"/>
      <c r="S39" s="77"/>
      <c r="T39" s="77"/>
      <c r="U39" s="77"/>
      <c r="V39" s="77"/>
    </row>
    <row r="40" spans="1:24">
      <c r="B40" s="4" t="str">
        <f t="shared" si="1"/>
        <v>[blank]</v>
      </c>
      <c r="D40" s="31"/>
      <c r="Q40" s="94"/>
      <c r="R40" s="94"/>
      <c r="S40" s="94"/>
      <c r="T40" s="94"/>
      <c r="U40" s="94"/>
      <c r="V40" s="94"/>
    </row>
    <row r="41" spans="1:24">
      <c r="B41" s="4" t="str">
        <f t="shared" si="1"/>
        <v>[blank]</v>
      </c>
      <c r="D41" s="31"/>
    </row>
    <row r="42" spans="1:24">
      <c r="B42" s="4" t="str">
        <f t="shared" si="1"/>
        <v>[blank]</v>
      </c>
      <c r="D42" s="31"/>
    </row>
    <row r="43" spans="1:24">
      <c r="B43" s="4" t="str">
        <f t="shared" si="1"/>
        <v>[blank]</v>
      </c>
      <c r="D43" s="31"/>
    </row>
    <row r="44" spans="1:24">
      <c r="B44" s="4" t="str">
        <f t="shared" si="1"/>
        <v>[blank]</v>
      </c>
      <c r="D44" s="31"/>
    </row>
    <row r="45" spans="1:24">
      <c r="B45" s="4" t="str">
        <f t="shared" si="1"/>
        <v>[blank]</v>
      </c>
      <c r="D45" s="31"/>
    </row>
    <row r="47" spans="1:24" s="1" customFormat="1">
      <c r="A47" s="2">
        <v>4</v>
      </c>
      <c r="B47" s="2" t="s">
        <v>56</v>
      </c>
    </row>
    <row r="49" spans="2:24">
      <c r="H49" s="190" t="s">
        <v>52</v>
      </c>
      <c r="I49" s="190"/>
      <c r="J49" s="190"/>
      <c r="K49" s="190"/>
      <c r="L49" s="190"/>
      <c r="M49" s="190" t="s">
        <v>53</v>
      </c>
      <c r="N49" s="190"/>
      <c r="O49" s="190"/>
      <c r="P49" s="190"/>
      <c r="Q49" s="190"/>
      <c r="R49" s="190" t="s">
        <v>54</v>
      </c>
      <c r="S49" s="190"/>
      <c r="T49" s="190"/>
      <c r="U49" s="190"/>
      <c r="V49" s="190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46</v>
      </c>
      <c r="D51" s="29" t="s">
        <v>55</v>
      </c>
      <c r="H51" s="16" t="s">
        <v>12</v>
      </c>
      <c r="I51" s="16" t="s">
        <v>12</v>
      </c>
      <c r="J51" s="16" t="s">
        <v>12</v>
      </c>
      <c r="K51" s="16" t="s">
        <v>12</v>
      </c>
      <c r="L51" s="16" t="s">
        <v>12</v>
      </c>
      <c r="M51" s="16" t="s">
        <v>12</v>
      </c>
      <c r="N51" s="16" t="s">
        <v>12</v>
      </c>
      <c r="O51" s="16" t="s">
        <v>12</v>
      </c>
      <c r="P51" s="16" t="s">
        <v>13</v>
      </c>
      <c r="Q51" s="16" t="s">
        <v>13</v>
      </c>
      <c r="R51" s="16" t="s">
        <v>13</v>
      </c>
      <c r="S51" s="16" t="s">
        <v>13</v>
      </c>
      <c r="T51" s="16" t="s">
        <v>13</v>
      </c>
      <c r="U51" s="16" t="s">
        <v>13</v>
      </c>
      <c r="V51" s="16" t="s">
        <v>13</v>
      </c>
    </row>
    <row r="52" spans="2:24">
      <c r="B52" s="4" t="str">
        <f t="shared" ref="B52:B57" si="2">IF(B10&lt;&gt;"",B10,"[blank]")</f>
        <v>Cathodic protection</v>
      </c>
      <c r="D52" s="31" t="s">
        <v>194</v>
      </c>
      <c r="P52" s="77"/>
      <c r="Q52" s="33">
        <f>'AMP inputs'!N47</f>
        <v>1</v>
      </c>
      <c r="R52" s="33">
        <f>'AMP inputs'!O47</f>
        <v>1</v>
      </c>
      <c r="S52" s="33">
        <f>'AMP inputs'!P47</f>
        <v>1</v>
      </c>
      <c r="T52" s="33">
        <f>'AMP inputs'!Q47</f>
        <v>1</v>
      </c>
      <c r="U52" s="33">
        <f>'AMP inputs'!R47</f>
        <v>1</v>
      </c>
      <c r="V52" s="33">
        <f>'AMP inputs'!S47</f>
        <v>1</v>
      </c>
      <c r="X52" s="20"/>
    </row>
    <row r="53" spans="2:24">
      <c r="B53" s="4" t="str">
        <f t="shared" si="2"/>
        <v>[blank]</v>
      </c>
      <c r="D53" s="31"/>
      <c r="P53" s="77"/>
      <c r="Q53" s="77"/>
      <c r="R53" s="77"/>
      <c r="S53" s="77"/>
      <c r="T53" s="77"/>
      <c r="U53" s="77"/>
      <c r="V53" s="77"/>
      <c r="X53" s="20"/>
    </row>
    <row r="54" spans="2:24">
      <c r="B54" s="4" t="str">
        <f t="shared" si="2"/>
        <v>[blank]</v>
      </c>
      <c r="D54" s="31"/>
      <c r="P54" s="77"/>
      <c r="Q54" s="77"/>
      <c r="R54" s="77"/>
      <c r="S54" s="77"/>
      <c r="T54" s="77"/>
      <c r="U54" s="77"/>
      <c r="V54" s="77"/>
      <c r="X54" s="20"/>
    </row>
    <row r="55" spans="2:24">
      <c r="B55" s="4" t="str">
        <f t="shared" si="2"/>
        <v>[blank]</v>
      </c>
      <c r="D55" s="31"/>
      <c r="P55" s="77"/>
      <c r="Q55" s="77"/>
      <c r="R55" s="77"/>
      <c r="S55" s="77"/>
      <c r="T55" s="77"/>
      <c r="U55" s="77"/>
      <c r="V55" s="77"/>
      <c r="X55" s="20"/>
    </row>
    <row r="56" spans="2:24">
      <c r="B56" s="4" t="str">
        <f t="shared" si="2"/>
        <v>[blank]</v>
      </c>
      <c r="D56" s="31"/>
      <c r="P56" s="77"/>
      <c r="Q56" s="77"/>
      <c r="R56" s="77"/>
      <c r="S56" s="77"/>
      <c r="T56" s="77"/>
      <c r="U56" s="77"/>
      <c r="V56" s="77"/>
      <c r="X56" s="20"/>
    </row>
    <row r="57" spans="2:24">
      <c r="B57" s="4" t="str">
        <f t="shared" si="2"/>
        <v>[blank]</v>
      </c>
      <c r="D57" s="31"/>
      <c r="P57" s="77"/>
      <c r="Q57" s="77"/>
      <c r="R57" s="77"/>
      <c r="S57" s="77"/>
      <c r="T57" s="77"/>
      <c r="U57" s="77"/>
      <c r="V57" s="77"/>
      <c r="X57" s="20"/>
    </row>
    <row r="58" spans="2:24">
      <c r="B58" s="4" t="str">
        <f t="shared" ref="B58:B66" si="3">IF(B16&lt;&gt;"",B16,"[blank]")</f>
        <v>[blank]</v>
      </c>
      <c r="D58" s="31"/>
      <c r="P58" s="77"/>
      <c r="Q58" s="77"/>
      <c r="R58" s="77"/>
      <c r="S58" s="77"/>
      <c r="T58" s="77"/>
      <c r="U58" s="77"/>
      <c r="V58" s="77"/>
    </row>
    <row r="59" spans="2:24">
      <c r="B59" s="4" t="str">
        <f t="shared" si="3"/>
        <v>[blank]</v>
      </c>
      <c r="D59" s="31"/>
      <c r="P59" s="77"/>
      <c r="Q59" s="77"/>
      <c r="R59" s="77"/>
      <c r="S59" s="77"/>
      <c r="T59" s="77"/>
      <c r="U59" s="77"/>
      <c r="V59" s="77"/>
    </row>
    <row r="60" spans="2:24">
      <c r="B60" s="4" t="str">
        <f t="shared" si="3"/>
        <v>[blank]</v>
      </c>
      <c r="D60" s="31"/>
      <c r="P60" s="77"/>
      <c r="Q60" s="77"/>
      <c r="R60" s="77"/>
      <c r="S60" s="77"/>
      <c r="T60" s="77"/>
      <c r="U60" s="77"/>
      <c r="V60" s="77"/>
    </row>
    <row r="61" spans="2:24">
      <c r="B61" s="4" t="str">
        <f t="shared" si="3"/>
        <v>[blank]</v>
      </c>
      <c r="D61" s="31"/>
      <c r="P61" s="78"/>
    </row>
    <row r="62" spans="2:24">
      <c r="B62" s="4" t="str">
        <f t="shared" si="3"/>
        <v>[blank]</v>
      </c>
      <c r="D62" s="31"/>
    </row>
    <row r="63" spans="2:24">
      <c r="B63" s="4" t="str">
        <f t="shared" si="3"/>
        <v>[blank]</v>
      </c>
      <c r="D63" s="31"/>
    </row>
    <row r="64" spans="2:24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61</v>
      </c>
    </row>
    <row r="69" spans="1:61">
      <c r="Z69" s="5" t="s">
        <v>73</v>
      </c>
      <c r="AM69" s="5" t="s">
        <v>110</v>
      </c>
      <c r="BB69" s="5" t="s">
        <v>133</v>
      </c>
    </row>
    <row r="70" spans="1:61">
      <c r="H70" s="190" t="s">
        <v>52</v>
      </c>
      <c r="I70" s="190"/>
      <c r="J70" s="190"/>
      <c r="K70" s="190"/>
      <c r="L70" s="190"/>
      <c r="M70" s="190" t="s">
        <v>53</v>
      </c>
      <c r="N70" s="190"/>
      <c r="O70" s="190"/>
      <c r="P70" s="190"/>
      <c r="Q70" s="190"/>
      <c r="R70" s="190" t="s">
        <v>54</v>
      </c>
      <c r="S70" s="190"/>
      <c r="T70" s="190"/>
      <c r="U70" s="190"/>
      <c r="V70" s="190"/>
      <c r="X70" s="38"/>
      <c r="Z70" s="39" t="s">
        <v>69</v>
      </c>
      <c r="AA70" s="39" t="s">
        <v>70</v>
      </c>
      <c r="AB70" s="39" t="s">
        <v>71</v>
      </c>
      <c r="AC70" s="39" t="s">
        <v>72</v>
      </c>
      <c r="AD70" s="39" t="s">
        <v>64</v>
      </c>
      <c r="AE70" s="39" t="s">
        <v>65</v>
      </c>
      <c r="AF70" s="39" t="s">
        <v>66</v>
      </c>
      <c r="AG70" s="39" t="s">
        <v>107</v>
      </c>
      <c r="AH70" s="39" t="s">
        <v>67</v>
      </c>
      <c r="AI70" s="39" t="s">
        <v>68</v>
      </c>
      <c r="AJ70" s="39" t="s">
        <v>108</v>
      </c>
      <c r="AM70" s="39" t="s">
        <v>111</v>
      </c>
      <c r="AN70" s="39" t="s">
        <v>112</v>
      </c>
      <c r="AO70" s="39" t="s">
        <v>113</v>
      </c>
      <c r="AP70" s="39" t="s">
        <v>114</v>
      </c>
      <c r="AQ70" s="39" t="s">
        <v>115</v>
      </c>
      <c r="AR70" s="39" t="s">
        <v>36</v>
      </c>
      <c r="AS70" s="39" t="s">
        <v>116</v>
      </c>
      <c r="AT70" s="39" t="s">
        <v>35</v>
      </c>
      <c r="AU70" s="39" t="s">
        <v>117</v>
      </c>
      <c r="AV70" s="39" t="s">
        <v>118</v>
      </c>
      <c r="AW70" s="39" t="s">
        <v>119</v>
      </c>
      <c r="AX70" s="39" t="s">
        <v>74</v>
      </c>
      <c r="AY70" s="39" t="s">
        <v>75</v>
      </c>
      <c r="BB70" s="39" t="s">
        <v>134</v>
      </c>
      <c r="BC70" s="39" t="s">
        <v>135</v>
      </c>
      <c r="BD70" s="39" t="s">
        <v>136</v>
      </c>
      <c r="BE70" s="39" t="s">
        <v>107</v>
      </c>
      <c r="BF70" s="39" t="s">
        <v>137</v>
      </c>
      <c r="BG70" s="39" t="s">
        <v>138</v>
      </c>
      <c r="BH70" s="39" t="s">
        <v>108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63</v>
      </c>
    </row>
    <row r="72" spans="1:61">
      <c r="B72" s="5" t="s">
        <v>46</v>
      </c>
      <c r="D72" s="29" t="s">
        <v>55</v>
      </c>
      <c r="H72" s="16" t="s">
        <v>12</v>
      </c>
      <c r="I72" s="16" t="s">
        <v>12</v>
      </c>
      <c r="J72" s="16" t="s">
        <v>12</v>
      </c>
      <c r="K72" s="16" t="s">
        <v>12</v>
      </c>
      <c r="L72" s="16" t="s">
        <v>12</v>
      </c>
      <c r="M72" s="16" t="s">
        <v>12</v>
      </c>
      <c r="N72" s="16" t="s">
        <v>12</v>
      </c>
      <c r="O72" s="16" t="s">
        <v>12</v>
      </c>
      <c r="P72" s="16" t="s">
        <v>13</v>
      </c>
      <c r="Q72" s="16" t="s">
        <v>13</v>
      </c>
      <c r="R72" s="16" t="s">
        <v>13</v>
      </c>
      <c r="S72" s="16" t="s">
        <v>13</v>
      </c>
      <c r="T72" s="16" t="s">
        <v>13</v>
      </c>
      <c r="U72" s="16" t="s">
        <v>13</v>
      </c>
      <c r="V72" s="16" t="s">
        <v>13</v>
      </c>
      <c r="X72" s="34" t="s">
        <v>13</v>
      </c>
    </row>
    <row r="73" spans="1:61">
      <c r="B73" s="4" t="str">
        <f t="shared" ref="B73:B78" si="4">IF(B10&lt;&gt;"",B10,"[blank]")</f>
        <v>Cathodic protection</v>
      </c>
      <c r="D73" s="31" t="s">
        <v>60</v>
      </c>
      <c r="O73" s="35"/>
      <c r="P73" s="35">
        <f t="shared" ref="P73" si="5">P31*P52</f>
        <v>0</v>
      </c>
      <c r="Q73" s="35">
        <f t="shared" ref="Q73:V73" si="6">Q31*Q52</f>
        <v>296037.97274349735</v>
      </c>
      <c r="R73" s="35">
        <f t="shared" si="6"/>
        <v>403034.09279218095</v>
      </c>
      <c r="S73" s="35">
        <f t="shared" si="6"/>
        <v>406001.89919820975</v>
      </c>
      <c r="T73" s="35">
        <f t="shared" si="6"/>
        <v>411921.73369026947</v>
      </c>
      <c r="U73" s="35">
        <f t="shared" si="6"/>
        <v>417004.2723653033</v>
      </c>
      <c r="V73" s="35">
        <f t="shared" si="6"/>
        <v>422529.99112276814</v>
      </c>
      <c r="W73" s="35"/>
      <c r="X73" s="40">
        <f>SUM(R73:V73)</f>
        <v>2060491.9891687315</v>
      </c>
      <c r="Z73" s="10"/>
      <c r="AA73" s="10"/>
      <c r="AB73" s="10"/>
      <c r="AC73" s="10">
        <v>1</v>
      </c>
      <c r="AD73" s="10"/>
      <c r="AE73" s="10"/>
      <c r="AF73" s="10"/>
      <c r="AG73" s="10"/>
      <c r="AH73" s="10"/>
      <c r="AI73" s="10"/>
      <c r="AJ73" s="10"/>
      <c r="AK73" s="41">
        <f t="shared" ref="AK73:AK87" si="7">SUM(Z73:AI73)</f>
        <v>1</v>
      </c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41">
        <f t="shared" ref="AZ73:AZ87" si="8">SUM(AM73:AY73)</f>
        <v>1</v>
      </c>
      <c r="BB73" s="10"/>
      <c r="BC73" s="10"/>
      <c r="BD73" s="10"/>
      <c r="BE73" s="10"/>
      <c r="BF73" s="10">
        <v>1</v>
      </c>
      <c r="BG73" s="10"/>
      <c r="BH73" s="10"/>
      <c r="BI73" s="41">
        <f t="shared" ref="BI73:BI87" si="9">SUM(BB73:BH73)</f>
        <v>1</v>
      </c>
    </row>
    <row r="74" spans="1:61">
      <c r="B74" s="4" t="str">
        <f t="shared" si="4"/>
        <v>[blank]</v>
      </c>
      <c r="D74" s="31"/>
      <c r="O74" s="50"/>
      <c r="P74" s="35"/>
      <c r="Q74" s="35"/>
      <c r="R74" s="35"/>
      <c r="S74" s="35"/>
      <c r="T74" s="35"/>
      <c r="U74" s="35"/>
      <c r="V74" s="35"/>
      <c r="W74" s="35"/>
      <c r="X74" s="40">
        <f t="shared" ref="X74:X89" si="10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7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8"/>
        <v>0</v>
      </c>
      <c r="BB74" s="10"/>
      <c r="BC74" s="10"/>
      <c r="BD74" s="10"/>
      <c r="BE74" s="10"/>
      <c r="BF74" s="10"/>
      <c r="BG74" s="10"/>
      <c r="BH74" s="10"/>
      <c r="BI74" s="41">
        <f t="shared" si="9"/>
        <v>0</v>
      </c>
    </row>
    <row r="75" spans="1:61">
      <c r="B75" s="4" t="str">
        <f t="shared" si="4"/>
        <v>[blank]</v>
      </c>
      <c r="D75" s="31"/>
      <c r="P75" s="35"/>
      <c r="Q75" s="35"/>
      <c r="R75" s="35"/>
      <c r="S75" s="35"/>
      <c r="T75" s="35"/>
      <c r="U75" s="35"/>
      <c r="V75" s="35"/>
      <c r="W75" s="35"/>
      <c r="X75" s="40">
        <f t="shared" si="10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7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8"/>
        <v>0</v>
      </c>
      <c r="BB75" s="10"/>
      <c r="BC75" s="10"/>
      <c r="BD75" s="10"/>
      <c r="BE75" s="10"/>
      <c r="BF75" s="10"/>
      <c r="BG75" s="10"/>
      <c r="BH75" s="10"/>
      <c r="BI75" s="41">
        <f t="shared" si="9"/>
        <v>0</v>
      </c>
    </row>
    <row r="76" spans="1:61">
      <c r="B76" s="4" t="str">
        <f t="shared" si="4"/>
        <v>[blank]</v>
      </c>
      <c r="D76" s="31"/>
      <c r="P76" s="35"/>
      <c r="Q76" s="35"/>
      <c r="R76" s="35"/>
      <c r="S76" s="35"/>
      <c r="T76" s="35"/>
      <c r="U76" s="35"/>
      <c r="V76" s="35"/>
      <c r="W76" s="35"/>
      <c r="X76" s="40">
        <f t="shared" si="10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7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8"/>
        <v>0</v>
      </c>
      <c r="BB76" s="10"/>
      <c r="BC76" s="10"/>
      <c r="BD76" s="10"/>
      <c r="BE76" s="10"/>
      <c r="BF76" s="10"/>
      <c r="BG76" s="10"/>
      <c r="BH76" s="10"/>
      <c r="BI76" s="41">
        <f t="shared" si="9"/>
        <v>0</v>
      </c>
    </row>
    <row r="77" spans="1:61">
      <c r="B77" s="4" t="str">
        <f t="shared" si="4"/>
        <v>[blank]</v>
      </c>
      <c r="D77" s="31"/>
      <c r="P77" s="35"/>
      <c r="Q77" s="35"/>
      <c r="R77" s="35"/>
      <c r="S77" s="35"/>
      <c r="T77" s="35"/>
      <c r="U77" s="35"/>
      <c r="V77" s="35"/>
      <c r="X77" s="40">
        <f t="shared" si="10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7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8"/>
        <v>0</v>
      </c>
      <c r="BB77" s="10"/>
      <c r="BC77" s="10"/>
      <c r="BD77" s="10"/>
      <c r="BE77" s="10"/>
      <c r="BF77" s="10"/>
      <c r="BG77" s="10"/>
      <c r="BH77" s="10"/>
      <c r="BI77" s="41">
        <f t="shared" si="9"/>
        <v>0</v>
      </c>
    </row>
    <row r="78" spans="1:61">
      <c r="B78" s="4" t="str">
        <f t="shared" si="4"/>
        <v>[blank]</v>
      </c>
      <c r="D78" s="31"/>
      <c r="P78" s="35"/>
      <c r="Q78" s="35"/>
      <c r="R78" s="35"/>
      <c r="S78" s="35"/>
      <c r="T78" s="35"/>
      <c r="U78" s="35"/>
      <c r="V78" s="35"/>
      <c r="X78" s="40">
        <f t="shared" si="10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7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8"/>
        <v>0</v>
      </c>
      <c r="BB78" s="10"/>
      <c r="BC78" s="10"/>
      <c r="BD78" s="10"/>
      <c r="BE78" s="10"/>
      <c r="BF78" s="10"/>
      <c r="BG78" s="10"/>
      <c r="BH78" s="10"/>
      <c r="BI78" s="41">
        <f t="shared" si="9"/>
        <v>0</v>
      </c>
    </row>
    <row r="79" spans="1:61">
      <c r="B79" s="4" t="str">
        <f t="shared" ref="B79:B87" si="11">IF(B16&lt;&gt;"",B16,"[blank]")</f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10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7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8"/>
        <v>0</v>
      </c>
      <c r="BB79" s="10"/>
      <c r="BC79" s="10"/>
      <c r="BD79" s="10"/>
      <c r="BE79" s="10"/>
      <c r="BF79" s="10"/>
      <c r="BG79" s="10"/>
      <c r="BH79" s="10"/>
      <c r="BI79" s="41">
        <f t="shared" si="9"/>
        <v>0</v>
      </c>
    </row>
    <row r="80" spans="1:61">
      <c r="B80" s="4" t="str">
        <f t="shared" si="11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10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7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8"/>
        <v>0</v>
      </c>
      <c r="BB80" s="10"/>
      <c r="BC80" s="10"/>
      <c r="BD80" s="10"/>
      <c r="BE80" s="10"/>
      <c r="BF80" s="10"/>
      <c r="BG80" s="10"/>
      <c r="BH80" s="10"/>
      <c r="BI80" s="41">
        <f t="shared" si="9"/>
        <v>0</v>
      </c>
    </row>
    <row r="81" spans="1:61">
      <c r="B81" s="4" t="str">
        <f t="shared" si="11"/>
        <v>[blank]</v>
      </c>
      <c r="D81" s="31"/>
      <c r="P81" s="35"/>
      <c r="Q81" s="35"/>
      <c r="R81" s="35"/>
      <c r="S81" s="35"/>
      <c r="T81" s="35"/>
      <c r="U81" s="35"/>
      <c r="V81" s="35"/>
      <c r="X81" s="40">
        <f t="shared" si="10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7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8"/>
        <v>0</v>
      </c>
      <c r="BB81" s="10"/>
      <c r="BC81" s="10"/>
      <c r="BD81" s="10"/>
      <c r="BE81" s="10"/>
      <c r="BF81" s="10"/>
      <c r="BG81" s="10"/>
      <c r="BH81" s="10"/>
      <c r="BI81" s="41">
        <f t="shared" si="9"/>
        <v>0</v>
      </c>
    </row>
    <row r="82" spans="1:61">
      <c r="B82" s="4" t="str">
        <f t="shared" si="11"/>
        <v>[blank]</v>
      </c>
      <c r="P82" s="35"/>
      <c r="X82" s="40">
        <f t="shared" si="10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7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8"/>
        <v>0</v>
      </c>
      <c r="BB82" s="10"/>
      <c r="BC82" s="10"/>
      <c r="BD82" s="10"/>
      <c r="BE82" s="10"/>
      <c r="BF82" s="10"/>
      <c r="BG82" s="10"/>
      <c r="BH82" s="10"/>
      <c r="BI82" s="41">
        <f t="shared" si="9"/>
        <v>0</v>
      </c>
    </row>
    <row r="83" spans="1:61">
      <c r="B83" s="4" t="str">
        <f t="shared" si="11"/>
        <v>[blank]</v>
      </c>
      <c r="P83" s="35"/>
      <c r="X83" s="40">
        <f t="shared" si="10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7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8"/>
        <v>0</v>
      </c>
      <c r="BB83" s="10"/>
      <c r="BC83" s="10"/>
      <c r="BD83" s="10"/>
      <c r="BE83" s="10"/>
      <c r="BF83" s="10"/>
      <c r="BG83" s="10"/>
      <c r="BH83" s="10"/>
      <c r="BI83" s="41">
        <f t="shared" si="9"/>
        <v>0</v>
      </c>
    </row>
    <row r="84" spans="1:61">
      <c r="B84" s="4" t="str">
        <f t="shared" si="11"/>
        <v>[blank]</v>
      </c>
      <c r="P84" s="35"/>
      <c r="X84" s="40">
        <f t="shared" si="10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7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8"/>
        <v>0</v>
      </c>
      <c r="BB84" s="10"/>
      <c r="BC84" s="10"/>
      <c r="BD84" s="10"/>
      <c r="BE84" s="10"/>
      <c r="BF84" s="10"/>
      <c r="BG84" s="10"/>
      <c r="BH84" s="10"/>
      <c r="BI84" s="41">
        <f t="shared" si="9"/>
        <v>0</v>
      </c>
    </row>
    <row r="85" spans="1:61">
      <c r="B85" s="4" t="str">
        <f t="shared" si="11"/>
        <v>[blank]</v>
      </c>
      <c r="P85" s="35"/>
      <c r="X85" s="40">
        <f t="shared" si="10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7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8"/>
        <v>0</v>
      </c>
      <c r="BB85" s="10"/>
      <c r="BC85" s="10"/>
      <c r="BD85" s="10"/>
      <c r="BE85" s="10"/>
      <c r="BF85" s="10"/>
      <c r="BG85" s="10"/>
      <c r="BH85" s="10"/>
      <c r="BI85" s="41">
        <f t="shared" si="9"/>
        <v>0</v>
      </c>
    </row>
    <row r="86" spans="1:61">
      <c r="B86" s="4" t="str">
        <f t="shared" si="11"/>
        <v>[blank]</v>
      </c>
      <c r="P86" s="35"/>
      <c r="X86" s="40">
        <f t="shared" si="10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7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8"/>
        <v>0</v>
      </c>
      <c r="BB86" s="10"/>
      <c r="BC86" s="10"/>
      <c r="BD86" s="10"/>
      <c r="BE86" s="10"/>
      <c r="BF86" s="10"/>
      <c r="BG86" s="10"/>
      <c r="BH86" s="10"/>
      <c r="BI86" s="41">
        <f t="shared" si="9"/>
        <v>0</v>
      </c>
    </row>
    <row r="87" spans="1:61">
      <c r="B87" s="4" t="str">
        <f t="shared" si="11"/>
        <v>[blank]</v>
      </c>
      <c r="P87" s="35"/>
      <c r="X87" s="40">
        <f t="shared" si="10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7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8"/>
        <v>0</v>
      </c>
      <c r="BB87" s="10"/>
      <c r="BC87" s="10"/>
      <c r="BD87" s="10"/>
      <c r="BE87" s="10"/>
      <c r="BF87" s="10"/>
      <c r="BG87" s="10"/>
      <c r="BH87" s="10"/>
      <c r="BI87" s="41">
        <f t="shared" si="9"/>
        <v>0</v>
      </c>
    </row>
    <row r="88" spans="1:61">
      <c r="P88" s="35"/>
    </row>
    <row r="89" spans="1:61" ht="12.75" thickBot="1">
      <c r="B89" s="5" t="s">
        <v>62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12">SUM(P73:P87)</f>
        <v>0</v>
      </c>
      <c r="Q89" s="37">
        <f t="shared" si="12"/>
        <v>296037.97274349735</v>
      </c>
      <c r="R89" s="37">
        <f t="shared" si="12"/>
        <v>403034.09279218095</v>
      </c>
      <c r="S89" s="37">
        <f t="shared" si="12"/>
        <v>406001.89919820975</v>
      </c>
      <c r="T89" s="37">
        <f t="shared" si="12"/>
        <v>411921.73369026947</v>
      </c>
      <c r="U89" s="37">
        <f t="shared" si="12"/>
        <v>417004.2723653033</v>
      </c>
      <c r="V89" s="37">
        <f t="shared" si="12"/>
        <v>422529.99112276814</v>
      </c>
      <c r="X89" s="37">
        <f t="shared" si="10"/>
        <v>2060491.9891687315</v>
      </c>
    </row>
    <row r="91" spans="1:61">
      <c r="B91" s="5" t="s">
        <v>76</v>
      </c>
    </row>
    <row r="92" spans="1:61" s="1" customFormat="1">
      <c r="A92" s="4"/>
      <c r="B92" s="2" t="s">
        <v>77</v>
      </c>
    </row>
    <row r="94" spans="1:61">
      <c r="H94" s="190" t="s">
        <v>52</v>
      </c>
      <c r="I94" s="190"/>
      <c r="J94" s="190"/>
      <c r="K94" s="190"/>
      <c r="L94" s="190"/>
      <c r="M94" s="190" t="s">
        <v>53</v>
      </c>
      <c r="N94" s="190"/>
      <c r="O94" s="190"/>
      <c r="P94" s="190"/>
      <c r="Q94" s="190"/>
      <c r="R94" s="190" t="s">
        <v>54</v>
      </c>
      <c r="S94" s="190"/>
      <c r="T94" s="190"/>
      <c r="U94" s="190"/>
      <c r="V94" s="190"/>
      <c r="X94" s="38"/>
    </row>
    <row r="95" spans="1:61">
      <c r="B95" s="42" t="s">
        <v>79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63</v>
      </c>
    </row>
    <row r="96" spans="1:61">
      <c r="B96" s="5" t="s">
        <v>46</v>
      </c>
      <c r="D96" s="29" t="s">
        <v>55</v>
      </c>
      <c r="H96" s="16" t="s">
        <v>12</v>
      </c>
      <c r="I96" s="16" t="s">
        <v>12</v>
      </c>
      <c r="J96" s="16" t="s">
        <v>12</v>
      </c>
      <c r="K96" s="16" t="s">
        <v>12</v>
      </c>
      <c r="L96" s="16" t="s">
        <v>12</v>
      </c>
      <c r="M96" s="16" t="s">
        <v>12</v>
      </c>
      <c r="N96" s="16" t="s">
        <v>12</v>
      </c>
      <c r="O96" s="16" t="s">
        <v>12</v>
      </c>
      <c r="P96" s="16" t="s">
        <v>13</v>
      </c>
      <c r="Q96" s="16" t="s">
        <v>13</v>
      </c>
      <c r="R96" s="16" t="s">
        <v>13</v>
      </c>
      <c r="S96" s="16" t="s">
        <v>13</v>
      </c>
      <c r="T96" s="16" t="s">
        <v>13</v>
      </c>
      <c r="U96" s="16" t="s">
        <v>13</v>
      </c>
      <c r="V96" s="16" t="s">
        <v>13</v>
      </c>
      <c r="X96" s="34" t="s">
        <v>13</v>
      </c>
    </row>
    <row r="97" spans="2:24">
      <c r="B97" s="4" t="str">
        <f t="shared" ref="B97:B102" si="13">IF(B10&lt;&gt;"",B10,"[blank]")</f>
        <v>Cathodic protection</v>
      </c>
      <c r="D97" s="31" t="s">
        <v>60</v>
      </c>
      <c r="O97" s="35"/>
      <c r="P97" s="35">
        <f t="shared" ref="P97:V102" si="14">$D10*P73</f>
        <v>0</v>
      </c>
      <c r="Q97" s="35">
        <f t="shared" si="14"/>
        <v>11841.518909739894</v>
      </c>
      <c r="R97" s="35">
        <f t="shared" si="14"/>
        <v>16121.363711687238</v>
      </c>
      <c r="S97" s="35">
        <f t="shared" si="14"/>
        <v>16240.075967928391</v>
      </c>
      <c r="T97" s="35">
        <f t="shared" si="14"/>
        <v>16476.86934761078</v>
      </c>
      <c r="U97" s="35">
        <f t="shared" si="14"/>
        <v>16680.170894612133</v>
      </c>
      <c r="V97" s="35">
        <f t="shared" si="14"/>
        <v>16901.199644910725</v>
      </c>
      <c r="X97" s="40">
        <f>SUM(R97:V97)</f>
        <v>82419.67956674927</v>
      </c>
    </row>
    <row r="98" spans="2:24">
      <c r="B98" s="4" t="str">
        <f t="shared" si="13"/>
        <v>[blank]</v>
      </c>
      <c r="D98" s="31"/>
      <c r="O98" s="50"/>
      <c r="P98" s="35">
        <f t="shared" si="14"/>
        <v>0</v>
      </c>
      <c r="Q98" s="35">
        <f t="shared" si="14"/>
        <v>0</v>
      </c>
      <c r="R98" s="35">
        <f t="shared" si="14"/>
        <v>0</v>
      </c>
      <c r="S98" s="35">
        <f t="shared" si="14"/>
        <v>0</v>
      </c>
      <c r="T98" s="35">
        <f t="shared" si="14"/>
        <v>0</v>
      </c>
      <c r="U98" s="35">
        <f t="shared" si="14"/>
        <v>0</v>
      </c>
      <c r="V98" s="35">
        <f t="shared" si="14"/>
        <v>0</v>
      </c>
      <c r="X98" s="40">
        <f t="shared" ref="X98:X111" si="15">SUM(R98:V98)</f>
        <v>0</v>
      </c>
    </row>
    <row r="99" spans="2:24">
      <c r="B99" s="4" t="str">
        <f t="shared" si="13"/>
        <v>[blank]</v>
      </c>
      <c r="D99" s="31"/>
      <c r="P99" s="35">
        <f t="shared" si="14"/>
        <v>0</v>
      </c>
      <c r="Q99" s="35">
        <f t="shared" si="14"/>
        <v>0</v>
      </c>
      <c r="R99" s="35">
        <f t="shared" si="14"/>
        <v>0</v>
      </c>
      <c r="S99" s="35">
        <f t="shared" si="14"/>
        <v>0</v>
      </c>
      <c r="T99" s="35">
        <f t="shared" si="14"/>
        <v>0</v>
      </c>
      <c r="U99" s="35">
        <f t="shared" si="14"/>
        <v>0</v>
      </c>
      <c r="V99" s="35">
        <f t="shared" si="14"/>
        <v>0</v>
      </c>
      <c r="X99" s="40">
        <f t="shared" si="15"/>
        <v>0</v>
      </c>
    </row>
    <row r="100" spans="2:24">
      <c r="B100" s="4" t="str">
        <f t="shared" si="13"/>
        <v>[blank]</v>
      </c>
      <c r="D100" s="31"/>
      <c r="P100" s="35">
        <f t="shared" si="14"/>
        <v>0</v>
      </c>
      <c r="Q100" s="35">
        <f t="shared" si="14"/>
        <v>0</v>
      </c>
      <c r="R100" s="35">
        <f t="shared" si="14"/>
        <v>0</v>
      </c>
      <c r="S100" s="35">
        <f t="shared" si="14"/>
        <v>0</v>
      </c>
      <c r="T100" s="35">
        <f t="shared" si="14"/>
        <v>0</v>
      </c>
      <c r="U100" s="35">
        <f t="shared" si="14"/>
        <v>0</v>
      </c>
      <c r="V100" s="35">
        <f t="shared" si="14"/>
        <v>0</v>
      </c>
      <c r="X100" s="40">
        <f t="shared" si="15"/>
        <v>0</v>
      </c>
    </row>
    <row r="101" spans="2:24">
      <c r="B101" s="4" t="str">
        <f t="shared" si="13"/>
        <v>[blank]</v>
      </c>
      <c r="D101" s="31"/>
      <c r="P101" s="35">
        <f t="shared" si="14"/>
        <v>0</v>
      </c>
      <c r="Q101" s="35">
        <f t="shared" si="14"/>
        <v>0</v>
      </c>
      <c r="R101" s="35">
        <f t="shared" si="14"/>
        <v>0</v>
      </c>
      <c r="S101" s="35">
        <f t="shared" si="14"/>
        <v>0</v>
      </c>
      <c r="T101" s="35">
        <f t="shared" si="14"/>
        <v>0</v>
      </c>
      <c r="U101" s="35">
        <f t="shared" si="14"/>
        <v>0</v>
      </c>
      <c r="V101" s="35">
        <f t="shared" si="14"/>
        <v>0</v>
      </c>
      <c r="X101" s="40">
        <f t="shared" si="15"/>
        <v>0</v>
      </c>
    </row>
    <row r="102" spans="2:24">
      <c r="B102" s="4" t="str">
        <f t="shared" si="13"/>
        <v>[blank]</v>
      </c>
      <c r="D102" s="31"/>
      <c r="P102" s="35">
        <f t="shared" si="14"/>
        <v>0</v>
      </c>
      <c r="Q102" s="35">
        <f t="shared" si="14"/>
        <v>0</v>
      </c>
      <c r="R102" s="35">
        <f t="shared" si="14"/>
        <v>0</v>
      </c>
      <c r="S102" s="35">
        <f t="shared" si="14"/>
        <v>0</v>
      </c>
      <c r="T102" s="35">
        <f t="shared" si="14"/>
        <v>0</v>
      </c>
      <c r="U102" s="35">
        <f t="shared" si="14"/>
        <v>0</v>
      </c>
      <c r="V102" s="35">
        <f t="shared" si="14"/>
        <v>0</v>
      </c>
      <c r="X102" s="40">
        <f t="shared" si="15"/>
        <v>0</v>
      </c>
    </row>
    <row r="103" spans="2:24">
      <c r="B103" s="4" t="str">
        <f t="shared" ref="B103:B111" si="16">IF(B16&lt;&gt;"",B16,"[blank]")</f>
        <v>[blank]</v>
      </c>
      <c r="D103" s="31"/>
      <c r="P103" s="35">
        <f t="shared" ref="P103:V103" si="17">$D16*P79</f>
        <v>0</v>
      </c>
      <c r="Q103" s="35">
        <f t="shared" si="17"/>
        <v>0</v>
      </c>
      <c r="R103" s="35">
        <f t="shared" si="17"/>
        <v>0</v>
      </c>
      <c r="S103" s="35">
        <f t="shared" si="17"/>
        <v>0</v>
      </c>
      <c r="T103" s="35">
        <f t="shared" si="17"/>
        <v>0</v>
      </c>
      <c r="U103" s="35">
        <f t="shared" si="17"/>
        <v>0</v>
      </c>
      <c r="V103" s="35">
        <f t="shared" si="17"/>
        <v>0</v>
      </c>
      <c r="X103" s="40">
        <f t="shared" si="15"/>
        <v>0</v>
      </c>
    </row>
    <row r="104" spans="2:24">
      <c r="B104" s="4" t="str">
        <f t="shared" si="16"/>
        <v>[blank]</v>
      </c>
      <c r="D104" s="31"/>
      <c r="P104" s="35">
        <f t="shared" ref="P104:V104" si="18">$D17*P80</f>
        <v>0</v>
      </c>
      <c r="Q104" s="35">
        <f t="shared" si="18"/>
        <v>0</v>
      </c>
      <c r="R104" s="35">
        <f t="shared" si="18"/>
        <v>0</v>
      </c>
      <c r="S104" s="35">
        <f t="shared" si="18"/>
        <v>0</v>
      </c>
      <c r="T104" s="35">
        <f t="shared" si="18"/>
        <v>0</v>
      </c>
      <c r="U104" s="35">
        <f t="shared" si="18"/>
        <v>0</v>
      </c>
      <c r="V104" s="35">
        <f t="shared" si="18"/>
        <v>0</v>
      </c>
      <c r="X104" s="40">
        <f t="shared" si="15"/>
        <v>0</v>
      </c>
    </row>
    <row r="105" spans="2:24">
      <c r="B105" s="4" t="str">
        <f t="shared" si="16"/>
        <v>[blank]</v>
      </c>
      <c r="D105" s="31"/>
      <c r="P105" s="35">
        <f t="shared" ref="P105:V105" si="19">$D18*P81</f>
        <v>0</v>
      </c>
      <c r="Q105" s="35">
        <f t="shared" si="19"/>
        <v>0</v>
      </c>
      <c r="R105" s="35">
        <f t="shared" si="19"/>
        <v>0</v>
      </c>
      <c r="S105" s="35">
        <f t="shared" si="19"/>
        <v>0</v>
      </c>
      <c r="T105" s="35">
        <f t="shared" si="19"/>
        <v>0</v>
      </c>
      <c r="U105" s="35">
        <f t="shared" si="19"/>
        <v>0</v>
      </c>
      <c r="V105" s="35">
        <f t="shared" si="19"/>
        <v>0</v>
      </c>
      <c r="X105" s="40">
        <f t="shared" si="15"/>
        <v>0</v>
      </c>
    </row>
    <row r="106" spans="2:24">
      <c r="B106" s="4" t="str">
        <f t="shared" si="16"/>
        <v>[blank]</v>
      </c>
      <c r="X106" s="40">
        <f t="shared" si="15"/>
        <v>0</v>
      </c>
    </row>
    <row r="107" spans="2:24">
      <c r="B107" s="4" t="str">
        <f t="shared" si="16"/>
        <v>[blank]</v>
      </c>
      <c r="X107" s="40">
        <f t="shared" si="15"/>
        <v>0</v>
      </c>
    </row>
    <row r="108" spans="2:24">
      <c r="B108" s="4" t="str">
        <f t="shared" si="16"/>
        <v>[blank]</v>
      </c>
      <c r="X108" s="40">
        <f t="shared" si="15"/>
        <v>0</v>
      </c>
    </row>
    <row r="109" spans="2:24">
      <c r="B109" s="4" t="str">
        <f t="shared" si="16"/>
        <v>[blank]</v>
      </c>
      <c r="X109" s="40">
        <f t="shared" si="15"/>
        <v>0</v>
      </c>
    </row>
    <row r="110" spans="2:24">
      <c r="B110" s="4" t="str">
        <f t="shared" si="16"/>
        <v>[blank]</v>
      </c>
      <c r="X110" s="40">
        <f t="shared" si="15"/>
        <v>0</v>
      </c>
    </row>
    <row r="111" spans="2:24">
      <c r="B111" s="4" t="str">
        <f t="shared" si="16"/>
        <v>[blank]</v>
      </c>
      <c r="X111" s="40">
        <f t="shared" si="15"/>
        <v>0</v>
      </c>
    </row>
    <row r="113" spans="1:24" ht="12.75" thickBot="1">
      <c r="B113" s="5" t="s">
        <v>78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20">SUM(P97:P111)</f>
        <v>0</v>
      </c>
      <c r="Q113" s="37">
        <f t="shared" si="20"/>
        <v>11841.518909739894</v>
      </c>
      <c r="R113" s="37">
        <f t="shared" si="20"/>
        <v>16121.363711687238</v>
      </c>
      <c r="S113" s="37">
        <f t="shared" si="20"/>
        <v>16240.075967928391</v>
      </c>
      <c r="T113" s="37">
        <f t="shared" si="20"/>
        <v>16476.86934761078</v>
      </c>
      <c r="U113" s="37">
        <f t="shared" si="20"/>
        <v>16680.170894612133</v>
      </c>
      <c r="V113" s="37">
        <f t="shared" si="20"/>
        <v>16901.199644910725</v>
      </c>
      <c r="X113" s="37">
        <f t="shared" ref="X113" si="21">SUM(R113:V113)</f>
        <v>82419.67956674927</v>
      </c>
    </row>
    <row r="115" spans="1:24" s="1" customFormat="1">
      <c r="A115" s="4"/>
      <c r="B115" s="2" t="s">
        <v>80</v>
      </c>
    </row>
    <row r="117" spans="1:24">
      <c r="H117" s="190" t="s">
        <v>52</v>
      </c>
      <c r="I117" s="190"/>
      <c r="J117" s="190"/>
      <c r="K117" s="190"/>
      <c r="L117" s="190"/>
      <c r="M117" s="190" t="s">
        <v>53</v>
      </c>
      <c r="N117" s="190"/>
      <c r="O117" s="190"/>
      <c r="P117" s="190"/>
      <c r="Q117" s="190"/>
      <c r="R117" s="190" t="s">
        <v>54</v>
      </c>
      <c r="S117" s="190"/>
      <c r="T117" s="190"/>
      <c r="U117" s="190"/>
      <c r="V117" s="190"/>
      <c r="X117" s="38"/>
    </row>
    <row r="118" spans="1:24">
      <c r="B118" s="43" t="s">
        <v>81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63</v>
      </c>
    </row>
    <row r="119" spans="1:24">
      <c r="B119" s="5" t="s">
        <v>46</v>
      </c>
      <c r="D119" s="29" t="s">
        <v>55</v>
      </c>
      <c r="H119" s="16" t="s">
        <v>12</v>
      </c>
      <c r="I119" s="16" t="s">
        <v>12</v>
      </c>
      <c r="J119" s="16" t="s">
        <v>12</v>
      </c>
      <c r="K119" s="16" t="s">
        <v>12</v>
      </c>
      <c r="L119" s="16" t="s">
        <v>12</v>
      </c>
      <c r="M119" s="16" t="s">
        <v>12</v>
      </c>
      <c r="N119" s="16" t="s">
        <v>12</v>
      </c>
      <c r="O119" s="16" t="s">
        <v>12</v>
      </c>
      <c r="P119" s="16" t="s">
        <v>13</v>
      </c>
      <c r="Q119" s="16" t="s">
        <v>13</v>
      </c>
      <c r="R119" s="16" t="s">
        <v>13</v>
      </c>
      <c r="S119" s="16" t="s">
        <v>13</v>
      </c>
      <c r="T119" s="16" t="s">
        <v>13</v>
      </c>
      <c r="U119" s="16" t="s">
        <v>13</v>
      </c>
      <c r="V119" s="16" t="s">
        <v>13</v>
      </c>
      <c r="X119" s="34" t="s">
        <v>13</v>
      </c>
    </row>
    <row r="120" spans="1:24">
      <c r="B120" s="4" t="str">
        <f t="shared" ref="B120:B125" si="22">IF(B10&lt;&gt;"",B10,"[blank]")</f>
        <v>Cathodic protection</v>
      </c>
      <c r="D120" s="31" t="s">
        <v>60</v>
      </c>
      <c r="O120" s="35"/>
      <c r="P120" s="35">
        <f t="shared" ref="P120:V125" si="23">$E10*P73</f>
        <v>0</v>
      </c>
      <c r="Q120" s="35">
        <f t="shared" si="23"/>
        <v>224988.85928505799</v>
      </c>
      <c r="R120" s="35">
        <f t="shared" si="23"/>
        <v>306305.9105220575</v>
      </c>
      <c r="S120" s="35">
        <f t="shared" si="23"/>
        <v>308561.44339063944</v>
      </c>
      <c r="T120" s="35">
        <f t="shared" si="23"/>
        <v>313060.51760460477</v>
      </c>
      <c r="U120" s="35">
        <f t="shared" si="23"/>
        <v>316923.24699763051</v>
      </c>
      <c r="V120" s="35">
        <f t="shared" si="23"/>
        <v>321122.7932533038</v>
      </c>
      <c r="X120" s="40">
        <f>SUM(R120:V120)</f>
        <v>1565973.911768236</v>
      </c>
    </row>
    <row r="121" spans="1:24">
      <c r="B121" s="4" t="str">
        <f t="shared" si="22"/>
        <v>[blank]</v>
      </c>
      <c r="D121" s="31"/>
      <c r="O121" s="50"/>
      <c r="P121" s="35">
        <f t="shared" si="23"/>
        <v>0</v>
      </c>
      <c r="Q121" s="35">
        <f t="shared" si="23"/>
        <v>0</v>
      </c>
      <c r="R121" s="35">
        <f t="shared" si="23"/>
        <v>0</v>
      </c>
      <c r="S121" s="35">
        <f t="shared" si="23"/>
        <v>0</v>
      </c>
      <c r="T121" s="35">
        <f t="shared" si="23"/>
        <v>0</v>
      </c>
      <c r="U121" s="35">
        <f t="shared" si="23"/>
        <v>0</v>
      </c>
      <c r="V121" s="35">
        <f t="shared" si="23"/>
        <v>0</v>
      </c>
      <c r="X121" s="40">
        <f t="shared" ref="X121:X134" si="24">SUM(R121:V121)</f>
        <v>0</v>
      </c>
    </row>
    <row r="122" spans="1:24">
      <c r="B122" s="4" t="str">
        <f t="shared" si="22"/>
        <v>[blank]</v>
      </c>
      <c r="D122" s="31"/>
      <c r="P122" s="35">
        <f t="shared" si="23"/>
        <v>0</v>
      </c>
      <c r="Q122" s="35">
        <f t="shared" si="23"/>
        <v>0</v>
      </c>
      <c r="R122" s="35">
        <f t="shared" si="23"/>
        <v>0</v>
      </c>
      <c r="S122" s="35">
        <f t="shared" si="23"/>
        <v>0</v>
      </c>
      <c r="T122" s="35">
        <f t="shared" si="23"/>
        <v>0</v>
      </c>
      <c r="U122" s="35">
        <f t="shared" si="23"/>
        <v>0</v>
      </c>
      <c r="V122" s="35">
        <f t="shared" si="23"/>
        <v>0</v>
      </c>
      <c r="X122" s="40">
        <f t="shared" si="24"/>
        <v>0</v>
      </c>
    </row>
    <row r="123" spans="1:24">
      <c r="B123" s="4" t="str">
        <f t="shared" si="22"/>
        <v>[blank]</v>
      </c>
      <c r="D123" s="31"/>
      <c r="P123" s="35">
        <f t="shared" si="23"/>
        <v>0</v>
      </c>
      <c r="Q123" s="35">
        <f t="shared" si="23"/>
        <v>0</v>
      </c>
      <c r="R123" s="35">
        <f t="shared" si="23"/>
        <v>0</v>
      </c>
      <c r="S123" s="35">
        <f t="shared" si="23"/>
        <v>0</v>
      </c>
      <c r="T123" s="35">
        <f t="shared" si="23"/>
        <v>0</v>
      </c>
      <c r="U123" s="35">
        <f t="shared" si="23"/>
        <v>0</v>
      </c>
      <c r="V123" s="35">
        <f t="shared" si="23"/>
        <v>0</v>
      </c>
      <c r="X123" s="40">
        <f t="shared" si="24"/>
        <v>0</v>
      </c>
    </row>
    <row r="124" spans="1:24">
      <c r="B124" s="4" t="str">
        <f t="shared" si="22"/>
        <v>[blank]</v>
      </c>
      <c r="D124" s="31"/>
      <c r="P124" s="35">
        <f t="shared" si="23"/>
        <v>0</v>
      </c>
      <c r="Q124" s="35">
        <f t="shared" si="23"/>
        <v>0</v>
      </c>
      <c r="R124" s="35">
        <f t="shared" si="23"/>
        <v>0</v>
      </c>
      <c r="S124" s="35">
        <f t="shared" si="23"/>
        <v>0</v>
      </c>
      <c r="T124" s="35">
        <f t="shared" si="23"/>
        <v>0</v>
      </c>
      <c r="U124" s="35">
        <f t="shared" si="23"/>
        <v>0</v>
      </c>
      <c r="V124" s="35">
        <f t="shared" si="23"/>
        <v>0</v>
      </c>
      <c r="X124" s="40">
        <f t="shared" si="24"/>
        <v>0</v>
      </c>
    </row>
    <row r="125" spans="1:24">
      <c r="B125" s="4" t="str">
        <f t="shared" si="22"/>
        <v>[blank]</v>
      </c>
      <c r="D125" s="31"/>
      <c r="P125" s="35">
        <f t="shared" si="23"/>
        <v>0</v>
      </c>
      <c r="Q125" s="35">
        <f t="shared" ref="Q125:V125" si="25">$E15*Q78</f>
        <v>0</v>
      </c>
      <c r="R125" s="35">
        <f t="shared" si="25"/>
        <v>0</v>
      </c>
      <c r="S125" s="35">
        <f t="shared" si="25"/>
        <v>0</v>
      </c>
      <c r="T125" s="35">
        <f t="shared" si="25"/>
        <v>0</v>
      </c>
      <c r="U125" s="35">
        <f t="shared" si="25"/>
        <v>0</v>
      </c>
      <c r="V125" s="35">
        <f t="shared" si="25"/>
        <v>0</v>
      </c>
      <c r="X125" s="40">
        <f t="shared" si="24"/>
        <v>0</v>
      </c>
    </row>
    <row r="126" spans="1:24">
      <c r="B126" s="4" t="str">
        <f t="shared" ref="B126:B134" si="26">IF(B16&lt;&gt;"",B16,"[blank]")</f>
        <v>[blank]</v>
      </c>
      <c r="D126" s="31"/>
      <c r="P126" s="35">
        <f t="shared" ref="P126:V126" si="27">$E16*P79</f>
        <v>0</v>
      </c>
      <c r="Q126" s="35">
        <f t="shared" si="27"/>
        <v>0</v>
      </c>
      <c r="R126" s="35">
        <f t="shared" si="27"/>
        <v>0</v>
      </c>
      <c r="S126" s="35">
        <f t="shared" si="27"/>
        <v>0</v>
      </c>
      <c r="T126" s="35">
        <f t="shared" si="27"/>
        <v>0</v>
      </c>
      <c r="U126" s="35">
        <f t="shared" si="27"/>
        <v>0</v>
      </c>
      <c r="V126" s="35">
        <f t="shared" si="27"/>
        <v>0</v>
      </c>
      <c r="X126" s="40">
        <f t="shared" si="24"/>
        <v>0</v>
      </c>
    </row>
    <row r="127" spans="1:24">
      <c r="B127" s="4" t="str">
        <f t="shared" si="26"/>
        <v>[blank]</v>
      </c>
      <c r="D127" s="31"/>
      <c r="P127" s="35">
        <f t="shared" ref="P127:V127" si="28">$E17*P80</f>
        <v>0</v>
      </c>
      <c r="Q127" s="35">
        <f t="shared" si="28"/>
        <v>0</v>
      </c>
      <c r="R127" s="35">
        <f t="shared" si="28"/>
        <v>0</v>
      </c>
      <c r="S127" s="35">
        <f t="shared" si="28"/>
        <v>0</v>
      </c>
      <c r="T127" s="35">
        <f t="shared" si="28"/>
        <v>0</v>
      </c>
      <c r="U127" s="35">
        <f t="shared" si="28"/>
        <v>0</v>
      </c>
      <c r="V127" s="35">
        <f t="shared" si="28"/>
        <v>0</v>
      </c>
      <c r="X127" s="40">
        <f t="shared" si="24"/>
        <v>0</v>
      </c>
    </row>
    <row r="128" spans="1:24">
      <c r="B128" s="4" t="str">
        <f t="shared" si="26"/>
        <v>[blank]</v>
      </c>
      <c r="D128" s="31"/>
      <c r="P128" s="35">
        <f t="shared" ref="P128:V128" si="29">$E18*P81</f>
        <v>0</v>
      </c>
      <c r="Q128" s="35">
        <f t="shared" si="29"/>
        <v>0</v>
      </c>
      <c r="R128" s="35">
        <f t="shared" si="29"/>
        <v>0</v>
      </c>
      <c r="S128" s="35">
        <f t="shared" si="29"/>
        <v>0</v>
      </c>
      <c r="T128" s="35">
        <f t="shared" si="29"/>
        <v>0</v>
      </c>
      <c r="U128" s="35">
        <f t="shared" si="29"/>
        <v>0</v>
      </c>
      <c r="V128" s="35">
        <f t="shared" si="29"/>
        <v>0</v>
      </c>
      <c r="X128" s="40">
        <f t="shared" si="24"/>
        <v>0</v>
      </c>
    </row>
    <row r="129" spans="1:24">
      <c r="B129" s="4" t="str">
        <f t="shared" si="26"/>
        <v>[blank]</v>
      </c>
      <c r="X129" s="40">
        <f t="shared" si="24"/>
        <v>0</v>
      </c>
    </row>
    <row r="130" spans="1:24">
      <c r="B130" s="4" t="str">
        <f t="shared" si="26"/>
        <v>[blank]</v>
      </c>
      <c r="X130" s="40">
        <f t="shared" si="24"/>
        <v>0</v>
      </c>
    </row>
    <row r="131" spans="1:24">
      <c r="B131" s="4" t="str">
        <f t="shared" si="26"/>
        <v>[blank]</v>
      </c>
      <c r="X131" s="40">
        <f t="shared" si="24"/>
        <v>0</v>
      </c>
    </row>
    <row r="132" spans="1:24">
      <c r="B132" s="4" t="str">
        <f t="shared" si="26"/>
        <v>[blank]</v>
      </c>
      <c r="X132" s="40">
        <f t="shared" si="24"/>
        <v>0</v>
      </c>
    </row>
    <row r="133" spans="1:24">
      <c r="B133" s="4" t="str">
        <f t="shared" si="26"/>
        <v>[blank]</v>
      </c>
      <c r="X133" s="40">
        <f t="shared" si="24"/>
        <v>0</v>
      </c>
    </row>
    <row r="134" spans="1:24">
      <c r="B134" s="4" t="str">
        <f t="shared" si="26"/>
        <v>[blank]</v>
      </c>
      <c r="X134" s="40">
        <f t="shared" si="24"/>
        <v>0</v>
      </c>
    </row>
    <row r="136" spans="1:24" ht="12.75" thickBot="1">
      <c r="B136" s="5" t="s">
        <v>82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30">SUM(P120:P134)</f>
        <v>0</v>
      </c>
      <c r="Q136" s="37">
        <f t="shared" si="30"/>
        <v>224988.85928505799</v>
      </c>
      <c r="R136" s="37">
        <f t="shared" si="30"/>
        <v>306305.9105220575</v>
      </c>
      <c r="S136" s="37">
        <f t="shared" si="30"/>
        <v>308561.44339063944</v>
      </c>
      <c r="T136" s="37">
        <f t="shared" si="30"/>
        <v>313060.51760460477</v>
      </c>
      <c r="U136" s="37">
        <f t="shared" si="30"/>
        <v>316923.24699763051</v>
      </c>
      <c r="V136" s="37">
        <f t="shared" si="30"/>
        <v>321122.7932533038</v>
      </c>
      <c r="X136" s="37">
        <f t="shared" ref="X136" si="31">SUM(R136:V136)</f>
        <v>1565973.911768236</v>
      </c>
    </row>
    <row r="138" spans="1:24" s="1" customFormat="1">
      <c r="A138" s="4"/>
      <c r="B138" s="2" t="s">
        <v>83</v>
      </c>
    </row>
    <row r="140" spans="1:24">
      <c r="H140" s="190" t="s">
        <v>52</v>
      </c>
      <c r="I140" s="190"/>
      <c r="J140" s="190"/>
      <c r="K140" s="190"/>
      <c r="L140" s="190"/>
      <c r="M140" s="190" t="s">
        <v>53</v>
      </c>
      <c r="N140" s="190"/>
      <c r="O140" s="190"/>
      <c r="P140" s="190"/>
      <c r="Q140" s="190"/>
      <c r="R140" s="190" t="s">
        <v>54</v>
      </c>
      <c r="S140" s="190"/>
      <c r="T140" s="190"/>
      <c r="U140" s="190"/>
      <c r="V140" s="190"/>
      <c r="X140" s="38"/>
    </row>
    <row r="141" spans="1:24">
      <c r="B141" s="43" t="s">
        <v>84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63</v>
      </c>
    </row>
    <row r="142" spans="1:24">
      <c r="B142" s="5" t="s">
        <v>46</v>
      </c>
      <c r="D142" s="29" t="s">
        <v>55</v>
      </c>
      <c r="H142" s="16" t="s">
        <v>12</v>
      </c>
      <c r="I142" s="16" t="s">
        <v>12</v>
      </c>
      <c r="J142" s="16" t="s">
        <v>12</v>
      </c>
      <c r="K142" s="16" t="s">
        <v>12</v>
      </c>
      <c r="L142" s="16" t="s">
        <v>12</v>
      </c>
      <c r="M142" s="16" t="s">
        <v>12</v>
      </c>
      <c r="N142" s="16" t="s">
        <v>12</v>
      </c>
      <c r="O142" s="16" t="s">
        <v>12</v>
      </c>
      <c r="P142" s="16" t="s">
        <v>13</v>
      </c>
      <c r="Q142" s="16" t="s">
        <v>13</v>
      </c>
      <c r="R142" s="16" t="s">
        <v>13</v>
      </c>
      <c r="S142" s="16" t="s">
        <v>13</v>
      </c>
      <c r="T142" s="16" t="s">
        <v>13</v>
      </c>
      <c r="U142" s="16" t="s">
        <v>13</v>
      </c>
      <c r="V142" s="16" t="s">
        <v>13</v>
      </c>
      <c r="X142" s="34" t="s">
        <v>13</v>
      </c>
    </row>
    <row r="143" spans="1:24">
      <c r="B143" s="4" t="str">
        <f t="shared" ref="B143:B148" si="32">IF(B10&lt;&gt;"",B10,"[blank]")</f>
        <v>Cathodic protection</v>
      </c>
      <c r="D143" s="31" t="s">
        <v>60</v>
      </c>
      <c r="O143" s="35"/>
      <c r="P143" s="35">
        <f>P97+P120</f>
        <v>0</v>
      </c>
      <c r="Q143" s="35">
        <f t="shared" ref="Q143:V143" si="33">Q97+Q120</f>
        <v>236830.37819479787</v>
      </c>
      <c r="R143" s="35">
        <f t="shared" si="33"/>
        <v>322427.27423374471</v>
      </c>
      <c r="S143" s="35">
        <f t="shared" si="33"/>
        <v>324801.51935856784</v>
      </c>
      <c r="T143" s="35">
        <f t="shared" si="33"/>
        <v>329537.38695221557</v>
      </c>
      <c r="U143" s="35">
        <f t="shared" si="33"/>
        <v>333603.41789224267</v>
      </c>
      <c r="V143" s="35">
        <f t="shared" si="33"/>
        <v>338023.99289821449</v>
      </c>
      <c r="X143" s="40">
        <f>SUM(R143:V143)</f>
        <v>1648393.5913349856</v>
      </c>
    </row>
    <row r="144" spans="1:24">
      <c r="B144" s="4" t="str">
        <f t="shared" si="32"/>
        <v>[blank]</v>
      </c>
      <c r="D144" s="31"/>
      <c r="O144" s="50"/>
      <c r="P144" s="35">
        <f t="shared" ref="P144:V144" si="34">P98+P121</f>
        <v>0</v>
      </c>
      <c r="Q144" s="35">
        <f t="shared" si="34"/>
        <v>0</v>
      </c>
      <c r="R144" s="35">
        <f t="shared" si="34"/>
        <v>0</v>
      </c>
      <c r="S144" s="35">
        <f t="shared" si="34"/>
        <v>0</v>
      </c>
      <c r="T144" s="35">
        <f t="shared" si="34"/>
        <v>0</v>
      </c>
      <c r="U144" s="35">
        <f t="shared" si="34"/>
        <v>0</v>
      </c>
      <c r="V144" s="35">
        <f t="shared" si="34"/>
        <v>0</v>
      </c>
      <c r="X144" s="40">
        <f t="shared" ref="X144:X157" si="35">SUM(R144:V144)</f>
        <v>0</v>
      </c>
    </row>
    <row r="145" spans="2:24">
      <c r="B145" s="4" t="str">
        <f t="shared" si="32"/>
        <v>[blank]</v>
      </c>
      <c r="D145" s="31"/>
      <c r="P145" s="35">
        <f t="shared" ref="P145:V145" si="36">P99+P122</f>
        <v>0</v>
      </c>
      <c r="Q145" s="35">
        <f t="shared" si="36"/>
        <v>0</v>
      </c>
      <c r="R145" s="35">
        <f t="shared" si="36"/>
        <v>0</v>
      </c>
      <c r="S145" s="35">
        <f t="shared" si="36"/>
        <v>0</v>
      </c>
      <c r="T145" s="35">
        <f t="shared" si="36"/>
        <v>0</v>
      </c>
      <c r="U145" s="35">
        <f t="shared" si="36"/>
        <v>0</v>
      </c>
      <c r="V145" s="35">
        <f t="shared" si="36"/>
        <v>0</v>
      </c>
      <c r="X145" s="40">
        <f t="shared" si="35"/>
        <v>0</v>
      </c>
    </row>
    <row r="146" spans="2:24">
      <c r="B146" s="4" t="str">
        <f t="shared" si="32"/>
        <v>[blank]</v>
      </c>
      <c r="D146" s="31"/>
      <c r="P146" s="35">
        <f t="shared" ref="P146:V146" si="37">P100+P123</f>
        <v>0</v>
      </c>
      <c r="Q146" s="35">
        <f t="shared" si="37"/>
        <v>0</v>
      </c>
      <c r="R146" s="35">
        <f t="shared" si="37"/>
        <v>0</v>
      </c>
      <c r="S146" s="35">
        <f t="shared" si="37"/>
        <v>0</v>
      </c>
      <c r="T146" s="35">
        <f t="shared" si="37"/>
        <v>0</v>
      </c>
      <c r="U146" s="35">
        <f t="shared" si="37"/>
        <v>0</v>
      </c>
      <c r="V146" s="35">
        <f t="shared" si="37"/>
        <v>0</v>
      </c>
      <c r="X146" s="40">
        <f t="shared" si="35"/>
        <v>0</v>
      </c>
    </row>
    <row r="147" spans="2:24">
      <c r="B147" s="4" t="str">
        <f t="shared" si="32"/>
        <v>[blank]</v>
      </c>
      <c r="D147" s="31"/>
      <c r="P147" s="35">
        <f t="shared" ref="P147:V147" si="38">P101+P124</f>
        <v>0</v>
      </c>
      <c r="Q147" s="35">
        <f t="shared" si="38"/>
        <v>0</v>
      </c>
      <c r="R147" s="35">
        <f t="shared" si="38"/>
        <v>0</v>
      </c>
      <c r="S147" s="35">
        <f t="shared" si="38"/>
        <v>0</v>
      </c>
      <c r="T147" s="35">
        <f t="shared" si="38"/>
        <v>0</v>
      </c>
      <c r="U147" s="35">
        <f t="shared" si="38"/>
        <v>0</v>
      </c>
      <c r="V147" s="35">
        <f t="shared" si="38"/>
        <v>0</v>
      </c>
      <c r="X147" s="40">
        <f t="shared" si="35"/>
        <v>0</v>
      </c>
    </row>
    <row r="148" spans="2:24">
      <c r="B148" s="4" t="str">
        <f t="shared" si="32"/>
        <v>[blank]</v>
      </c>
      <c r="D148" s="31"/>
      <c r="P148" s="35">
        <f t="shared" ref="P148" si="39">P102+P125</f>
        <v>0</v>
      </c>
      <c r="Q148" s="35">
        <f t="shared" ref="Q148:V148" si="40">Q102+Q125</f>
        <v>0</v>
      </c>
      <c r="R148" s="35">
        <f t="shared" si="40"/>
        <v>0</v>
      </c>
      <c r="S148" s="35">
        <f t="shared" si="40"/>
        <v>0</v>
      </c>
      <c r="T148" s="35">
        <f t="shared" si="40"/>
        <v>0</v>
      </c>
      <c r="U148" s="35">
        <f t="shared" si="40"/>
        <v>0</v>
      </c>
      <c r="V148" s="35">
        <f t="shared" si="40"/>
        <v>0</v>
      </c>
      <c r="X148" s="40">
        <f t="shared" si="35"/>
        <v>0</v>
      </c>
    </row>
    <row r="149" spans="2:24">
      <c r="B149" s="4" t="str">
        <f t="shared" ref="B149:B157" si="41">IF(B16&lt;&gt;"",B16,"[blank]")</f>
        <v>[blank]</v>
      </c>
      <c r="D149" s="31"/>
      <c r="P149" s="35">
        <f t="shared" ref="P149:V149" si="42">P103+P126</f>
        <v>0</v>
      </c>
      <c r="Q149" s="35">
        <f t="shared" si="42"/>
        <v>0</v>
      </c>
      <c r="R149" s="35">
        <f t="shared" si="42"/>
        <v>0</v>
      </c>
      <c r="S149" s="35">
        <f t="shared" si="42"/>
        <v>0</v>
      </c>
      <c r="T149" s="35">
        <f t="shared" si="42"/>
        <v>0</v>
      </c>
      <c r="U149" s="35">
        <f t="shared" si="42"/>
        <v>0</v>
      </c>
      <c r="V149" s="35">
        <f t="shared" si="42"/>
        <v>0</v>
      </c>
      <c r="X149" s="40">
        <f t="shared" si="35"/>
        <v>0</v>
      </c>
    </row>
    <row r="150" spans="2:24">
      <c r="B150" s="4" t="str">
        <f t="shared" si="41"/>
        <v>[blank]</v>
      </c>
      <c r="D150" s="31"/>
      <c r="P150" s="35">
        <f t="shared" ref="P150:V150" si="43">P104+P127</f>
        <v>0</v>
      </c>
      <c r="Q150" s="35">
        <f t="shared" si="43"/>
        <v>0</v>
      </c>
      <c r="R150" s="35">
        <f t="shared" si="43"/>
        <v>0</v>
      </c>
      <c r="S150" s="35">
        <f t="shared" si="43"/>
        <v>0</v>
      </c>
      <c r="T150" s="35">
        <f t="shared" si="43"/>
        <v>0</v>
      </c>
      <c r="U150" s="35">
        <f t="shared" si="43"/>
        <v>0</v>
      </c>
      <c r="V150" s="35">
        <f t="shared" si="43"/>
        <v>0</v>
      </c>
      <c r="X150" s="40">
        <f t="shared" si="35"/>
        <v>0</v>
      </c>
    </row>
    <row r="151" spans="2:24">
      <c r="B151" s="4" t="str">
        <f t="shared" si="41"/>
        <v>[blank]</v>
      </c>
      <c r="D151" s="31"/>
      <c r="P151" s="35">
        <f t="shared" ref="P151:V151" si="44">P105+P128</f>
        <v>0</v>
      </c>
      <c r="Q151" s="35">
        <f t="shared" si="44"/>
        <v>0</v>
      </c>
      <c r="R151" s="35">
        <f t="shared" si="44"/>
        <v>0</v>
      </c>
      <c r="S151" s="35">
        <f t="shared" si="44"/>
        <v>0</v>
      </c>
      <c r="T151" s="35">
        <f t="shared" si="44"/>
        <v>0</v>
      </c>
      <c r="U151" s="35">
        <f t="shared" si="44"/>
        <v>0</v>
      </c>
      <c r="V151" s="35">
        <f t="shared" si="44"/>
        <v>0</v>
      </c>
      <c r="X151" s="40">
        <f t="shared" si="35"/>
        <v>0</v>
      </c>
    </row>
    <row r="152" spans="2:24">
      <c r="B152" s="4" t="str">
        <f t="shared" si="41"/>
        <v>[blank]</v>
      </c>
      <c r="X152" s="40">
        <f t="shared" si="35"/>
        <v>0</v>
      </c>
    </row>
    <row r="153" spans="2:24">
      <c r="B153" s="4" t="str">
        <f t="shared" si="41"/>
        <v>[blank]</v>
      </c>
      <c r="X153" s="40">
        <f t="shared" si="35"/>
        <v>0</v>
      </c>
    </row>
    <row r="154" spans="2:24">
      <c r="B154" s="4" t="str">
        <f t="shared" si="41"/>
        <v>[blank]</v>
      </c>
      <c r="X154" s="40">
        <f t="shared" si="35"/>
        <v>0</v>
      </c>
    </row>
    <row r="155" spans="2:24">
      <c r="B155" s="4" t="str">
        <f t="shared" si="41"/>
        <v>[blank]</v>
      </c>
      <c r="X155" s="40">
        <f t="shared" si="35"/>
        <v>0</v>
      </c>
    </row>
    <row r="156" spans="2:24">
      <c r="B156" s="4" t="str">
        <f t="shared" si="41"/>
        <v>[blank]</v>
      </c>
      <c r="X156" s="40">
        <f t="shared" si="35"/>
        <v>0</v>
      </c>
    </row>
    <row r="157" spans="2:24">
      <c r="B157" s="4" t="str">
        <f t="shared" si="41"/>
        <v>[blank]</v>
      </c>
      <c r="X157" s="40">
        <f t="shared" si="35"/>
        <v>0</v>
      </c>
    </row>
    <row r="159" spans="2:24" ht="12.75" thickBot="1">
      <c r="B159" s="5" t="s">
        <v>85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45">SUM(Q143:Q157)</f>
        <v>236830.37819479787</v>
      </c>
      <c r="R159" s="37">
        <f t="shared" si="45"/>
        <v>322427.27423374471</v>
      </c>
      <c r="S159" s="37">
        <f t="shared" si="45"/>
        <v>324801.51935856784</v>
      </c>
      <c r="T159" s="37">
        <f t="shared" si="45"/>
        <v>329537.38695221557</v>
      </c>
      <c r="U159" s="37">
        <f t="shared" si="45"/>
        <v>333603.41789224267</v>
      </c>
      <c r="V159" s="37">
        <f t="shared" si="45"/>
        <v>338023.99289821449</v>
      </c>
      <c r="X159" s="37">
        <f t="shared" ref="X159" si="46">SUM(R159:V159)</f>
        <v>1648393.5913349856</v>
      </c>
    </row>
    <row r="161" spans="1:24" s="1" customFormat="1">
      <c r="A161" s="4"/>
      <c r="B161" s="2" t="s">
        <v>86</v>
      </c>
    </row>
    <row r="163" spans="1:24">
      <c r="H163" s="190" t="s">
        <v>52</v>
      </c>
      <c r="I163" s="190"/>
      <c r="J163" s="190"/>
      <c r="K163" s="190"/>
      <c r="L163" s="190"/>
      <c r="M163" s="190" t="s">
        <v>53</v>
      </c>
      <c r="N163" s="190"/>
      <c r="O163" s="190"/>
      <c r="P163" s="190"/>
      <c r="Q163" s="190"/>
      <c r="R163" s="190" t="s">
        <v>54</v>
      </c>
      <c r="S163" s="190"/>
      <c r="T163" s="190"/>
      <c r="U163" s="190"/>
      <c r="V163" s="190"/>
      <c r="X163" s="38"/>
    </row>
    <row r="164" spans="1:24">
      <c r="B164" s="44" t="s">
        <v>50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63</v>
      </c>
    </row>
    <row r="165" spans="1:24">
      <c r="B165" s="5" t="s">
        <v>46</v>
      </c>
      <c r="D165" s="29" t="s">
        <v>55</v>
      </c>
      <c r="H165" s="16" t="s">
        <v>12</v>
      </c>
      <c r="I165" s="16" t="s">
        <v>12</v>
      </c>
      <c r="J165" s="16" t="s">
        <v>12</v>
      </c>
      <c r="K165" s="16" t="s">
        <v>12</v>
      </c>
      <c r="L165" s="16" t="s">
        <v>12</v>
      </c>
      <c r="M165" s="16" t="s">
        <v>12</v>
      </c>
      <c r="N165" s="16" t="s">
        <v>12</v>
      </c>
      <c r="O165" s="16" t="s">
        <v>12</v>
      </c>
      <c r="P165" s="16" t="s">
        <v>13</v>
      </c>
      <c r="Q165" s="16" t="s">
        <v>13</v>
      </c>
      <c r="R165" s="16" t="s">
        <v>13</v>
      </c>
      <c r="S165" s="16" t="s">
        <v>13</v>
      </c>
      <c r="T165" s="16" t="s">
        <v>13</v>
      </c>
      <c r="U165" s="16" t="s">
        <v>13</v>
      </c>
      <c r="V165" s="16" t="s">
        <v>13</v>
      </c>
      <c r="X165" s="34" t="s">
        <v>13</v>
      </c>
    </row>
    <row r="166" spans="1:24">
      <c r="B166" s="4" t="str">
        <f t="shared" ref="B166:B171" si="47">IF(B10&lt;&gt;"",B10,"[blank]")</f>
        <v>Cathodic protection</v>
      </c>
      <c r="D166" s="31" t="s">
        <v>60</v>
      </c>
      <c r="O166" s="35"/>
      <c r="P166" s="35">
        <f t="shared" ref="P166:V171" si="48">$G10*P73</f>
        <v>0</v>
      </c>
      <c r="Q166" s="35">
        <f t="shared" si="48"/>
        <v>59207.594548699453</v>
      </c>
      <c r="R166" s="35">
        <f t="shared" si="48"/>
        <v>80606.818558436178</v>
      </c>
      <c r="S166" s="35">
        <f t="shared" si="48"/>
        <v>81200.37983964193</v>
      </c>
      <c r="T166" s="35">
        <f t="shared" si="48"/>
        <v>82384.346738053879</v>
      </c>
      <c r="U166" s="35">
        <f t="shared" si="48"/>
        <v>83400.854473060637</v>
      </c>
      <c r="V166" s="35">
        <f t="shared" si="48"/>
        <v>84505.998224553608</v>
      </c>
      <c r="X166" s="40">
        <f>SUM(R166:V166)</f>
        <v>412098.39783374622</v>
      </c>
    </row>
    <row r="167" spans="1:24">
      <c r="B167" s="4" t="str">
        <f t="shared" si="47"/>
        <v>[blank]</v>
      </c>
      <c r="D167" s="31"/>
      <c r="O167" s="50"/>
      <c r="P167" s="35">
        <f t="shared" si="48"/>
        <v>0</v>
      </c>
      <c r="Q167" s="35">
        <f t="shared" si="48"/>
        <v>0</v>
      </c>
      <c r="R167" s="35">
        <f t="shared" si="48"/>
        <v>0</v>
      </c>
      <c r="S167" s="35">
        <f t="shared" si="48"/>
        <v>0</v>
      </c>
      <c r="T167" s="35">
        <f t="shared" si="48"/>
        <v>0</v>
      </c>
      <c r="U167" s="35">
        <f t="shared" si="48"/>
        <v>0</v>
      </c>
      <c r="V167" s="35">
        <f t="shared" si="48"/>
        <v>0</v>
      </c>
      <c r="X167" s="40">
        <f t="shared" ref="X167:X180" si="49">SUM(R167:V167)</f>
        <v>0</v>
      </c>
    </row>
    <row r="168" spans="1:24">
      <c r="B168" s="4" t="str">
        <f t="shared" si="47"/>
        <v>[blank]</v>
      </c>
      <c r="D168" s="31"/>
      <c r="P168" s="35">
        <f t="shared" si="48"/>
        <v>0</v>
      </c>
      <c r="Q168" s="35">
        <f t="shared" si="48"/>
        <v>0</v>
      </c>
      <c r="R168" s="35">
        <f t="shared" si="48"/>
        <v>0</v>
      </c>
      <c r="S168" s="35">
        <f t="shared" si="48"/>
        <v>0</v>
      </c>
      <c r="T168" s="35">
        <f t="shared" si="48"/>
        <v>0</v>
      </c>
      <c r="U168" s="35">
        <f t="shared" si="48"/>
        <v>0</v>
      </c>
      <c r="V168" s="35">
        <f t="shared" si="48"/>
        <v>0</v>
      </c>
      <c r="X168" s="40">
        <f t="shared" si="49"/>
        <v>0</v>
      </c>
    </row>
    <row r="169" spans="1:24">
      <c r="B169" s="4" t="str">
        <f t="shared" si="47"/>
        <v>[blank]</v>
      </c>
      <c r="D169" s="31"/>
      <c r="P169" s="35">
        <f t="shared" si="48"/>
        <v>0</v>
      </c>
      <c r="Q169" s="35">
        <f t="shared" si="48"/>
        <v>0</v>
      </c>
      <c r="R169" s="35">
        <f t="shared" si="48"/>
        <v>0</v>
      </c>
      <c r="S169" s="35">
        <f t="shared" si="48"/>
        <v>0</v>
      </c>
      <c r="T169" s="35">
        <f t="shared" si="48"/>
        <v>0</v>
      </c>
      <c r="U169" s="35">
        <f t="shared" si="48"/>
        <v>0</v>
      </c>
      <c r="V169" s="35">
        <f t="shared" si="48"/>
        <v>0</v>
      </c>
      <c r="X169" s="40">
        <f t="shared" si="49"/>
        <v>0</v>
      </c>
    </row>
    <row r="170" spans="1:24">
      <c r="B170" s="4" t="str">
        <f t="shared" si="47"/>
        <v>[blank]</v>
      </c>
      <c r="D170" s="31"/>
      <c r="P170" s="35">
        <f t="shared" si="48"/>
        <v>0</v>
      </c>
      <c r="Q170" s="35">
        <f t="shared" si="48"/>
        <v>0</v>
      </c>
      <c r="R170" s="35">
        <f t="shared" si="48"/>
        <v>0</v>
      </c>
      <c r="S170" s="35">
        <f t="shared" si="48"/>
        <v>0</v>
      </c>
      <c r="T170" s="35">
        <f t="shared" si="48"/>
        <v>0</v>
      </c>
      <c r="U170" s="35">
        <f t="shared" si="48"/>
        <v>0</v>
      </c>
      <c r="V170" s="35">
        <f t="shared" si="48"/>
        <v>0</v>
      </c>
      <c r="X170" s="40">
        <f t="shared" si="49"/>
        <v>0</v>
      </c>
    </row>
    <row r="171" spans="1:24">
      <c r="B171" s="4" t="str">
        <f t="shared" si="47"/>
        <v>[blank]</v>
      </c>
      <c r="D171" s="31"/>
      <c r="P171" s="35">
        <f t="shared" si="48"/>
        <v>0</v>
      </c>
      <c r="Q171" s="35">
        <f t="shared" ref="Q171:V171" si="50">$G15*Q78</f>
        <v>0</v>
      </c>
      <c r="R171" s="35">
        <f t="shared" si="50"/>
        <v>0</v>
      </c>
      <c r="S171" s="35">
        <f t="shared" si="50"/>
        <v>0</v>
      </c>
      <c r="T171" s="35">
        <f t="shared" si="50"/>
        <v>0</v>
      </c>
      <c r="U171" s="35">
        <f t="shared" si="50"/>
        <v>0</v>
      </c>
      <c r="V171" s="35">
        <f t="shared" si="50"/>
        <v>0</v>
      </c>
      <c r="X171" s="40">
        <f t="shared" si="49"/>
        <v>0</v>
      </c>
    </row>
    <row r="172" spans="1:24">
      <c r="B172" s="4" t="str">
        <f t="shared" ref="B172:B180" si="51">IF(B16&lt;&gt;"",B16,"[blank]")</f>
        <v>[blank]</v>
      </c>
      <c r="D172" s="31"/>
      <c r="P172" s="35">
        <f t="shared" ref="P172:V172" si="52">$G16*P79</f>
        <v>0</v>
      </c>
      <c r="Q172" s="35">
        <f t="shared" si="52"/>
        <v>0</v>
      </c>
      <c r="R172" s="35">
        <f t="shared" si="52"/>
        <v>0</v>
      </c>
      <c r="S172" s="35">
        <f t="shared" si="52"/>
        <v>0</v>
      </c>
      <c r="T172" s="35">
        <f t="shared" si="52"/>
        <v>0</v>
      </c>
      <c r="U172" s="35">
        <f t="shared" si="52"/>
        <v>0</v>
      </c>
      <c r="V172" s="35">
        <f t="shared" si="52"/>
        <v>0</v>
      </c>
      <c r="X172" s="40">
        <f t="shared" si="49"/>
        <v>0</v>
      </c>
    </row>
    <row r="173" spans="1:24">
      <c r="B173" s="4" t="str">
        <f t="shared" si="51"/>
        <v>[blank]</v>
      </c>
      <c r="D173" s="31"/>
      <c r="P173" s="35">
        <f t="shared" ref="P173:V173" si="53">$G17*P80</f>
        <v>0</v>
      </c>
      <c r="Q173" s="35">
        <f t="shared" si="53"/>
        <v>0</v>
      </c>
      <c r="R173" s="35">
        <f t="shared" si="53"/>
        <v>0</v>
      </c>
      <c r="S173" s="35">
        <f t="shared" si="53"/>
        <v>0</v>
      </c>
      <c r="T173" s="35">
        <f t="shared" si="53"/>
        <v>0</v>
      </c>
      <c r="U173" s="35">
        <f t="shared" si="53"/>
        <v>0</v>
      </c>
      <c r="V173" s="35">
        <f t="shared" si="53"/>
        <v>0</v>
      </c>
      <c r="X173" s="40">
        <f t="shared" si="49"/>
        <v>0</v>
      </c>
    </row>
    <row r="174" spans="1:24">
      <c r="B174" s="4" t="str">
        <f t="shared" si="51"/>
        <v>[blank]</v>
      </c>
      <c r="D174" s="31"/>
      <c r="P174" s="35">
        <f t="shared" ref="P174:V174" si="54">$G18*P81</f>
        <v>0</v>
      </c>
      <c r="Q174" s="35">
        <f t="shared" si="54"/>
        <v>0</v>
      </c>
      <c r="R174" s="35">
        <f t="shared" si="54"/>
        <v>0</v>
      </c>
      <c r="S174" s="35">
        <f t="shared" si="54"/>
        <v>0</v>
      </c>
      <c r="T174" s="35">
        <f t="shared" si="54"/>
        <v>0</v>
      </c>
      <c r="U174" s="35">
        <f t="shared" si="54"/>
        <v>0</v>
      </c>
      <c r="V174" s="35">
        <f t="shared" si="54"/>
        <v>0</v>
      </c>
      <c r="X174" s="40">
        <f t="shared" si="49"/>
        <v>0</v>
      </c>
    </row>
    <row r="175" spans="1:24">
      <c r="B175" s="4" t="str">
        <f t="shared" si="51"/>
        <v>[blank]</v>
      </c>
      <c r="X175" s="40">
        <f t="shared" si="49"/>
        <v>0</v>
      </c>
    </row>
    <row r="176" spans="1:24">
      <c r="B176" s="4" t="str">
        <f t="shared" si="51"/>
        <v>[blank]</v>
      </c>
      <c r="X176" s="40">
        <f t="shared" si="49"/>
        <v>0</v>
      </c>
    </row>
    <row r="177" spans="1:24">
      <c r="B177" s="4" t="str">
        <f t="shared" si="51"/>
        <v>[blank]</v>
      </c>
      <c r="X177" s="40">
        <f t="shared" si="49"/>
        <v>0</v>
      </c>
    </row>
    <row r="178" spans="1:24">
      <c r="B178" s="4" t="str">
        <f t="shared" si="51"/>
        <v>[blank]</v>
      </c>
      <c r="X178" s="40">
        <f t="shared" si="49"/>
        <v>0</v>
      </c>
    </row>
    <row r="179" spans="1:24">
      <c r="B179" s="4" t="str">
        <f t="shared" si="51"/>
        <v>[blank]</v>
      </c>
      <c r="X179" s="40">
        <f t="shared" si="49"/>
        <v>0</v>
      </c>
    </row>
    <row r="180" spans="1:24">
      <c r="B180" s="4" t="str">
        <f t="shared" si="51"/>
        <v>[blank]</v>
      </c>
      <c r="X180" s="40">
        <f t="shared" si="49"/>
        <v>0</v>
      </c>
    </row>
    <row r="182" spans="1:24" ht="12.75" thickBot="1">
      <c r="B182" s="5" t="s">
        <v>87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55">SUM(Q166:Q180)</f>
        <v>59207.594548699453</v>
      </c>
      <c r="R182" s="37">
        <f t="shared" si="55"/>
        <v>80606.818558436178</v>
      </c>
      <c r="S182" s="37">
        <f t="shared" si="55"/>
        <v>81200.37983964193</v>
      </c>
      <c r="T182" s="37">
        <f t="shared" si="55"/>
        <v>82384.346738053879</v>
      </c>
      <c r="U182" s="37">
        <f t="shared" si="55"/>
        <v>83400.854473060637</v>
      </c>
      <c r="V182" s="37">
        <f t="shared" si="55"/>
        <v>84505.998224553608</v>
      </c>
      <c r="X182" s="37">
        <f t="shared" ref="X182" si="56">SUM(R182:V182)</f>
        <v>412098.39783374622</v>
      </c>
    </row>
    <row r="184" spans="1:24" s="1" customFormat="1">
      <c r="A184" s="2">
        <v>6</v>
      </c>
      <c r="B184" s="2" t="s">
        <v>89</v>
      </c>
    </row>
    <row r="186" spans="1:24">
      <c r="H186" s="190" t="s">
        <v>52</v>
      </c>
      <c r="I186" s="190"/>
      <c r="J186" s="190"/>
      <c r="K186" s="190"/>
      <c r="L186" s="190"/>
      <c r="M186" s="190" t="s">
        <v>53</v>
      </c>
      <c r="N186" s="190"/>
      <c r="O186" s="190"/>
      <c r="P186" s="190"/>
      <c r="Q186" s="190"/>
      <c r="R186" s="190" t="s">
        <v>54</v>
      </c>
      <c r="S186" s="190"/>
      <c r="T186" s="190"/>
      <c r="U186" s="190"/>
      <c r="V186" s="190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63</v>
      </c>
    </row>
    <row r="188" spans="1:24">
      <c r="B188" s="5" t="s">
        <v>46</v>
      </c>
      <c r="D188" s="29" t="s">
        <v>55</v>
      </c>
      <c r="H188" s="16" t="s">
        <v>12</v>
      </c>
      <c r="I188" s="16" t="s">
        <v>12</v>
      </c>
      <c r="J188" s="16" t="s">
        <v>12</v>
      </c>
      <c r="K188" s="16" t="s">
        <v>12</v>
      </c>
      <c r="L188" s="16" t="s">
        <v>12</v>
      </c>
      <c r="M188" s="16" t="s">
        <v>12</v>
      </c>
      <c r="N188" s="16" t="s">
        <v>12</v>
      </c>
      <c r="O188" s="16" t="s">
        <v>12</v>
      </c>
      <c r="P188" s="16" t="s">
        <v>13</v>
      </c>
      <c r="Q188" s="16" t="s">
        <v>13</v>
      </c>
      <c r="R188" s="16" t="s">
        <v>13</v>
      </c>
      <c r="S188" s="16" t="s">
        <v>13</v>
      </c>
      <c r="T188" s="16" t="s">
        <v>13</v>
      </c>
      <c r="U188" s="16" t="s">
        <v>13</v>
      </c>
      <c r="V188" s="16" t="s">
        <v>13</v>
      </c>
      <c r="X188" s="34" t="s">
        <v>13</v>
      </c>
    </row>
    <row r="189" spans="1:24">
      <c r="B189" s="4" t="str">
        <f t="shared" ref="B189:B194" si="57">IF(B10&lt;&gt;"",B10,"[blank]")</f>
        <v>Cathodic protection</v>
      </c>
      <c r="D189" s="31" t="s">
        <v>60</v>
      </c>
      <c r="O189" s="35"/>
      <c r="P189" s="35">
        <f>P73*P$208</f>
        <v>0</v>
      </c>
      <c r="Q189" s="35">
        <f t="shared" ref="Q189:V189" si="58">Q73*Q$208</f>
        <v>22155.984279575507</v>
      </c>
      <c r="R189" s="35">
        <f t="shared" si="58"/>
        <v>29087.296630974939</v>
      </c>
      <c r="S189" s="35">
        <f t="shared" si="58"/>
        <v>30962.961908671154</v>
      </c>
      <c r="T189" s="35">
        <f t="shared" si="58"/>
        <v>31893.723492168614</v>
      </c>
      <c r="U189" s="35">
        <f t="shared" si="58"/>
        <v>34075.78879453009</v>
      </c>
      <c r="V189" s="35">
        <f t="shared" si="58"/>
        <v>35658.40197120978</v>
      </c>
      <c r="X189" s="40">
        <f>SUM(R189:V189)</f>
        <v>161678.17279755458</v>
      </c>
    </row>
    <row r="190" spans="1:24">
      <c r="B190" s="4" t="str">
        <f t="shared" si="57"/>
        <v>[blank]</v>
      </c>
      <c r="D190" s="31"/>
      <c r="O190" s="50"/>
      <c r="P190" s="35">
        <f t="shared" ref="P190:V190" si="59">P74*P$208</f>
        <v>0</v>
      </c>
      <c r="Q190" s="35">
        <f t="shared" si="59"/>
        <v>0</v>
      </c>
      <c r="R190" s="35">
        <f t="shared" si="59"/>
        <v>0</v>
      </c>
      <c r="S190" s="35">
        <f t="shared" si="59"/>
        <v>0</v>
      </c>
      <c r="T190" s="35">
        <f t="shared" si="59"/>
        <v>0</v>
      </c>
      <c r="U190" s="35">
        <f t="shared" si="59"/>
        <v>0</v>
      </c>
      <c r="V190" s="35">
        <f t="shared" si="59"/>
        <v>0</v>
      </c>
      <c r="X190" s="40">
        <f t="shared" ref="X190:X203" si="60">SUM(R190:V190)</f>
        <v>0</v>
      </c>
    </row>
    <row r="191" spans="1:24">
      <c r="B191" s="4" t="str">
        <f t="shared" si="57"/>
        <v>[blank]</v>
      </c>
      <c r="D191" s="31"/>
      <c r="P191" s="35">
        <f t="shared" ref="P191:V191" si="61">P75*P$208</f>
        <v>0</v>
      </c>
      <c r="Q191" s="35">
        <f t="shared" si="61"/>
        <v>0</v>
      </c>
      <c r="R191" s="35">
        <f t="shared" si="61"/>
        <v>0</v>
      </c>
      <c r="S191" s="35">
        <f t="shared" si="61"/>
        <v>0</v>
      </c>
      <c r="T191" s="35">
        <f t="shared" si="61"/>
        <v>0</v>
      </c>
      <c r="U191" s="35">
        <f t="shared" si="61"/>
        <v>0</v>
      </c>
      <c r="V191" s="35">
        <f t="shared" si="61"/>
        <v>0</v>
      </c>
      <c r="X191" s="40">
        <f t="shared" si="60"/>
        <v>0</v>
      </c>
    </row>
    <row r="192" spans="1:24">
      <c r="B192" s="4" t="str">
        <f t="shared" si="57"/>
        <v>[blank]</v>
      </c>
      <c r="D192" s="31"/>
      <c r="P192" s="35">
        <f t="shared" ref="P192:V192" si="62">P76*P$208</f>
        <v>0</v>
      </c>
      <c r="Q192" s="35">
        <f t="shared" si="62"/>
        <v>0</v>
      </c>
      <c r="R192" s="35">
        <f t="shared" si="62"/>
        <v>0</v>
      </c>
      <c r="S192" s="35">
        <f t="shared" si="62"/>
        <v>0</v>
      </c>
      <c r="T192" s="35">
        <f t="shared" si="62"/>
        <v>0</v>
      </c>
      <c r="U192" s="35">
        <f t="shared" si="62"/>
        <v>0</v>
      </c>
      <c r="V192" s="35">
        <f t="shared" si="62"/>
        <v>0</v>
      </c>
      <c r="X192" s="40">
        <f t="shared" si="60"/>
        <v>0</v>
      </c>
    </row>
    <row r="193" spans="2:24">
      <c r="B193" s="4" t="str">
        <f t="shared" si="57"/>
        <v>[blank]</v>
      </c>
      <c r="D193" s="31"/>
      <c r="P193" s="35">
        <f t="shared" ref="P193:V193" si="63">P77*P$208</f>
        <v>0</v>
      </c>
      <c r="Q193" s="35">
        <f t="shared" si="63"/>
        <v>0</v>
      </c>
      <c r="R193" s="35">
        <f t="shared" si="63"/>
        <v>0</v>
      </c>
      <c r="S193" s="35">
        <f t="shared" si="63"/>
        <v>0</v>
      </c>
      <c r="T193" s="35">
        <f t="shared" si="63"/>
        <v>0</v>
      </c>
      <c r="U193" s="35">
        <f t="shared" si="63"/>
        <v>0</v>
      </c>
      <c r="V193" s="35">
        <f t="shared" si="63"/>
        <v>0</v>
      </c>
      <c r="X193" s="40">
        <f t="shared" si="60"/>
        <v>0</v>
      </c>
    </row>
    <row r="194" spans="2:24">
      <c r="B194" s="4" t="str">
        <f t="shared" si="57"/>
        <v>[blank]</v>
      </c>
      <c r="D194" s="31"/>
      <c r="P194" s="35">
        <f t="shared" ref="P194" si="64">P78*P$208</f>
        <v>0</v>
      </c>
      <c r="Q194" s="35">
        <f t="shared" ref="Q194:V194" si="65">Q78*Q$208</f>
        <v>0</v>
      </c>
      <c r="R194" s="35">
        <f t="shared" si="65"/>
        <v>0</v>
      </c>
      <c r="S194" s="35">
        <f t="shared" si="65"/>
        <v>0</v>
      </c>
      <c r="T194" s="35">
        <f t="shared" si="65"/>
        <v>0</v>
      </c>
      <c r="U194" s="35">
        <f t="shared" si="65"/>
        <v>0</v>
      </c>
      <c r="V194" s="35">
        <f t="shared" si="65"/>
        <v>0</v>
      </c>
      <c r="X194" s="40">
        <f t="shared" si="60"/>
        <v>0</v>
      </c>
    </row>
    <row r="195" spans="2:24">
      <c r="B195" s="4" t="str">
        <f t="shared" ref="B195:B203" si="66">IF(B16&lt;&gt;"",B16,"[blank]")</f>
        <v>[blank]</v>
      </c>
      <c r="D195" s="31"/>
      <c r="P195" s="35">
        <f t="shared" ref="P195:V195" si="67">P79*P$208</f>
        <v>0</v>
      </c>
      <c r="Q195" s="35">
        <f t="shared" si="67"/>
        <v>0</v>
      </c>
      <c r="R195" s="35">
        <f t="shared" si="67"/>
        <v>0</v>
      </c>
      <c r="S195" s="35">
        <f t="shared" si="67"/>
        <v>0</v>
      </c>
      <c r="T195" s="35">
        <f t="shared" si="67"/>
        <v>0</v>
      </c>
      <c r="U195" s="35">
        <f t="shared" si="67"/>
        <v>0</v>
      </c>
      <c r="V195" s="35">
        <f t="shared" si="67"/>
        <v>0</v>
      </c>
      <c r="X195" s="40">
        <f t="shared" si="60"/>
        <v>0</v>
      </c>
    </row>
    <row r="196" spans="2:24">
      <c r="B196" s="4" t="str">
        <f t="shared" si="66"/>
        <v>[blank]</v>
      </c>
      <c r="D196" s="31"/>
      <c r="P196" s="35">
        <f t="shared" ref="P196:V196" si="68">P80*P$208</f>
        <v>0</v>
      </c>
      <c r="Q196" s="35">
        <f t="shared" si="68"/>
        <v>0</v>
      </c>
      <c r="R196" s="35">
        <f t="shared" si="68"/>
        <v>0</v>
      </c>
      <c r="S196" s="35">
        <f t="shared" si="68"/>
        <v>0</v>
      </c>
      <c r="T196" s="35">
        <f t="shared" si="68"/>
        <v>0</v>
      </c>
      <c r="U196" s="35">
        <f t="shared" si="68"/>
        <v>0</v>
      </c>
      <c r="V196" s="35">
        <f t="shared" si="68"/>
        <v>0</v>
      </c>
      <c r="X196" s="40">
        <f t="shared" si="60"/>
        <v>0</v>
      </c>
    </row>
    <row r="197" spans="2:24">
      <c r="B197" s="4" t="str">
        <f t="shared" si="66"/>
        <v>[blank]</v>
      </c>
      <c r="D197" s="31"/>
      <c r="P197" s="35">
        <f t="shared" ref="P197:V197" si="69">P81*P$208</f>
        <v>0</v>
      </c>
      <c r="Q197" s="35">
        <f t="shared" si="69"/>
        <v>0</v>
      </c>
      <c r="R197" s="35">
        <f t="shared" si="69"/>
        <v>0</v>
      </c>
      <c r="S197" s="35">
        <f t="shared" si="69"/>
        <v>0</v>
      </c>
      <c r="T197" s="35">
        <f t="shared" si="69"/>
        <v>0</v>
      </c>
      <c r="U197" s="35">
        <f t="shared" si="69"/>
        <v>0</v>
      </c>
      <c r="V197" s="35">
        <f t="shared" si="69"/>
        <v>0</v>
      </c>
      <c r="X197" s="40">
        <f t="shared" si="60"/>
        <v>0</v>
      </c>
    </row>
    <row r="198" spans="2:24">
      <c r="B198" s="4" t="str">
        <f t="shared" si="66"/>
        <v>[blank]</v>
      </c>
      <c r="X198" s="40">
        <f t="shared" si="60"/>
        <v>0</v>
      </c>
    </row>
    <row r="199" spans="2:24">
      <c r="B199" s="4" t="str">
        <f t="shared" si="66"/>
        <v>[blank]</v>
      </c>
      <c r="X199" s="40">
        <f t="shared" si="60"/>
        <v>0</v>
      </c>
    </row>
    <row r="200" spans="2:24">
      <c r="B200" s="4" t="str">
        <f t="shared" si="66"/>
        <v>[blank]</v>
      </c>
      <c r="X200" s="40">
        <f t="shared" si="60"/>
        <v>0</v>
      </c>
    </row>
    <row r="201" spans="2:24">
      <c r="B201" s="4" t="str">
        <f t="shared" si="66"/>
        <v>[blank]</v>
      </c>
      <c r="X201" s="40">
        <f t="shared" si="60"/>
        <v>0</v>
      </c>
    </row>
    <row r="202" spans="2:24">
      <c r="B202" s="4" t="str">
        <f t="shared" si="66"/>
        <v>[blank]</v>
      </c>
      <c r="X202" s="40">
        <f t="shared" si="60"/>
        <v>0</v>
      </c>
    </row>
    <row r="203" spans="2:24">
      <c r="B203" s="4" t="str">
        <f t="shared" si="66"/>
        <v>[blank]</v>
      </c>
      <c r="X203" s="40">
        <f t="shared" si="60"/>
        <v>0</v>
      </c>
    </row>
    <row r="205" spans="2:24" ht="12.75" thickBot="1">
      <c r="B205" s="5" t="s">
        <v>88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70">SUM(Q189:Q203)</f>
        <v>22155.984279575507</v>
      </c>
      <c r="R205" s="37">
        <f t="shared" si="70"/>
        <v>29087.296630974939</v>
      </c>
      <c r="S205" s="37">
        <f t="shared" si="70"/>
        <v>30962.961908671154</v>
      </c>
      <c r="T205" s="37">
        <f t="shared" si="70"/>
        <v>31893.723492168614</v>
      </c>
      <c r="U205" s="37">
        <f t="shared" si="70"/>
        <v>34075.78879453009</v>
      </c>
      <c r="V205" s="37">
        <f t="shared" si="70"/>
        <v>35658.40197120978</v>
      </c>
      <c r="X205" s="37">
        <f t="shared" ref="X205" si="71">SUM(R205:V205)</f>
        <v>161678.17279755458</v>
      </c>
    </row>
    <row r="207" spans="2:24">
      <c r="B207" s="4" t="s">
        <v>92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72">Q89</f>
        <v>296037.97274349735</v>
      </c>
      <c r="R207" s="45">
        <f t="shared" si="72"/>
        <v>403034.09279218095</v>
      </c>
      <c r="S207" s="45">
        <f t="shared" si="72"/>
        <v>406001.89919820975</v>
      </c>
      <c r="T207" s="45">
        <f t="shared" si="72"/>
        <v>411921.73369026947</v>
      </c>
      <c r="U207" s="45">
        <f t="shared" si="72"/>
        <v>417004.2723653033</v>
      </c>
      <c r="V207" s="45">
        <f t="shared" si="72"/>
        <v>422529.99112276814</v>
      </c>
      <c r="W207" s="45"/>
      <c r="X207" s="40">
        <f t="shared" si="72"/>
        <v>2060491.9891687315</v>
      </c>
    </row>
    <row r="208" spans="2:24">
      <c r="B208" s="4" t="s">
        <v>90</v>
      </c>
      <c r="H208" s="21" t="str">
        <f>IFERROR(H212/H207,"")</f>
        <v/>
      </c>
      <c r="I208" s="21" t="str">
        <f t="shared" ref="I208:O208" si="73">IFERROR(I212/I207,"")</f>
        <v/>
      </c>
      <c r="J208" s="21" t="str">
        <f t="shared" si="73"/>
        <v/>
      </c>
      <c r="K208" s="21" t="str">
        <f t="shared" si="73"/>
        <v/>
      </c>
      <c r="L208" s="21" t="str">
        <f t="shared" si="73"/>
        <v/>
      </c>
      <c r="M208" s="21" t="str">
        <f t="shared" si="73"/>
        <v/>
      </c>
      <c r="N208" s="21" t="str">
        <f t="shared" si="73"/>
        <v/>
      </c>
      <c r="O208" s="21" t="str">
        <f t="shared" si="73"/>
        <v/>
      </c>
      <c r="P208" s="21">
        <f>'General assumptions'!S61</f>
        <v>0</v>
      </c>
      <c r="Q208" s="21">
        <f>'General assumptions'!T61</f>
        <v>7.4841697077734692E-2</v>
      </c>
      <c r="R208" s="21">
        <f>'General assumptions'!U61</f>
        <v>7.2170809247081261E-2</v>
      </c>
      <c r="S208" s="21">
        <f>'General assumptions'!V61</f>
        <v>7.6263096231367788E-2</v>
      </c>
      <c r="T208" s="21">
        <f>'General assumptions'!W61</f>
        <v>7.7426658716070601E-2</v>
      </c>
      <c r="U208" s="21">
        <f>'General assumptions'!X61</f>
        <v>8.1715682674538839E-2</v>
      </c>
      <c r="V208" s="21">
        <f>'General assumptions'!Y61</f>
        <v>8.4392593946897035E-2</v>
      </c>
      <c r="W208" s="21"/>
      <c r="X208" s="75">
        <f>X205/X207</f>
        <v>7.8465809936383565E-2</v>
      </c>
    </row>
    <row r="210" spans="1:24" ht="12.75" thickBot="1">
      <c r="B210" s="5" t="s">
        <v>91</v>
      </c>
      <c r="H210" s="37">
        <f t="shared" ref="H210:N210" si="74">IF(H188="forecast",H207*(1+H208),H207+H212)</f>
        <v>0</v>
      </c>
      <c r="I210" s="37">
        <f t="shared" si="74"/>
        <v>0</v>
      </c>
      <c r="J210" s="37">
        <f t="shared" si="74"/>
        <v>0</v>
      </c>
      <c r="K210" s="37">
        <f t="shared" si="74"/>
        <v>0</v>
      </c>
      <c r="L210" s="37">
        <f t="shared" si="74"/>
        <v>0</v>
      </c>
      <c r="M210" s="37">
        <f t="shared" si="74"/>
        <v>0</v>
      </c>
      <c r="N210" s="37">
        <f t="shared" si="74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75">IF(Q188="forecast",Q207*(1+Q208),Q207+Q212)</f>
        <v>318193.95702307287</v>
      </c>
      <c r="R210" s="37">
        <f t="shared" si="75"/>
        <v>432121.38942315587</v>
      </c>
      <c r="S210" s="37">
        <f t="shared" si="75"/>
        <v>436964.86110688088</v>
      </c>
      <c r="T210" s="37">
        <f t="shared" si="75"/>
        <v>443815.45718243805</v>
      </c>
      <c r="U210" s="37">
        <f t="shared" si="75"/>
        <v>451080.06115983339</v>
      </c>
      <c r="V210" s="37">
        <f t="shared" si="75"/>
        <v>458188.39309397794</v>
      </c>
      <c r="X210" s="37">
        <f t="shared" ref="X210" si="76">IF(X188="forecast",X207*(1+X208),X207+X212)</f>
        <v>2222170.1619662861</v>
      </c>
    </row>
    <row r="212" spans="1:24">
      <c r="B212" s="4" t="s">
        <v>18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77">Q210-Q207</f>
        <v>22155.984279575525</v>
      </c>
      <c r="R212" s="45">
        <f t="shared" si="77"/>
        <v>29087.296630974917</v>
      </c>
      <c r="S212" s="45">
        <f t="shared" si="77"/>
        <v>30962.961908671132</v>
      </c>
      <c r="T212" s="45">
        <f t="shared" si="77"/>
        <v>31893.723492168589</v>
      </c>
      <c r="U212" s="45">
        <f t="shared" si="77"/>
        <v>34075.78879453009</v>
      </c>
      <c r="V212" s="45">
        <f t="shared" si="77"/>
        <v>35658.401971209794</v>
      </c>
      <c r="X212" s="40">
        <f t="shared" ref="X212" si="78">X210-X207</f>
        <v>161678.17279755464</v>
      </c>
    </row>
    <row r="214" spans="1:24" s="1" customFormat="1">
      <c r="A214" s="2">
        <v>7</v>
      </c>
      <c r="B214" s="2" t="s">
        <v>74</v>
      </c>
    </row>
    <row r="216" spans="1:24">
      <c r="H216" s="190" t="s">
        <v>52</v>
      </c>
      <c r="I216" s="190"/>
      <c r="J216" s="190"/>
      <c r="K216" s="190"/>
      <c r="L216" s="190"/>
      <c r="M216" s="190" t="s">
        <v>53</v>
      </c>
      <c r="N216" s="190"/>
      <c r="O216" s="190"/>
      <c r="P216" s="190"/>
      <c r="Q216" s="190"/>
      <c r="R216" s="190" t="s">
        <v>54</v>
      </c>
      <c r="S216" s="190"/>
      <c r="T216" s="190"/>
      <c r="U216" s="190"/>
      <c r="V216" s="190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63</v>
      </c>
    </row>
    <row r="218" spans="1:24">
      <c r="D218" s="29" t="s">
        <v>55</v>
      </c>
      <c r="H218" s="16" t="s">
        <v>12</v>
      </c>
      <c r="I218" s="16" t="s">
        <v>12</v>
      </c>
      <c r="J218" s="16" t="s">
        <v>12</v>
      </c>
      <c r="K218" s="16" t="s">
        <v>12</v>
      </c>
      <c r="L218" s="16" t="s">
        <v>12</v>
      </c>
      <c r="M218" s="16" t="s">
        <v>12</v>
      </c>
      <c r="N218" s="16" t="s">
        <v>12</v>
      </c>
      <c r="O218" s="16" t="s">
        <v>12</v>
      </c>
      <c r="P218" s="16" t="s">
        <v>13</v>
      </c>
      <c r="Q218" s="16" t="s">
        <v>13</v>
      </c>
      <c r="R218" s="16" t="s">
        <v>13</v>
      </c>
      <c r="S218" s="16" t="s">
        <v>13</v>
      </c>
      <c r="T218" s="16" t="s">
        <v>13</v>
      </c>
      <c r="U218" s="16" t="s">
        <v>13</v>
      </c>
      <c r="V218" s="16" t="s">
        <v>13</v>
      </c>
      <c r="X218" s="34" t="s">
        <v>13</v>
      </c>
    </row>
    <row r="219" spans="1:24">
      <c r="B219" s="5" t="s">
        <v>94</v>
      </c>
      <c r="D219" s="31" t="s">
        <v>105</v>
      </c>
      <c r="H219" s="4" t="str">
        <f t="shared" ref="H219:O219" si="79">IFERROR(-H238/H210,"")</f>
        <v/>
      </c>
      <c r="I219" s="4" t="str">
        <f t="shared" si="79"/>
        <v/>
      </c>
      <c r="J219" s="4" t="str">
        <f t="shared" si="79"/>
        <v/>
      </c>
      <c r="K219" s="4" t="str">
        <f t="shared" si="79"/>
        <v/>
      </c>
      <c r="L219" s="4" t="str">
        <f t="shared" si="79"/>
        <v/>
      </c>
      <c r="M219" s="4" t="str">
        <f t="shared" si="79"/>
        <v/>
      </c>
      <c r="N219" s="4" t="str">
        <f t="shared" si="79"/>
        <v/>
      </c>
      <c r="O219" s="4" t="str">
        <f t="shared" si="79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46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 t="shared" ref="B222:B227" si="80">IF(B10&lt;&gt;"",B10,"[blank]")</f>
        <v>Cathodic protection</v>
      </c>
      <c r="D222" s="31" t="s">
        <v>60</v>
      </c>
      <c r="P222" s="45">
        <f>(-P73*(1+P$208))*P$219</f>
        <v>0</v>
      </c>
      <c r="Q222" s="45">
        <f t="shared" ref="Q222:V222" si="81">(-Q73*(1+Q$208))*Q$219</f>
        <v>0</v>
      </c>
      <c r="R222" s="45">
        <f t="shared" si="81"/>
        <v>0</v>
      </c>
      <c r="S222" s="45">
        <f t="shared" si="81"/>
        <v>0</v>
      </c>
      <c r="T222" s="45">
        <f t="shared" si="81"/>
        <v>0</v>
      </c>
      <c r="U222" s="45">
        <f t="shared" si="81"/>
        <v>0</v>
      </c>
      <c r="V222" s="45">
        <f t="shared" si="81"/>
        <v>0</v>
      </c>
      <c r="X222" s="40">
        <f t="shared" ref="X222" si="82">SUM(R222:V222)</f>
        <v>0</v>
      </c>
    </row>
    <row r="223" spans="1:24">
      <c r="B223" s="4" t="str">
        <f t="shared" si="80"/>
        <v>[blank]</v>
      </c>
      <c r="D223" s="31"/>
      <c r="P223" s="45">
        <f t="shared" ref="P223:V223" si="83">(-P74*(1+P$208))*P$219</f>
        <v>0</v>
      </c>
      <c r="Q223" s="45">
        <f t="shared" si="83"/>
        <v>0</v>
      </c>
      <c r="R223" s="45">
        <f t="shared" si="83"/>
        <v>0</v>
      </c>
      <c r="S223" s="45">
        <f t="shared" si="83"/>
        <v>0</v>
      </c>
      <c r="T223" s="45">
        <f t="shared" si="83"/>
        <v>0</v>
      </c>
      <c r="U223" s="45">
        <f t="shared" si="83"/>
        <v>0</v>
      </c>
      <c r="V223" s="45">
        <f t="shared" si="83"/>
        <v>0</v>
      </c>
      <c r="X223" s="40"/>
    </row>
    <row r="224" spans="1:24">
      <c r="B224" s="4" t="str">
        <f t="shared" si="80"/>
        <v>[blank]</v>
      </c>
      <c r="D224" s="31"/>
      <c r="P224" s="45">
        <f t="shared" ref="P224:V224" si="84">(-P75*(1+P$208))*P$219</f>
        <v>0</v>
      </c>
      <c r="Q224" s="45">
        <f t="shared" si="84"/>
        <v>0</v>
      </c>
      <c r="R224" s="45">
        <f t="shared" si="84"/>
        <v>0</v>
      </c>
      <c r="S224" s="45">
        <f t="shared" si="84"/>
        <v>0</v>
      </c>
      <c r="T224" s="45">
        <f t="shared" si="84"/>
        <v>0</v>
      </c>
      <c r="U224" s="45">
        <f t="shared" si="84"/>
        <v>0</v>
      </c>
      <c r="V224" s="45">
        <f t="shared" si="84"/>
        <v>0</v>
      </c>
      <c r="X224" s="40"/>
    </row>
    <row r="225" spans="1:24">
      <c r="B225" s="4" t="str">
        <f t="shared" si="80"/>
        <v>[blank]</v>
      </c>
      <c r="D225" s="31"/>
      <c r="P225" s="45">
        <f t="shared" ref="P225:V225" si="85">(-P76*(1+P$208))*P$219</f>
        <v>0</v>
      </c>
      <c r="Q225" s="45">
        <f t="shared" si="85"/>
        <v>0</v>
      </c>
      <c r="R225" s="45">
        <f t="shared" si="85"/>
        <v>0</v>
      </c>
      <c r="S225" s="45">
        <f t="shared" si="85"/>
        <v>0</v>
      </c>
      <c r="T225" s="45">
        <f t="shared" si="85"/>
        <v>0</v>
      </c>
      <c r="U225" s="45">
        <f t="shared" si="85"/>
        <v>0</v>
      </c>
      <c r="V225" s="45">
        <f t="shared" si="85"/>
        <v>0</v>
      </c>
      <c r="X225" s="40"/>
    </row>
    <row r="226" spans="1:24">
      <c r="B226" s="4" t="str">
        <f t="shared" si="80"/>
        <v>[blank]</v>
      </c>
      <c r="D226" s="31"/>
      <c r="P226" s="45">
        <f t="shared" ref="P226:V226" si="86">(-P77*(1+P$208))*P$219</f>
        <v>0</v>
      </c>
      <c r="Q226" s="45">
        <f t="shared" si="86"/>
        <v>0</v>
      </c>
      <c r="R226" s="45">
        <f t="shared" si="86"/>
        <v>0</v>
      </c>
      <c r="S226" s="45">
        <f t="shared" si="86"/>
        <v>0</v>
      </c>
      <c r="T226" s="45">
        <f t="shared" si="86"/>
        <v>0</v>
      </c>
      <c r="U226" s="45">
        <f t="shared" si="86"/>
        <v>0</v>
      </c>
      <c r="V226" s="45">
        <f t="shared" si="86"/>
        <v>0</v>
      </c>
    </row>
    <row r="227" spans="1:24">
      <c r="B227" s="4" t="str">
        <f t="shared" si="80"/>
        <v>[blank]</v>
      </c>
      <c r="D227" s="31"/>
      <c r="P227" s="45">
        <f t="shared" ref="P227" si="87">(-P78*(1+P$208))*P$219</f>
        <v>0</v>
      </c>
      <c r="Q227" s="45">
        <f t="shared" ref="Q227:V227" si="88">(-Q78*(1+Q$208))*Q$219</f>
        <v>0</v>
      </c>
      <c r="R227" s="45">
        <f t="shared" si="88"/>
        <v>0</v>
      </c>
      <c r="S227" s="45">
        <f t="shared" si="88"/>
        <v>0</v>
      </c>
      <c r="T227" s="45">
        <f t="shared" si="88"/>
        <v>0</v>
      </c>
      <c r="U227" s="45">
        <f t="shared" si="88"/>
        <v>0</v>
      </c>
      <c r="V227" s="45">
        <f t="shared" si="88"/>
        <v>0</v>
      </c>
    </row>
    <row r="228" spans="1:24">
      <c r="B228" s="4" t="str">
        <f t="shared" ref="B228:B236" si="89">IF(B16&lt;&gt;"",B16,"[blank]")</f>
        <v>[blank]</v>
      </c>
      <c r="D228" s="31"/>
      <c r="P228" s="45">
        <f t="shared" ref="P228:V228" si="90">(-P79*(1+P$208))*P$219</f>
        <v>0</v>
      </c>
      <c r="Q228" s="45">
        <f t="shared" si="90"/>
        <v>0</v>
      </c>
      <c r="R228" s="45">
        <f t="shared" si="90"/>
        <v>0</v>
      </c>
      <c r="S228" s="45">
        <f t="shared" si="90"/>
        <v>0</v>
      </c>
      <c r="T228" s="45">
        <f t="shared" si="90"/>
        <v>0</v>
      </c>
      <c r="U228" s="45">
        <f t="shared" si="90"/>
        <v>0</v>
      </c>
      <c r="V228" s="45">
        <f t="shared" si="90"/>
        <v>0</v>
      </c>
    </row>
    <row r="229" spans="1:24">
      <c r="B229" s="4" t="str">
        <f t="shared" si="89"/>
        <v>[blank]</v>
      </c>
      <c r="D229" s="31"/>
      <c r="P229" s="45">
        <f t="shared" ref="P229:V229" si="91">(-P80*(1+P$208))*P$219</f>
        <v>0</v>
      </c>
      <c r="Q229" s="45">
        <f t="shared" si="91"/>
        <v>0</v>
      </c>
      <c r="R229" s="45">
        <f t="shared" si="91"/>
        <v>0</v>
      </c>
      <c r="S229" s="45">
        <f t="shared" si="91"/>
        <v>0</v>
      </c>
      <c r="T229" s="45">
        <f t="shared" si="91"/>
        <v>0</v>
      </c>
      <c r="U229" s="45">
        <f t="shared" si="91"/>
        <v>0</v>
      </c>
      <c r="V229" s="45">
        <f t="shared" si="91"/>
        <v>0</v>
      </c>
    </row>
    <row r="230" spans="1:24">
      <c r="B230" s="4" t="str">
        <f t="shared" si="89"/>
        <v>[blank]</v>
      </c>
      <c r="D230" s="31"/>
      <c r="P230" s="45">
        <f t="shared" ref="P230:V230" si="92">(-P81*(1+P$208))*P$219</f>
        <v>0</v>
      </c>
      <c r="Q230" s="45">
        <f t="shared" si="92"/>
        <v>0</v>
      </c>
      <c r="R230" s="45">
        <f t="shared" si="92"/>
        <v>0</v>
      </c>
      <c r="S230" s="45">
        <f t="shared" si="92"/>
        <v>0</v>
      </c>
      <c r="T230" s="45">
        <f t="shared" si="92"/>
        <v>0</v>
      </c>
      <c r="U230" s="45">
        <f t="shared" si="92"/>
        <v>0</v>
      </c>
      <c r="V230" s="45">
        <f t="shared" si="92"/>
        <v>0</v>
      </c>
    </row>
    <row r="231" spans="1:24">
      <c r="B231" s="4" t="str">
        <f t="shared" si="89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89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89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89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89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89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93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93">-P219*P210</f>
        <v>0</v>
      </c>
      <c r="Q238" s="37">
        <f t="shared" si="93"/>
        <v>0</v>
      </c>
      <c r="R238" s="37">
        <f t="shared" si="93"/>
        <v>0</v>
      </c>
      <c r="S238" s="37">
        <f t="shared" si="93"/>
        <v>0</v>
      </c>
      <c r="T238" s="37">
        <f t="shared" si="93"/>
        <v>0</v>
      </c>
      <c r="U238" s="37">
        <f t="shared" si="93"/>
        <v>0</v>
      </c>
      <c r="V238" s="37">
        <f t="shared" si="93"/>
        <v>0</v>
      </c>
      <c r="X238" s="37">
        <f t="shared" ref="X238" si="94">SUM(R238:V238)</f>
        <v>0</v>
      </c>
    </row>
    <row r="240" spans="1:24" s="1" customFormat="1">
      <c r="A240" s="2">
        <v>8</v>
      </c>
      <c r="B240" s="2" t="s">
        <v>75</v>
      </c>
    </row>
    <row r="242" spans="1:24">
      <c r="H242" s="190" t="s">
        <v>52</v>
      </c>
      <c r="I242" s="190"/>
      <c r="J242" s="190"/>
      <c r="K242" s="190"/>
      <c r="L242" s="190"/>
      <c r="M242" s="190" t="s">
        <v>53</v>
      </c>
      <c r="N242" s="190"/>
      <c r="O242" s="190"/>
      <c r="P242" s="190"/>
      <c r="Q242" s="190"/>
      <c r="R242" s="190" t="s">
        <v>54</v>
      </c>
      <c r="S242" s="190"/>
      <c r="T242" s="190"/>
      <c r="U242" s="190"/>
      <c r="V242" s="190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63</v>
      </c>
    </row>
    <row r="244" spans="1:24">
      <c r="D244" s="29" t="s">
        <v>55</v>
      </c>
      <c r="H244" s="16" t="s">
        <v>12</v>
      </c>
      <c r="I244" s="16" t="s">
        <v>12</v>
      </c>
      <c r="J244" s="16" t="s">
        <v>12</v>
      </c>
      <c r="K244" s="16" t="s">
        <v>12</v>
      </c>
      <c r="L244" s="16" t="s">
        <v>12</v>
      </c>
      <c r="M244" s="16" t="s">
        <v>12</v>
      </c>
      <c r="N244" s="16" t="s">
        <v>12</v>
      </c>
      <c r="O244" s="16" t="s">
        <v>12</v>
      </c>
      <c r="P244" s="16" t="s">
        <v>13</v>
      </c>
      <c r="Q244" s="16" t="s">
        <v>13</v>
      </c>
      <c r="R244" s="16" t="s">
        <v>13</v>
      </c>
      <c r="S244" s="16" t="s">
        <v>13</v>
      </c>
      <c r="T244" s="16" t="s">
        <v>13</v>
      </c>
      <c r="U244" s="16" t="s">
        <v>13</v>
      </c>
      <c r="V244" s="16" t="s">
        <v>13</v>
      </c>
      <c r="X244" s="34" t="s">
        <v>13</v>
      </c>
    </row>
    <row r="245" spans="1:24">
      <c r="B245" s="38" t="s">
        <v>96</v>
      </c>
      <c r="D245" s="31"/>
      <c r="X245" s="40"/>
    </row>
    <row r="246" spans="1:24">
      <c r="B246" s="47" t="s">
        <v>97</v>
      </c>
      <c r="D246" s="31" t="s">
        <v>60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95">SUM(R246:V246)</f>
        <v>0</v>
      </c>
    </row>
    <row r="247" spans="1:24">
      <c r="B247" s="47" t="s">
        <v>98</v>
      </c>
      <c r="D247" s="31" t="s">
        <v>60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95"/>
        <v>0</v>
      </c>
    </row>
    <row r="248" spans="1:24">
      <c r="B248" s="47" t="s">
        <v>99</v>
      </c>
      <c r="D248" s="31" t="s">
        <v>60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95"/>
        <v>0</v>
      </c>
    </row>
    <row r="249" spans="1:24">
      <c r="B249" s="47" t="s">
        <v>100</v>
      </c>
      <c r="D249" s="31" t="s">
        <v>60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95"/>
        <v>0</v>
      </c>
    </row>
    <row r="250" spans="1:24">
      <c r="B250" s="47" t="s">
        <v>101</v>
      </c>
      <c r="D250" s="31" t="s">
        <v>60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95"/>
        <v>0</v>
      </c>
    </row>
    <row r="252" spans="1:24" ht="12.75" thickBot="1">
      <c r="B252" s="5" t="s">
        <v>102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96">SUM(Q246:Q250)</f>
        <v>0</v>
      </c>
      <c r="R252" s="49">
        <f t="shared" si="96"/>
        <v>0</v>
      </c>
      <c r="S252" s="49">
        <f t="shared" si="96"/>
        <v>0</v>
      </c>
      <c r="T252" s="49">
        <f t="shared" si="96"/>
        <v>0</v>
      </c>
      <c r="U252" s="49">
        <f t="shared" si="96"/>
        <v>0</v>
      </c>
      <c r="V252" s="49">
        <f t="shared" si="96"/>
        <v>0</v>
      </c>
      <c r="X252" s="37">
        <f t="shared" si="95"/>
        <v>0</v>
      </c>
    </row>
    <row r="254" spans="1:24" s="1" customFormat="1">
      <c r="A254" s="2">
        <v>9</v>
      </c>
      <c r="B254" s="2" t="s">
        <v>103</v>
      </c>
    </row>
    <row r="256" spans="1:24">
      <c r="H256" s="190" t="s">
        <v>52</v>
      </c>
      <c r="I256" s="190"/>
      <c r="J256" s="190"/>
      <c r="K256" s="190"/>
      <c r="L256" s="190"/>
      <c r="M256" s="190" t="s">
        <v>53</v>
      </c>
      <c r="N256" s="190"/>
      <c r="O256" s="190"/>
      <c r="P256" s="190"/>
      <c r="Q256" s="190"/>
      <c r="R256" s="190" t="s">
        <v>54</v>
      </c>
      <c r="S256" s="190"/>
      <c r="T256" s="190"/>
      <c r="U256" s="190"/>
      <c r="V256" s="190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63</v>
      </c>
    </row>
    <row r="258" spans="1:24">
      <c r="D258" s="29" t="s">
        <v>55</v>
      </c>
      <c r="H258" s="16" t="s">
        <v>12</v>
      </c>
      <c r="I258" s="16" t="s">
        <v>12</v>
      </c>
      <c r="J258" s="16" t="s">
        <v>12</v>
      </c>
      <c r="K258" s="16" t="s">
        <v>12</v>
      </c>
      <c r="L258" s="16" t="s">
        <v>12</v>
      </c>
      <c r="M258" s="16" t="s">
        <v>12</v>
      </c>
      <c r="N258" s="16" t="s">
        <v>12</v>
      </c>
      <c r="O258" s="16" t="s">
        <v>12</v>
      </c>
      <c r="P258" s="16" t="s">
        <v>13</v>
      </c>
      <c r="Q258" s="16" t="s">
        <v>13</v>
      </c>
      <c r="R258" s="16" t="s">
        <v>13</v>
      </c>
      <c r="S258" s="16" t="s">
        <v>13</v>
      </c>
      <c r="T258" s="16" t="s">
        <v>13</v>
      </c>
      <c r="U258" s="16" t="s">
        <v>13</v>
      </c>
      <c r="V258" s="16" t="s">
        <v>13</v>
      </c>
      <c r="X258" s="34" t="s">
        <v>13</v>
      </c>
    </row>
    <row r="259" spans="1:24">
      <c r="B259" s="4" t="s">
        <v>104</v>
      </c>
      <c r="D259" s="31" t="s">
        <v>60</v>
      </c>
      <c r="H259" s="45">
        <f t="shared" ref="H259:V259" si="97">H210</f>
        <v>0</v>
      </c>
      <c r="I259" s="45">
        <f t="shared" si="97"/>
        <v>0</v>
      </c>
      <c r="J259" s="45">
        <f t="shared" si="97"/>
        <v>0</v>
      </c>
      <c r="K259" s="45">
        <f t="shared" si="97"/>
        <v>0</v>
      </c>
      <c r="L259" s="45">
        <f t="shared" si="97"/>
        <v>0</v>
      </c>
      <c r="M259" s="45">
        <f t="shared" si="97"/>
        <v>0</v>
      </c>
      <c r="N259" s="45">
        <f t="shared" si="97"/>
        <v>0</v>
      </c>
      <c r="O259" s="45">
        <f t="shared" si="97"/>
        <v>0</v>
      </c>
      <c r="P259" s="45">
        <f t="shared" si="97"/>
        <v>0</v>
      </c>
      <c r="Q259" s="45">
        <f t="shared" si="97"/>
        <v>318193.95702307287</v>
      </c>
      <c r="R259" s="45">
        <f t="shared" si="97"/>
        <v>432121.38942315587</v>
      </c>
      <c r="S259" s="45">
        <f t="shared" si="97"/>
        <v>436964.86110688088</v>
      </c>
      <c r="T259" s="45">
        <f t="shared" si="97"/>
        <v>443815.45718243805</v>
      </c>
      <c r="U259" s="45">
        <f t="shared" si="97"/>
        <v>451080.06115983339</v>
      </c>
      <c r="V259" s="45">
        <f t="shared" si="97"/>
        <v>458188.39309397794</v>
      </c>
      <c r="X259" s="40">
        <f t="shared" ref="X259:X261" si="98">SUM(R259:V259)</f>
        <v>2222170.1619662861</v>
      </c>
    </row>
    <row r="260" spans="1:24">
      <c r="B260" s="4" t="s">
        <v>74</v>
      </c>
      <c r="D260" s="31" t="s">
        <v>60</v>
      </c>
      <c r="H260" s="45">
        <f>H238</f>
        <v>0</v>
      </c>
      <c r="I260" s="45">
        <f t="shared" ref="I260:V260" si="99">I238</f>
        <v>0</v>
      </c>
      <c r="J260" s="45">
        <f t="shared" si="99"/>
        <v>0</v>
      </c>
      <c r="K260" s="45">
        <f t="shared" si="99"/>
        <v>0</v>
      </c>
      <c r="L260" s="45">
        <f t="shared" si="99"/>
        <v>0</v>
      </c>
      <c r="M260" s="45">
        <f t="shared" si="99"/>
        <v>0</v>
      </c>
      <c r="N260" s="45">
        <f t="shared" si="99"/>
        <v>0</v>
      </c>
      <c r="O260" s="45">
        <f t="shared" si="99"/>
        <v>0</v>
      </c>
      <c r="P260" s="45">
        <f t="shared" si="99"/>
        <v>0</v>
      </c>
      <c r="Q260" s="45">
        <f t="shared" si="99"/>
        <v>0</v>
      </c>
      <c r="R260" s="45">
        <f t="shared" si="99"/>
        <v>0</v>
      </c>
      <c r="S260" s="45">
        <f t="shared" si="99"/>
        <v>0</v>
      </c>
      <c r="T260" s="45">
        <f t="shared" si="99"/>
        <v>0</v>
      </c>
      <c r="U260" s="45">
        <f t="shared" si="99"/>
        <v>0</v>
      </c>
      <c r="V260" s="45">
        <f t="shared" si="99"/>
        <v>0</v>
      </c>
      <c r="X260" s="40">
        <f t="shared" si="98"/>
        <v>0</v>
      </c>
    </row>
    <row r="261" spans="1:24">
      <c r="B261" s="4" t="s">
        <v>75</v>
      </c>
      <c r="D261" s="31" t="s">
        <v>60</v>
      </c>
      <c r="H261" s="45">
        <f>H252</f>
        <v>0</v>
      </c>
      <c r="I261" s="45">
        <f t="shared" ref="I261:V261" si="100">I252</f>
        <v>0</v>
      </c>
      <c r="J261" s="45">
        <f t="shared" si="100"/>
        <v>0</v>
      </c>
      <c r="K261" s="45">
        <f t="shared" si="100"/>
        <v>0</v>
      </c>
      <c r="L261" s="45">
        <f t="shared" si="100"/>
        <v>0</v>
      </c>
      <c r="M261" s="45">
        <f t="shared" si="100"/>
        <v>0</v>
      </c>
      <c r="N261" s="45">
        <f t="shared" si="100"/>
        <v>0</v>
      </c>
      <c r="O261" s="45">
        <f t="shared" si="100"/>
        <v>0</v>
      </c>
      <c r="P261" s="45">
        <f t="shared" si="100"/>
        <v>0</v>
      </c>
      <c r="Q261" s="45">
        <f t="shared" si="100"/>
        <v>0</v>
      </c>
      <c r="R261" s="45">
        <f t="shared" si="100"/>
        <v>0</v>
      </c>
      <c r="S261" s="45">
        <f t="shared" si="100"/>
        <v>0</v>
      </c>
      <c r="T261" s="45">
        <f t="shared" si="100"/>
        <v>0</v>
      </c>
      <c r="U261" s="45">
        <f t="shared" si="100"/>
        <v>0</v>
      </c>
      <c r="V261" s="45">
        <f t="shared" si="100"/>
        <v>0</v>
      </c>
      <c r="X261" s="40">
        <f t="shared" si="98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103</v>
      </c>
      <c r="D263" s="31" t="s">
        <v>60</v>
      </c>
      <c r="H263" s="37">
        <f>SUM(H259:H261)</f>
        <v>0</v>
      </c>
      <c r="I263" s="37">
        <f t="shared" ref="I263:V263" si="101">SUM(I259:I261)</f>
        <v>0</v>
      </c>
      <c r="J263" s="37">
        <f t="shared" si="101"/>
        <v>0</v>
      </c>
      <c r="K263" s="37">
        <f t="shared" si="101"/>
        <v>0</v>
      </c>
      <c r="L263" s="37">
        <f t="shared" si="101"/>
        <v>0</v>
      </c>
      <c r="M263" s="37">
        <f t="shared" si="101"/>
        <v>0</v>
      </c>
      <c r="N263" s="37">
        <f t="shared" si="101"/>
        <v>0</v>
      </c>
      <c r="O263" s="37">
        <f t="shared" si="101"/>
        <v>0</v>
      </c>
      <c r="P263" s="37">
        <f t="shared" si="101"/>
        <v>0</v>
      </c>
      <c r="Q263" s="37">
        <f t="shared" si="101"/>
        <v>318193.95702307287</v>
      </c>
      <c r="R263" s="37">
        <f t="shared" si="101"/>
        <v>432121.38942315587</v>
      </c>
      <c r="S263" s="37">
        <f t="shared" si="101"/>
        <v>436964.86110688088</v>
      </c>
      <c r="T263" s="37">
        <f t="shared" si="101"/>
        <v>443815.45718243805</v>
      </c>
      <c r="U263" s="37">
        <f t="shared" si="101"/>
        <v>451080.06115983339</v>
      </c>
      <c r="V263" s="37">
        <f t="shared" si="101"/>
        <v>458188.39309397794</v>
      </c>
      <c r="X263" s="37">
        <f t="shared" ref="X263" si="102">SUM(R263:V263)</f>
        <v>2222170.1619662861</v>
      </c>
    </row>
    <row r="264" spans="1:24">
      <c r="D264" s="31"/>
    </row>
    <row r="266" spans="1:24" s="66" customFormat="1">
      <c r="A266" s="65">
        <v>10</v>
      </c>
      <c r="B266" s="65" t="s">
        <v>121</v>
      </c>
    </row>
    <row r="268" spans="1:24">
      <c r="B268" s="69" t="s">
        <v>120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327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103">IFERROR(SUMPRODUCT($Z$73:$Z$87,Q$73:Q$87)/SUM(Q$73:Q$87)*Q$89,0)</f>
        <v>0</v>
      </c>
      <c r="R276" s="57">
        <f t="shared" si="103"/>
        <v>0</v>
      </c>
      <c r="S276" s="57">
        <f t="shared" si="103"/>
        <v>0</v>
      </c>
      <c r="T276" s="57">
        <f t="shared" si="103"/>
        <v>0</v>
      </c>
      <c r="U276" s="57">
        <f t="shared" si="103"/>
        <v>0</v>
      </c>
      <c r="V276" s="62">
        <f t="shared" si="103"/>
        <v>0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104">IFERROR(SUMPRODUCT($AA$73:$AA$87,Q$73:Q$87)/SUM(Q$73:Q$87)*Q$89,0)</f>
        <v>0</v>
      </c>
      <c r="R277" s="57">
        <f t="shared" si="104"/>
        <v>0</v>
      </c>
      <c r="S277" s="57">
        <f t="shared" si="104"/>
        <v>0</v>
      </c>
      <c r="T277" s="57">
        <f t="shared" si="104"/>
        <v>0</v>
      </c>
      <c r="U277" s="57">
        <f t="shared" si="104"/>
        <v>0</v>
      </c>
      <c r="V277" s="62">
        <f t="shared" si="104"/>
        <v>0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105">IFERROR(SUMPRODUCT($AB$73:$AB$87,Q$73:Q$87)/SUM(Q$73:Q$87)*Q$89,0)</f>
        <v>0</v>
      </c>
      <c r="R278" s="57">
        <f t="shared" si="105"/>
        <v>0</v>
      </c>
      <c r="S278" s="57">
        <f t="shared" si="105"/>
        <v>0</v>
      </c>
      <c r="T278" s="57">
        <f t="shared" si="105"/>
        <v>0</v>
      </c>
      <c r="U278" s="57">
        <f t="shared" si="105"/>
        <v>0</v>
      </c>
      <c r="V278" s="62">
        <f t="shared" si="105"/>
        <v>0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106">IFERROR(SUMPRODUCT($AC$73:$AC$87,Q$73:Q$87)/SUM(Q$73:Q$87)*Q$89,0)</f>
        <v>296037.97274349735</v>
      </c>
      <c r="R279" s="57">
        <f t="shared" si="106"/>
        <v>403034.09279218095</v>
      </c>
      <c r="S279" s="57">
        <f t="shared" si="106"/>
        <v>406001.89919820975</v>
      </c>
      <c r="T279" s="57">
        <f t="shared" si="106"/>
        <v>411921.73369026947</v>
      </c>
      <c r="U279" s="57">
        <f t="shared" si="106"/>
        <v>417004.2723653033</v>
      </c>
      <c r="V279" s="62">
        <f t="shared" si="106"/>
        <v>422529.99112276814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107">IFERROR(SUMPRODUCT($AD$73:$AD$87,Q$73:Q$87)/SUM(Q$73:Q$87)*Q$89,0)</f>
        <v>0</v>
      </c>
      <c r="R280" s="57">
        <f t="shared" si="107"/>
        <v>0</v>
      </c>
      <c r="S280" s="57">
        <f t="shared" si="107"/>
        <v>0</v>
      </c>
      <c r="T280" s="57">
        <f t="shared" si="107"/>
        <v>0</v>
      </c>
      <c r="U280" s="57">
        <f t="shared" si="107"/>
        <v>0</v>
      </c>
      <c r="V280" s="62">
        <f t="shared" si="107"/>
        <v>0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108">IFERROR(SUMPRODUCT($AE$73:$AE$87,Q$73:Q$87)/SUM(Q$73:Q$87)*Q$89,0)</f>
        <v>0</v>
      </c>
      <c r="R281" s="57">
        <f t="shared" si="108"/>
        <v>0</v>
      </c>
      <c r="S281" s="57">
        <f t="shared" si="108"/>
        <v>0</v>
      </c>
      <c r="T281" s="57">
        <f t="shared" si="108"/>
        <v>0</v>
      </c>
      <c r="U281" s="57">
        <f t="shared" si="108"/>
        <v>0</v>
      </c>
      <c r="V281" s="62">
        <f t="shared" si="108"/>
        <v>0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109">IFERROR(SUMPRODUCT($AF$73:$AF$87,Q$73:Q$87)/SUM(Q$73:Q$87)*Q$89,0)</f>
        <v>0</v>
      </c>
      <c r="R282" s="57">
        <f t="shared" si="109"/>
        <v>0</v>
      </c>
      <c r="S282" s="57">
        <f t="shared" si="109"/>
        <v>0</v>
      </c>
      <c r="T282" s="57">
        <f t="shared" si="109"/>
        <v>0</v>
      </c>
      <c r="U282" s="57">
        <f t="shared" si="109"/>
        <v>0</v>
      </c>
      <c r="V282" s="62">
        <f t="shared" si="109"/>
        <v>0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110">IFERROR(SUMPRODUCT($AG$73:$AG$87,Q$73:Q$87)/SUM(Q$73:Q$87)*Q$89,0)</f>
        <v>0</v>
      </c>
      <c r="R283" s="57">
        <f t="shared" si="110"/>
        <v>0</v>
      </c>
      <c r="S283" s="57">
        <f t="shared" si="110"/>
        <v>0</v>
      </c>
      <c r="T283" s="57">
        <f t="shared" si="110"/>
        <v>0</v>
      </c>
      <c r="U283" s="57">
        <f t="shared" si="110"/>
        <v>0</v>
      </c>
      <c r="V283" s="62">
        <f t="shared" si="110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111">IFERROR(SUMPRODUCT($AH$73:$AH$87,Q$73:Q$87)/SUM(Q$73:Q$87)*Q$89,0)</f>
        <v>0</v>
      </c>
      <c r="R284" s="57">
        <f t="shared" si="111"/>
        <v>0</v>
      </c>
      <c r="S284" s="57">
        <f t="shared" si="111"/>
        <v>0</v>
      </c>
      <c r="T284" s="57">
        <f t="shared" si="111"/>
        <v>0</v>
      </c>
      <c r="U284" s="57">
        <f t="shared" si="111"/>
        <v>0</v>
      </c>
      <c r="V284" s="62">
        <f t="shared" si="111"/>
        <v>0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112">IFERROR(SUMPRODUCT($AI$73:$AI$87,Q$73:Q$87)/SUM(Q$73:Q$87)*Q$89,0)</f>
        <v>0</v>
      </c>
      <c r="R285" s="57">
        <f t="shared" si="112"/>
        <v>0</v>
      </c>
      <c r="S285" s="57">
        <f t="shared" si="112"/>
        <v>0</v>
      </c>
      <c r="T285" s="57">
        <f t="shared" si="112"/>
        <v>0</v>
      </c>
      <c r="U285" s="57">
        <f t="shared" si="112"/>
        <v>0</v>
      </c>
      <c r="V285" s="62">
        <f t="shared" si="112"/>
        <v>0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113">IFERROR(SUMPRODUCT($AJ$73:$AJ$87,Q$73:Q$87)/SUM(Q$73:Q$87)*Q$89,0)</f>
        <v>0</v>
      </c>
      <c r="R286" s="57">
        <f t="shared" si="113"/>
        <v>0</v>
      </c>
      <c r="S286" s="57">
        <f t="shared" si="113"/>
        <v>0</v>
      </c>
      <c r="T286" s="57">
        <f t="shared" si="113"/>
        <v>0</v>
      </c>
      <c r="U286" s="57">
        <f t="shared" si="113"/>
        <v>0</v>
      </c>
      <c r="V286" s="62">
        <f t="shared" si="11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114">SUM(Q276:Q286)</f>
        <v>296037.97274349735</v>
      </c>
      <c r="R288" s="37">
        <f t="shared" si="114"/>
        <v>403034.09279218095</v>
      </c>
      <c r="S288" s="37">
        <f t="shared" si="114"/>
        <v>406001.89919820975</v>
      </c>
      <c r="T288" s="37">
        <f t="shared" si="114"/>
        <v>411921.73369026947</v>
      </c>
      <c r="U288" s="37">
        <f t="shared" si="114"/>
        <v>417004.2723653033</v>
      </c>
      <c r="V288" s="64">
        <f t="shared" si="114"/>
        <v>422529.99112276814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276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115">P276*(1+P$208)</f>
        <v>0</v>
      </c>
      <c r="Q297" s="57">
        <f t="shared" si="115"/>
        <v>0</v>
      </c>
      <c r="R297" s="57">
        <f t="shared" si="115"/>
        <v>0</v>
      </c>
      <c r="S297" s="57">
        <f t="shared" si="115"/>
        <v>0</v>
      </c>
      <c r="T297" s="57">
        <f t="shared" si="115"/>
        <v>0</v>
      </c>
      <c r="U297" s="57">
        <f t="shared" si="115"/>
        <v>0</v>
      </c>
      <c r="V297" s="62">
        <f t="shared" si="115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115"/>
        <v>0</v>
      </c>
      <c r="Q298" s="57">
        <f t="shared" si="115"/>
        <v>0</v>
      </c>
      <c r="R298" s="57">
        <f t="shared" si="115"/>
        <v>0</v>
      </c>
      <c r="S298" s="57">
        <f t="shared" si="115"/>
        <v>0</v>
      </c>
      <c r="T298" s="57">
        <f t="shared" si="115"/>
        <v>0</v>
      </c>
      <c r="U298" s="57">
        <f t="shared" si="115"/>
        <v>0</v>
      </c>
      <c r="V298" s="62">
        <f t="shared" si="115"/>
        <v>0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115"/>
        <v>0</v>
      </c>
      <c r="Q299" s="57">
        <f t="shared" si="115"/>
        <v>0</v>
      </c>
      <c r="R299" s="57">
        <f t="shared" si="115"/>
        <v>0</v>
      </c>
      <c r="S299" s="57">
        <f t="shared" si="115"/>
        <v>0</v>
      </c>
      <c r="T299" s="57">
        <f t="shared" si="115"/>
        <v>0</v>
      </c>
      <c r="U299" s="57">
        <f t="shared" si="115"/>
        <v>0</v>
      </c>
      <c r="V299" s="62">
        <f t="shared" si="115"/>
        <v>0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115"/>
        <v>0</v>
      </c>
      <c r="Q300" s="57">
        <f t="shared" si="115"/>
        <v>318193.95702307287</v>
      </c>
      <c r="R300" s="57">
        <f t="shared" si="115"/>
        <v>432121.38942315587</v>
      </c>
      <c r="S300" s="57">
        <f t="shared" si="115"/>
        <v>436964.86110688088</v>
      </c>
      <c r="T300" s="57">
        <f t="shared" si="115"/>
        <v>443815.45718243805</v>
      </c>
      <c r="U300" s="57">
        <f t="shared" si="115"/>
        <v>451080.06115983339</v>
      </c>
      <c r="V300" s="62">
        <f t="shared" si="115"/>
        <v>458188.39309397794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115"/>
        <v>0</v>
      </c>
      <c r="Q301" s="57">
        <f t="shared" si="115"/>
        <v>0</v>
      </c>
      <c r="R301" s="57">
        <f t="shared" si="115"/>
        <v>0</v>
      </c>
      <c r="S301" s="57">
        <f t="shared" si="115"/>
        <v>0</v>
      </c>
      <c r="T301" s="57">
        <f t="shared" si="115"/>
        <v>0</v>
      </c>
      <c r="U301" s="57">
        <f t="shared" si="115"/>
        <v>0</v>
      </c>
      <c r="V301" s="62">
        <f t="shared" si="115"/>
        <v>0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115"/>
        <v>0</v>
      </c>
      <c r="Q302" s="57">
        <f t="shared" si="115"/>
        <v>0</v>
      </c>
      <c r="R302" s="57">
        <f t="shared" si="115"/>
        <v>0</v>
      </c>
      <c r="S302" s="57">
        <f t="shared" si="115"/>
        <v>0</v>
      </c>
      <c r="T302" s="57">
        <f t="shared" si="115"/>
        <v>0</v>
      </c>
      <c r="U302" s="57">
        <f t="shared" si="115"/>
        <v>0</v>
      </c>
      <c r="V302" s="62">
        <f t="shared" si="115"/>
        <v>0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115"/>
        <v>0</v>
      </c>
      <c r="Q303" s="57">
        <f t="shared" si="115"/>
        <v>0</v>
      </c>
      <c r="R303" s="57">
        <f t="shared" si="115"/>
        <v>0</v>
      </c>
      <c r="S303" s="57">
        <f t="shared" si="115"/>
        <v>0</v>
      </c>
      <c r="T303" s="57">
        <f t="shared" si="115"/>
        <v>0</v>
      </c>
      <c r="U303" s="57">
        <f t="shared" si="115"/>
        <v>0</v>
      </c>
      <c r="V303" s="62">
        <f t="shared" si="115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115"/>
        <v>0</v>
      </c>
      <c r="Q304" s="57">
        <f t="shared" si="115"/>
        <v>0</v>
      </c>
      <c r="R304" s="57">
        <f t="shared" si="115"/>
        <v>0</v>
      </c>
      <c r="S304" s="57">
        <f t="shared" si="115"/>
        <v>0</v>
      </c>
      <c r="T304" s="57">
        <f t="shared" si="115"/>
        <v>0</v>
      </c>
      <c r="U304" s="57">
        <f t="shared" si="115"/>
        <v>0</v>
      </c>
      <c r="V304" s="62">
        <f t="shared" si="115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115"/>
        <v>0</v>
      </c>
      <c r="Q305" s="57">
        <f t="shared" si="115"/>
        <v>0</v>
      </c>
      <c r="R305" s="57">
        <f t="shared" si="115"/>
        <v>0</v>
      </c>
      <c r="S305" s="57">
        <f t="shared" si="115"/>
        <v>0</v>
      </c>
      <c r="T305" s="57">
        <f t="shared" si="115"/>
        <v>0</v>
      </c>
      <c r="U305" s="57">
        <f t="shared" si="115"/>
        <v>0</v>
      </c>
      <c r="V305" s="62">
        <f t="shared" si="115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115"/>
        <v>0</v>
      </c>
      <c r="Q306" s="57">
        <f t="shared" si="115"/>
        <v>0</v>
      </c>
      <c r="R306" s="57">
        <f t="shared" si="115"/>
        <v>0</v>
      </c>
      <c r="S306" s="57">
        <f t="shared" si="115"/>
        <v>0</v>
      </c>
      <c r="T306" s="57">
        <f t="shared" si="115"/>
        <v>0</v>
      </c>
      <c r="U306" s="57">
        <f t="shared" si="115"/>
        <v>0</v>
      </c>
      <c r="V306" s="62">
        <f t="shared" si="115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115"/>
        <v>0</v>
      </c>
      <c r="Q307" s="57">
        <f t="shared" si="115"/>
        <v>0</v>
      </c>
      <c r="R307" s="57">
        <f t="shared" si="115"/>
        <v>0</v>
      </c>
      <c r="S307" s="57">
        <f t="shared" si="115"/>
        <v>0</v>
      </c>
      <c r="T307" s="57">
        <f t="shared" si="115"/>
        <v>0</v>
      </c>
      <c r="U307" s="57">
        <f t="shared" si="115"/>
        <v>0</v>
      </c>
      <c r="V307" s="62">
        <f t="shared" si="11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116">SUM(Q297:Q307)</f>
        <v>318193.95702307287</v>
      </c>
      <c r="R309" s="37">
        <f t="shared" si="116"/>
        <v>432121.38942315587</v>
      </c>
      <c r="S309" s="37">
        <f t="shared" si="116"/>
        <v>436964.86110688088</v>
      </c>
      <c r="T309" s="37">
        <f t="shared" si="116"/>
        <v>443815.45718243805</v>
      </c>
      <c r="U309" s="37">
        <f t="shared" si="116"/>
        <v>451080.06115983339</v>
      </c>
      <c r="V309" s="64">
        <f t="shared" si="116"/>
        <v>458188.39309397794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277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117">P297*(1-P$219)</f>
        <v>0</v>
      </c>
      <c r="Q318" s="57">
        <f t="shared" si="117"/>
        <v>0</v>
      </c>
      <c r="R318" s="57">
        <f t="shared" si="117"/>
        <v>0</v>
      </c>
      <c r="S318" s="57">
        <f t="shared" si="117"/>
        <v>0</v>
      </c>
      <c r="T318" s="57">
        <f t="shared" si="117"/>
        <v>0</v>
      </c>
      <c r="U318" s="57">
        <f t="shared" si="117"/>
        <v>0</v>
      </c>
      <c r="V318" s="62">
        <f t="shared" si="117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117"/>
        <v>0</v>
      </c>
      <c r="Q319" s="57">
        <f t="shared" si="117"/>
        <v>0</v>
      </c>
      <c r="R319" s="57">
        <f t="shared" si="117"/>
        <v>0</v>
      </c>
      <c r="S319" s="57">
        <f t="shared" si="117"/>
        <v>0</v>
      </c>
      <c r="T319" s="57">
        <f t="shared" si="117"/>
        <v>0</v>
      </c>
      <c r="U319" s="57">
        <f t="shared" si="117"/>
        <v>0</v>
      </c>
      <c r="V319" s="62">
        <f t="shared" si="117"/>
        <v>0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117"/>
        <v>0</v>
      </c>
      <c r="Q320" s="57">
        <f t="shared" si="117"/>
        <v>0</v>
      </c>
      <c r="R320" s="57">
        <f t="shared" si="117"/>
        <v>0</v>
      </c>
      <c r="S320" s="57">
        <f t="shared" si="117"/>
        <v>0</v>
      </c>
      <c r="T320" s="57">
        <f t="shared" si="117"/>
        <v>0</v>
      </c>
      <c r="U320" s="57">
        <f t="shared" si="117"/>
        <v>0</v>
      </c>
      <c r="V320" s="62">
        <f t="shared" si="117"/>
        <v>0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117"/>
        <v>0</v>
      </c>
      <c r="Q321" s="57">
        <f t="shared" si="117"/>
        <v>318193.95702307287</v>
      </c>
      <c r="R321" s="57">
        <f t="shared" si="117"/>
        <v>432121.38942315587</v>
      </c>
      <c r="S321" s="57">
        <f t="shared" si="117"/>
        <v>436964.86110688088</v>
      </c>
      <c r="T321" s="57">
        <f t="shared" si="117"/>
        <v>443815.45718243805</v>
      </c>
      <c r="U321" s="57">
        <f t="shared" si="117"/>
        <v>451080.06115983339</v>
      </c>
      <c r="V321" s="62">
        <f t="shared" si="117"/>
        <v>458188.39309397794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117"/>
        <v>0</v>
      </c>
      <c r="Q322" s="57">
        <f t="shared" si="117"/>
        <v>0</v>
      </c>
      <c r="R322" s="57">
        <f t="shared" si="117"/>
        <v>0</v>
      </c>
      <c r="S322" s="57">
        <f t="shared" si="117"/>
        <v>0</v>
      </c>
      <c r="T322" s="57">
        <f t="shared" si="117"/>
        <v>0</v>
      </c>
      <c r="U322" s="57">
        <f t="shared" si="117"/>
        <v>0</v>
      </c>
      <c r="V322" s="62">
        <f t="shared" si="117"/>
        <v>0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117"/>
        <v>0</v>
      </c>
      <c r="Q323" s="57">
        <f t="shared" si="117"/>
        <v>0</v>
      </c>
      <c r="R323" s="57">
        <f t="shared" si="117"/>
        <v>0</v>
      </c>
      <c r="S323" s="57">
        <f t="shared" si="117"/>
        <v>0</v>
      </c>
      <c r="T323" s="57">
        <f t="shared" si="117"/>
        <v>0</v>
      </c>
      <c r="U323" s="57">
        <f t="shared" si="117"/>
        <v>0</v>
      </c>
      <c r="V323" s="62">
        <f t="shared" si="117"/>
        <v>0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117"/>
        <v>0</v>
      </c>
      <c r="Q324" s="57">
        <f t="shared" si="117"/>
        <v>0</v>
      </c>
      <c r="R324" s="57">
        <f t="shared" si="117"/>
        <v>0</v>
      </c>
      <c r="S324" s="57">
        <f t="shared" si="117"/>
        <v>0</v>
      </c>
      <c r="T324" s="57">
        <f t="shared" si="117"/>
        <v>0</v>
      </c>
      <c r="U324" s="57">
        <f t="shared" si="117"/>
        <v>0</v>
      </c>
      <c r="V324" s="62">
        <f t="shared" si="117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117"/>
        <v>0</v>
      </c>
      <c r="Q325" s="57">
        <f t="shared" si="117"/>
        <v>0</v>
      </c>
      <c r="R325" s="57">
        <f t="shared" si="117"/>
        <v>0</v>
      </c>
      <c r="S325" s="57">
        <f t="shared" si="117"/>
        <v>0</v>
      </c>
      <c r="T325" s="57">
        <f t="shared" si="117"/>
        <v>0</v>
      </c>
      <c r="U325" s="57">
        <f t="shared" si="117"/>
        <v>0</v>
      </c>
      <c r="V325" s="62">
        <f t="shared" si="117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117"/>
        <v>0</v>
      </c>
      <c r="Q326" s="57">
        <f t="shared" si="117"/>
        <v>0</v>
      </c>
      <c r="R326" s="57">
        <f t="shared" si="117"/>
        <v>0</v>
      </c>
      <c r="S326" s="57">
        <f t="shared" si="117"/>
        <v>0</v>
      </c>
      <c r="T326" s="57">
        <f t="shared" si="117"/>
        <v>0</v>
      </c>
      <c r="U326" s="57">
        <f t="shared" si="117"/>
        <v>0</v>
      </c>
      <c r="V326" s="62">
        <f t="shared" si="117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117"/>
        <v>0</v>
      </c>
      <c r="Q327" s="57">
        <f t="shared" si="117"/>
        <v>0</v>
      </c>
      <c r="R327" s="57">
        <f t="shared" si="117"/>
        <v>0</v>
      </c>
      <c r="S327" s="57">
        <f t="shared" si="117"/>
        <v>0</v>
      </c>
      <c r="T327" s="57">
        <f t="shared" si="117"/>
        <v>0</v>
      </c>
      <c r="U327" s="57">
        <f t="shared" si="117"/>
        <v>0</v>
      </c>
      <c r="V327" s="62">
        <f t="shared" si="117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117"/>
        <v>0</v>
      </c>
      <c r="Q328" s="57">
        <f t="shared" si="117"/>
        <v>0</v>
      </c>
      <c r="R328" s="57">
        <f t="shared" si="117"/>
        <v>0</v>
      </c>
      <c r="S328" s="57">
        <f t="shared" si="117"/>
        <v>0</v>
      </c>
      <c r="T328" s="57">
        <f t="shared" si="117"/>
        <v>0</v>
      </c>
      <c r="U328" s="57">
        <f t="shared" si="117"/>
        <v>0</v>
      </c>
      <c r="V328" s="62">
        <f t="shared" si="11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118">SUM(Q318:Q328)</f>
        <v>318193.95702307287</v>
      </c>
      <c r="R330" s="37">
        <f t="shared" si="118"/>
        <v>432121.38942315587</v>
      </c>
      <c r="S330" s="37">
        <f t="shared" si="118"/>
        <v>436964.86110688088</v>
      </c>
      <c r="T330" s="37">
        <f t="shared" si="118"/>
        <v>443815.45718243805</v>
      </c>
      <c r="U330" s="37">
        <f t="shared" si="118"/>
        <v>451080.06115983339</v>
      </c>
      <c r="V330" s="64">
        <f t="shared" si="118"/>
        <v>458188.39309397794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278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119">Q297*Q$219</f>
        <v>0</v>
      </c>
      <c r="R339" s="57">
        <f t="shared" si="119"/>
        <v>0</v>
      </c>
      <c r="S339" s="57">
        <f t="shared" si="119"/>
        <v>0</v>
      </c>
      <c r="T339" s="57">
        <f t="shared" si="119"/>
        <v>0</v>
      </c>
      <c r="U339" s="57">
        <f t="shared" si="119"/>
        <v>0</v>
      </c>
      <c r="V339" s="62">
        <f t="shared" si="119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120">P298*P$219</f>
        <v>0</v>
      </c>
      <c r="Q340" s="57">
        <f t="shared" si="119"/>
        <v>0</v>
      </c>
      <c r="R340" s="57">
        <f t="shared" si="119"/>
        <v>0</v>
      </c>
      <c r="S340" s="57">
        <f t="shared" si="119"/>
        <v>0</v>
      </c>
      <c r="T340" s="57">
        <f t="shared" si="119"/>
        <v>0</v>
      </c>
      <c r="U340" s="57">
        <f t="shared" si="119"/>
        <v>0</v>
      </c>
      <c r="V340" s="62">
        <f t="shared" si="119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120"/>
        <v>0</v>
      </c>
      <c r="Q341" s="57">
        <f t="shared" si="119"/>
        <v>0</v>
      </c>
      <c r="R341" s="57">
        <f t="shared" si="119"/>
        <v>0</v>
      </c>
      <c r="S341" s="57">
        <f t="shared" si="119"/>
        <v>0</v>
      </c>
      <c r="T341" s="57">
        <f t="shared" si="119"/>
        <v>0</v>
      </c>
      <c r="U341" s="57">
        <f t="shared" si="119"/>
        <v>0</v>
      </c>
      <c r="V341" s="62">
        <f t="shared" si="119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120"/>
        <v>0</v>
      </c>
      <c r="Q342" s="57">
        <f t="shared" si="119"/>
        <v>0</v>
      </c>
      <c r="R342" s="57">
        <f t="shared" si="119"/>
        <v>0</v>
      </c>
      <c r="S342" s="57">
        <f t="shared" si="119"/>
        <v>0</v>
      </c>
      <c r="T342" s="57">
        <f t="shared" si="119"/>
        <v>0</v>
      </c>
      <c r="U342" s="57">
        <f t="shared" si="119"/>
        <v>0</v>
      </c>
      <c r="V342" s="62">
        <f t="shared" si="119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120"/>
        <v>0</v>
      </c>
      <c r="Q343" s="57">
        <f t="shared" si="119"/>
        <v>0</v>
      </c>
      <c r="R343" s="57">
        <f t="shared" si="119"/>
        <v>0</v>
      </c>
      <c r="S343" s="57">
        <f t="shared" si="119"/>
        <v>0</v>
      </c>
      <c r="T343" s="57">
        <f t="shared" si="119"/>
        <v>0</v>
      </c>
      <c r="U343" s="57">
        <f t="shared" si="119"/>
        <v>0</v>
      </c>
      <c r="V343" s="62">
        <f t="shared" si="119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120"/>
        <v>0</v>
      </c>
      <c r="Q344" s="57">
        <f t="shared" si="119"/>
        <v>0</v>
      </c>
      <c r="R344" s="57">
        <f t="shared" si="119"/>
        <v>0</v>
      </c>
      <c r="S344" s="57">
        <f t="shared" si="119"/>
        <v>0</v>
      </c>
      <c r="T344" s="57">
        <f t="shared" si="119"/>
        <v>0</v>
      </c>
      <c r="U344" s="57">
        <f t="shared" si="119"/>
        <v>0</v>
      </c>
      <c r="V344" s="62">
        <f t="shared" si="119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120"/>
        <v>0</v>
      </c>
      <c r="Q345" s="57">
        <f t="shared" si="119"/>
        <v>0</v>
      </c>
      <c r="R345" s="57">
        <f t="shared" si="119"/>
        <v>0</v>
      </c>
      <c r="S345" s="57">
        <f t="shared" si="119"/>
        <v>0</v>
      </c>
      <c r="T345" s="57">
        <f t="shared" si="119"/>
        <v>0</v>
      </c>
      <c r="U345" s="57">
        <f t="shared" si="119"/>
        <v>0</v>
      </c>
      <c r="V345" s="62">
        <f t="shared" si="119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120"/>
        <v>0</v>
      </c>
      <c r="Q346" s="57">
        <f t="shared" si="119"/>
        <v>0</v>
      </c>
      <c r="R346" s="57">
        <f t="shared" si="119"/>
        <v>0</v>
      </c>
      <c r="S346" s="57">
        <f t="shared" si="119"/>
        <v>0</v>
      </c>
      <c r="T346" s="57">
        <f t="shared" si="119"/>
        <v>0</v>
      </c>
      <c r="U346" s="57">
        <f t="shared" si="119"/>
        <v>0</v>
      </c>
      <c r="V346" s="62">
        <f t="shared" si="119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120"/>
        <v>0</v>
      </c>
      <c r="Q347" s="57">
        <f t="shared" si="119"/>
        <v>0</v>
      </c>
      <c r="R347" s="57">
        <f t="shared" si="119"/>
        <v>0</v>
      </c>
      <c r="S347" s="57">
        <f t="shared" si="119"/>
        <v>0</v>
      </c>
      <c r="T347" s="57">
        <f t="shared" si="119"/>
        <v>0</v>
      </c>
      <c r="U347" s="57">
        <f t="shared" si="119"/>
        <v>0</v>
      </c>
      <c r="V347" s="62">
        <f t="shared" si="119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120"/>
        <v>0</v>
      </c>
      <c r="Q348" s="57">
        <f t="shared" si="119"/>
        <v>0</v>
      </c>
      <c r="R348" s="57">
        <f t="shared" si="119"/>
        <v>0</v>
      </c>
      <c r="S348" s="57">
        <f t="shared" si="119"/>
        <v>0</v>
      </c>
      <c r="T348" s="57">
        <f t="shared" si="119"/>
        <v>0</v>
      </c>
      <c r="U348" s="57">
        <f t="shared" si="119"/>
        <v>0</v>
      </c>
      <c r="V348" s="62">
        <f t="shared" si="119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120"/>
        <v>0</v>
      </c>
      <c r="Q349" s="57">
        <f t="shared" si="119"/>
        <v>0</v>
      </c>
      <c r="R349" s="57">
        <f t="shared" si="119"/>
        <v>0</v>
      </c>
      <c r="S349" s="57">
        <f t="shared" si="119"/>
        <v>0</v>
      </c>
      <c r="T349" s="57">
        <f t="shared" si="119"/>
        <v>0</v>
      </c>
      <c r="U349" s="57">
        <f t="shared" si="119"/>
        <v>0</v>
      </c>
      <c r="V349" s="62">
        <f t="shared" si="11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121">SUM(Q339:Q349)</f>
        <v>0</v>
      </c>
      <c r="R351" s="37">
        <f t="shared" si="121"/>
        <v>0</v>
      </c>
      <c r="S351" s="37">
        <f t="shared" si="121"/>
        <v>0</v>
      </c>
      <c r="T351" s="37">
        <f t="shared" si="121"/>
        <v>0</v>
      </c>
      <c r="U351" s="37">
        <f t="shared" si="121"/>
        <v>0</v>
      </c>
      <c r="V351" s="64">
        <f t="shared" si="12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276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122">IFERROR(SUMPRODUCT($AM$73:$AM$87,Q$73:Q$87)/SUM(Q$73:Q$87)*Q$89,0)</f>
        <v>0</v>
      </c>
      <c r="R362" s="57">
        <f t="shared" si="122"/>
        <v>0</v>
      </c>
      <c r="S362" s="57">
        <f t="shared" si="122"/>
        <v>0</v>
      </c>
      <c r="T362" s="57">
        <f t="shared" si="122"/>
        <v>0</v>
      </c>
      <c r="U362" s="57">
        <f t="shared" si="122"/>
        <v>0</v>
      </c>
      <c r="V362" s="62">
        <f t="shared" si="122"/>
        <v>0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123">IFERROR(SUMPRODUCT($AN$73:$AN$87,Q$73:Q$87)/SUM(Q$73:Q$87)*Q$89,0)</f>
        <v>0</v>
      </c>
      <c r="R363" s="57">
        <f t="shared" si="123"/>
        <v>0</v>
      </c>
      <c r="S363" s="57">
        <f t="shared" si="123"/>
        <v>0</v>
      </c>
      <c r="T363" s="57">
        <f t="shared" si="123"/>
        <v>0</v>
      </c>
      <c r="U363" s="57">
        <f t="shared" si="123"/>
        <v>0</v>
      </c>
      <c r="V363" s="62">
        <f t="shared" si="123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124">IFERROR(SUMPRODUCT($AO$73:$AO$87,Q$73:Q$87)/SUM(Q$73:Q$87)*Q$89,0)</f>
        <v>0</v>
      </c>
      <c r="R364" s="57">
        <f t="shared" si="124"/>
        <v>0</v>
      </c>
      <c r="S364" s="57">
        <f t="shared" si="124"/>
        <v>0</v>
      </c>
      <c r="T364" s="57">
        <f t="shared" si="124"/>
        <v>0</v>
      </c>
      <c r="U364" s="57">
        <f t="shared" si="124"/>
        <v>0</v>
      </c>
      <c r="V364" s="62">
        <f t="shared" si="124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125">IFERROR(SUMPRODUCT($AP$73:$AP$87,Q$73:Q$87)/SUM(Q$73:Q$87)*Q$89,0)</f>
        <v>0</v>
      </c>
      <c r="R365" s="57">
        <f t="shared" si="125"/>
        <v>0</v>
      </c>
      <c r="S365" s="57">
        <f t="shared" si="125"/>
        <v>0</v>
      </c>
      <c r="T365" s="57">
        <f t="shared" si="125"/>
        <v>0</v>
      </c>
      <c r="U365" s="57">
        <f t="shared" si="125"/>
        <v>0</v>
      </c>
      <c r="V365" s="62">
        <f t="shared" si="125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126">IFERROR(SUMPRODUCT($AQ$73:$AQ$87,Q$73:Q$87)/SUM(Q$73:Q$87)*Q$89,0)</f>
        <v>0</v>
      </c>
      <c r="R366" s="57">
        <f t="shared" si="126"/>
        <v>0</v>
      </c>
      <c r="S366" s="57">
        <f t="shared" si="126"/>
        <v>0</v>
      </c>
      <c r="T366" s="57">
        <f t="shared" si="126"/>
        <v>0</v>
      </c>
      <c r="U366" s="57">
        <f t="shared" si="126"/>
        <v>0</v>
      </c>
      <c r="V366" s="62">
        <f t="shared" si="126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127">IFERROR(SUMPRODUCT($AR$73:$AR$87,Q$73:Q$87)/SUM(Q$73:Q$87)*Q$89,0)</f>
        <v>0</v>
      </c>
      <c r="R367" s="57">
        <f t="shared" si="127"/>
        <v>0</v>
      </c>
      <c r="S367" s="57">
        <f t="shared" si="127"/>
        <v>0</v>
      </c>
      <c r="T367" s="57">
        <f t="shared" si="127"/>
        <v>0</v>
      </c>
      <c r="U367" s="57">
        <f t="shared" si="127"/>
        <v>0</v>
      </c>
      <c r="V367" s="62">
        <f t="shared" si="127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128">IFERROR(SUMPRODUCT($AS$73:$AS$87,Q$73:Q$87)/SUM(Q$73:Q$87)*Q$89,0)</f>
        <v>0</v>
      </c>
      <c r="R368" s="57">
        <f t="shared" si="128"/>
        <v>0</v>
      </c>
      <c r="S368" s="57">
        <f t="shared" si="128"/>
        <v>0</v>
      </c>
      <c r="T368" s="57">
        <f t="shared" si="128"/>
        <v>0</v>
      </c>
      <c r="U368" s="57">
        <f t="shared" si="128"/>
        <v>0</v>
      </c>
      <c r="V368" s="62">
        <f t="shared" si="128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129">IFERROR(SUMPRODUCT($AT$73:$AT$87,Q$73:Q$87)/SUM(Q$73:Q$87)*Q$89,0)</f>
        <v>0</v>
      </c>
      <c r="R369" s="57">
        <f t="shared" si="129"/>
        <v>0</v>
      </c>
      <c r="S369" s="57">
        <f t="shared" si="129"/>
        <v>0</v>
      </c>
      <c r="T369" s="57">
        <f t="shared" si="129"/>
        <v>0</v>
      </c>
      <c r="U369" s="57">
        <f t="shared" si="129"/>
        <v>0</v>
      </c>
      <c r="V369" s="62">
        <f t="shared" si="129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130">IFERROR(SUMPRODUCT($AU$73:$AU$87,Q$73:Q$87)/SUM(Q$73:Q$87)*Q$89,0)</f>
        <v>296037.97274349735</v>
      </c>
      <c r="R370" s="57">
        <f t="shared" si="130"/>
        <v>403034.09279218095</v>
      </c>
      <c r="S370" s="57">
        <f t="shared" si="130"/>
        <v>406001.89919820975</v>
      </c>
      <c r="T370" s="57">
        <f t="shared" si="130"/>
        <v>411921.73369026947</v>
      </c>
      <c r="U370" s="57">
        <f t="shared" si="130"/>
        <v>417004.2723653033</v>
      </c>
      <c r="V370" s="62">
        <f t="shared" si="130"/>
        <v>422529.99112276814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131">IFERROR(SUMPRODUCT($AV$73:$AV$87,Q$73:Q$87)/SUM(Q$73:Q$87)*Q$89,0)</f>
        <v>0</v>
      </c>
      <c r="R371" s="57">
        <f t="shared" si="131"/>
        <v>0</v>
      </c>
      <c r="S371" s="57">
        <f t="shared" si="131"/>
        <v>0</v>
      </c>
      <c r="T371" s="57">
        <f t="shared" si="131"/>
        <v>0</v>
      </c>
      <c r="U371" s="57">
        <f t="shared" si="131"/>
        <v>0</v>
      </c>
      <c r="V371" s="62">
        <f t="shared" si="131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132">IFERROR(SUMPRODUCT($AW$73:$AW$87,Q$73:Q$87)/SUM(Q$73:Q$87)*Q$89,0)</f>
        <v>0</v>
      </c>
      <c r="R372" s="57">
        <f t="shared" si="132"/>
        <v>0</v>
      </c>
      <c r="S372" s="57">
        <f t="shared" si="132"/>
        <v>0</v>
      </c>
      <c r="T372" s="57">
        <f t="shared" si="132"/>
        <v>0</v>
      </c>
      <c r="U372" s="57">
        <f t="shared" si="132"/>
        <v>0</v>
      </c>
      <c r="V372" s="62">
        <f t="shared" si="132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133">Q238</f>
        <v>0</v>
      </c>
      <c r="R373" s="57">
        <f t="shared" si="133"/>
        <v>0</v>
      </c>
      <c r="S373" s="57">
        <f t="shared" si="133"/>
        <v>0</v>
      </c>
      <c r="T373" s="57">
        <f t="shared" si="133"/>
        <v>0</v>
      </c>
      <c r="U373" s="57">
        <f t="shared" si="133"/>
        <v>0</v>
      </c>
      <c r="V373" s="62">
        <f t="shared" si="133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134">Q252</f>
        <v>0</v>
      </c>
      <c r="R374" s="57">
        <f t="shared" si="134"/>
        <v>0</v>
      </c>
      <c r="S374" s="57">
        <f t="shared" si="134"/>
        <v>0</v>
      </c>
      <c r="T374" s="57">
        <f t="shared" si="134"/>
        <v>0</v>
      </c>
      <c r="U374" s="57">
        <f t="shared" si="134"/>
        <v>0</v>
      </c>
      <c r="V374" s="62">
        <f t="shared" si="134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>SUM(Q362:Q372)*'General assumptions'!T47</f>
        <v>22155.984279575507</v>
      </c>
      <c r="R375" s="57">
        <f>SUM(R362:R372)*'General assumptions'!U47</f>
        <v>29087.296630974939</v>
      </c>
      <c r="S375" s="57">
        <f>SUM(S362:S372)*'General assumptions'!V47</f>
        <v>30962.961908671154</v>
      </c>
      <c r="T375" s="57">
        <f>SUM(T362:T372)*'General assumptions'!W47</f>
        <v>31893.723492168614</v>
      </c>
      <c r="U375" s="57">
        <f>SUM(U362:U372)*'General assumptions'!X47</f>
        <v>34075.78879453009</v>
      </c>
      <c r="V375" s="62">
        <f>SUM(V362:V372)*'General assumptions'!Y47</f>
        <v>35658.40197120978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35">SUM(P362:P375)</f>
        <v>0</v>
      </c>
      <c r="Q377" s="37">
        <f t="shared" si="135"/>
        <v>318193.95702307287</v>
      </c>
      <c r="R377" s="37">
        <f t="shared" si="135"/>
        <v>432121.38942315587</v>
      </c>
      <c r="S377" s="37">
        <f t="shared" si="135"/>
        <v>436964.86110688088</v>
      </c>
      <c r="T377" s="37">
        <f t="shared" si="135"/>
        <v>443815.45718243805</v>
      </c>
      <c r="U377" s="37">
        <f t="shared" si="135"/>
        <v>451080.06115983339</v>
      </c>
      <c r="V377" s="64">
        <f t="shared" si="135"/>
        <v>458188.39309397794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276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136">IFERROR(SUMPRODUCT($BB$73:$BB$87,Q$73:Q$87)/SUM(Q$73:Q$87)*Q$89*(1+Q$208),0)</f>
        <v>0</v>
      </c>
      <c r="R388" s="57">
        <f t="shared" si="136"/>
        <v>0</v>
      </c>
      <c r="S388" s="57">
        <f t="shared" si="136"/>
        <v>0</v>
      </c>
      <c r="T388" s="57">
        <f t="shared" si="136"/>
        <v>0</v>
      </c>
      <c r="U388" s="57">
        <f t="shared" si="136"/>
        <v>0</v>
      </c>
      <c r="V388" s="62">
        <f t="shared" si="136"/>
        <v>0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137">IFERROR(SUMPRODUCT($BC$73:$BC$87,Q$73:Q$87)/SUM(Q$73:Q$87)*Q$89*(1+Q$208),0)</f>
        <v>0</v>
      </c>
      <c r="R389" s="57">
        <f t="shared" si="137"/>
        <v>0</v>
      </c>
      <c r="S389" s="57">
        <f t="shared" si="137"/>
        <v>0</v>
      </c>
      <c r="T389" s="57">
        <f t="shared" si="137"/>
        <v>0</v>
      </c>
      <c r="U389" s="57">
        <f t="shared" si="137"/>
        <v>0</v>
      </c>
      <c r="V389" s="62">
        <f t="shared" si="137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138">IFERROR(SUMPRODUCT($BD$73:$BD$87,Q$73:Q$87)/SUM(Q$73:Q$87)*Q$89*(1+Q$208),0)</f>
        <v>0</v>
      </c>
      <c r="R390" s="57">
        <f t="shared" si="138"/>
        <v>0</v>
      </c>
      <c r="S390" s="57">
        <f t="shared" si="138"/>
        <v>0</v>
      </c>
      <c r="T390" s="57">
        <f t="shared" si="138"/>
        <v>0</v>
      </c>
      <c r="U390" s="57">
        <f t="shared" si="138"/>
        <v>0</v>
      </c>
      <c r="V390" s="62">
        <f t="shared" si="138"/>
        <v>0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39">IFERROR(SUMPRODUCT($BE$73:$BE$87,Q$73:Q$87)/SUM(Q$73:Q$87)*Q$89*(1+Q$208),0)</f>
        <v>0</v>
      </c>
      <c r="R391" s="57">
        <f t="shared" si="139"/>
        <v>0</v>
      </c>
      <c r="S391" s="57">
        <f t="shared" si="139"/>
        <v>0</v>
      </c>
      <c r="T391" s="57">
        <f t="shared" si="139"/>
        <v>0</v>
      </c>
      <c r="U391" s="57">
        <f t="shared" si="139"/>
        <v>0</v>
      </c>
      <c r="V391" s="62">
        <f t="shared" si="139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40">IFERROR(SUMPRODUCT($BF$73:$BF$87,Q$73:Q$87)/SUM(Q$73:Q$87)*Q$89*(1+Q$208),0)</f>
        <v>318193.95702307287</v>
      </c>
      <c r="R392" s="57">
        <f t="shared" si="140"/>
        <v>432121.38942315587</v>
      </c>
      <c r="S392" s="57">
        <f t="shared" si="140"/>
        <v>436964.86110688088</v>
      </c>
      <c r="T392" s="57">
        <f t="shared" si="140"/>
        <v>443815.45718243805</v>
      </c>
      <c r="U392" s="57">
        <f t="shared" si="140"/>
        <v>451080.06115983339</v>
      </c>
      <c r="V392" s="62">
        <f t="shared" si="140"/>
        <v>458188.39309397794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41">IFERROR(SUMPRODUCT($BG$73:$BG$87,Q$73:Q$87)/SUM(Q$73:Q$87)*Q$89*(1+Q$208),0)</f>
        <v>0</v>
      </c>
      <c r="R393" s="57">
        <f t="shared" si="141"/>
        <v>0</v>
      </c>
      <c r="S393" s="57">
        <f t="shared" si="141"/>
        <v>0</v>
      </c>
      <c r="T393" s="57">
        <f t="shared" si="141"/>
        <v>0</v>
      </c>
      <c r="U393" s="57">
        <f t="shared" si="141"/>
        <v>0</v>
      </c>
      <c r="V393" s="62">
        <f t="shared" si="141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42">IFERROR(SUMPRODUCT($BH$73:$BH$87,Q$73:Q$87)/SUM(Q$73:Q$87)*Q$89*(1+Q$208),0)</f>
        <v>0</v>
      </c>
      <c r="R394" s="57">
        <f t="shared" si="142"/>
        <v>0</v>
      </c>
      <c r="S394" s="57">
        <f t="shared" si="142"/>
        <v>0</v>
      </c>
      <c r="T394" s="57">
        <f t="shared" si="142"/>
        <v>0</v>
      </c>
      <c r="U394" s="57">
        <f t="shared" si="142"/>
        <v>0</v>
      </c>
      <c r="V394" s="62">
        <f t="shared" si="142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43">SUM(P388:P394)</f>
        <v>0</v>
      </c>
      <c r="Q396" s="37">
        <f t="shared" si="143"/>
        <v>318193.95702307287</v>
      </c>
      <c r="R396" s="37">
        <f t="shared" si="143"/>
        <v>432121.38942315587</v>
      </c>
      <c r="S396" s="37">
        <f t="shared" si="143"/>
        <v>436964.86110688088</v>
      </c>
      <c r="T396" s="37">
        <f t="shared" si="143"/>
        <v>443815.45718243805</v>
      </c>
      <c r="U396" s="37">
        <f t="shared" si="143"/>
        <v>451080.06115983339</v>
      </c>
      <c r="V396" s="64">
        <f t="shared" si="143"/>
        <v>458188.39309397794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I399"/>
  <sheetViews>
    <sheetView topLeftCell="G22" workbookViewId="0"/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5" s="3" customFormat="1">
      <c r="A1" s="2" t="s">
        <v>2</v>
      </c>
    </row>
    <row r="2" spans="1:15" s="1" customFormat="1">
      <c r="A2" s="3" t="s">
        <v>195</v>
      </c>
    </row>
    <row r="3" spans="1:15" s="1" customFormat="1">
      <c r="A3" s="3" t="s">
        <v>95</v>
      </c>
    </row>
    <row r="4" spans="1:15" s="1" customFormat="1">
      <c r="A4" s="22" t="s">
        <v>43</v>
      </c>
    </row>
    <row r="6" spans="1:15" s="1" customFormat="1">
      <c r="A6" s="2">
        <v>2</v>
      </c>
      <c r="B6" s="2" t="s">
        <v>45</v>
      </c>
    </row>
    <row r="8" spans="1:15">
      <c r="I8" s="94"/>
      <c r="J8" s="95"/>
      <c r="K8" s="95"/>
      <c r="L8" s="95"/>
      <c r="M8" s="95"/>
      <c r="N8" s="95"/>
    </row>
    <row r="9" spans="1:15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  <c r="I9" s="94"/>
      <c r="J9" s="94"/>
      <c r="K9" s="94"/>
      <c r="L9" s="94"/>
      <c r="M9" s="94"/>
      <c r="N9" s="94"/>
      <c r="O9" s="94"/>
    </row>
    <row r="10" spans="1:15">
      <c r="B10" s="8" t="s">
        <v>35</v>
      </c>
      <c r="D10" s="10">
        <v>0.03</v>
      </c>
      <c r="E10" s="10">
        <v>0.56999999999999995</v>
      </c>
      <c r="F10" s="26">
        <f>D10+E10</f>
        <v>0.6</v>
      </c>
      <c r="G10" s="26">
        <f>1-F10</f>
        <v>0.4</v>
      </c>
      <c r="I10" s="94"/>
      <c r="J10" s="94"/>
      <c r="K10" s="94"/>
      <c r="L10" s="94"/>
      <c r="M10" s="94"/>
      <c r="N10" s="94"/>
      <c r="O10" s="94"/>
    </row>
    <row r="11" spans="1:15">
      <c r="B11" s="8"/>
      <c r="D11" s="10"/>
      <c r="E11" s="10"/>
      <c r="F11" s="26"/>
      <c r="G11" s="26"/>
      <c r="I11" s="94"/>
      <c r="J11" s="94"/>
      <c r="K11" s="94"/>
      <c r="L11" s="94"/>
      <c r="M11" s="94"/>
      <c r="N11" s="94"/>
      <c r="O11" s="94"/>
    </row>
    <row r="12" spans="1:15">
      <c r="B12" s="8"/>
      <c r="D12" s="10"/>
      <c r="E12" s="10"/>
      <c r="F12" s="26"/>
      <c r="G12" s="26"/>
      <c r="I12" s="94"/>
      <c r="J12" s="94"/>
      <c r="K12" s="94"/>
      <c r="L12" s="94"/>
      <c r="M12" s="94"/>
      <c r="N12" s="94"/>
      <c r="O12" s="94"/>
    </row>
    <row r="13" spans="1:15">
      <c r="B13" s="8"/>
      <c r="D13" s="10"/>
      <c r="E13" s="10"/>
      <c r="F13" s="26"/>
      <c r="G13" s="26"/>
      <c r="I13" s="94"/>
      <c r="J13" s="94"/>
      <c r="K13" s="94"/>
      <c r="L13" s="94"/>
      <c r="M13" s="94"/>
      <c r="N13" s="94"/>
      <c r="O13" s="94"/>
    </row>
    <row r="14" spans="1:15">
      <c r="B14" s="8"/>
      <c r="D14" s="10"/>
      <c r="E14" s="10"/>
      <c r="F14" s="26"/>
      <c r="G14" s="26"/>
      <c r="I14" s="94"/>
      <c r="J14" s="94"/>
      <c r="K14" s="94"/>
      <c r="L14" s="94"/>
      <c r="M14" s="94"/>
      <c r="N14" s="94"/>
      <c r="O14" s="94"/>
    </row>
    <row r="15" spans="1:15">
      <c r="B15" s="8"/>
      <c r="D15" s="10"/>
      <c r="E15" s="10"/>
      <c r="F15" s="26"/>
      <c r="G15" s="26"/>
    </row>
    <row r="16" spans="1:15">
      <c r="B16" s="8"/>
      <c r="D16" s="10"/>
      <c r="E16" s="10"/>
      <c r="F16" s="26"/>
      <c r="G16" s="26"/>
    </row>
    <row r="17" spans="1:24">
      <c r="B17" s="8"/>
      <c r="D17" s="10"/>
      <c r="E17" s="10"/>
      <c r="F17" s="26"/>
      <c r="G17" s="26"/>
    </row>
    <row r="18" spans="1:24">
      <c r="B18" s="8"/>
      <c r="D18" s="10"/>
      <c r="E18" s="10"/>
      <c r="F18" s="26"/>
      <c r="G18" s="26"/>
    </row>
    <row r="19" spans="1:24">
      <c r="B19" s="8"/>
      <c r="D19" s="10"/>
      <c r="E19" s="10"/>
      <c r="F19" s="26"/>
      <c r="G19" s="26"/>
    </row>
    <row r="20" spans="1:24">
      <c r="B20" s="8"/>
      <c r="D20" s="10"/>
      <c r="E20" s="10"/>
      <c r="F20" s="26"/>
      <c r="G20" s="26"/>
    </row>
    <row r="21" spans="1:24">
      <c r="B21" s="8"/>
      <c r="D21" s="10"/>
      <c r="E21" s="10"/>
      <c r="F21" s="26"/>
      <c r="G21" s="26"/>
    </row>
    <row r="22" spans="1:24">
      <c r="B22" s="8"/>
      <c r="D22" s="10"/>
      <c r="E22" s="10"/>
      <c r="F22" s="26"/>
      <c r="G22" s="26"/>
    </row>
    <row r="23" spans="1:24">
      <c r="B23" s="8"/>
      <c r="D23" s="10"/>
      <c r="E23" s="10"/>
      <c r="F23" s="26"/>
      <c r="G23" s="26"/>
    </row>
    <row r="24" spans="1:24">
      <c r="B24" s="8"/>
      <c r="D24" s="10"/>
      <c r="E24" s="10"/>
      <c r="F24" s="26"/>
      <c r="G24" s="26"/>
    </row>
    <row r="26" spans="1:24" s="1" customFormat="1">
      <c r="A26" s="2">
        <v>3</v>
      </c>
      <c r="B26" s="2" t="s">
        <v>51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90" t="s">
        <v>52</v>
      </c>
      <c r="I28" s="190"/>
      <c r="J28" s="190"/>
      <c r="K28" s="190"/>
      <c r="L28" s="190"/>
      <c r="M28" s="190" t="s">
        <v>53</v>
      </c>
      <c r="N28" s="190"/>
      <c r="O28" s="190"/>
      <c r="P28" s="190"/>
      <c r="Q28" s="190"/>
      <c r="R28" s="190" t="s">
        <v>54</v>
      </c>
      <c r="S28" s="190"/>
      <c r="T28" s="190"/>
      <c r="U28" s="190"/>
      <c r="V28" s="190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 t="shared" ref="B31:B45" si="0">IF(B10&lt;&gt;"",B10,"[blank]")</f>
        <v>SCADA</v>
      </c>
      <c r="D31" s="31" t="s">
        <v>60</v>
      </c>
      <c r="E31" s="31"/>
      <c r="P31" s="77"/>
      <c r="Q31" s="33">
        <f>'AMP inputs'!G48*'General assumptions'!$S$21*($D10*'General assumptions'!T$35+$E10*'General assumptions'!T$36+$G10*'General assumptions'!T$42)</f>
        <v>439002.85662744858</v>
      </c>
      <c r="R31" s="33">
        <f>'AMP inputs'!H48*'General assumptions'!$S$21*($D10*'General assumptions'!U$35+$E10*'General assumptions'!U$36+$G10*'General assumptions'!U$42)</f>
        <v>403616.2003721004</v>
      </c>
      <c r="S31" s="33">
        <f>'AMP inputs'!I48*'General assumptions'!$S$21*($D10*'General assumptions'!V$35+$E10*'General assumptions'!V$36+$G10*'General assumptions'!V$42)</f>
        <v>362197.83226479194</v>
      </c>
      <c r="T31" s="33">
        <f>'AMP inputs'!J48*'General assumptions'!$S$21*($D10*'General assumptions'!W$35+$E10*'General assumptions'!W$36+$G10*'General assumptions'!W$42)</f>
        <v>329809.36843843543</v>
      </c>
      <c r="U31" s="33">
        <f>'AMP inputs'!K48*'General assumptions'!$S$21*($D10*'General assumptions'!X$35+$E10*'General assumptions'!X$36+$G10*'General assumptions'!X$42)</f>
        <v>1319197.6312437584</v>
      </c>
      <c r="V31" s="33">
        <f>'AMP inputs'!L48*'General assumptions'!$S$21*($D10*'General assumptions'!Y$35+$E10*'General assumptions'!Y$36+$G10*'General assumptions'!Y$42)</f>
        <v>1422401.8446578321</v>
      </c>
      <c r="X31" s="20"/>
    </row>
    <row r="32" spans="1:24">
      <c r="B32" s="4" t="str">
        <f t="shared" si="0"/>
        <v>[blank]</v>
      </c>
      <c r="D32" s="31"/>
      <c r="E32" s="31"/>
      <c r="P32" s="77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P33" s="77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P34" s="77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  <c r="P35" s="77"/>
      <c r="Q35" s="67"/>
      <c r="R35" s="67"/>
      <c r="S35" s="67"/>
      <c r="T35" s="67"/>
      <c r="U35" s="67"/>
      <c r="V35" s="67"/>
      <c r="X35" s="20"/>
    </row>
    <row r="36" spans="1:24">
      <c r="B36" s="4" t="str">
        <f t="shared" si="0"/>
        <v>[blank]</v>
      </c>
      <c r="D36" s="31"/>
      <c r="P36" s="77"/>
      <c r="Q36" s="67"/>
      <c r="R36" s="67"/>
      <c r="S36" s="67"/>
      <c r="T36" s="67"/>
      <c r="U36" s="67"/>
      <c r="V36" s="67"/>
      <c r="X36" s="20"/>
    </row>
    <row r="37" spans="1:24">
      <c r="B37" s="4" t="str">
        <f t="shared" si="0"/>
        <v>[blank]</v>
      </c>
      <c r="D37" s="31"/>
      <c r="P37" s="77"/>
      <c r="Q37" s="67"/>
      <c r="R37" s="67"/>
      <c r="S37" s="67"/>
      <c r="T37" s="67"/>
      <c r="U37" s="67"/>
      <c r="V37" s="67"/>
      <c r="X37" s="20"/>
    </row>
    <row r="38" spans="1:24">
      <c r="B38" s="4" t="str">
        <f t="shared" si="0"/>
        <v>[blank]</v>
      </c>
      <c r="D38" s="31"/>
      <c r="P38" s="77"/>
      <c r="Q38" s="67"/>
      <c r="R38" s="67"/>
      <c r="S38" s="67"/>
      <c r="T38" s="67"/>
      <c r="U38" s="67"/>
      <c r="V38" s="67"/>
      <c r="X38" s="20"/>
    </row>
    <row r="39" spans="1:24">
      <c r="B39" s="4" t="str">
        <f t="shared" si="0"/>
        <v>[blank]</v>
      </c>
      <c r="D39" s="31"/>
      <c r="P39" s="77"/>
      <c r="Q39" s="67"/>
      <c r="R39" s="67"/>
      <c r="S39" s="67"/>
      <c r="T39" s="67"/>
      <c r="U39" s="67"/>
      <c r="V39" s="67"/>
      <c r="X39" s="20"/>
    </row>
    <row r="40" spans="1:24">
      <c r="B40" s="4" t="str">
        <f t="shared" si="0"/>
        <v>[blank]</v>
      </c>
      <c r="D40" s="31"/>
      <c r="P40" s="77"/>
      <c r="Q40" s="67"/>
      <c r="R40" s="67"/>
      <c r="S40" s="67"/>
      <c r="T40" s="67"/>
      <c r="U40" s="67"/>
      <c r="V40" s="67"/>
      <c r="X40" s="20"/>
    </row>
    <row r="41" spans="1:24">
      <c r="B41" s="4" t="str">
        <f t="shared" si="0"/>
        <v>[blank]</v>
      </c>
      <c r="D41" s="31"/>
      <c r="P41" s="77"/>
      <c r="Q41" s="67"/>
      <c r="R41" s="67"/>
      <c r="S41" s="67"/>
      <c r="T41" s="67"/>
      <c r="U41" s="67"/>
      <c r="V41" s="67"/>
      <c r="X41" s="20"/>
    </row>
    <row r="42" spans="1:24">
      <c r="B42" s="4" t="str">
        <f t="shared" si="0"/>
        <v>[blank]</v>
      </c>
      <c r="D42" s="31"/>
      <c r="P42" s="77"/>
      <c r="Q42" s="67"/>
      <c r="R42" s="67"/>
      <c r="S42" s="67"/>
      <c r="T42" s="67"/>
      <c r="U42" s="67"/>
      <c r="V42" s="67"/>
      <c r="X42" s="20"/>
    </row>
    <row r="43" spans="1:24">
      <c r="B43" s="4" t="str">
        <f t="shared" si="0"/>
        <v>[blank]</v>
      </c>
      <c r="D43" s="31"/>
      <c r="P43" s="77"/>
      <c r="Q43" s="67"/>
      <c r="R43" s="67"/>
      <c r="S43" s="67"/>
      <c r="T43" s="67"/>
      <c r="U43" s="67"/>
      <c r="V43" s="67"/>
      <c r="X43" s="20"/>
    </row>
    <row r="44" spans="1:24">
      <c r="B44" s="4" t="str">
        <f t="shared" si="0"/>
        <v>[blank]</v>
      </c>
      <c r="D44" s="31"/>
      <c r="P44" s="77"/>
      <c r="Q44" s="67"/>
      <c r="R44" s="67"/>
      <c r="S44" s="67"/>
      <c r="T44" s="67"/>
      <c r="U44" s="67"/>
      <c r="V44" s="67"/>
      <c r="X44" s="20"/>
    </row>
    <row r="45" spans="1:24">
      <c r="B45" s="4" t="str">
        <f t="shared" si="0"/>
        <v>[blank]</v>
      </c>
      <c r="D45" s="31"/>
      <c r="P45" s="77"/>
      <c r="Q45" s="67"/>
      <c r="R45" s="67"/>
      <c r="S45" s="67"/>
      <c r="T45" s="67"/>
      <c r="U45" s="67"/>
      <c r="V45" s="67"/>
      <c r="X45" s="20"/>
    </row>
    <row r="47" spans="1:24" s="1" customFormat="1">
      <c r="A47" s="2">
        <v>4</v>
      </c>
      <c r="B47" s="2" t="s">
        <v>56</v>
      </c>
    </row>
    <row r="49" spans="2:24">
      <c r="H49" s="190" t="s">
        <v>52</v>
      </c>
      <c r="I49" s="190"/>
      <c r="J49" s="190"/>
      <c r="K49" s="190"/>
      <c r="L49" s="190"/>
      <c r="M49" s="190" t="s">
        <v>53</v>
      </c>
      <c r="N49" s="190"/>
      <c r="O49" s="190"/>
      <c r="P49" s="190"/>
      <c r="Q49" s="190"/>
      <c r="R49" s="190" t="s">
        <v>54</v>
      </c>
      <c r="S49" s="190"/>
      <c r="T49" s="190"/>
      <c r="U49" s="190"/>
      <c r="V49" s="190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46</v>
      </c>
      <c r="D51" s="29" t="s">
        <v>55</v>
      </c>
      <c r="H51" s="16" t="s">
        <v>12</v>
      </c>
      <c r="I51" s="16" t="s">
        <v>12</v>
      </c>
      <c r="J51" s="16" t="s">
        <v>12</v>
      </c>
      <c r="K51" s="16" t="s">
        <v>12</v>
      </c>
      <c r="L51" s="16" t="s">
        <v>12</v>
      </c>
      <c r="M51" s="16" t="s">
        <v>12</v>
      </c>
      <c r="N51" s="16" t="s">
        <v>12</v>
      </c>
      <c r="O51" s="16" t="s">
        <v>12</v>
      </c>
      <c r="P51" s="16" t="s">
        <v>13</v>
      </c>
      <c r="Q51" s="16" t="s">
        <v>13</v>
      </c>
      <c r="R51" s="16" t="s">
        <v>13</v>
      </c>
      <c r="S51" s="16" t="s">
        <v>13</v>
      </c>
      <c r="T51" s="16" t="s">
        <v>13</v>
      </c>
      <c r="U51" s="16" t="s">
        <v>13</v>
      </c>
      <c r="V51" s="16" t="s">
        <v>13</v>
      </c>
    </row>
    <row r="52" spans="2:24">
      <c r="B52" s="4" t="str">
        <f>IF(B10&lt;&gt;"",B10,"[blank]")</f>
        <v>SCADA</v>
      </c>
      <c r="D52" s="31" t="s">
        <v>364</v>
      </c>
      <c r="P52" s="77"/>
      <c r="Q52" s="33">
        <f>'AMP inputs'!N48</f>
        <v>1</v>
      </c>
      <c r="R52" s="33">
        <f>'AMP inputs'!O48</f>
        <v>1</v>
      </c>
      <c r="S52" s="33">
        <f>'AMP inputs'!P48</f>
        <v>1</v>
      </c>
      <c r="T52" s="33">
        <f>'AMP inputs'!Q48</f>
        <v>1</v>
      </c>
      <c r="U52" s="33">
        <f>'AMP inputs'!R48</f>
        <v>1</v>
      </c>
      <c r="V52" s="33">
        <f>'AMP inputs'!S48</f>
        <v>1</v>
      </c>
      <c r="X52" s="20"/>
    </row>
    <row r="53" spans="2:24">
      <c r="B53" s="4" t="str">
        <f t="shared" ref="B53:B66" si="1">IF(B11&lt;&gt;"",B11,"[blank]")</f>
        <v>[blank]</v>
      </c>
      <c r="D53" s="31"/>
      <c r="P53" s="77"/>
      <c r="Q53" s="77"/>
      <c r="R53" s="77"/>
      <c r="S53" s="77"/>
      <c r="T53" s="77"/>
      <c r="U53" s="77"/>
      <c r="V53" s="77"/>
      <c r="X53" s="20"/>
    </row>
    <row r="54" spans="2:24">
      <c r="B54" s="4" t="str">
        <f t="shared" si="1"/>
        <v>[blank]</v>
      </c>
      <c r="D54" s="31"/>
      <c r="P54" s="77"/>
      <c r="Q54" s="77"/>
      <c r="R54" s="77"/>
      <c r="S54" s="77"/>
      <c r="T54" s="77"/>
      <c r="U54" s="77"/>
      <c r="V54" s="77"/>
      <c r="X54" s="20"/>
    </row>
    <row r="55" spans="2:24">
      <c r="B55" s="4" t="str">
        <f t="shared" si="1"/>
        <v>[blank]</v>
      </c>
      <c r="D55" s="31"/>
      <c r="P55" s="77"/>
      <c r="Q55" s="77"/>
      <c r="R55" s="77"/>
      <c r="S55" s="77"/>
      <c r="T55" s="77"/>
      <c r="U55" s="77"/>
      <c r="V55" s="77"/>
      <c r="X55" s="20"/>
    </row>
    <row r="56" spans="2:24">
      <c r="B56" s="4" t="str">
        <f t="shared" si="1"/>
        <v>[blank]</v>
      </c>
      <c r="D56" s="31"/>
      <c r="P56" s="77"/>
      <c r="Q56" s="77"/>
      <c r="R56" s="77"/>
      <c r="S56" s="77"/>
      <c r="T56" s="77"/>
      <c r="U56" s="77"/>
      <c r="V56" s="77"/>
      <c r="X56" s="20"/>
    </row>
    <row r="57" spans="2:24">
      <c r="B57" s="4" t="str">
        <f t="shared" si="1"/>
        <v>[blank]</v>
      </c>
      <c r="D57" s="31"/>
      <c r="P57" s="77"/>
      <c r="Q57" s="77"/>
      <c r="R57" s="77"/>
      <c r="S57" s="77"/>
      <c r="T57" s="77"/>
      <c r="U57" s="77"/>
      <c r="V57" s="77"/>
      <c r="X57" s="20"/>
    </row>
    <row r="58" spans="2:24">
      <c r="B58" s="4" t="str">
        <f t="shared" si="1"/>
        <v>[blank]</v>
      </c>
      <c r="D58" s="31"/>
      <c r="P58" s="77"/>
      <c r="Q58" s="77"/>
      <c r="R58" s="77"/>
      <c r="S58" s="77"/>
      <c r="T58" s="77"/>
      <c r="U58" s="77"/>
      <c r="V58" s="77"/>
      <c r="X58" s="20"/>
    </row>
    <row r="59" spans="2:24">
      <c r="B59" s="4" t="str">
        <f t="shared" si="1"/>
        <v>[blank]</v>
      </c>
      <c r="D59" s="31"/>
      <c r="P59" s="77"/>
      <c r="Q59" s="77"/>
      <c r="R59" s="77"/>
      <c r="S59" s="77"/>
      <c r="T59" s="77"/>
      <c r="U59" s="77"/>
      <c r="V59" s="77"/>
      <c r="X59" s="20"/>
    </row>
    <row r="60" spans="2:24">
      <c r="B60" s="4" t="str">
        <f t="shared" si="1"/>
        <v>[blank]</v>
      </c>
      <c r="D60" s="31"/>
      <c r="P60" s="77"/>
      <c r="Q60" s="77"/>
      <c r="R60" s="77"/>
      <c r="S60" s="77"/>
      <c r="T60" s="77"/>
      <c r="U60" s="77"/>
      <c r="V60" s="77"/>
      <c r="X60" s="20"/>
    </row>
    <row r="61" spans="2:24">
      <c r="B61" s="4" t="str">
        <f t="shared" si="1"/>
        <v>[blank]</v>
      </c>
      <c r="D61" s="31"/>
      <c r="P61" s="77"/>
      <c r="Q61" s="77"/>
      <c r="R61" s="77"/>
      <c r="S61" s="77"/>
      <c r="T61" s="77"/>
      <c r="U61" s="77"/>
      <c r="V61" s="77"/>
      <c r="X61" s="20"/>
    </row>
    <row r="62" spans="2:24">
      <c r="B62" s="4" t="str">
        <f t="shared" si="1"/>
        <v>[blank]</v>
      </c>
      <c r="D62" s="31"/>
      <c r="P62" s="77"/>
      <c r="Q62" s="77"/>
      <c r="R62" s="77"/>
      <c r="S62" s="77"/>
      <c r="T62" s="77"/>
      <c r="U62" s="77"/>
      <c r="V62" s="77"/>
      <c r="X62" s="20"/>
    </row>
    <row r="63" spans="2:24">
      <c r="B63" s="4" t="str">
        <f t="shared" si="1"/>
        <v>[blank]</v>
      </c>
      <c r="D63" s="31"/>
      <c r="P63" s="77"/>
      <c r="Q63" s="77"/>
      <c r="R63" s="77"/>
      <c r="S63" s="77"/>
      <c r="T63" s="77"/>
      <c r="U63" s="77"/>
      <c r="V63" s="77"/>
      <c r="X63" s="20"/>
    </row>
    <row r="64" spans="2:24">
      <c r="B64" s="4" t="str">
        <f t="shared" si="1"/>
        <v>[blank]</v>
      </c>
      <c r="D64" s="31"/>
      <c r="P64" s="77"/>
      <c r="Q64" s="77"/>
      <c r="R64" s="77"/>
      <c r="S64" s="77"/>
      <c r="T64" s="77"/>
      <c r="U64" s="77"/>
      <c r="V64" s="77"/>
      <c r="X64" s="20"/>
    </row>
    <row r="65" spans="1:61">
      <c r="B65" s="4" t="str">
        <f t="shared" si="1"/>
        <v>[blank]</v>
      </c>
      <c r="D65" s="31"/>
      <c r="P65" s="77"/>
      <c r="Q65" s="77"/>
      <c r="R65" s="77"/>
      <c r="S65" s="77"/>
      <c r="T65" s="77"/>
      <c r="U65" s="77"/>
      <c r="V65" s="77"/>
      <c r="X65" s="20"/>
    </row>
    <row r="66" spans="1:61">
      <c r="B66" s="4" t="str">
        <f t="shared" si="1"/>
        <v>[blank]</v>
      </c>
      <c r="D66" s="31"/>
      <c r="P66" s="77"/>
      <c r="Q66" s="77"/>
      <c r="R66" s="77"/>
      <c r="S66" s="77"/>
      <c r="T66" s="77"/>
      <c r="U66" s="77"/>
      <c r="V66" s="77"/>
      <c r="X66" s="20"/>
    </row>
    <row r="68" spans="1:61" s="1" customFormat="1">
      <c r="A68" s="2">
        <v>5</v>
      </c>
      <c r="B68" s="2" t="s">
        <v>61</v>
      </c>
    </row>
    <row r="69" spans="1:61">
      <c r="Z69" s="5" t="s">
        <v>73</v>
      </c>
      <c r="AM69" s="5" t="s">
        <v>110</v>
      </c>
      <c r="BB69" s="5" t="s">
        <v>133</v>
      </c>
    </row>
    <row r="70" spans="1:61">
      <c r="H70" s="190" t="s">
        <v>52</v>
      </c>
      <c r="I70" s="190"/>
      <c r="J70" s="190"/>
      <c r="K70" s="190"/>
      <c r="L70" s="190"/>
      <c r="M70" s="190" t="s">
        <v>53</v>
      </c>
      <c r="N70" s="190"/>
      <c r="O70" s="190"/>
      <c r="P70" s="190"/>
      <c r="Q70" s="190"/>
      <c r="R70" s="190" t="s">
        <v>54</v>
      </c>
      <c r="S70" s="190"/>
      <c r="T70" s="190"/>
      <c r="U70" s="190"/>
      <c r="V70" s="190"/>
      <c r="X70" s="38"/>
      <c r="Z70" s="39" t="s">
        <v>69</v>
      </c>
      <c r="AA70" s="39" t="s">
        <v>70</v>
      </c>
      <c r="AB70" s="39" t="s">
        <v>71</v>
      </c>
      <c r="AC70" s="39" t="s">
        <v>72</v>
      </c>
      <c r="AD70" s="39" t="s">
        <v>64</v>
      </c>
      <c r="AE70" s="39" t="s">
        <v>65</v>
      </c>
      <c r="AF70" s="39" t="s">
        <v>66</v>
      </c>
      <c r="AG70" s="39" t="s">
        <v>107</v>
      </c>
      <c r="AH70" s="39" t="s">
        <v>67</v>
      </c>
      <c r="AI70" s="39" t="s">
        <v>68</v>
      </c>
      <c r="AJ70" s="39" t="s">
        <v>108</v>
      </c>
      <c r="AM70" s="39" t="s">
        <v>111</v>
      </c>
      <c r="AN70" s="39" t="s">
        <v>112</v>
      </c>
      <c r="AO70" s="39" t="s">
        <v>113</v>
      </c>
      <c r="AP70" s="39" t="s">
        <v>114</v>
      </c>
      <c r="AQ70" s="39" t="s">
        <v>115</v>
      </c>
      <c r="AR70" s="39" t="s">
        <v>36</v>
      </c>
      <c r="AS70" s="39" t="s">
        <v>116</v>
      </c>
      <c r="AT70" s="39" t="s">
        <v>35</v>
      </c>
      <c r="AU70" s="39" t="s">
        <v>117</v>
      </c>
      <c r="AV70" s="39" t="s">
        <v>118</v>
      </c>
      <c r="AW70" s="39" t="s">
        <v>119</v>
      </c>
      <c r="AX70" s="39" t="s">
        <v>74</v>
      </c>
      <c r="AY70" s="39" t="s">
        <v>75</v>
      </c>
      <c r="BB70" s="39" t="s">
        <v>134</v>
      </c>
      <c r="BC70" s="39" t="s">
        <v>135</v>
      </c>
      <c r="BD70" s="39" t="s">
        <v>136</v>
      </c>
      <c r="BE70" s="39" t="s">
        <v>107</v>
      </c>
      <c r="BF70" s="39" t="s">
        <v>137</v>
      </c>
      <c r="BG70" s="39" t="s">
        <v>138</v>
      </c>
      <c r="BH70" s="39" t="s">
        <v>108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63</v>
      </c>
    </row>
    <row r="72" spans="1:61">
      <c r="B72" s="5" t="s">
        <v>46</v>
      </c>
      <c r="D72" s="29" t="s">
        <v>55</v>
      </c>
      <c r="H72" s="16" t="s">
        <v>12</v>
      </c>
      <c r="I72" s="16" t="s">
        <v>12</v>
      </c>
      <c r="J72" s="16" t="s">
        <v>12</v>
      </c>
      <c r="K72" s="16" t="s">
        <v>12</v>
      </c>
      <c r="L72" s="16" t="s">
        <v>12</v>
      </c>
      <c r="M72" s="16" t="s">
        <v>12</v>
      </c>
      <c r="N72" s="16" t="s">
        <v>12</v>
      </c>
      <c r="O72" s="16" t="s">
        <v>12</v>
      </c>
      <c r="P72" s="16" t="s">
        <v>13</v>
      </c>
      <c r="Q72" s="16" t="s">
        <v>13</v>
      </c>
      <c r="R72" s="16" t="s">
        <v>13</v>
      </c>
      <c r="S72" s="16" t="s">
        <v>13</v>
      </c>
      <c r="T72" s="16" t="s">
        <v>13</v>
      </c>
      <c r="U72" s="16" t="s">
        <v>13</v>
      </c>
      <c r="V72" s="16" t="s">
        <v>13</v>
      </c>
      <c r="X72" s="34" t="s">
        <v>13</v>
      </c>
    </row>
    <row r="73" spans="1:61">
      <c r="B73" s="4" t="str">
        <f>IF(B10&lt;&gt;"",B10,"[blank]")</f>
        <v>SCADA</v>
      </c>
      <c r="D73" s="31" t="s">
        <v>60</v>
      </c>
      <c r="O73" s="35"/>
      <c r="P73" s="35">
        <f t="shared" ref="P73:V73" si="2">P31*P52</f>
        <v>0</v>
      </c>
      <c r="Q73" s="35">
        <f t="shared" si="2"/>
        <v>439002.85662744858</v>
      </c>
      <c r="R73" s="35">
        <f t="shared" si="2"/>
        <v>403616.2003721004</v>
      </c>
      <c r="S73" s="35">
        <f t="shared" si="2"/>
        <v>362197.83226479194</v>
      </c>
      <c r="T73" s="35">
        <f t="shared" si="2"/>
        <v>329809.36843843543</v>
      </c>
      <c r="U73" s="35">
        <f t="shared" si="2"/>
        <v>1319197.6312437584</v>
      </c>
      <c r="V73" s="35">
        <f t="shared" si="2"/>
        <v>1422401.8446578321</v>
      </c>
      <c r="W73" s="35"/>
      <c r="X73" s="40">
        <f>SUM(R73:V73)</f>
        <v>3837222.8769769184</v>
      </c>
      <c r="Z73" s="10"/>
      <c r="AA73" s="10"/>
      <c r="AB73" s="10"/>
      <c r="AC73" s="10"/>
      <c r="AD73" s="10"/>
      <c r="AE73" s="10"/>
      <c r="AF73" s="10">
        <v>1</v>
      </c>
      <c r="AG73" s="10"/>
      <c r="AH73" s="10"/>
      <c r="AI73" s="10"/>
      <c r="AJ73" s="10"/>
      <c r="AK73" s="41">
        <f t="shared" ref="AK73:AK87" si="3">SUM(Z73:AI73)</f>
        <v>1</v>
      </c>
      <c r="AM73" s="10"/>
      <c r="AN73" s="10"/>
      <c r="AO73" s="10"/>
      <c r="AP73" s="10"/>
      <c r="AQ73" s="10"/>
      <c r="AR73" s="10"/>
      <c r="AS73" s="10"/>
      <c r="AT73" s="10">
        <v>1</v>
      </c>
      <c r="AU73" s="10"/>
      <c r="AV73" s="10"/>
      <c r="AW73" s="10"/>
      <c r="AX73" s="10"/>
      <c r="AY73" s="10"/>
      <c r="AZ73" s="41">
        <f t="shared" ref="AZ73:AZ87" si="4">SUM(AM73:AY73)</f>
        <v>1</v>
      </c>
      <c r="BB73" s="10"/>
      <c r="BC73" s="10"/>
      <c r="BD73" s="10"/>
      <c r="BE73" s="10"/>
      <c r="BF73" s="10">
        <v>1</v>
      </c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/>
      <c r="O74" s="50"/>
      <c r="P74" s="35"/>
      <c r="Q74" s="35"/>
      <c r="R74" s="35"/>
      <c r="S74" s="35"/>
      <c r="T74" s="35"/>
      <c r="U74" s="35"/>
      <c r="V74" s="35"/>
      <c r="W74" s="35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D75" s="31"/>
      <c r="P75" s="35"/>
      <c r="Q75" s="35"/>
      <c r="R75" s="35"/>
      <c r="S75" s="35"/>
      <c r="T75" s="35"/>
      <c r="U75" s="35"/>
      <c r="V75" s="35"/>
      <c r="W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D76" s="31"/>
      <c r="P76" s="35"/>
      <c r="Q76" s="35"/>
      <c r="R76" s="35"/>
      <c r="S76" s="35"/>
      <c r="T76" s="35"/>
      <c r="U76" s="35"/>
      <c r="V76" s="35"/>
      <c r="W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D77" s="31"/>
      <c r="P77" s="35"/>
      <c r="Q77" s="35"/>
      <c r="R77" s="35"/>
      <c r="S77" s="35"/>
      <c r="T77" s="35"/>
      <c r="U77" s="35"/>
      <c r="V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D78" s="31"/>
      <c r="P78" s="35"/>
      <c r="Q78" s="35"/>
      <c r="R78" s="35"/>
      <c r="S78" s="35"/>
      <c r="T78" s="35"/>
      <c r="U78" s="35"/>
      <c r="V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Q79" s="35"/>
      <c r="R79" s="35"/>
      <c r="S79" s="35"/>
      <c r="T79" s="35"/>
      <c r="U79" s="35"/>
      <c r="V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Q80" s="35"/>
      <c r="R80" s="35"/>
      <c r="S80" s="35"/>
      <c r="T80" s="35"/>
      <c r="U80" s="35"/>
      <c r="V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Q81" s="35"/>
      <c r="R81" s="35"/>
      <c r="S81" s="35"/>
      <c r="T81" s="35"/>
      <c r="U81" s="35"/>
      <c r="V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Q82" s="35"/>
      <c r="R82" s="35"/>
      <c r="S82" s="35"/>
      <c r="T82" s="35"/>
      <c r="U82" s="35"/>
      <c r="V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Q83" s="35"/>
      <c r="R83" s="35"/>
      <c r="S83" s="35"/>
      <c r="T83" s="35"/>
      <c r="U83" s="35"/>
      <c r="V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Q84" s="35"/>
      <c r="R84" s="35"/>
      <c r="S84" s="35"/>
      <c r="T84" s="35"/>
      <c r="U84" s="35"/>
      <c r="V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Q85" s="35"/>
      <c r="R85" s="35"/>
      <c r="S85" s="35"/>
      <c r="T85" s="35"/>
      <c r="U85" s="35"/>
      <c r="V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Q86" s="35"/>
      <c r="R86" s="35"/>
      <c r="S86" s="35"/>
      <c r="T86" s="35"/>
      <c r="U86" s="35"/>
      <c r="V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Q87" s="35"/>
      <c r="R87" s="35"/>
      <c r="S87" s="35"/>
      <c r="T87" s="35"/>
      <c r="U87" s="35"/>
      <c r="V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62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439002.85662744858</v>
      </c>
      <c r="R89" s="37">
        <f t="shared" si="8"/>
        <v>403616.2003721004</v>
      </c>
      <c r="S89" s="37">
        <f t="shared" si="8"/>
        <v>362197.83226479194</v>
      </c>
      <c r="T89" s="37">
        <f t="shared" si="8"/>
        <v>329809.36843843543</v>
      </c>
      <c r="U89" s="37">
        <f t="shared" si="8"/>
        <v>1319197.6312437584</v>
      </c>
      <c r="V89" s="37">
        <f t="shared" si="8"/>
        <v>1422401.8446578321</v>
      </c>
      <c r="X89" s="37">
        <f t="shared" si="7"/>
        <v>3837222.8769769184</v>
      </c>
    </row>
    <row r="91" spans="1:61">
      <c r="B91" s="5" t="s">
        <v>76</v>
      </c>
    </row>
    <row r="92" spans="1:61" s="1" customFormat="1">
      <c r="A92" s="4"/>
      <c r="B92" s="2" t="s">
        <v>77</v>
      </c>
    </row>
    <row r="94" spans="1:61">
      <c r="H94" s="190" t="s">
        <v>52</v>
      </c>
      <c r="I94" s="190"/>
      <c r="J94" s="190"/>
      <c r="K94" s="190"/>
      <c r="L94" s="190"/>
      <c r="M94" s="190" t="s">
        <v>53</v>
      </c>
      <c r="N94" s="190"/>
      <c r="O94" s="190"/>
      <c r="P94" s="190"/>
      <c r="Q94" s="190"/>
      <c r="R94" s="190" t="s">
        <v>54</v>
      </c>
      <c r="S94" s="190"/>
      <c r="T94" s="190"/>
      <c r="U94" s="190"/>
      <c r="V94" s="190"/>
      <c r="X94" s="38"/>
    </row>
    <row r="95" spans="1:61">
      <c r="B95" s="42" t="s">
        <v>79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63</v>
      </c>
    </row>
    <row r="96" spans="1:61">
      <c r="B96" s="5" t="s">
        <v>46</v>
      </c>
      <c r="D96" s="29" t="s">
        <v>55</v>
      </c>
      <c r="H96" s="16" t="s">
        <v>12</v>
      </c>
      <c r="I96" s="16" t="s">
        <v>12</v>
      </c>
      <c r="J96" s="16" t="s">
        <v>12</v>
      </c>
      <c r="K96" s="16" t="s">
        <v>12</v>
      </c>
      <c r="L96" s="16" t="s">
        <v>12</v>
      </c>
      <c r="M96" s="16" t="s">
        <v>12</v>
      </c>
      <c r="N96" s="16" t="s">
        <v>12</v>
      </c>
      <c r="O96" s="16" t="s">
        <v>12</v>
      </c>
      <c r="P96" s="16" t="s">
        <v>13</v>
      </c>
      <c r="Q96" s="16" t="s">
        <v>13</v>
      </c>
      <c r="R96" s="16" t="s">
        <v>13</v>
      </c>
      <c r="S96" s="16" t="s">
        <v>13</v>
      </c>
      <c r="T96" s="16" t="s">
        <v>13</v>
      </c>
      <c r="U96" s="16" t="s">
        <v>13</v>
      </c>
      <c r="V96" s="16" t="s">
        <v>13</v>
      </c>
      <c r="X96" s="34" t="s">
        <v>13</v>
      </c>
    </row>
    <row r="97" spans="2:24">
      <c r="B97" s="4" t="str">
        <f>IF(B10&lt;&gt;"",B10,"[blank]")</f>
        <v>SCADA</v>
      </c>
      <c r="D97" s="31" t="s">
        <v>60</v>
      </c>
      <c r="O97" s="35"/>
      <c r="P97" s="35">
        <f t="shared" ref="P97:V97" si="9">$D10*P73</f>
        <v>0</v>
      </c>
      <c r="Q97" s="35">
        <f t="shared" si="9"/>
        <v>13170.085698823457</v>
      </c>
      <c r="R97" s="35">
        <f t="shared" si="9"/>
        <v>12108.486011163011</v>
      </c>
      <c r="S97" s="35">
        <f t="shared" si="9"/>
        <v>10865.934967943758</v>
      </c>
      <c r="T97" s="35">
        <f t="shared" si="9"/>
        <v>9894.2810531530631</v>
      </c>
      <c r="U97" s="35">
        <f t="shared" si="9"/>
        <v>39575.928937312747</v>
      </c>
      <c r="V97" s="35">
        <f t="shared" si="9"/>
        <v>42672.055339734958</v>
      </c>
      <c r="X97" s="40">
        <f>SUM(R97:V97)</f>
        <v>115116.68630930754</v>
      </c>
    </row>
    <row r="98" spans="2:24">
      <c r="B98" s="4" t="str">
        <f t="shared" ref="B98:B111" si="10">IF(B11&lt;&gt;"",B11,"[blank]")</f>
        <v>[blank]</v>
      </c>
      <c r="D98" s="31"/>
      <c r="O98" s="50"/>
      <c r="P98" s="35"/>
      <c r="Q98" s="35"/>
      <c r="R98" s="35"/>
      <c r="S98" s="35"/>
      <c r="T98" s="35"/>
      <c r="U98" s="35"/>
      <c r="V98" s="35"/>
      <c r="X98" s="40">
        <f t="shared" ref="X98:X111" si="11">SUM(R98:V98)</f>
        <v>0</v>
      </c>
    </row>
    <row r="99" spans="2:24">
      <c r="B99" s="4" t="str">
        <f t="shared" si="10"/>
        <v>[blank]</v>
      </c>
      <c r="D99" s="31"/>
      <c r="P99" s="35"/>
      <c r="Q99" s="35"/>
      <c r="R99" s="35"/>
      <c r="S99" s="35"/>
      <c r="T99" s="35"/>
      <c r="U99" s="35"/>
      <c r="V99" s="35"/>
      <c r="X99" s="40">
        <f t="shared" si="11"/>
        <v>0</v>
      </c>
    </row>
    <row r="100" spans="2:24">
      <c r="B100" s="4" t="str">
        <f t="shared" si="10"/>
        <v>[blank]</v>
      </c>
      <c r="D100" s="31"/>
      <c r="P100" s="35"/>
      <c r="Q100" s="35"/>
      <c r="R100" s="35"/>
      <c r="S100" s="35"/>
      <c r="T100" s="35"/>
      <c r="U100" s="35"/>
      <c r="V100" s="35"/>
      <c r="X100" s="40">
        <f t="shared" si="11"/>
        <v>0</v>
      </c>
    </row>
    <row r="101" spans="2:24">
      <c r="B101" s="4" t="str">
        <f t="shared" si="10"/>
        <v>[blank]</v>
      </c>
      <c r="D101" s="31"/>
      <c r="P101" s="35"/>
      <c r="Q101" s="35"/>
      <c r="R101" s="35"/>
      <c r="S101" s="35"/>
      <c r="T101" s="35"/>
      <c r="U101" s="35"/>
      <c r="V101" s="35"/>
      <c r="X101" s="40">
        <f t="shared" si="11"/>
        <v>0</v>
      </c>
    </row>
    <row r="102" spans="2:24">
      <c r="B102" s="4" t="str">
        <f t="shared" si="10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1"/>
        <v>0</v>
      </c>
    </row>
    <row r="103" spans="2:24">
      <c r="B103" s="4" t="str">
        <f t="shared" si="10"/>
        <v>[blank]</v>
      </c>
      <c r="P103" s="35"/>
      <c r="Q103" s="35"/>
      <c r="R103" s="35"/>
      <c r="S103" s="35"/>
      <c r="T103" s="35"/>
      <c r="U103" s="35"/>
      <c r="V103" s="35"/>
      <c r="X103" s="40">
        <f t="shared" si="11"/>
        <v>0</v>
      </c>
    </row>
    <row r="104" spans="2:24">
      <c r="B104" s="4" t="str">
        <f t="shared" si="10"/>
        <v>[blank]</v>
      </c>
      <c r="P104" s="35"/>
      <c r="Q104" s="35"/>
      <c r="R104" s="35"/>
      <c r="S104" s="35"/>
      <c r="T104" s="35"/>
      <c r="U104" s="35"/>
      <c r="V104" s="35"/>
      <c r="X104" s="40">
        <f t="shared" si="11"/>
        <v>0</v>
      </c>
    </row>
    <row r="105" spans="2:24">
      <c r="B105" s="4" t="str">
        <f t="shared" si="10"/>
        <v>[blank]</v>
      </c>
      <c r="P105" s="35"/>
      <c r="Q105" s="35"/>
      <c r="R105" s="35"/>
      <c r="S105" s="35"/>
      <c r="T105" s="35"/>
      <c r="U105" s="35"/>
      <c r="V105" s="35"/>
      <c r="X105" s="40">
        <f t="shared" si="11"/>
        <v>0</v>
      </c>
    </row>
    <row r="106" spans="2:24">
      <c r="B106" s="4" t="str">
        <f t="shared" si="10"/>
        <v>[blank]</v>
      </c>
      <c r="P106" s="35"/>
      <c r="Q106" s="35"/>
      <c r="R106" s="35"/>
      <c r="S106" s="35"/>
      <c r="T106" s="35"/>
      <c r="U106" s="35"/>
      <c r="V106" s="35"/>
      <c r="X106" s="40">
        <f t="shared" si="11"/>
        <v>0</v>
      </c>
    </row>
    <row r="107" spans="2:24">
      <c r="B107" s="4" t="str">
        <f t="shared" si="10"/>
        <v>[blank]</v>
      </c>
      <c r="P107" s="35"/>
      <c r="Q107" s="35"/>
      <c r="R107" s="35"/>
      <c r="S107" s="35"/>
      <c r="T107" s="35"/>
      <c r="U107" s="35"/>
      <c r="V107" s="35"/>
      <c r="X107" s="40">
        <f t="shared" si="11"/>
        <v>0</v>
      </c>
    </row>
    <row r="108" spans="2:24">
      <c r="B108" s="4" t="str">
        <f t="shared" si="10"/>
        <v>[blank]</v>
      </c>
      <c r="P108" s="35"/>
      <c r="Q108" s="35"/>
      <c r="R108" s="35"/>
      <c r="S108" s="35"/>
      <c r="T108" s="35"/>
      <c r="U108" s="35"/>
      <c r="V108" s="35"/>
      <c r="X108" s="40">
        <f t="shared" si="11"/>
        <v>0</v>
      </c>
    </row>
    <row r="109" spans="2:24">
      <c r="B109" s="4" t="str">
        <f t="shared" si="10"/>
        <v>[blank]</v>
      </c>
      <c r="P109" s="35"/>
      <c r="Q109" s="35"/>
      <c r="R109" s="35"/>
      <c r="S109" s="35"/>
      <c r="T109" s="35"/>
      <c r="U109" s="35"/>
      <c r="V109" s="35"/>
      <c r="X109" s="40">
        <f t="shared" si="11"/>
        <v>0</v>
      </c>
    </row>
    <row r="110" spans="2:24">
      <c r="B110" s="4" t="str">
        <f t="shared" si="10"/>
        <v>[blank]</v>
      </c>
      <c r="P110" s="35"/>
      <c r="Q110" s="35"/>
      <c r="R110" s="35"/>
      <c r="S110" s="35"/>
      <c r="T110" s="35"/>
      <c r="U110" s="35"/>
      <c r="V110" s="35"/>
      <c r="X110" s="40">
        <f t="shared" si="11"/>
        <v>0</v>
      </c>
    </row>
    <row r="111" spans="2:24">
      <c r="B111" s="4" t="str">
        <f t="shared" si="10"/>
        <v>[blank]</v>
      </c>
      <c r="P111" s="35"/>
      <c r="Q111" s="35"/>
      <c r="R111" s="35"/>
      <c r="S111" s="35"/>
      <c r="T111" s="35"/>
      <c r="U111" s="35"/>
      <c r="V111" s="35"/>
      <c r="X111" s="40">
        <f t="shared" si="11"/>
        <v>0</v>
      </c>
    </row>
    <row r="113" spans="1:24" ht="12.75" thickBot="1">
      <c r="B113" s="5" t="s">
        <v>78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2">SUM(P97:P111)</f>
        <v>0</v>
      </c>
      <c r="Q113" s="37">
        <f t="shared" si="12"/>
        <v>13170.085698823457</v>
      </c>
      <c r="R113" s="37">
        <f t="shared" si="12"/>
        <v>12108.486011163011</v>
      </c>
      <c r="S113" s="37">
        <f t="shared" si="12"/>
        <v>10865.934967943758</v>
      </c>
      <c r="T113" s="37">
        <f t="shared" si="12"/>
        <v>9894.2810531530631</v>
      </c>
      <c r="U113" s="37">
        <f t="shared" si="12"/>
        <v>39575.928937312747</v>
      </c>
      <c r="V113" s="37">
        <f t="shared" si="12"/>
        <v>42672.055339734958</v>
      </c>
      <c r="X113" s="37">
        <f t="shared" ref="X113" si="13">SUM(R113:V113)</f>
        <v>115116.68630930754</v>
      </c>
    </row>
    <row r="115" spans="1:24" s="1" customFormat="1">
      <c r="A115" s="4"/>
      <c r="B115" s="2" t="s">
        <v>80</v>
      </c>
    </row>
    <row r="117" spans="1:24">
      <c r="H117" s="190" t="s">
        <v>52</v>
      </c>
      <c r="I117" s="190"/>
      <c r="J117" s="190"/>
      <c r="K117" s="190"/>
      <c r="L117" s="190"/>
      <c r="M117" s="190" t="s">
        <v>53</v>
      </c>
      <c r="N117" s="190"/>
      <c r="O117" s="190"/>
      <c r="P117" s="190"/>
      <c r="Q117" s="190"/>
      <c r="R117" s="190" t="s">
        <v>54</v>
      </c>
      <c r="S117" s="190"/>
      <c r="T117" s="190"/>
      <c r="U117" s="190"/>
      <c r="V117" s="190"/>
      <c r="X117" s="38"/>
    </row>
    <row r="118" spans="1:24">
      <c r="B118" s="43" t="s">
        <v>81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63</v>
      </c>
    </row>
    <row r="119" spans="1:24">
      <c r="B119" s="5" t="s">
        <v>46</v>
      </c>
      <c r="D119" s="29" t="s">
        <v>55</v>
      </c>
      <c r="H119" s="16" t="s">
        <v>12</v>
      </c>
      <c r="I119" s="16" t="s">
        <v>12</v>
      </c>
      <c r="J119" s="16" t="s">
        <v>12</v>
      </c>
      <c r="K119" s="16" t="s">
        <v>12</v>
      </c>
      <c r="L119" s="16" t="s">
        <v>12</v>
      </c>
      <c r="M119" s="16" t="s">
        <v>12</v>
      </c>
      <c r="N119" s="16" t="s">
        <v>12</v>
      </c>
      <c r="O119" s="16" t="s">
        <v>12</v>
      </c>
      <c r="P119" s="16" t="s">
        <v>13</v>
      </c>
      <c r="Q119" s="16" t="s">
        <v>13</v>
      </c>
      <c r="R119" s="16" t="s">
        <v>13</v>
      </c>
      <c r="S119" s="16" t="s">
        <v>13</v>
      </c>
      <c r="T119" s="16" t="s">
        <v>13</v>
      </c>
      <c r="U119" s="16" t="s">
        <v>13</v>
      </c>
      <c r="V119" s="16" t="s">
        <v>13</v>
      </c>
      <c r="X119" s="34" t="s">
        <v>13</v>
      </c>
    </row>
    <row r="120" spans="1:24">
      <c r="B120" s="4" t="str">
        <f>IF(B10&lt;&gt;"",B10,"[blank]")</f>
        <v>SCADA</v>
      </c>
      <c r="D120" s="31" t="s">
        <v>60</v>
      </c>
      <c r="O120" s="35"/>
      <c r="P120" s="35">
        <f t="shared" ref="P120:V120" si="14">$E10*P73</f>
        <v>0</v>
      </c>
      <c r="Q120" s="35">
        <f t="shared" si="14"/>
        <v>250231.62827764568</v>
      </c>
      <c r="R120" s="35">
        <f t="shared" si="14"/>
        <v>230061.23421209722</v>
      </c>
      <c r="S120" s="35">
        <f t="shared" si="14"/>
        <v>206452.76439093138</v>
      </c>
      <c r="T120" s="35">
        <f t="shared" si="14"/>
        <v>187991.34000990819</v>
      </c>
      <c r="U120" s="35">
        <f t="shared" si="14"/>
        <v>751942.64980894222</v>
      </c>
      <c r="V120" s="35">
        <f t="shared" si="14"/>
        <v>810769.05145496421</v>
      </c>
      <c r="X120" s="40">
        <f>SUM(R120:V120)</f>
        <v>2187217.0398768433</v>
      </c>
    </row>
    <row r="121" spans="1:24">
      <c r="B121" s="4" t="str">
        <f t="shared" ref="B121:B134" si="15">IF(B11&lt;&gt;"",B11,"[blank]")</f>
        <v>[blank]</v>
      </c>
      <c r="D121" s="31"/>
      <c r="O121" s="50"/>
      <c r="P121" s="35"/>
      <c r="Q121" s="35"/>
      <c r="R121" s="35"/>
      <c r="S121" s="35"/>
      <c r="T121" s="35"/>
      <c r="U121" s="35"/>
      <c r="V121" s="35"/>
      <c r="X121" s="40">
        <f t="shared" ref="X121:X134" si="16">SUM(R121:V121)</f>
        <v>0</v>
      </c>
    </row>
    <row r="122" spans="1:24">
      <c r="B122" s="4" t="str">
        <f t="shared" si="15"/>
        <v>[blank]</v>
      </c>
      <c r="D122" s="31"/>
      <c r="P122" s="35"/>
      <c r="Q122" s="35"/>
      <c r="R122" s="35"/>
      <c r="S122" s="35"/>
      <c r="T122" s="35"/>
      <c r="U122" s="35"/>
      <c r="V122" s="35"/>
      <c r="X122" s="40">
        <f t="shared" si="16"/>
        <v>0</v>
      </c>
    </row>
    <row r="123" spans="1:24">
      <c r="B123" s="4" t="str">
        <f t="shared" si="15"/>
        <v>[blank]</v>
      </c>
      <c r="D123" s="31"/>
      <c r="P123" s="35"/>
      <c r="Q123" s="35"/>
      <c r="R123" s="35"/>
      <c r="S123" s="35"/>
      <c r="T123" s="35"/>
      <c r="U123" s="35"/>
      <c r="V123" s="35"/>
      <c r="X123" s="40">
        <f t="shared" si="16"/>
        <v>0</v>
      </c>
    </row>
    <row r="124" spans="1:24">
      <c r="B124" s="4" t="str">
        <f t="shared" si="15"/>
        <v>[blank]</v>
      </c>
      <c r="D124" s="31"/>
      <c r="P124" s="35"/>
      <c r="Q124" s="35"/>
      <c r="R124" s="35"/>
      <c r="S124" s="35"/>
      <c r="T124" s="35"/>
      <c r="U124" s="35"/>
      <c r="V124" s="35"/>
      <c r="X124" s="40">
        <f t="shared" si="16"/>
        <v>0</v>
      </c>
    </row>
    <row r="125" spans="1:24">
      <c r="B125" s="4" t="str">
        <f t="shared" si="15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6"/>
        <v>0</v>
      </c>
    </row>
    <row r="126" spans="1:24">
      <c r="B126" s="4" t="str">
        <f t="shared" si="15"/>
        <v>[blank]</v>
      </c>
      <c r="P126" s="35"/>
      <c r="Q126" s="35"/>
      <c r="R126" s="35"/>
      <c r="S126" s="35"/>
      <c r="T126" s="35"/>
      <c r="U126" s="35"/>
      <c r="V126" s="35"/>
      <c r="X126" s="40">
        <f t="shared" si="16"/>
        <v>0</v>
      </c>
    </row>
    <row r="127" spans="1:24">
      <c r="B127" s="4" t="str">
        <f t="shared" si="15"/>
        <v>[blank]</v>
      </c>
      <c r="P127" s="35"/>
      <c r="Q127" s="35"/>
      <c r="R127" s="35"/>
      <c r="S127" s="35"/>
      <c r="T127" s="35"/>
      <c r="U127" s="35"/>
      <c r="V127" s="35"/>
      <c r="X127" s="40">
        <f t="shared" si="16"/>
        <v>0</v>
      </c>
    </row>
    <row r="128" spans="1:24">
      <c r="B128" s="4" t="str">
        <f t="shared" si="15"/>
        <v>[blank]</v>
      </c>
      <c r="P128" s="35"/>
      <c r="Q128" s="35"/>
      <c r="R128" s="35"/>
      <c r="S128" s="35"/>
      <c r="T128" s="35"/>
      <c r="U128" s="35"/>
      <c r="V128" s="35"/>
      <c r="X128" s="40">
        <f t="shared" si="16"/>
        <v>0</v>
      </c>
    </row>
    <row r="129" spans="1:24">
      <c r="B129" s="4" t="str">
        <f t="shared" si="15"/>
        <v>[blank]</v>
      </c>
      <c r="P129" s="35"/>
      <c r="Q129" s="35"/>
      <c r="R129" s="35"/>
      <c r="S129" s="35"/>
      <c r="T129" s="35"/>
      <c r="U129" s="35"/>
      <c r="V129" s="35"/>
      <c r="X129" s="40">
        <f t="shared" si="16"/>
        <v>0</v>
      </c>
    </row>
    <row r="130" spans="1:24">
      <c r="B130" s="4" t="str">
        <f t="shared" si="15"/>
        <v>[blank]</v>
      </c>
      <c r="P130" s="35"/>
      <c r="Q130" s="35"/>
      <c r="R130" s="35"/>
      <c r="S130" s="35"/>
      <c r="T130" s="35"/>
      <c r="U130" s="35"/>
      <c r="V130" s="35"/>
      <c r="X130" s="40">
        <f t="shared" si="16"/>
        <v>0</v>
      </c>
    </row>
    <row r="131" spans="1:24">
      <c r="B131" s="4" t="str">
        <f t="shared" si="15"/>
        <v>[blank]</v>
      </c>
      <c r="P131" s="35"/>
      <c r="Q131" s="35"/>
      <c r="R131" s="35"/>
      <c r="S131" s="35"/>
      <c r="T131" s="35"/>
      <c r="U131" s="35"/>
      <c r="V131" s="35"/>
      <c r="X131" s="40">
        <f t="shared" si="16"/>
        <v>0</v>
      </c>
    </row>
    <row r="132" spans="1:24">
      <c r="B132" s="4" t="str">
        <f t="shared" si="15"/>
        <v>[blank]</v>
      </c>
      <c r="P132" s="35"/>
      <c r="Q132" s="35"/>
      <c r="R132" s="35"/>
      <c r="S132" s="35"/>
      <c r="T132" s="35"/>
      <c r="U132" s="35"/>
      <c r="V132" s="35"/>
      <c r="X132" s="40">
        <f t="shared" si="16"/>
        <v>0</v>
      </c>
    </row>
    <row r="133" spans="1:24">
      <c r="B133" s="4" t="str">
        <f t="shared" si="15"/>
        <v>[blank]</v>
      </c>
      <c r="P133" s="35"/>
      <c r="Q133" s="35"/>
      <c r="R133" s="35"/>
      <c r="S133" s="35"/>
      <c r="T133" s="35"/>
      <c r="U133" s="35"/>
      <c r="V133" s="35"/>
      <c r="X133" s="40">
        <f t="shared" si="16"/>
        <v>0</v>
      </c>
    </row>
    <row r="134" spans="1:24">
      <c r="B134" s="4" t="str">
        <f t="shared" si="15"/>
        <v>[blank]</v>
      </c>
      <c r="P134" s="35"/>
      <c r="Q134" s="35"/>
      <c r="R134" s="35"/>
      <c r="S134" s="35"/>
      <c r="T134" s="35"/>
      <c r="U134" s="35"/>
      <c r="V134" s="35"/>
      <c r="X134" s="40">
        <f t="shared" si="16"/>
        <v>0</v>
      </c>
    </row>
    <row r="136" spans="1:24" ht="12.75" thickBot="1">
      <c r="B136" s="5" t="s">
        <v>82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250231.62827764568</v>
      </c>
      <c r="R136" s="37">
        <f t="shared" si="17"/>
        <v>230061.23421209722</v>
      </c>
      <c r="S136" s="37">
        <f t="shared" si="17"/>
        <v>206452.76439093138</v>
      </c>
      <c r="T136" s="37">
        <f t="shared" si="17"/>
        <v>187991.34000990819</v>
      </c>
      <c r="U136" s="37">
        <f t="shared" si="17"/>
        <v>751942.64980894222</v>
      </c>
      <c r="V136" s="37">
        <f t="shared" si="17"/>
        <v>810769.05145496421</v>
      </c>
      <c r="X136" s="37">
        <f t="shared" ref="X136" si="18">SUM(R136:V136)</f>
        <v>2187217.0398768433</v>
      </c>
    </row>
    <row r="138" spans="1:24" s="1" customFormat="1">
      <c r="A138" s="4"/>
      <c r="B138" s="2" t="s">
        <v>83</v>
      </c>
    </row>
    <row r="140" spans="1:24">
      <c r="H140" s="190" t="s">
        <v>52</v>
      </c>
      <c r="I140" s="190"/>
      <c r="J140" s="190"/>
      <c r="K140" s="190"/>
      <c r="L140" s="190"/>
      <c r="M140" s="190" t="s">
        <v>53</v>
      </c>
      <c r="N140" s="190"/>
      <c r="O140" s="190"/>
      <c r="P140" s="190"/>
      <c r="Q140" s="190"/>
      <c r="R140" s="190" t="s">
        <v>54</v>
      </c>
      <c r="S140" s="190"/>
      <c r="T140" s="190"/>
      <c r="U140" s="190"/>
      <c r="V140" s="190"/>
      <c r="X140" s="38"/>
    </row>
    <row r="141" spans="1:24">
      <c r="B141" s="43" t="s">
        <v>84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63</v>
      </c>
    </row>
    <row r="142" spans="1:24">
      <c r="B142" s="5" t="s">
        <v>46</v>
      </c>
      <c r="D142" s="29" t="s">
        <v>55</v>
      </c>
      <c r="H142" s="16" t="s">
        <v>12</v>
      </c>
      <c r="I142" s="16" t="s">
        <v>12</v>
      </c>
      <c r="J142" s="16" t="s">
        <v>12</v>
      </c>
      <c r="K142" s="16" t="s">
        <v>12</v>
      </c>
      <c r="L142" s="16" t="s">
        <v>12</v>
      </c>
      <c r="M142" s="16" t="s">
        <v>12</v>
      </c>
      <c r="N142" s="16" t="s">
        <v>12</v>
      </c>
      <c r="O142" s="16" t="s">
        <v>12</v>
      </c>
      <c r="P142" s="16" t="s">
        <v>13</v>
      </c>
      <c r="Q142" s="16" t="s">
        <v>13</v>
      </c>
      <c r="R142" s="16" t="s">
        <v>13</v>
      </c>
      <c r="S142" s="16" t="s">
        <v>13</v>
      </c>
      <c r="T142" s="16" t="s">
        <v>13</v>
      </c>
      <c r="U142" s="16" t="s">
        <v>13</v>
      </c>
      <c r="V142" s="16" t="s">
        <v>13</v>
      </c>
      <c r="X142" s="34" t="s">
        <v>13</v>
      </c>
    </row>
    <row r="143" spans="1:24">
      <c r="B143" s="4" t="str">
        <f>IF(B10&lt;&gt;"",B10,"[blank]")</f>
        <v>SCADA</v>
      </c>
      <c r="D143" s="31" t="s">
        <v>60</v>
      </c>
      <c r="O143" s="35"/>
      <c r="P143" s="35">
        <f>P97+P120</f>
        <v>0</v>
      </c>
      <c r="Q143" s="35">
        <f t="shared" ref="Q143:V143" si="19">Q97+Q120</f>
        <v>263401.71397646912</v>
      </c>
      <c r="R143" s="35">
        <f t="shared" si="19"/>
        <v>242169.72022326023</v>
      </c>
      <c r="S143" s="35">
        <f t="shared" si="19"/>
        <v>217318.69935887514</v>
      </c>
      <c r="T143" s="35">
        <f t="shared" si="19"/>
        <v>197885.62106306126</v>
      </c>
      <c r="U143" s="35">
        <f t="shared" si="19"/>
        <v>791518.57874625502</v>
      </c>
      <c r="V143" s="35">
        <f t="shared" si="19"/>
        <v>853441.10679469921</v>
      </c>
      <c r="X143" s="40">
        <f>SUM(R143:V143)</f>
        <v>2302333.7261861507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35"/>
      <c r="Q144" s="35"/>
      <c r="R144" s="35"/>
      <c r="S144" s="35"/>
      <c r="T144" s="35"/>
      <c r="U144" s="35"/>
      <c r="V144" s="35"/>
      <c r="X144" s="40">
        <f t="shared" ref="X144:X157" si="21">SUM(R144:V144)</f>
        <v>0</v>
      </c>
    </row>
    <row r="145" spans="2:24">
      <c r="B145" s="4" t="str">
        <f t="shared" si="20"/>
        <v>[blank]</v>
      </c>
      <c r="D145" s="31"/>
      <c r="P145" s="35"/>
      <c r="Q145" s="35"/>
      <c r="R145" s="35"/>
      <c r="S145" s="35"/>
      <c r="T145" s="35"/>
      <c r="U145" s="35"/>
      <c r="V145" s="35"/>
      <c r="X145" s="40">
        <f t="shared" si="21"/>
        <v>0</v>
      </c>
    </row>
    <row r="146" spans="2:24">
      <c r="B146" s="4" t="str">
        <f t="shared" si="20"/>
        <v>[blank]</v>
      </c>
      <c r="D146" s="31"/>
      <c r="P146" s="35"/>
      <c r="Q146" s="35"/>
      <c r="R146" s="35"/>
      <c r="S146" s="35"/>
      <c r="T146" s="35"/>
      <c r="U146" s="35"/>
      <c r="V146" s="35"/>
      <c r="X146" s="40">
        <f t="shared" si="21"/>
        <v>0</v>
      </c>
    </row>
    <row r="147" spans="2:24">
      <c r="B147" s="4" t="str">
        <f t="shared" si="20"/>
        <v>[blank]</v>
      </c>
      <c r="D147" s="31"/>
      <c r="P147" s="35"/>
      <c r="Q147" s="35"/>
      <c r="R147" s="35"/>
      <c r="S147" s="35"/>
      <c r="T147" s="35"/>
      <c r="U147" s="35"/>
      <c r="V147" s="35"/>
      <c r="X147" s="40">
        <f t="shared" si="21"/>
        <v>0</v>
      </c>
    </row>
    <row r="148" spans="2:24">
      <c r="B148" s="4" t="str">
        <f t="shared" si="20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1"/>
        <v>0</v>
      </c>
    </row>
    <row r="149" spans="2:24">
      <c r="B149" s="4" t="str">
        <f t="shared" si="20"/>
        <v>[blank]</v>
      </c>
      <c r="P149" s="35"/>
      <c r="Q149" s="35"/>
      <c r="R149" s="35"/>
      <c r="S149" s="35"/>
      <c r="T149" s="35"/>
      <c r="U149" s="35"/>
      <c r="V149" s="35"/>
      <c r="X149" s="40">
        <f t="shared" si="21"/>
        <v>0</v>
      </c>
    </row>
    <row r="150" spans="2:24">
      <c r="B150" s="4" t="str">
        <f t="shared" si="20"/>
        <v>[blank]</v>
      </c>
      <c r="P150" s="35"/>
      <c r="Q150" s="35"/>
      <c r="R150" s="35"/>
      <c r="S150" s="35"/>
      <c r="T150" s="35"/>
      <c r="U150" s="35"/>
      <c r="V150" s="35"/>
      <c r="X150" s="40">
        <f t="shared" si="21"/>
        <v>0</v>
      </c>
    </row>
    <row r="151" spans="2:24">
      <c r="B151" s="4" t="str">
        <f t="shared" si="20"/>
        <v>[blank]</v>
      </c>
      <c r="P151" s="35"/>
      <c r="Q151" s="35"/>
      <c r="R151" s="35"/>
      <c r="S151" s="35"/>
      <c r="T151" s="35"/>
      <c r="U151" s="35"/>
      <c r="V151" s="35"/>
      <c r="X151" s="40">
        <f t="shared" si="21"/>
        <v>0</v>
      </c>
    </row>
    <row r="152" spans="2:24">
      <c r="B152" s="4" t="str">
        <f t="shared" si="20"/>
        <v>[blank]</v>
      </c>
      <c r="P152" s="35"/>
      <c r="Q152" s="35"/>
      <c r="R152" s="35"/>
      <c r="S152" s="35"/>
      <c r="T152" s="35"/>
      <c r="U152" s="35"/>
      <c r="V152" s="35"/>
      <c r="X152" s="40">
        <f t="shared" si="21"/>
        <v>0</v>
      </c>
    </row>
    <row r="153" spans="2:24">
      <c r="B153" s="4" t="str">
        <f t="shared" si="20"/>
        <v>[blank]</v>
      </c>
      <c r="P153" s="35"/>
      <c r="Q153" s="35"/>
      <c r="R153" s="35"/>
      <c r="S153" s="35"/>
      <c r="T153" s="35"/>
      <c r="U153" s="35"/>
      <c r="V153" s="35"/>
      <c r="X153" s="40">
        <f t="shared" si="21"/>
        <v>0</v>
      </c>
    </row>
    <row r="154" spans="2:24">
      <c r="B154" s="4" t="str">
        <f t="shared" si="20"/>
        <v>[blank]</v>
      </c>
      <c r="P154" s="35"/>
      <c r="Q154" s="35"/>
      <c r="R154" s="35"/>
      <c r="S154" s="35"/>
      <c r="T154" s="35"/>
      <c r="U154" s="35"/>
      <c r="V154" s="35"/>
      <c r="X154" s="40">
        <f t="shared" si="21"/>
        <v>0</v>
      </c>
    </row>
    <row r="155" spans="2:24">
      <c r="B155" s="4" t="str">
        <f t="shared" si="20"/>
        <v>[blank]</v>
      </c>
      <c r="P155" s="35"/>
      <c r="Q155" s="35"/>
      <c r="R155" s="35"/>
      <c r="S155" s="35"/>
      <c r="T155" s="35"/>
      <c r="U155" s="35"/>
      <c r="V155" s="35"/>
      <c r="X155" s="40">
        <f t="shared" si="21"/>
        <v>0</v>
      </c>
    </row>
    <row r="156" spans="2:24">
      <c r="B156" s="4" t="str">
        <f t="shared" si="20"/>
        <v>[blank]</v>
      </c>
      <c r="P156" s="35"/>
      <c r="Q156" s="35"/>
      <c r="R156" s="35"/>
      <c r="S156" s="35"/>
      <c r="T156" s="35"/>
      <c r="U156" s="35"/>
      <c r="V156" s="35"/>
      <c r="X156" s="40">
        <f t="shared" si="21"/>
        <v>0</v>
      </c>
    </row>
    <row r="157" spans="2:24">
      <c r="B157" s="4" t="str">
        <f t="shared" si="20"/>
        <v>[blank]</v>
      </c>
      <c r="P157" s="35"/>
      <c r="Q157" s="35"/>
      <c r="R157" s="35"/>
      <c r="S157" s="35"/>
      <c r="T157" s="35"/>
      <c r="U157" s="35"/>
      <c r="V157" s="35"/>
      <c r="X157" s="40">
        <f t="shared" si="21"/>
        <v>0</v>
      </c>
    </row>
    <row r="159" spans="2:24" ht="12.75" thickBot="1">
      <c r="B159" s="5" t="s">
        <v>85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2">SUM(Q143:Q157)</f>
        <v>263401.71397646912</v>
      </c>
      <c r="R159" s="37">
        <f t="shared" si="22"/>
        <v>242169.72022326023</v>
      </c>
      <c r="S159" s="37">
        <f t="shared" si="22"/>
        <v>217318.69935887514</v>
      </c>
      <c r="T159" s="37">
        <f t="shared" si="22"/>
        <v>197885.62106306126</v>
      </c>
      <c r="U159" s="37">
        <f t="shared" si="22"/>
        <v>791518.57874625502</v>
      </c>
      <c r="V159" s="37">
        <f t="shared" si="22"/>
        <v>853441.10679469921</v>
      </c>
      <c r="X159" s="37">
        <f t="shared" ref="X159" si="23">SUM(R159:V159)</f>
        <v>2302333.7261861507</v>
      </c>
    </row>
    <row r="161" spans="1:24" s="1" customFormat="1">
      <c r="A161" s="4"/>
      <c r="B161" s="2" t="s">
        <v>86</v>
      </c>
    </row>
    <row r="163" spans="1:24">
      <c r="H163" s="190" t="s">
        <v>52</v>
      </c>
      <c r="I163" s="190"/>
      <c r="J163" s="190"/>
      <c r="K163" s="190"/>
      <c r="L163" s="190"/>
      <c r="M163" s="190" t="s">
        <v>53</v>
      </c>
      <c r="N163" s="190"/>
      <c r="O163" s="190"/>
      <c r="P163" s="190"/>
      <c r="Q163" s="190"/>
      <c r="R163" s="190" t="s">
        <v>54</v>
      </c>
      <c r="S163" s="190"/>
      <c r="T163" s="190"/>
      <c r="U163" s="190"/>
      <c r="V163" s="190"/>
      <c r="X163" s="38"/>
    </row>
    <row r="164" spans="1:24">
      <c r="B164" s="44" t="s">
        <v>50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63</v>
      </c>
    </row>
    <row r="165" spans="1:24">
      <c r="B165" s="5" t="s">
        <v>46</v>
      </c>
      <c r="D165" s="29" t="s">
        <v>55</v>
      </c>
      <c r="H165" s="16" t="s">
        <v>12</v>
      </c>
      <c r="I165" s="16" t="s">
        <v>12</v>
      </c>
      <c r="J165" s="16" t="s">
        <v>12</v>
      </c>
      <c r="K165" s="16" t="s">
        <v>12</v>
      </c>
      <c r="L165" s="16" t="s">
        <v>12</v>
      </c>
      <c r="M165" s="16" t="s">
        <v>12</v>
      </c>
      <c r="N165" s="16" t="s">
        <v>12</v>
      </c>
      <c r="O165" s="16" t="s">
        <v>12</v>
      </c>
      <c r="P165" s="16" t="s">
        <v>13</v>
      </c>
      <c r="Q165" s="16" t="s">
        <v>13</v>
      </c>
      <c r="R165" s="16" t="s">
        <v>13</v>
      </c>
      <c r="S165" s="16" t="s">
        <v>13</v>
      </c>
      <c r="T165" s="16" t="s">
        <v>13</v>
      </c>
      <c r="U165" s="16" t="s">
        <v>13</v>
      </c>
      <c r="V165" s="16" t="s">
        <v>13</v>
      </c>
      <c r="X165" s="34" t="s">
        <v>13</v>
      </c>
    </row>
    <row r="166" spans="1:24">
      <c r="B166" s="4" t="str">
        <f>IF(B10&lt;&gt;"",B10,"[blank]")</f>
        <v>SCADA</v>
      </c>
      <c r="D166" s="31" t="s">
        <v>60</v>
      </c>
      <c r="O166" s="35"/>
      <c r="P166" s="35">
        <f t="shared" ref="P166:V166" si="24">$G10*P73</f>
        <v>0</v>
      </c>
      <c r="Q166" s="35">
        <f t="shared" si="24"/>
        <v>175601.14265097945</v>
      </c>
      <c r="R166" s="35">
        <f t="shared" si="24"/>
        <v>161446.48014884017</v>
      </c>
      <c r="S166" s="35">
        <f t="shared" si="24"/>
        <v>144879.13290591678</v>
      </c>
      <c r="T166" s="35">
        <f t="shared" si="24"/>
        <v>131923.74737537417</v>
      </c>
      <c r="U166" s="35">
        <f t="shared" si="24"/>
        <v>527679.05249750335</v>
      </c>
      <c r="V166" s="35">
        <f t="shared" si="24"/>
        <v>568960.73786313285</v>
      </c>
      <c r="X166" s="40">
        <f>SUM(R166:V166)</f>
        <v>1534889.1507907673</v>
      </c>
    </row>
    <row r="167" spans="1:24">
      <c r="B167" s="4" t="str">
        <f t="shared" ref="B167:B180" si="25">IF(B11&lt;&gt;"",B11,"[blank]")</f>
        <v>[blank]</v>
      </c>
      <c r="D167" s="31"/>
      <c r="O167" s="50"/>
      <c r="P167" s="35"/>
      <c r="Q167" s="35"/>
      <c r="R167" s="35"/>
      <c r="S167" s="35"/>
      <c r="T167" s="35"/>
      <c r="U167" s="35"/>
      <c r="V167" s="35"/>
      <c r="X167" s="40">
        <f t="shared" ref="X167:X180" si="26">SUM(R167:V167)</f>
        <v>0</v>
      </c>
    </row>
    <row r="168" spans="1:24">
      <c r="B168" s="4" t="str">
        <f t="shared" si="25"/>
        <v>[blank]</v>
      </c>
      <c r="D168" s="31"/>
      <c r="P168" s="35"/>
      <c r="Q168" s="35"/>
      <c r="R168" s="35"/>
      <c r="S168" s="35"/>
      <c r="T168" s="35"/>
      <c r="U168" s="35"/>
      <c r="V168" s="35"/>
      <c r="X168" s="40">
        <f t="shared" si="26"/>
        <v>0</v>
      </c>
    </row>
    <row r="169" spans="1:24">
      <c r="B169" s="4" t="str">
        <f t="shared" si="25"/>
        <v>[blank]</v>
      </c>
      <c r="D169" s="31"/>
      <c r="P169" s="35"/>
      <c r="Q169" s="35"/>
      <c r="R169" s="35"/>
      <c r="S169" s="35"/>
      <c r="T169" s="35"/>
      <c r="U169" s="35"/>
      <c r="V169" s="35"/>
      <c r="X169" s="40">
        <f t="shared" si="26"/>
        <v>0</v>
      </c>
    </row>
    <row r="170" spans="1:24">
      <c r="B170" s="4" t="str">
        <f t="shared" si="25"/>
        <v>[blank]</v>
      </c>
      <c r="D170" s="31"/>
      <c r="P170" s="35"/>
      <c r="Q170" s="35"/>
      <c r="R170" s="35"/>
      <c r="S170" s="35"/>
      <c r="T170" s="35"/>
      <c r="U170" s="35"/>
      <c r="V170" s="35"/>
      <c r="X170" s="40">
        <f t="shared" si="26"/>
        <v>0</v>
      </c>
    </row>
    <row r="171" spans="1:24">
      <c r="B171" s="4" t="str">
        <f t="shared" si="25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6"/>
        <v>0</v>
      </c>
    </row>
    <row r="172" spans="1:24">
      <c r="B172" s="4" t="str">
        <f t="shared" si="25"/>
        <v>[blank]</v>
      </c>
      <c r="P172" s="35"/>
      <c r="Q172" s="35"/>
      <c r="R172" s="35"/>
      <c r="S172" s="35"/>
      <c r="T172" s="35"/>
      <c r="U172" s="35"/>
      <c r="V172" s="35"/>
      <c r="X172" s="40">
        <f t="shared" si="26"/>
        <v>0</v>
      </c>
    </row>
    <row r="173" spans="1:24">
      <c r="B173" s="4" t="str">
        <f t="shared" si="25"/>
        <v>[blank]</v>
      </c>
      <c r="P173" s="35"/>
      <c r="Q173" s="35"/>
      <c r="R173" s="35"/>
      <c r="S173" s="35"/>
      <c r="T173" s="35"/>
      <c r="U173" s="35"/>
      <c r="V173" s="35"/>
      <c r="X173" s="40">
        <f t="shared" si="26"/>
        <v>0</v>
      </c>
    </row>
    <row r="174" spans="1:24">
      <c r="B174" s="4" t="str">
        <f t="shared" si="25"/>
        <v>[blank]</v>
      </c>
      <c r="P174" s="35"/>
      <c r="Q174" s="35"/>
      <c r="R174" s="35"/>
      <c r="S174" s="35"/>
      <c r="T174" s="35"/>
      <c r="U174" s="35"/>
      <c r="V174" s="35"/>
      <c r="X174" s="40">
        <f t="shared" si="26"/>
        <v>0</v>
      </c>
    </row>
    <row r="175" spans="1:24">
      <c r="B175" s="4" t="str">
        <f t="shared" si="25"/>
        <v>[blank]</v>
      </c>
      <c r="P175" s="35"/>
      <c r="Q175" s="35"/>
      <c r="R175" s="35"/>
      <c r="S175" s="35"/>
      <c r="T175" s="35"/>
      <c r="U175" s="35"/>
      <c r="V175" s="35"/>
      <c r="X175" s="40">
        <f t="shared" si="26"/>
        <v>0</v>
      </c>
    </row>
    <row r="176" spans="1:24">
      <c r="B176" s="4" t="str">
        <f t="shared" si="25"/>
        <v>[blank]</v>
      </c>
      <c r="P176" s="35"/>
      <c r="Q176" s="35"/>
      <c r="R176" s="35"/>
      <c r="S176" s="35"/>
      <c r="T176" s="35"/>
      <c r="U176" s="35"/>
      <c r="V176" s="35"/>
      <c r="X176" s="40">
        <f t="shared" si="26"/>
        <v>0</v>
      </c>
    </row>
    <row r="177" spans="1:24">
      <c r="B177" s="4" t="str">
        <f t="shared" si="25"/>
        <v>[blank]</v>
      </c>
      <c r="P177" s="35"/>
      <c r="Q177" s="35"/>
      <c r="R177" s="35"/>
      <c r="S177" s="35"/>
      <c r="T177" s="35"/>
      <c r="U177" s="35"/>
      <c r="V177" s="35"/>
      <c r="X177" s="40">
        <f t="shared" si="26"/>
        <v>0</v>
      </c>
    </row>
    <row r="178" spans="1:24">
      <c r="B178" s="4" t="str">
        <f t="shared" si="25"/>
        <v>[blank]</v>
      </c>
      <c r="P178" s="35"/>
      <c r="Q178" s="35"/>
      <c r="R178" s="35"/>
      <c r="S178" s="35"/>
      <c r="T178" s="35"/>
      <c r="U178" s="35"/>
      <c r="V178" s="35"/>
      <c r="X178" s="40">
        <f t="shared" si="26"/>
        <v>0</v>
      </c>
    </row>
    <row r="179" spans="1:24">
      <c r="B179" s="4" t="str">
        <f t="shared" si="25"/>
        <v>[blank]</v>
      </c>
      <c r="P179" s="35"/>
      <c r="Q179" s="35"/>
      <c r="R179" s="35"/>
      <c r="S179" s="35"/>
      <c r="T179" s="35"/>
      <c r="U179" s="35"/>
      <c r="V179" s="35"/>
      <c r="X179" s="40">
        <f t="shared" si="26"/>
        <v>0</v>
      </c>
    </row>
    <row r="180" spans="1:24">
      <c r="B180" s="4" t="str">
        <f t="shared" si="25"/>
        <v>[blank]</v>
      </c>
      <c r="P180" s="35"/>
      <c r="Q180" s="35"/>
      <c r="R180" s="35"/>
      <c r="S180" s="35"/>
      <c r="T180" s="35"/>
      <c r="U180" s="35"/>
      <c r="V180" s="35"/>
      <c r="X180" s="40">
        <f t="shared" si="26"/>
        <v>0</v>
      </c>
    </row>
    <row r="182" spans="1:24" ht="12.75" thickBot="1">
      <c r="B182" s="5" t="s">
        <v>87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7">SUM(Q166:Q180)</f>
        <v>175601.14265097945</v>
      </c>
      <c r="R182" s="37">
        <f t="shared" si="27"/>
        <v>161446.48014884017</v>
      </c>
      <c r="S182" s="37">
        <f t="shared" si="27"/>
        <v>144879.13290591678</v>
      </c>
      <c r="T182" s="37">
        <f t="shared" si="27"/>
        <v>131923.74737537417</v>
      </c>
      <c r="U182" s="37">
        <f t="shared" si="27"/>
        <v>527679.05249750335</v>
      </c>
      <c r="V182" s="37">
        <f t="shared" si="27"/>
        <v>568960.73786313285</v>
      </c>
      <c r="X182" s="37">
        <f t="shared" ref="X182" si="28">SUM(R182:V182)</f>
        <v>1534889.1507907673</v>
      </c>
    </row>
    <row r="184" spans="1:24" s="1" customFormat="1">
      <c r="A184" s="2">
        <v>6</v>
      </c>
      <c r="B184" s="2" t="s">
        <v>89</v>
      </c>
    </row>
    <row r="186" spans="1:24">
      <c r="H186" s="190" t="s">
        <v>52</v>
      </c>
      <c r="I186" s="190"/>
      <c r="J186" s="190"/>
      <c r="K186" s="190"/>
      <c r="L186" s="190"/>
      <c r="M186" s="190" t="s">
        <v>53</v>
      </c>
      <c r="N186" s="190"/>
      <c r="O186" s="190"/>
      <c r="P186" s="190"/>
      <c r="Q186" s="190"/>
      <c r="R186" s="190" t="s">
        <v>54</v>
      </c>
      <c r="S186" s="190"/>
      <c r="T186" s="190"/>
      <c r="U186" s="190"/>
      <c r="V186" s="190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63</v>
      </c>
    </row>
    <row r="188" spans="1:24">
      <c r="B188" s="5" t="s">
        <v>46</v>
      </c>
      <c r="D188" s="29" t="s">
        <v>55</v>
      </c>
      <c r="H188" s="16" t="s">
        <v>12</v>
      </c>
      <c r="I188" s="16" t="s">
        <v>12</v>
      </c>
      <c r="J188" s="16" t="s">
        <v>12</v>
      </c>
      <c r="K188" s="16" t="s">
        <v>12</v>
      </c>
      <c r="L188" s="16" t="s">
        <v>12</v>
      </c>
      <c r="M188" s="16" t="s">
        <v>12</v>
      </c>
      <c r="N188" s="16" t="s">
        <v>12</v>
      </c>
      <c r="O188" s="16" t="s">
        <v>12</v>
      </c>
      <c r="P188" s="16" t="s">
        <v>13</v>
      </c>
      <c r="Q188" s="16" t="s">
        <v>13</v>
      </c>
      <c r="R188" s="16" t="s">
        <v>13</v>
      </c>
      <c r="S188" s="16" t="s">
        <v>13</v>
      </c>
      <c r="T188" s="16" t="s">
        <v>13</v>
      </c>
      <c r="U188" s="16" t="s">
        <v>13</v>
      </c>
      <c r="V188" s="16" t="s">
        <v>13</v>
      </c>
      <c r="X188" s="34" t="s">
        <v>13</v>
      </c>
    </row>
    <row r="189" spans="1:24">
      <c r="B189" s="4" t="str">
        <f>IF(B10&lt;&gt;"",B10,"[blank]")</f>
        <v>SCADA</v>
      </c>
      <c r="D189" s="31" t="s">
        <v>60</v>
      </c>
      <c r="O189" s="35"/>
      <c r="P189" s="35">
        <f>P73*P$208</f>
        <v>0</v>
      </c>
      <c r="Q189" s="35">
        <f t="shared" ref="Q189:V189" si="29">Q73*Q$208</f>
        <v>32855.718811971703</v>
      </c>
      <c r="R189" s="35">
        <f t="shared" si="29"/>
        <v>29129.307806086588</v>
      </c>
      <c r="S189" s="35">
        <f t="shared" si="29"/>
        <v>27622.328136802636</v>
      </c>
      <c r="T189" s="35">
        <f t="shared" si="29"/>
        <v>25536.037411445526</v>
      </c>
      <c r="U189" s="35">
        <f t="shared" si="29"/>
        <v>107799.13501971826</v>
      </c>
      <c r="V189" s="35">
        <f t="shared" si="29"/>
        <v>120040.18130552574</v>
      </c>
      <c r="X189" s="40">
        <f>SUM(R189:V189)</f>
        <v>310126.98967957875</v>
      </c>
    </row>
    <row r="190" spans="1:24">
      <c r="B190" s="4" t="str">
        <f t="shared" ref="B190:B203" si="30">IF(B11&lt;&gt;"",B11,"[blank]")</f>
        <v>[blank]</v>
      </c>
      <c r="D190" s="31"/>
      <c r="O190" s="50"/>
      <c r="P190" s="35"/>
      <c r="Q190" s="35"/>
      <c r="R190" s="35"/>
      <c r="S190" s="35"/>
      <c r="T190" s="35"/>
      <c r="U190" s="35"/>
      <c r="V190" s="35"/>
      <c r="X190" s="40">
        <f t="shared" ref="X190:X203" si="31">SUM(R190:V190)</f>
        <v>0</v>
      </c>
    </row>
    <row r="191" spans="1:24">
      <c r="B191" s="4" t="str">
        <f t="shared" si="30"/>
        <v>[blank]</v>
      </c>
      <c r="D191" s="31"/>
      <c r="P191" s="35"/>
      <c r="Q191" s="35"/>
      <c r="R191" s="35"/>
      <c r="S191" s="35"/>
      <c r="T191" s="35"/>
      <c r="U191" s="35"/>
      <c r="V191" s="35"/>
      <c r="X191" s="40">
        <f t="shared" si="31"/>
        <v>0</v>
      </c>
    </row>
    <row r="192" spans="1:24">
      <c r="B192" s="4" t="str">
        <f t="shared" si="30"/>
        <v>[blank]</v>
      </c>
      <c r="D192" s="31"/>
      <c r="P192" s="35"/>
      <c r="Q192" s="35"/>
      <c r="R192" s="35"/>
      <c r="S192" s="35"/>
      <c r="T192" s="35"/>
      <c r="U192" s="35"/>
      <c r="V192" s="35"/>
      <c r="X192" s="40">
        <f t="shared" si="31"/>
        <v>0</v>
      </c>
    </row>
    <row r="193" spans="2:24">
      <c r="B193" s="4" t="str">
        <f t="shared" si="30"/>
        <v>[blank]</v>
      </c>
      <c r="D193" s="31"/>
      <c r="P193" s="35"/>
      <c r="Q193" s="35"/>
      <c r="R193" s="35"/>
      <c r="S193" s="35"/>
      <c r="T193" s="35"/>
      <c r="U193" s="35"/>
      <c r="V193" s="35"/>
      <c r="X193" s="40">
        <f t="shared" si="31"/>
        <v>0</v>
      </c>
    </row>
    <row r="194" spans="2:24">
      <c r="B194" s="4" t="str">
        <f t="shared" si="30"/>
        <v>[blank]</v>
      </c>
      <c r="D194" s="31"/>
      <c r="P194" s="35"/>
      <c r="Q194" s="35"/>
      <c r="R194" s="35"/>
      <c r="S194" s="35"/>
      <c r="T194" s="35"/>
      <c r="U194" s="35"/>
      <c r="V194" s="35"/>
      <c r="X194" s="40">
        <f t="shared" si="31"/>
        <v>0</v>
      </c>
    </row>
    <row r="195" spans="2:24">
      <c r="B195" s="4" t="str">
        <f t="shared" si="30"/>
        <v>[blank]</v>
      </c>
      <c r="P195" s="35"/>
      <c r="Q195" s="35"/>
      <c r="R195" s="35"/>
      <c r="S195" s="35"/>
      <c r="T195" s="35"/>
      <c r="U195" s="35"/>
      <c r="V195" s="35"/>
      <c r="X195" s="40">
        <f t="shared" si="31"/>
        <v>0</v>
      </c>
    </row>
    <row r="196" spans="2:24">
      <c r="B196" s="4" t="str">
        <f t="shared" si="30"/>
        <v>[blank]</v>
      </c>
      <c r="P196" s="35"/>
      <c r="Q196" s="35"/>
      <c r="R196" s="35"/>
      <c r="S196" s="35"/>
      <c r="T196" s="35"/>
      <c r="U196" s="35"/>
      <c r="V196" s="35"/>
      <c r="X196" s="40">
        <f t="shared" si="31"/>
        <v>0</v>
      </c>
    </row>
    <row r="197" spans="2:24">
      <c r="B197" s="4" t="str">
        <f t="shared" si="30"/>
        <v>[blank]</v>
      </c>
      <c r="P197" s="35"/>
      <c r="Q197" s="35"/>
      <c r="R197" s="35"/>
      <c r="S197" s="35"/>
      <c r="T197" s="35"/>
      <c r="U197" s="35"/>
      <c r="V197" s="35"/>
      <c r="X197" s="40">
        <f t="shared" si="31"/>
        <v>0</v>
      </c>
    </row>
    <row r="198" spans="2:24">
      <c r="B198" s="4" t="str">
        <f t="shared" si="30"/>
        <v>[blank]</v>
      </c>
      <c r="P198" s="35"/>
      <c r="Q198" s="35"/>
      <c r="R198" s="35"/>
      <c r="S198" s="35"/>
      <c r="T198" s="35"/>
      <c r="U198" s="35"/>
      <c r="V198" s="35"/>
      <c r="X198" s="40">
        <f t="shared" si="31"/>
        <v>0</v>
      </c>
    </row>
    <row r="199" spans="2:24">
      <c r="B199" s="4" t="str">
        <f t="shared" si="30"/>
        <v>[blank]</v>
      </c>
      <c r="P199" s="35"/>
      <c r="Q199" s="35"/>
      <c r="R199" s="35"/>
      <c r="S199" s="35"/>
      <c r="T199" s="35"/>
      <c r="U199" s="35"/>
      <c r="V199" s="35"/>
      <c r="X199" s="40">
        <f t="shared" si="31"/>
        <v>0</v>
      </c>
    </row>
    <row r="200" spans="2:24">
      <c r="B200" s="4" t="str">
        <f t="shared" si="30"/>
        <v>[blank]</v>
      </c>
      <c r="P200" s="35"/>
      <c r="Q200" s="35"/>
      <c r="R200" s="35"/>
      <c r="S200" s="35"/>
      <c r="T200" s="35"/>
      <c r="U200" s="35"/>
      <c r="V200" s="35"/>
      <c r="X200" s="40">
        <f t="shared" si="31"/>
        <v>0</v>
      </c>
    </row>
    <row r="201" spans="2:24">
      <c r="B201" s="4" t="str">
        <f t="shared" si="30"/>
        <v>[blank]</v>
      </c>
      <c r="P201" s="35"/>
      <c r="Q201" s="35"/>
      <c r="R201" s="35"/>
      <c r="S201" s="35"/>
      <c r="T201" s="35"/>
      <c r="U201" s="35"/>
      <c r="V201" s="35"/>
      <c r="X201" s="40">
        <f t="shared" si="31"/>
        <v>0</v>
      </c>
    </row>
    <row r="202" spans="2:24">
      <c r="B202" s="4" t="str">
        <f t="shared" si="30"/>
        <v>[blank]</v>
      </c>
      <c r="P202" s="35"/>
      <c r="Q202" s="35"/>
      <c r="R202" s="35"/>
      <c r="S202" s="35"/>
      <c r="T202" s="35"/>
      <c r="U202" s="35"/>
      <c r="V202" s="35"/>
      <c r="X202" s="40">
        <f t="shared" si="31"/>
        <v>0</v>
      </c>
    </row>
    <row r="203" spans="2:24">
      <c r="B203" s="4" t="str">
        <f t="shared" si="30"/>
        <v>[blank]</v>
      </c>
      <c r="P203" s="35"/>
      <c r="Q203" s="35"/>
      <c r="R203" s="35"/>
      <c r="S203" s="35"/>
      <c r="T203" s="35"/>
      <c r="U203" s="35"/>
      <c r="V203" s="35"/>
      <c r="X203" s="40">
        <f t="shared" si="31"/>
        <v>0</v>
      </c>
    </row>
    <row r="205" spans="2:24" ht="12.75" thickBot="1">
      <c r="B205" s="5" t="s">
        <v>88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2">SUM(Q189:Q203)</f>
        <v>32855.718811971703</v>
      </c>
      <c r="R205" s="37">
        <f t="shared" si="32"/>
        <v>29129.307806086588</v>
      </c>
      <c r="S205" s="37">
        <f t="shared" si="32"/>
        <v>27622.328136802636</v>
      </c>
      <c r="T205" s="37">
        <f t="shared" si="32"/>
        <v>25536.037411445526</v>
      </c>
      <c r="U205" s="37">
        <f t="shared" si="32"/>
        <v>107799.13501971826</v>
      </c>
      <c r="V205" s="37">
        <f t="shared" si="32"/>
        <v>120040.18130552574</v>
      </c>
      <c r="X205" s="37">
        <f t="shared" ref="X205" si="33">SUM(R205:V205)</f>
        <v>310126.98967957875</v>
      </c>
    </row>
    <row r="207" spans="2:24">
      <c r="B207" s="4" t="s">
        <v>92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4">Q89</f>
        <v>439002.85662744858</v>
      </c>
      <c r="R207" s="45">
        <f t="shared" si="34"/>
        <v>403616.2003721004</v>
      </c>
      <c r="S207" s="45">
        <f t="shared" si="34"/>
        <v>362197.83226479194</v>
      </c>
      <c r="T207" s="45">
        <f t="shared" si="34"/>
        <v>329809.36843843543</v>
      </c>
      <c r="U207" s="45">
        <f t="shared" si="34"/>
        <v>1319197.6312437584</v>
      </c>
      <c r="V207" s="45">
        <f t="shared" si="34"/>
        <v>1422401.8446578321</v>
      </c>
      <c r="W207" s="45"/>
      <c r="X207" s="40">
        <f t="shared" si="34"/>
        <v>3837222.8769769184</v>
      </c>
    </row>
    <row r="208" spans="2:24">
      <c r="B208" s="4" t="s">
        <v>90</v>
      </c>
      <c r="H208" s="21" t="str">
        <f>IFERROR(H212/H207,"")</f>
        <v/>
      </c>
      <c r="I208" s="21" t="str">
        <f t="shared" ref="I208:O208" si="35">IFERROR(I212/I207,"")</f>
        <v/>
      </c>
      <c r="J208" s="21" t="str">
        <f t="shared" si="35"/>
        <v/>
      </c>
      <c r="K208" s="21" t="str">
        <f t="shared" si="35"/>
        <v/>
      </c>
      <c r="L208" s="21" t="str">
        <f t="shared" si="35"/>
        <v/>
      </c>
      <c r="M208" s="21" t="str">
        <f t="shared" si="35"/>
        <v/>
      </c>
      <c r="N208" s="21" t="str">
        <f t="shared" si="35"/>
        <v/>
      </c>
      <c r="O208" s="21" t="str">
        <f t="shared" si="35"/>
        <v/>
      </c>
      <c r="P208" s="21">
        <f>'General assumptions'!S62</f>
        <v>0</v>
      </c>
      <c r="Q208" s="21">
        <f>'General assumptions'!T62</f>
        <v>7.4841697077734692E-2</v>
      </c>
      <c r="R208" s="21">
        <f>'General assumptions'!U62</f>
        <v>7.2170809247081261E-2</v>
      </c>
      <c r="S208" s="21">
        <f>'General assumptions'!V62</f>
        <v>7.6263096231367788E-2</v>
      </c>
      <c r="T208" s="21">
        <f>'General assumptions'!W62</f>
        <v>7.7426658716070601E-2</v>
      </c>
      <c r="U208" s="21">
        <f>'General assumptions'!X62</f>
        <v>8.1715682674538839E-2</v>
      </c>
      <c r="V208" s="21">
        <f>'General assumptions'!Y62</f>
        <v>8.4392593946897035E-2</v>
      </c>
      <c r="W208" s="21"/>
      <c r="X208" s="75">
        <f>X205/X207</f>
        <v>8.0820687153805956E-2</v>
      </c>
    </row>
    <row r="210" spans="1:24" ht="12.75" thickBot="1">
      <c r="B210" s="5" t="s">
        <v>91</v>
      </c>
      <c r="H210" s="37">
        <f t="shared" ref="H210:N210" si="36">IF(H188="forecast",H207*(1+H208),H207+H212)</f>
        <v>0</v>
      </c>
      <c r="I210" s="37">
        <f t="shared" si="36"/>
        <v>0</v>
      </c>
      <c r="J210" s="37">
        <f t="shared" si="36"/>
        <v>0</v>
      </c>
      <c r="K210" s="37">
        <f t="shared" si="36"/>
        <v>0</v>
      </c>
      <c r="L210" s="37">
        <f t="shared" si="36"/>
        <v>0</v>
      </c>
      <c r="M210" s="37">
        <f t="shared" si="36"/>
        <v>0</v>
      </c>
      <c r="N210" s="37">
        <f t="shared" si="36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37">IF(Q188="forecast",Q207*(1+Q208),Q207+Q212)</f>
        <v>471858.57543942035</v>
      </c>
      <c r="R210" s="37">
        <f t="shared" si="37"/>
        <v>432745.50817818695</v>
      </c>
      <c r="S210" s="37">
        <f t="shared" si="37"/>
        <v>389820.16040159453</v>
      </c>
      <c r="T210" s="37">
        <f t="shared" si="37"/>
        <v>355345.40584988095</v>
      </c>
      <c r="U210" s="37">
        <f t="shared" si="37"/>
        <v>1426996.7662634766</v>
      </c>
      <c r="V210" s="37">
        <f t="shared" si="37"/>
        <v>1542442.0259633579</v>
      </c>
      <c r="X210" s="37">
        <f t="shared" ref="X210" si="38">IF(X188="forecast",X207*(1+X208),X207+X212)</f>
        <v>4147349.8666564971</v>
      </c>
    </row>
    <row r="212" spans="1:24">
      <c r="B212" s="4" t="s">
        <v>18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39">Q210-Q207</f>
        <v>32855.718811971776</v>
      </c>
      <c r="R212" s="45">
        <f t="shared" si="39"/>
        <v>29129.307806086552</v>
      </c>
      <c r="S212" s="45">
        <f t="shared" si="39"/>
        <v>27622.328136802593</v>
      </c>
      <c r="T212" s="45">
        <f t="shared" si="39"/>
        <v>25536.037411445519</v>
      </c>
      <c r="U212" s="45">
        <f t="shared" si="39"/>
        <v>107799.1350197182</v>
      </c>
      <c r="V212" s="45">
        <f t="shared" si="39"/>
        <v>120040.18130552582</v>
      </c>
      <c r="X212" s="40">
        <f t="shared" ref="X212" si="40">X210-X207</f>
        <v>310126.98967957869</v>
      </c>
    </row>
    <row r="214" spans="1:24" s="1" customFormat="1">
      <c r="A214" s="2">
        <v>7</v>
      </c>
      <c r="B214" s="2" t="s">
        <v>74</v>
      </c>
    </row>
    <row r="216" spans="1:24">
      <c r="H216" s="190" t="s">
        <v>52</v>
      </c>
      <c r="I216" s="190"/>
      <c r="J216" s="190"/>
      <c r="K216" s="190"/>
      <c r="L216" s="190"/>
      <c r="M216" s="190" t="s">
        <v>53</v>
      </c>
      <c r="N216" s="190"/>
      <c r="O216" s="190"/>
      <c r="P216" s="190"/>
      <c r="Q216" s="190"/>
      <c r="R216" s="190" t="s">
        <v>54</v>
      </c>
      <c r="S216" s="190"/>
      <c r="T216" s="190"/>
      <c r="U216" s="190"/>
      <c r="V216" s="190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63</v>
      </c>
    </row>
    <row r="218" spans="1:24">
      <c r="D218" s="29" t="s">
        <v>55</v>
      </c>
      <c r="H218" s="16" t="s">
        <v>12</v>
      </c>
      <c r="I218" s="16" t="s">
        <v>12</v>
      </c>
      <c r="J218" s="16" t="s">
        <v>12</v>
      </c>
      <c r="K218" s="16" t="s">
        <v>12</v>
      </c>
      <c r="L218" s="16" t="s">
        <v>12</v>
      </c>
      <c r="M218" s="16" t="s">
        <v>12</v>
      </c>
      <c r="N218" s="16" t="s">
        <v>12</v>
      </c>
      <c r="O218" s="16" t="s">
        <v>12</v>
      </c>
      <c r="P218" s="16" t="s">
        <v>13</v>
      </c>
      <c r="Q218" s="16" t="s">
        <v>13</v>
      </c>
      <c r="R218" s="16" t="s">
        <v>13</v>
      </c>
      <c r="S218" s="16" t="s">
        <v>13</v>
      </c>
      <c r="T218" s="16" t="s">
        <v>13</v>
      </c>
      <c r="U218" s="16" t="s">
        <v>13</v>
      </c>
      <c r="V218" s="16" t="s">
        <v>13</v>
      </c>
      <c r="X218" s="34" t="s">
        <v>13</v>
      </c>
    </row>
    <row r="219" spans="1:24">
      <c r="B219" s="5" t="s">
        <v>94</v>
      </c>
      <c r="D219" s="31" t="s">
        <v>105</v>
      </c>
      <c r="H219" s="4" t="str">
        <f t="shared" ref="H219:O219" si="41">IFERROR(-H238/H210,"")</f>
        <v/>
      </c>
      <c r="I219" s="4" t="str">
        <f t="shared" si="41"/>
        <v/>
      </c>
      <c r="J219" s="4" t="str">
        <f t="shared" si="41"/>
        <v/>
      </c>
      <c r="K219" s="4" t="str">
        <f t="shared" si="41"/>
        <v/>
      </c>
      <c r="L219" s="4" t="str">
        <f t="shared" si="41"/>
        <v/>
      </c>
      <c r="M219" s="4" t="str">
        <f t="shared" si="41"/>
        <v/>
      </c>
      <c r="N219" s="4" t="str">
        <f t="shared" si="41"/>
        <v/>
      </c>
      <c r="O219" s="4" t="str">
        <f t="shared" si="41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46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SCADA</v>
      </c>
      <c r="D222" s="31" t="s">
        <v>60</v>
      </c>
      <c r="P222" s="45">
        <f>(-P73*(1+P$208))*P$219</f>
        <v>0</v>
      </c>
      <c r="Q222" s="45">
        <f t="shared" ref="Q222:V222" si="42">(-Q73*(1+Q$208))*Q$219</f>
        <v>0</v>
      </c>
      <c r="R222" s="45">
        <f t="shared" si="42"/>
        <v>0</v>
      </c>
      <c r="S222" s="45">
        <f t="shared" si="42"/>
        <v>0</v>
      </c>
      <c r="T222" s="45">
        <f t="shared" si="42"/>
        <v>0</v>
      </c>
      <c r="U222" s="45">
        <f t="shared" si="42"/>
        <v>0</v>
      </c>
      <c r="V222" s="45">
        <f t="shared" si="42"/>
        <v>0</v>
      </c>
      <c r="X222" s="40">
        <f t="shared" ref="X222" si="43">SUM(R222:V222)</f>
        <v>0</v>
      </c>
    </row>
    <row r="223" spans="1:24">
      <c r="B223" s="4" t="str">
        <f t="shared" ref="B223:B236" si="44">IF(B11&lt;&gt;"",B11,"[blank]")</f>
        <v>[blank]</v>
      </c>
      <c r="D223" s="31"/>
      <c r="P223" s="45"/>
      <c r="Q223" s="45"/>
      <c r="R223" s="45"/>
      <c r="S223" s="45"/>
      <c r="T223" s="45"/>
      <c r="U223" s="45"/>
      <c r="V223" s="45"/>
      <c r="X223" s="40"/>
    </row>
    <row r="224" spans="1:24">
      <c r="B224" s="4" t="str">
        <f t="shared" si="44"/>
        <v>[blank]</v>
      </c>
      <c r="D224" s="31"/>
      <c r="P224" s="45"/>
      <c r="Q224" s="45"/>
      <c r="R224" s="45"/>
      <c r="S224" s="45"/>
      <c r="T224" s="45"/>
      <c r="U224" s="45"/>
      <c r="V224" s="45"/>
      <c r="X224" s="40"/>
    </row>
    <row r="225" spans="1:24">
      <c r="B225" s="4" t="str">
        <f t="shared" si="44"/>
        <v>[blank]</v>
      </c>
      <c r="D225" s="31"/>
      <c r="P225" s="45"/>
      <c r="Q225" s="45"/>
      <c r="R225" s="45"/>
      <c r="S225" s="45"/>
      <c r="T225" s="45"/>
      <c r="U225" s="45"/>
      <c r="V225" s="45"/>
      <c r="X225" s="40"/>
    </row>
    <row r="226" spans="1:24">
      <c r="B226" s="4" t="str">
        <f t="shared" si="44"/>
        <v>[blank]</v>
      </c>
      <c r="D226" s="31"/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44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44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44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44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44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44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44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44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44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44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93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5">-P219*P210</f>
        <v>0</v>
      </c>
      <c r="Q238" s="37">
        <f t="shared" si="45"/>
        <v>0</v>
      </c>
      <c r="R238" s="37">
        <f t="shared" si="45"/>
        <v>0</v>
      </c>
      <c r="S238" s="37">
        <f t="shared" si="45"/>
        <v>0</v>
      </c>
      <c r="T238" s="37">
        <f t="shared" si="45"/>
        <v>0</v>
      </c>
      <c r="U238" s="37">
        <f t="shared" si="45"/>
        <v>0</v>
      </c>
      <c r="V238" s="37">
        <f t="shared" si="45"/>
        <v>0</v>
      </c>
      <c r="X238" s="37">
        <f t="shared" ref="X238" si="46">SUM(R238:V238)</f>
        <v>0</v>
      </c>
    </row>
    <row r="240" spans="1:24" s="1" customFormat="1">
      <c r="A240" s="2">
        <v>8</v>
      </c>
      <c r="B240" s="2" t="s">
        <v>75</v>
      </c>
    </row>
    <row r="242" spans="1:24">
      <c r="H242" s="190" t="s">
        <v>52</v>
      </c>
      <c r="I242" s="190"/>
      <c r="J242" s="190"/>
      <c r="K242" s="190"/>
      <c r="L242" s="190"/>
      <c r="M242" s="190" t="s">
        <v>53</v>
      </c>
      <c r="N242" s="190"/>
      <c r="O242" s="190"/>
      <c r="P242" s="190"/>
      <c r="Q242" s="190"/>
      <c r="R242" s="190" t="s">
        <v>54</v>
      </c>
      <c r="S242" s="190"/>
      <c r="T242" s="190"/>
      <c r="U242" s="190"/>
      <c r="V242" s="190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63</v>
      </c>
    </row>
    <row r="244" spans="1:24">
      <c r="D244" s="29" t="s">
        <v>55</v>
      </c>
      <c r="H244" s="16" t="s">
        <v>12</v>
      </c>
      <c r="I244" s="16" t="s">
        <v>12</v>
      </c>
      <c r="J244" s="16" t="s">
        <v>12</v>
      </c>
      <c r="K244" s="16" t="s">
        <v>12</v>
      </c>
      <c r="L244" s="16" t="s">
        <v>12</v>
      </c>
      <c r="M244" s="16" t="s">
        <v>12</v>
      </c>
      <c r="N244" s="16" t="s">
        <v>12</v>
      </c>
      <c r="O244" s="16" t="s">
        <v>12</v>
      </c>
      <c r="P244" s="16" t="s">
        <v>13</v>
      </c>
      <c r="Q244" s="16" t="s">
        <v>13</v>
      </c>
      <c r="R244" s="16" t="s">
        <v>13</v>
      </c>
      <c r="S244" s="16" t="s">
        <v>13</v>
      </c>
      <c r="T244" s="16" t="s">
        <v>13</v>
      </c>
      <c r="U244" s="16" t="s">
        <v>13</v>
      </c>
      <c r="V244" s="16" t="s">
        <v>13</v>
      </c>
      <c r="X244" s="34" t="s">
        <v>13</v>
      </c>
    </row>
    <row r="245" spans="1:24">
      <c r="B245" s="38" t="s">
        <v>96</v>
      </c>
      <c r="D245" s="31"/>
      <c r="X245" s="40"/>
    </row>
    <row r="246" spans="1:24">
      <c r="B246" s="47" t="s">
        <v>97</v>
      </c>
      <c r="D246" s="31" t="s">
        <v>60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47">SUM(R246:V246)</f>
        <v>0</v>
      </c>
    </row>
    <row r="247" spans="1:24">
      <c r="B247" s="47" t="s">
        <v>98</v>
      </c>
      <c r="D247" s="31" t="s">
        <v>60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47"/>
        <v>0</v>
      </c>
    </row>
    <row r="248" spans="1:24">
      <c r="B248" s="47" t="s">
        <v>99</v>
      </c>
      <c r="D248" s="31" t="s">
        <v>60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47"/>
        <v>0</v>
      </c>
    </row>
    <row r="249" spans="1:24">
      <c r="B249" s="47" t="s">
        <v>100</v>
      </c>
      <c r="D249" s="31" t="s">
        <v>60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47"/>
        <v>0</v>
      </c>
    </row>
    <row r="250" spans="1:24">
      <c r="B250" s="47" t="s">
        <v>101</v>
      </c>
      <c r="D250" s="31" t="s">
        <v>60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47"/>
        <v>0</v>
      </c>
    </row>
    <row r="252" spans="1:24" ht="12.75" thickBot="1">
      <c r="B252" s="5" t="s">
        <v>102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8">SUM(Q246:Q250)</f>
        <v>0</v>
      </c>
      <c r="R252" s="49">
        <f t="shared" si="48"/>
        <v>0</v>
      </c>
      <c r="S252" s="49">
        <f t="shared" si="48"/>
        <v>0</v>
      </c>
      <c r="T252" s="49">
        <f t="shared" si="48"/>
        <v>0</v>
      </c>
      <c r="U252" s="49">
        <f t="shared" si="48"/>
        <v>0</v>
      </c>
      <c r="V252" s="49">
        <f t="shared" si="48"/>
        <v>0</v>
      </c>
      <c r="X252" s="37">
        <f t="shared" si="47"/>
        <v>0</v>
      </c>
    </row>
    <row r="254" spans="1:24" s="1" customFormat="1">
      <c r="A254" s="2">
        <v>9</v>
      </c>
      <c r="B254" s="2" t="s">
        <v>103</v>
      </c>
    </row>
    <row r="256" spans="1:24">
      <c r="H256" s="190" t="s">
        <v>52</v>
      </c>
      <c r="I256" s="190"/>
      <c r="J256" s="190"/>
      <c r="K256" s="190"/>
      <c r="L256" s="190"/>
      <c r="M256" s="190" t="s">
        <v>53</v>
      </c>
      <c r="N256" s="190"/>
      <c r="O256" s="190"/>
      <c r="P256" s="190"/>
      <c r="Q256" s="190"/>
      <c r="R256" s="190" t="s">
        <v>54</v>
      </c>
      <c r="S256" s="190"/>
      <c r="T256" s="190"/>
      <c r="U256" s="190"/>
      <c r="V256" s="190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63</v>
      </c>
    </row>
    <row r="258" spans="1:24">
      <c r="D258" s="29" t="s">
        <v>55</v>
      </c>
      <c r="H258" s="16" t="s">
        <v>12</v>
      </c>
      <c r="I258" s="16" t="s">
        <v>12</v>
      </c>
      <c r="J258" s="16" t="s">
        <v>12</v>
      </c>
      <c r="K258" s="16" t="s">
        <v>12</v>
      </c>
      <c r="L258" s="16" t="s">
        <v>12</v>
      </c>
      <c r="M258" s="16" t="s">
        <v>12</v>
      </c>
      <c r="N258" s="16" t="s">
        <v>12</v>
      </c>
      <c r="O258" s="16" t="s">
        <v>12</v>
      </c>
      <c r="P258" s="16" t="s">
        <v>13</v>
      </c>
      <c r="Q258" s="16" t="s">
        <v>13</v>
      </c>
      <c r="R258" s="16" t="s">
        <v>13</v>
      </c>
      <c r="S258" s="16" t="s">
        <v>13</v>
      </c>
      <c r="T258" s="16" t="s">
        <v>13</v>
      </c>
      <c r="U258" s="16" t="s">
        <v>13</v>
      </c>
      <c r="V258" s="16" t="s">
        <v>13</v>
      </c>
      <c r="X258" s="34" t="s">
        <v>13</v>
      </c>
    </row>
    <row r="259" spans="1:24">
      <c r="B259" s="4" t="s">
        <v>104</v>
      </c>
      <c r="D259" s="31" t="s">
        <v>60</v>
      </c>
      <c r="H259" s="45">
        <f t="shared" ref="H259:V259" si="49">H210</f>
        <v>0</v>
      </c>
      <c r="I259" s="45">
        <f t="shared" si="49"/>
        <v>0</v>
      </c>
      <c r="J259" s="45">
        <f t="shared" si="49"/>
        <v>0</v>
      </c>
      <c r="K259" s="45">
        <f t="shared" si="49"/>
        <v>0</v>
      </c>
      <c r="L259" s="45">
        <f t="shared" si="49"/>
        <v>0</v>
      </c>
      <c r="M259" s="45">
        <f t="shared" si="49"/>
        <v>0</v>
      </c>
      <c r="N259" s="45">
        <f t="shared" si="49"/>
        <v>0</v>
      </c>
      <c r="O259" s="45">
        <f t="shared" si="49"/>
        <v>0</v>
      </c>
      <c r="P259" s="45">
        <f t="shared" si="49"/>
        <v>0</v>
      </c>
      <c r="Q259" s="45">
        <f t="shared" si="49"/>
        <v>471858.57543942035</v>
      </c>
      <c r="R259" s="45">
        <f t="shared" si="49"/>
        <v>432745.50817818695</v>
      </c>
      <c r="S259" s="45">
        <f t="shared" si="49"/>
        <v>389820.16040159453</v>
      </c>
      <c r="T259" s="45">
        <f t="shared" si="49"/>
        <v>355345.40584988095</v>
      </c>
      <c r="U259" s="45">
        <f t="shared" si="49"/>
        <v>1426996.7662634766</v>
      </c>
      <c r="V259" s="45">
        <f t="shared" si="49"/>
        <v>1542442.0259633579</v>
      </c>
      <c r="X259" s="40">
        <f t="shared" ref="X259:X261" si="50">SUM(R259:V259)</f>
        <v>4147349.8666564971</v>
      </c>
    </row>
    <row r="260" spans="1:24">
      <c r="B260" s="4" t="s">
        <v>74</v>
      </c>
      <c r="D260" s="31" t="s">
        <v>60</v>
      </c>
      <c r="H260" s="45">
        <f>H238</f>
        <v>0</v>
      </c>
      <c r="I260" s="45">
        <f t="shared" ref="I260:V260" si="51">I238</f>
        <v>0</v>
      </c>
      <c r="J260" s="45">
        <f t="shared" si="51"/>
        <v>0</v>
      </c>
      <c r="K260" s="45">
        <f t="shared" si="51"/>
        <v>0</v>
      </c>
      <c r="L260" s="45">
        <f t="shared" si="51"/>
        <v>0</v>
      </c>
      <c r="M260" s="45">
        <f t="shared" si="51"/>
        <v>0</v>
      </c>
      <c r="N260" s="45">
        <f t="shared" si="51"/>
        <v>0</v>
      </c>
      <c r="O260" s="45">
        <f t="shared" si="51"/>
        <v>0</v>
      </c>
      <c r="P260" s="45">
        <f t="shared" si="51"/>
        <v>0</v>
      </c>
      <c r="Q260" s="45">
        <f t="shared" si="51"/>
        <v>0</v>
      </c>
      <c r="R260" s="45">
        <f t="shared" si="51"/>
        <v>0</v>
      </c>
      <c r="S260" s="45">
        <f t="shared" si="51"/>
        <v>0</v>
      </c>
      <c r="T260" s="45">
        <f t="shared" si="51"/>
        <v>0</v>
      </c>
      <c r="U260" s="45">
        <f t="shared" si="51"/>
        <v>0</v>
      </c>
      <c r="V260" s="45">
        <f t="shared" si="51"/>
        <v>0</v>
      </c>
      <c r="X260" s="40">
        <f t="shared" si="50"/>
        <v>0</v>
      </c>
    </row>
    <row r="261" spans="1:24">
      <c r="B261" s="4" t="s">
        <v>75</v>
      </c>
      <c r="D261" s="31" t="s">
        <v>60</v>
      </c>
      <c r="H261" s="45">
        <f>H252</f>
        <v>0</v>
      </c>
      <c r="I261" s="45">
        <f t="shared" ref="I261:V261" si="52">I252</f>
        <v>0</v>
      </c>
      <c r="J261" s="45">
        <f t="shared" si="52"/>
        <v>0</v>
      </c>
      <c r="K261" s="45">
        <f t="shared" si="52"/>
        <v>0</v>
      </c>
      <c r="L261" s="45">
        <f t="shared" si="52"/>
        <v>0</v>
      </c>
      <c r="M261" s="45">
        <f t="shared" si="52"/>
        <v>0</v>
      </c>
      <c r="N261" s="45">
        <f t="shared" si="52"/>
        <v>0</v>
      </c>
      <c r="O261" s="45">
        <f t="shared" si="52"/>
        <v>0</v>
      </c>
      <c r="P261" s="45">
        <f t="shared" si="52"/>
        <v>0</v>
      </c>
      <c r="Q261" s="45">
        <f t="shared" si="52"/>
        <v>0</v>
      </c>
      <c r="R261" s="45">
        <f t="shared" si="52"/>
        <v>0</v>
      </c>
      <c r="S261" s="45">
        <f t="shared" si="52"/>
        <v>0</v>
      </c>
      <c r="T261" s="45">
        <f t="shared" si="52"/>
        <v>0</v>
      </c>
      <c r="U261" s="45">
        <f t="shared" si="52"/>
        <v>0</v>
      </c>
      <c r="V261" s="45">
        <f t="shared" si="52"/>
        <v>0</v>
      </c>
      <c r="X261" s="40">
        <f t="shared" si="50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103</v>
      </c>
      <c r="D263" s="31" t="s">
        <v>60</v>
      </c>
      <c r="H263" s="37">
        <f>SUM(H259:H261)</f>
        <v>0</v>
      </c>
      <c r="I263" s="37">
        <f t="shared" ref="I263:V263" si="53">SUM(I259:I261)</f>
        <v>0</v>
      </c>
      <c r="J263" s="37">
        <f t="shared" si="53"/>
        <v>0</v>
      </c>
      <c r="K263" s="37">
        <f t="shared" si="53"/>
        <v>0</v>
      </c>
      <c r="L263" s="37">
        <f t="shared" si="53"/>
        <v>0</v>
      </c>
      <c r="M263" s="37">
        <f t="shared" si="53"/>
        <v>0</v>
      </c>
      <c r="N263" s="37">
        <f t="shared" si="53"/>
        <v>0</v>
      </c>
      <c r="O263" s="37">
        <f t="shared" si="53"/>
        <v>0</v>
      </c>
      <c r="P263" s="37">
        <f t="shared" si="53"/>
        <v>0</v>
      </c>
      <c r="Q263" s="37">
        <f t="shared" si="53"/>
        <v>471858.57543942035</v>
      </c>
      <c r="R263" s="37">
        <f t="shared" si="53"/>
        <v>432745.50817818695</v>
      </c>
      <c r="S263" s="37">
        <f t="shared" si="53"/>
        <v>389820.16040159453</v>
      </c>
      <c r="T263" s="37">
        <f t="shared" si="53"/>
        <v>355345.40584988095</v>
      </c>
      <c r="U263" s="37">
        <f t="shared" si="53"/>
        <v>1426996.7662634766</v>
      </c>
      <c r="V263" s="37">
        <f t="shared" si="53"/>
        <v>1542442.0259633579</v>
      </c>
      <c r="X263" s="37">
        <f t="shared" ref="X263" si="54">SUM(R263:V263)</f>
        <v>4147349.8666564971</v>
      </c>
    </row>
    <row r="264" spans="1:24">
      <c r="D264" s="31"/>
    </row>
    <row r="266" spans="1:24" s="66" customFormat="1">
      <c r="A266" s="65">
        <v>10</v>
      </c>
      <c r="B266" s="65" t="s">
        <v>121</v>
      </c>
    </row>
    <row r="268" spans="1:24">
      <c r="B268" s="69" t="s">
        <v>120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328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55">IFERROR(SUMPRODUCT($Z$73:$Z$87,Q$73:Q$87)/SUM(Q$73:Q$87)*Q$89,0)</f>
        <v>0</v>
      </c>
      <c r="R276" s="57">
        <f t="shared" si="55"/>
        <v>0</v>
      </c>
      <c r="S276" s="57">
        <f t="shared" si="55"/>
        <v>0</v>
      </c>
      <c r="T276" s="57">
        <f t="shared" si="55"/>
        <v>0</v>
      </c>
      <c r="U276" s="57">
        <f t="shared" si="55"/>
        <v>0</v>
      </c>
      <c r="V276" s="62">
        <f t="shared" si="55"/>
        <v>0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56">IFERROR(SUMPRODUCT($AA$73:$AA$87,Q$73:Q$87)/SUM(Q$73:Q$87)*Q$89,0)</f>
        <v>0</v>
      </c>
      <c r="R277" s="57">
        <f t="shared" si="56"/>
        <v>0</v>
      </c>
      <c r="S277" s="57">
        <f t="shared" si="56"/>
        <v>0</v>
      </c>
      <c r="T277" s="57">
        <f t="shared" si="56"/>
        <v>0</v>
      </c>
      <c r="U277" s="57">
        <f t="shared" si="56"/>
        <v>0</v>
      </c>
      <c r="V277" s="62">
        <f t="shared" si="56"/>
        <v>0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7">IFERROR(SUMPRODUCT($AB$73:$AB$87,Q$73:Q$87)/SUM(Q$73:Q$87)*Q$89,0)</f>
        <v>0</v>
      </c>
      <c r="R278" s="57">
        <f t="shared" si="57"/>
        <v>0</v>
      </c>
      <c r="S278" s="57">
        <f t="shared" si="57"/>
        <v>0</v>
      </c>
      <c r="T278" s="57">
        <f t="shared" si="57"/>
        <v>0</v>
      </c>
      <c r="U278" s="57">
        <f t="shared" si="57"/>
        <v>0</v>
      </c>
      <c r="V278" s="62">
        <f t="shared" si="57"/>
        <v>0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8">IFERROR(SUMPRODUCT($AC$73:$AC$87,Q$73:Q$87)/SUM(Q$73:Q$87)*Q$89,0)</f>
        <v>0</v>
      </c>
      <c r="R279" s="57">
        <f t="shared" si="58"/>
        <v>0</v>
      </c>
      <c r="S279" s="57">
        <f t="shared" si="58"/>
        <v>0</v>
      </c>
      <c r="T279" s="57">
        <f t="shared" si="58"/>
        <v>0</v>
      </c>
      <c r="U279" s="57">
        <f t="shared" si="58"/>
        <v>0</v>
      </c>
      <c r="V279" s="62">
        <f t="shared" si="58"/>
        <v>0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9">IFERROR(SUMPRODUCT($AD$73:$AD$87,Q$73:Q$87)/SUM(Q$73:Q$87)*Q$89,0)</f>
        <v>0</v>
      </c>
      <c r="R280" s="57">
        <f t="shared" si="59"/>
        <v>0</v>
      </c>
      <c r="S280" s="57">
        <f t="shared" si="59"/>
        <v>0</v>
      </c>
      <c r="T280" s="57">
        <f t="shared" si="59"/>
        <v>0</v>
      </c>
      <c r="U280" s="57">
        <f t="shared" si="59"/>
        <v>0</v>
      </c>
      <c r="V280" s="62">
        <f t="shared" si="59"/>
        <v>0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60">IFERROR(SUMPRODUCT($AE$73:$AE$87,Q$73:Q$87)/SUM(Q$73:Q$87)*Q$89,0)</f>
        <v>0</v>
      </c>
      <c r="R281" s="57">
        <f t="shared" si="60"/>
        <v>0</v>
      </c>
      <c r="S281" s="57">
        <f t="shared" si="60"/>
        <v>0</v>
      </c>
      <c r="T281" s="57">
        <f t="shared" si="60"/>
        <v>0</v>
      </c>
      <c r="U281" s="57">
        <f t="shared" si="60"/>
        <v>0</v>
      </c>
      <c r="V281" s="62">
        <f t="shared" si="60"/>
        <v>0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1">IFERROR(SUMPRODUCT($AF$73:$AF$87,Q$73:Q$87)/SUM(Q$73:Q$87)*Q$89,0)</f>
        <v>439002.85662744858</v>
      </c>
      <c r="R282" s="57">
        <f t="shared" si="61"/>
        <v>403616.2003721004</v>
      </c>
      <c r="S282" s="57">
        <f t="shared" si="61"/>
        <v>362197.83226479194</v>
      </c>
      <c r="T282" s="57">
        <f t="shared" si="61"/>
        <v>329809.36843843543</v>
      </c>
      <c r="U282" s="57">
        <f t="shared" si="61"/>
        <v>1319197.6312437584</v>
      </c>
      <c r="V282" s="62">
        <f t="shared" si="61"/>
        <v>1422401.8446578321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2">IFERROR(SUMPRODUCT($AG$73:$AG$87,Q$73:Q$87)/SUM(Q$73:Q$87)*Q$89,0)</f>
        <v>0</v>
      </c>
      <c r="R283" s="57">
        <f t="shared" si="62"/>
        <v>0</v>
      </c>
      <c r="S283" s="57">
        <f t="shared" si="62"/>
        <v>0</v>
      </c>
      <c r="T283" s="57">
        <f t="shared" si="62"/>
        <v>0</v>
      </c>
      <c r="U283" s="57">
        <f t="shared" si="62"/>
        <v>0</v>
      </c>
      <c r="V283" s="62">
        <f t="shared" si="62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3">IFERROR(SUMPRODUCT($AH$73:$AH$87,Q$73:Q$87)/SUM(Q$73:Q$87)*Q$89,0)</f>
        <v>0</v>
      </c>
      <c r="R284" s="57">
        <f t="shared" si="63"/>
        <v>0</v>
      </c>
      <c r="S284" s="57">
        <f t="shared" si="63"/>
        <v>0</v>
      </c>
      <c r="T284" s="57">
        <f t="shared" si="63"/>
        <v>0</v>
      </c>
      <c r="U284" s="57">
        <f t="shared" si="63"/>
        <v>0</v>
      </c>
      <c r="V284" s="62">
        <f t="shared" si="63"/>
        <v>0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64">IFERROR(SUMPRODUCT($AI$73:$AI$87,Q$73:Q$87)/SUM(Q$73:Q$87)*Q$89,0)</f>
        <v>0</v>
      </c>
      <c r="R285" s="57">
        <f t="shared" si="64"/>
        <v>0</v>
      </c>
      <c r="S285" s="57">
        <f t="shared" si="64"/>
        <v>0</v>
      </c>
      <c r="T285" s="57">
        <f t="shared" si="64"/>
        <v>0</v>
      </c>
      <c r="U285" s="57">
        <f t="shared" si="64"/>
        <v>0</v>
      </c>
      <c r="V285" s="62">
        <f t="shared" si="64"/>
        <v>0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65">IFERROR(SUMPRODUCT($AJ$73:$AJ$87,Q$73:Q$87)/SUM(Q$73:Q$87)*Q$89,0)</f>
        <v>0</v>
      </c>
      <c r="R286" s="57">
        <f t="shared" si="65"/>
        <v>0</v>
      </c>
      <c r="S286" s="57">
        <f t="shared" si="65"/>
        <v>0</v>
      </c>
      <c r="T286" s="57">
        <f t="shared" si="65"/>
        <v>0</v>
      </c>
      <c r="U286" s="57">
        <f t="shared" si="65"/>
        <v>0</v>
      </c>
      <c r="V286" s="62">
        <f t="shared" si="65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6">SUM(Q276:Q286)</f>
        <v>439002.85662744858</v>
      </c>
      <c r="R288" s="37">
        <f t="shared" si="66"/>
        <v>403616.2003721004</v>
      </c>
      <c r="S288" s="37">
        <f t="shared" si="66"/>
        <v>362197.83226479194</v>
      </c>
      <c r="T288" s="37">
        <f t="shared" si="66"/>
        <v>329809.36843843543</v>
      </c>
      <c r="U288" s="37">
        <f t="shared" si="66"/>
        <v>1319197.6312437584</v>
      </c>
      <c r="V288" s="64">
        <f t="shared" si="66"/>
        <v>1422401.8446578321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279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7">P276*(1+P$208)</f>
        <v>0</v>
      </c>
      <c r="Q297" s="57">
        <f t="shared" si="67"/>
        <v>0</v>
      </c>
      <c r="R297" s="57">
        <f t="shared" si="67"/>
        <v>0</v>
      </c>
      <c r="S297" s="57">
        <f t="shared" si="67"/>
        <v>0</v>
      </c>
      <c r="T297" s="57">
        <f t="shared" si="67"/>
        <v>0</v>
      </c>
      <c r="U297" s="57">
        <f t="shared" si="67"/>
        <v>0</v>
      </c>
      <c r="V297" s="62">
        <f t="shared" si="67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7"/>
        <v>0</v>
      </c>
      <c r="Q298" s="57">
        <f t="shared" si="67"/>
        <v>0</v>
      </c>
      <c r="R298" s="57">
        <f t="shared" si="67"/>
        <v>0</v>
      </c>
      <c r="S298" s="57">
        <f t="shared" si="67"/>
        <v>0</v>
      </c>
      <c r="T298" s="57">
        <f t="shared" si="67"/>
        <v>0</v>
      </c>
      <c r="U298" s="57">
        <f t="shared" si="67"/>
        <v>0</v>
      </c>
      <c r="V298" s="62">
        <f t="shared" si="67"/>
        <v>0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7"/>
        <v>0</v>
      </c>
      <c r="Q299" s="57">
        <f t="shared" si="67"/>
        <v>0</v>
      </c>
      <c r="R299" s="57">
        <f t="shared" si="67"/>
        <v>0</v>
      </c>
      <c r="S299" s="57">
        <f t="shared" si="67"/>
        <v>0</v>
      </c>
      <c r="T299" s="57">
        <f t="shared" si="67"/>
        <v>0</v>
      </c>
      <c r="U299" s="57">
        <f t="shared" si="67"/>
        <v>0</v>
      </c>
      <c r="V299" s="62">
        <f t="shared" si="67"/>
        <v>0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7"/>
        <v>0</v>
      </c>
      <c r="Q300" s="57">
        <f t="shared" si="67"/>
        <v>0</v>
      </c>
      <c r="R300" s="57">
        <f t="shared" si="67"/>
        <v>0</v>
      </c>
      <c r="S300" s="57">
        <f t="shared" si="67"/>
        <v>0</v>
      </c>
      <c r="T300" s="57">
        <f t="shared" si="67"/>
        <v>0</v>
      </c>
      <c r="U300" s="57">
        <f t="shared" si="67"/>
        <v>0</v>
      </c>
      <c r="V300" s="62">
        <f t="shared" si="67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7"/>
        <v>0</v>
      </c>
      <c r="Q301" s="57">
        <f t="shared" si="67"/>
        <v>0</v>
      </c>
      <c r="R301" s="57">
        <f t="shared" si="67"/>
        <v>0</v>
      </c>
      <c r="S301" s="57">
        <f t="shared" si="67"/>
        <v>0</v>
      </c>
      <c r="T301" s="57">
        <f t="shared" si="67"/>
        <v>0</v>
      </c>
      <c r="U301" s="57">
        <f t="shared" si="67"/>
        <v>0</v>
      </c>
      <c r="V301" s="62">
        <f t="shared" si="67"/>
        <v>0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7"/>
        <v>0</v>
      </c>
      <c r="Q302" s="57">
        <f t="shared" si="67"/>
        <v>0</v>
      </c>
      <c r="R302" s="57">
        <f t="shared" si="67"/>
        <v>0</v>
      </c>
      <c r="S302" s="57">
        <f t="shared" si="67"/>
        <v>0</v>
      </c>
      <c r="T302" s="57">
        <f t="shared" si="67"/>
        <v>0</v>
      </c>
      <c r="U302" s="57">
        <f t="shared" si="67"/>
        <v>0</v>
      </c>
      <c r="V302" s="62">
        <f t="shared" si="67"/>
        <v>0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7"/>
        <v>0</v>
      </c>
      <c r="Q303" s="57">
        <f t="shared" si="67"/>
        <v>471858.57543942035</v>
      </c>
      <c r="R303" s="57">
        <f t="shared" si="67"/>
        <v>432745.50817818695</v>
      </c>
      <c r="S303" s="57">
        <f t="shared" si="67"/>
        <v>389820.16040159453</v>
      </c>
      <c r="T303" s="57">
        <f t="shared" si="67"/>
        <v>355345.40584988095</v>
      </c>
      <c r="U303" s="57">
        <f t="shared" si="67"/>
        <v>1426996.7662634766</v>
      </c>
      <c r="V303" s="62">
        <f t="shared" si="67"/>
        <v>1542442.0259633579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7"/>
        <v>0</v>
      </c>
      <c r="Q304" s="57">
        <f t="shared" si="67"/>
        <v>0</v>
      </c>
      <c r="R304" s="57">
        <f t="shared" si="67"/>
        <v>0</v>
      </c>
      <c r="S304" s="57">
        <f t="shared" si="67"/>
        <v>0</v>
      </c>
      <c r="T304" s="57">
        <f t="shared" si="67"/>
        <v>0</v>
      </c>
      <c r="U304" s="57">
        <f t="shared" si="67"/>
        <v>0</v>
      </c>
      <c r="V304" s="62">
        <f t="shared" si="67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7"/>
        <v>0</v>
      </c>
      <c r="Q305" s="57">
        <f t="shared" si="67"/>
        <v>0</v>
      </c>
      <c r="R305" s="57">
        <f t="shared" si="67"/>
        <v>0</v>
      </c>
      <c r="S305" s="57">
        <f t="shared" si="67"/>
        <v>0</v>
      </c>
      <c r="T305" s="57">
        <f t="shared" si="67"/>
        <v>0</v>
      </c>
      <c r="U305" s="57">
        <f t="shared" si="67"/>
        <v>0</v>
      </c>
      <c r="V305" s="62">
        <f t="shared" si="67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7"/>
        <v>0</v>
      </c>
      <c r="Q306" s="57">
        <f t="shared" si="67"/>
        <v>0</v>
      </c>
      <c r="R306" s="57">
        <f t="shared" si="67"/>
        <v>0</v>
      </c>
      <c r="S306" s="57">
        <f t="shared" si="67"/>
        <v>0</v>
      </c>
      <c r="T306" s="57">
        <f t="shared" si="67"/>
        <v>0</v>
      </c>
      <c r="U306" s="57">
        <f t="shared" si="67"/>
        <v>0</v>
      </c>
      <c r="V306" s="62">
        <f t="shared" si="67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7"/>
        <v>0</v>
      </c>
      <c r="Q307" s="57">
        <f t="shared" si="67"/>
        <v>0</v>
      </c>
      <c r="R307" s="57">
        <f t="shared" si="67"/>
        <v>0</v>
      </c>
      <c r="S307" s="57">
        <f t="shared" si="67"/>
        <v>0</v>
      </c>
      <c r="T307" s="57">
        <f t="shared" si="67"/>
        <v>0</v>
      </c>
      <c r="U307" s="57">
        <f t="shared" si="67"/>
        <v>0</v>
      </c>
      <c r="V307" s="62">
        <f t="shared" si="67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8">SUM(Q297:Q307)</f>
        <v>471858.57543942035</v>
      </c>
      <c r="R309" s="37">
        <f t="shared" si="68"/>
        <v>432745.50817818695</v>
      </c>
      <c r="S309" s="37">
        <f t="shared" si="68"/>
        <v>389820.16040159453</v>
      </c>
      <c r="T309" s="37">
        <f t="shared" si="68"/>
        <v>355345.40584988095</v>
      </c>
      <c r="U309" s="37">
        <f t="shared" si="68"/>
        <v>1426996.7662634766</v>
      </c>
      <c r="V309" s="64">
        <f t="shared" si="68"/>
        <v>1542442.0259633579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280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9">P297*(1-P$219)</f>
        <v>0</v>
      </c>
      <c r="Q318" s="57">
        <f t="shared" si="69"/>
        <v>0</v>
      </c>
      <c r="R318" s="57">
        <f t="shared" si="69"/>
        <v>0</v>
      </c>
      <c r="S318" s="57">
        <f t="shared" si="69"/>
        <v>0</v>
      </c>
      <c r="T318" s="57">
        <f t="shared" si="69"/>
        <v>0</v>
      </c>
      <c r="U318" s="57">
        <f t="shared" si="69"/>
        <v>0</v>
      </c>
      <c r="V318" s="62">
        <f t="shared" si="69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9"/>
        <v>0</v>
      </c>
      <c r="Q319" s="57">
        <f t="shared" si="69"/>
        <v>0</v>
      </c>
      <c r="R319" s="57">
        <f t="shared" si="69"/>
        <v>0</v>
      </c>
      <c r="S319" s="57">
        <f t="shared" si="69"/>
        <v>0</v>
      </c>
      <c r="T319" s="57">
        <f t="shared" si="69"/>
        <v>0</v>
      </c>
      <c r="U319" s="57">
        <f t="shared" si="69"/>
        <v>0</v>
      </c>
      <c r="V319" s="62">
        <f t="shared" si="69"/>
        <v>0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9"/>
        <v>0</v>
      </c>
      <c r="Q320" s="57">
        <f t="shared" si="69"/>
        <v>0</v>
      </c>
      <c r="R320" s="57">
        <f t="shared" si="69"/>
        <v>0</v>
      </c>
      <c r="S320" s="57">
        <f t="shared" si="69"/>
        <v>0</v>
      </c>
      <c r="T320" s="57">
        <f t="shared" si="69"/>
        <v>0</v>
      </c>
      <c r="U320" s="57">
        <f t="shared" si="69"/>
        <v>0</v>
      </c>
      <c r="V320" s="62">
        <f t="shared" si="69"/>
        <v>0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9"/>
        <v>0</v>
      </c>
      <c r="Q321" s="57">
        <f t="shared" si="69"/>
        <v>0</v>
      </c>
      <c r="R321" s="57">
        <f t="shared" si="69"/>
        <v>0</v>
      </c>
      <c r="S321" s="57">
        <f t="shared" si="69"/>
        <v>0</v>
      </c>
      <c r="T321" s="57">
        <f t="shared" si="69"/>
        <v>0</v>
      </c>
      <c r="U321" s="57">
        <f t="shared" si="69"/>
        <v>0</v>
      </c>
      <c r="V321" s="62">
        <f t="shared" si="69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9"/>
        <v>0</v>
      </c>
      <c r="Q322" s="57">
        <f t="shared" si="69"/>
        <v>0</v>
      </c>
      <c r="R322" s="57">
        <f t="shared" si="69"/>
        <v>0</v>
      </c>
      <c r="S322" s="57">
        <f t="shared" si="69"/>
        <v>0</v>
      </c>
      <c r="T322" s="57">
        <f t="shared" si="69"/>
        <v>0</v>
      </c>
      <c r="U322" s="57">
        <f t="shared" si="69"/>
        <v>0</v>
      </c>
      <c r="V322" s="62">
        <f t="shared" si="69"/>
        <v>0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9"/>
        <v>0</v>
      </c>
      <c r="Q323" s="57">
        <f t="shared" si="69"/>
        <v>0</v>
      </c>
      <c r="R323" s="57">
        <f t="shared" si="69"/>
        <v>0</v>
      </c>
      <c r="S323" s="57">
        <f t="shared" si="69"/>
        <v>0</v>
      </c>
      <c r="T323" s="57">
        <f t="shared" si="69"/>
        <v>0</v>
      </c>
      <c r="U323" s="57">
        <f t="shared" si="69"/>
        <v>0</v>
      </c>
      <c r="V323" s="62">
        <f t="shared" si="69"/>
        <v>0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9"/>
        <v>0</v>
      </c>
      <c r="Q324" s="57">
        <f t="shared" si="69"/>
        <v>471858.57543942035</v>
      </c>
      <c r="R324" s="57">
        <f t="shared" si="69"/>
        <v>432745.50817818695</v>
      </c>
      <c r="S324" s="57">
        <f t="shared" si="69"/>
        <v>389820.16040159453</v>
      </c>
      <c r="T324" s="57">
        <f t="shared" si="69"/>
        <v>355345.40584988095</v>
      </c>
      <c r="U324" s="57">
        <f t="shared" si="69"/>
        <v>1426996.7662634766</v>
      </c>
      <c r="V324" s="62">
        <f t="shared" si="69"/>
        <v>1542442.0259633579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9"/>
        <v>0</v>
      </c>
      <c r="Q325" s="57">
        <f t="shared" si="69"/>
        <v>0</v>
      </c>
      <c r="R325" s="57">
        <f t="shared" si="69"/>
        <v>0</v>
      </c>
      <c r="S325" s="57">
        <f t="shared" si="69"/>
        <v>0</v>
      </c>
      <c r="T325" s="57">
        <f t="shared" si="69"/>
        <v>0</v>
      </c>
      <c r="U325" s="57">
        <f t="shared" si="69"/>
        <v>0</v>
      </c>
      <c r="V325" s="62">
        <f t="shared" si="69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9"/>
        <v>0</v>
      </c>
      <c r="Q326" s="57">
        <f t="shared" si="69"/>
        <v>0</v>
      </c>
      <c r="R326" s="57">
        <f t="shared" si="69"/>
        <v>0</v>
      </c>
      <c r="S326" s="57">
        <f t="shared" si="69"/>
        <v>0</v>
      </c>
      <c r="T326" s="57">
        <f t="shared" si="69"/>
        <v>0</v>
      </c>
      <c r="U326" s="57">
        <f t="shared" si="69"/>
        <v>0</v>
      </c>
      <c r="V326" s="62">
        <f t="shared" si="69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9"/>
        <v>0</v>
      </c>
      <c r="Q327" s="57">
        <f t="shared" si="69"/>
        <v>0</v>
      </c>
      <c r="R327" s="57">
        <f t="shared" si="69"/>
        <v>0</v>
      </c>
      <c r="S327" s="57">
        <f t="shared" si="69"/>
        <v>0</v>
      </c>
      <c r="T327" s="57">
        <f t="shared" si="69"/>
        <v>0</v>
      </c>
      <c r="U327" s="57">
        <f t="shared" si="69"/>
        <v>0</v>
      </c>
      <c r="V327" s="62">
        <f t="shared" si="69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9"/>
        <v>0</v>
      </c>
      <c r="Q328" s="57">
        <f t="shared" si="69"/>
        <v>0</v>
      </c>
      <c r="R328" s="57">
        <f t="shared" si="69"/>
        <v>0</v>
      </c>
      <c r="S328" s="57">
        <f t="shared" si="69"/>
        <v>0</v>
      </c>
      <c r="T328" s="57">
        <f t="shared" si="69"/>
        <v>0</v>
      </c>
      <c r="U328" s="57">
        <f t="shared" si="69"/>
        <v>0</v>
      </c>
      <c r="V328" s="62">
        <f t="shared" si="69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0">SUM(Q318:Q328)</f>
        <v>471858.57543942035</v>
      </c>
      <c r="R330" s="37">
        <f t="shared" si="70"/>
        <v>432745.50817818695</v>
      </c>
      <c r="S330" s="37">
        <f t="shared" si="70"/>
        <v>389820.16040159453</v>
      </c>
      <c r="T330" s="37">
        <f t="shared" si="70"/>
        <v>355345.40584988095</v>
      </c>
      <c r="U330" s="37">
        <f t="shared" si="70"/>
        <v>1426996.7662634766</v>
      </c>
      <c r="V330" s="64">
        <f t="shared" si="70"/>
        <v>1542442.0259633579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281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1">Q297*Q$219</f>
        <v>0</v>
      </c>
      <c r="R339" s="57">
        <f t="shared" si="71"/>
        <v>0</v>
      </c>
      <c r="S339" s="57">
        <f t="shared" si="71"/>
        <v>0</v>
      </c>
      <c r="T339" s="57">
        <f t="shared" si="71"/>
        <v>0</v>
      </c>
      <c r="U339" s="57">
        <f t="shared" si="71"/>
        <v>0</v>
      </c>
      <c r="V339" s="62">
        <f t="shared" si="71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2">P298*P$219</f>
        <v>0</v>
      </c>
      <c r="Q340" s="57">
        <f t="shared" si="71"/>
        <v>0</v>
      </c>
      <c r="R340" s="57">
        <f t="shared" si="71"/>
        <v>0</v>
      </c>
      <c r="S340" s="57">
        <f t="shared" si="71"/>
        <v>0</v>
      </c>
      <c r="T340" s="57">
        <f t="shared" si="71"/>
        <v>0</v>
      </c>
      <c r="U340" s="57">
        <f t="shared" si="71"/>
        <v>0</v>
      </c>
      <c r="V340" s="62">
        <f t="shared" si="71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2"/>
        <v>0</v>
      </c>
      <c r="Q341" s="57">
        <f t="shared" si="71"/>
        <v>0</v>
      </c>
      <c r="R341" s="57">
        <f t="shared" si="71"/>
        <v>0</v>
      </c>
      <c r="S341" s="57">
        <f t="shared" si="71"/>
        <v>0</v>
      </c>
      <c r="T341" s="57">
        <f t="shared" si="71"/>
        <v>0</v>
      </c>
      <c r="U341" s="57">
        <f t="shared" si="71"/>
        <v>0</v>
      </c>
      <c r="V341" s="62">
        <f t="shared" si="71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2"/>
        <v>0</v>
      </c>
      <c r="Q342" s="57">
        <f t="shared" si="71"/>
        <v>0</v>
      </c>
      <c r="R342" s="57">
        <f t="shared" si="71"/>
        <v>0</v>
      </c>
      <c r="S342" s="57">
        <f t="shared" si="71"/>
        <v>0</v>
      </c>
      <c r="T342" s="57">
        <f t="shared" si="71"/>
        <v>0</v>
      </c>
      <c r="U342" s="57">
        <f t="shared" si="71"/>
        <v>0</v>
      </c>
      <c r="V342" s="62">
        <f t="shared" si="71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2"/>
        <v>0</v>
      </c>
      <c r="Q343" s="57">
        <f t="shared" si="71"/>
        <v>0</v>
      </c>
      <c r="R343" s="57">
        <f t="shared" si="71"/>
        <v>0</v>
      </c>
      <c r="S343" s="57">
        <f t="shared" si="71"/>
        <v>0</v>
      </c>
      <c r="T343" s="57">
        <f t="shared" si="71"/>
        <v>0</v>
      </c>
      <c r="U343" s="57">
        <f t="shared" si="71"/>
        <v>0</v>
      </c>
      <c r="V343" s="62">
        <f t="shared" si="71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2"/>
        <v>0</v>
      </c>
      <c r="Q344" s="57">
        <f t="shared" si="71"/>
        <v>0</v>
      </c>
      <c r="R344" s="57">
        <f t="shared" si="71"/>
        <v>0</v>
      </c>
      <c r="S344" s="57">
        <f t="shared" si="71"/>
        <v>0</v>
      </c>
      <c r="T344" s="57">
        <f t="shared" si="71"/>
        <v>0</v>
      </c>
      <c r="U344" s="57">
        <f t="shared" si="71"/>
        <v>0</v>
      </c>
      <c r="V344" s="62">
        <f t="shared" si="71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2"/>
        <v>0</v>
      </c>
      <c r="Q345" s="57">
        <f t="shared" si="71"/>
        <v>0</v>
      </c>
      <c r="R345" s="57">
        <f t="shared" si="71"/>
        <v>0</v>
      </c>
      <c r="S345" s="57">
        <f t="shared" si="71"/>
        <v>0</v>
      </c>
      <c r="T345" s="57">
        <f t="shared" si="71"/>
        <v>0</v>
      </c>
      <c r="U345" s="57">
        <f t="shared" si="71"/>
        <v>0</v>
      </c>
      <c r="V345" s="62">
        <f t="shared" si="71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2"/>
        <v>0</v>
      </c>
      <c r="Q346" s="57">
        <f t="shared" si="71"/>
        <v>0</v>
      </c>
      <c r="R346" s="57">
        <f t="shared" si="71"/>
        <v>0</v>
      </c>
      <c r="S346" s="57">
        <f t="shared" si="71"/>
        <v>0</v>
      </c>
      <c r="T346" s="57">
        <f t="shared" si="71"/>
        <v>0</v>
      </c>
      <c r="U346" s="57">
        <f t="shared" si="71"/>
        <v>0</v>
      </c>
      <c r="V346" s="62">
        <f t="shared" si="71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2"/>
        <v>0</v>
      </c>
      <c r="Q347" s="57">
        <f t="shared" si="71"/>
        <v>0</v>
      </c>
      <c r="R347" s="57">
        <f t="shared" si="71"/>
        <v>0</v>
      </c>
      <c r="S347" s="57">
        <f t="shared" si="71"/>
        <v>0</v>
      </c>
      <c r="T347" s="57">
        <f t="shared" si="71"/>
        <v>0</v>
      </c>
      <c r="U347" s="57">
        <f t="shared" si="71"/>
        <v>0</v>
      </c>
      <c r="V347" s="62">
        <f t="shared" si="71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2"/>
        <v>0</v>
      </c>
      <c r="Q348" s="57">
        <f t="shared" si="71"/>
        <v>0</v>
      </c>
      <c r="R348" s="57">
        <f t="shared" si="71"/>
        <v>0</v>
      </c>
      <c r="S348" s="57">
        <f t="shared" si="71"/>
        <v>0</v>
      </c>
      <c r="T348" s="57">
        <f t="shared" si="71"/>
        <v>0</v>
      </c>
      <c r="U348" s="57">
        <f t="shared" si="71"/>
        <v>0</v>
      </c>
      <c r="V348" s="62">
        <f t="shared" si="71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2"/>
        <v>0</v>
      </c>
      <c r="Q349" s="57">
        <f t="shared" si="71"/>
        <v>0</v>
      </c>
      <c r="R349" s="57">
        <f t="shared" si="71"/>
        <v>0</v>
      </c>
      <c r="S349" s="57">
        <f t="shared" si="71"/>
        <v>0</v>
      </c>
      <c r="T349" s="57">
        <f t="shared" si="71"/>
        <v>0</v>
      </c>
      <c r="U349" s="57">
        <f t="shared" si="71"/>
        <v>0</v>
      </c>
      <c r="V349" s="62">
        <f t="shared" si="71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3">SUM(Q339:Q349)</f>
        <v>0</v>
      </c>
      <c r="R351" s="37">
        <f t="shared" si="73"/>
        <v>0</v>
      </c>
      <c r="S351" s="37">
        <f t="shared" si="73"/>
        <v>0</v>
      </c>
      <c r="T351" s="37">
        <f t="shared" si="73"/>
        <v>0</v>
      </c>
      <c r="U351" s="37">
        <f t="shared" si="73"/>
        <v>0</v>
      </c>
      <c r="V351" s="64">
        <f t="shared" si="73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279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74">IFERROR(SUMPRODUCT($AM$73:$AM$87,Q$73:Q$87)/SUM(Q$73:Q$87)*Q$89,0)</f>
        <v>0</v>
      </c>
      <c r="R362" s="57">
        <f t="shared" si="74"/>
        <v>0</v>
      </c>
      <c r="S362" s="57">
        <f t="shared" si="74"/>
        <v>0</v>
      </c>
      <c r="T362" s="57">
        <f t="shared" si="74"/>
        <v>0</v>
      </c>
      <c r="U362" s="57">
        <f t="shared" si="74"/>
        <v>0</v>
      </c>
      <c r="V362" s="62">
        <f t="shared" si="74"/>
        <v>0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75">IFERROR(SUMPRODUCT($AN$73:$AN$87,Q$73:Q$87)/SUM(Q$73:Q$87)*Q$89,0)</f>
        <v>0</v>
      </c>
      <c r="R363" s="57">
        <f t="shared" si="75"/>
        <v>0</v>
      </c>
      <c r="S363" s="57">
        <f t="shared" si="75"/>
        <v>0</v>
      </c>
      <c r="T363" s="57">
        <f t="shared" si="75"/>
        <v>0</v>
      </c>
      <c r="U363" s="57">
        <f t="shared" si="75"/>
        <v>0</v>
      </c>
      <c r="V363" s="62">
        <f t="shared" si="75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76">IFERROR(SUMPRODUCT($AO$73:$AO$87,Q$73:Q$87)/SUM(Q$73:Q$87)*Q$89,0)</f>
        <v>0</v>
      </c>
      <c r="R364" s="57">
        <f t="shared" si="76"/>
        <v>0</v>
      </c>
      <c r="S364" s="57">
        <f t="shared" si="76"/>
        <v>0</v>
      </c>
      <c r="T364" s="57">
        <f t="shared" si="76"/>
        <v>0</v>
      </c>
      <c r="U364" s="57">
        <f t="shared" si="76"/>
        <v>0</v>
      </c>
      <c r="V364" s="62">
        <f t="shared" si="76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7">IFERROR(SUMPRODUCT($AP$73:$AP$87,Q$73:Q$87)/SUM(Q$73:Q$87)*Q$89,0)</f>
        <v>0</v>
      </c>
      <c r="R365" s="57">
        <f t="shared" si="77"/>
        <v>0</v>
      </c>
      <c r="S365" s="57">
        <f t="shared" si="77"/>
        <v>0</v>
      </c>
      <c r="T365" s="57">
        <f t="shared" si="77"/>
        <v>0</v>
      </c>
      <c r="U365" s="57">
        <f t="shared" si="77"/>
        <v>0</v>
      </c>
      <c r="V365" s="62">
        <f t="shared" si="77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8">IFERROR(SUMPRODUCT($AQ$73:$AQ$87,Q$73:Q$87)/SUM(Q$73:Q$87)*Q$89,0)</f>
        <v>0</v>
      </c>
      <c r="R366" s="57">
        <f t="shared" si="78"/>
        <v>0</v>
      </c>
      <c r="S366" s="57">
        <f t="shared" si="78"/>
        <v>0</v>
      </c>
      <c r="T366" s="57">
        <f t="shared" si="78"/>
        <v>0</v>
      </c>
      <c r="U366" s="57">
        <f t="shared" si="78"/>
        <v>0</v>
      </c>
      <c r="V366" s="62">
        <f t="shared" si="78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9">IFERROR(SUMPRODUCT($AR$73:$AR$87,Q$73:Q$87)/SUM(Q$73:Q$87)*Q$89,0)</f>
        <v>0</v>
      </c>
      <c r="R367" s="57">
        <f t="shared" si="79"/>
        <v>0</v>
      </c>
      <c r="S367" s="57">
        <f t="shared" si="79"/>
        <v>0</v>
      </c>
      <c r="T367" s="57">
        <f t="shared" si="79"/>
        <v>0</v>
      </c>
      <c r="U367" s="57">
        <f t="shared" si="79"/>
        <v>0</v>
      </c>
      <c r="V367" s="62">
        <f t="shared" si="79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0">IFERROR(SUMPRODUCT($AS$73:$AS$87,Q$73:Q$87)/SUM(Q$73:Q$87)*Q$89,0)</f>
        <v>0</v>
      </c>
      <c r="R368" s="57">
        <f t="shared" si="80"/>
        <v>0</v>
      </c>
      <c r="S368" s="57">
        <f t="shared" si="80"/>
        <v>0</v>
      </c>
      <c r="T368" s="57">
        <f t="shared" si="80"/>
        <v>0</v>
      </c>
      <c r="U368" s="57">
        <f t="shared" si="80"/>
        <v>0</v>
      </c>
      <c r="V368" s="62">
        <f t="shared" si="80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1">IFERROR(SUMPRODUCT($AT$73:$AT$87,Q$73:Q$87)/SUM(Q$73:Q$87)*Q$89,0)</f>
        <v>439002.85662744858</v>
      </c>
      <c r="R369" s="57">
        <f t="shared" si="81"/>
        <v>403616.2003721004</v>
      </c>
      <c r="S369" s="57">
        <f t="shared" si="81"/>
        <v>362197.83226479194</v>
      </c>
      <c r="T369" s="57">
        <f t="shared" si="81"/>
        <v>329809.36843843543</v>
      </c>
      <c r="U369" s="57">
        <f t="shared" si="81"/>
        <v>1319197.6312437584</v>
      </c>
      <c r="V369" s="62">
        <f t="shared" si="81"/>
        <v>1422401.8446578321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2">IFERROR(SUMPRODUCT($AU$73:$AU$87,Q$73:Q$87)/SUM(Q$73:Q$87)*Q$89,0)</f>
        <v>0</v>
      </c>
      <c r="R370" s="57">
        <f t="shared" si="82"/>
        <v>0</v>
      </c>
      <c r="S370" s="57">
        <f t="shared" si="82"/>
        <v>0</v>
      </c>
      <c r="T370" s="57">
        <f t="shared" si="82"/>
        <v>0</v>
      </c>
      <c r="U370" s="57">
        <f t="shared" si="82"/>
        <v>0</v>
      </c>
      <c r="V370" s="62">
        <f t="shared" si="82"/>
        <v>0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3">IFERROR(SUMPRODUCT($AV$73:$AV$87,Q$73:Q$87)/SUM(Q$73:Q$87)*Q$89,0)</f>
        <v>0</v>
      </c>
      <c r="R371" s="57">
        <f t="shared" si="83"/>
        <v>0</v>
      </c>
      <c r="S371" s="57">
        <f t="shared" si="83"/>
        <v>0</v>
      </c>
      <c r="T371" s="57">
        <f t="shared" si="83"/>
        <v>0</v>
      </c>
      <c r="U371" s="57">
        <f t="shared" si="83"/>
        <v>0</v>
      </c>
      <c r="V371" s="62">
        <f t="shared" si="83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84">IFERROR(SUMPRODUCT($AW$73:$AW$87,Q$73:Q$87)/SUM(Q$73:Q$87)*Q$89,0)</f>
        <v>0</v>
      </c>
      <c r="R372" s="57">
        <f t="shared" si="84"/>
        <v>0</v>
      </c>
      <c r="S372" s="57">
        <f t="shared" si="84"/>
        <v>0</v>
      </c>
      <c r="T372" s="57">
        <f t="shared" si="84"/>
        <v>0</v>
      </c>
      <c r="U372" s="57">
        <f t="shared" si="84"/>
        <v>0</v>
      </c>
      <c r="V372" s="62">
        <f t="shared" si="84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85">Q238</f>
        <v>0</v>
      </c>
      <c r="R373" s="57">
        <f t="shared" si="85"/>
        <v>0</v>
      </c>
      <c r="S373" s="57">
        <f t="shared" si="85"/>
        <v>0</v>
      </c>
      <c r="T373" s="57">
        <f t="shared" si="85"/>
        <v>0</v>
      </c>
      <c r="U373" s="57">
        <f t="shared" si="85"/>
        <v>0</v>
      </c>
      <c r="V373" s="62">
        <f t="shared" si="85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86">Q252</f>
        <v>0</v>
      </c>
      <c r="R374" s="57">
        <f t="shared" si="86"/>
        <v>0</v>
      </c>
      <c r="S374" s="57">
        <f t="shared" si="86"/>
        <v>0</v>
      </c>
      <c r="T374" s="57">
        <f t="shared" si="86"/>
        <v>0</v>
      </c>
      <c r="U374" s="57">
        <f t="shared" si="86"/>
        <v>0</v>
      </c>
      <c r="V374" s="62">
        <f t="shared" si="86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>SUM(Q362:Q372)*'General assumptions'!T47</f>
        <v>32855.718811971703</v>
      </c>
      <c r="R375" s="57">
        <f>SUM(R362:R372)*'General assumptions'!U47</f>
        <v>29129.307806086588</v>
      </c>
      <c r="S375" s="57">
        <f>SUM(S362:S372)*'General assumptions'!V47</f>
        <v>27622.328136802636</v>
      </c>
      <c r="T375" s="57">
        <f>SUM(T362:T372)*'General assumptions'!W47</f>
        <v>25536.037411445526</v>
      </c>
      <c r="U375" s="57">
        <f>SUM(U362:U372)*'General assumptions'!X47</f>
        <v>107799.13501971826</v>
      </c>
      <c r="V375" s="62">
        <f>SUM(V362:V372)*'General assumptions'!Y47</f>
        <v>120040.18130552574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7">SUM(P362:P375)</f>
        <v>0</v>
      </c>
      <c r="Q377" s="37">
        <f t="shared" si="87"/>
        <v>471858.5754394203</v>
      </c>
      <c r="R377" s="37">
        <f t="shared" si="87"/>
        <v>432745.50817818701</v>
      </c>
      <c r="S377" s="37">
        <f t="shared" si="87"/>
        <v>389820.16040159459</v>
      </c>
      <c r="T377" s="37">
        <f t="shared" si="87"/>
        <v>355345.40584988095</v>
      </c>
      <c r="U377" s="37">
        <f t="shared" si="87"/>
        <v>1426996.7662634766</v>
      </c>
      <c r="V377" s="64">
        <f t="shared" si="87"/>
        <v>1542442.0259633579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279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8">IFERROR(SUMPRODUCT($BB$73:$BB$87,Q$73:Q$87)/SUM(Q$73:Q$87)*Q$89*(1+Q$208),0)</f>
        <v>0</v>
      </c>
      <c r="R388" s="57">
        <f t="shared" si="88"/>
        <v>0</v>
      </c>
      <c r="S388" s="57">
        <f t="shared" si="88"/>
        <v>0</v>
      </c>
      <c r="T388" s="57">
        <f t="shared" si="88"/>
        <v>0</v>
      </c>
      <c r="U388" s="57">
        <f t="shared" si="88"/>
        <v>0</v>
      </c>
      <c r="V388" s="62">
        <f t="shared" si="88"/>
        <v>0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89">IFERROR(SUMPRODUCT($BC$73:$BC$87,Q$73:Q$87)/SUM(Q$73:Q$87)*Q$89*(1+Q$208),0)</f>
        <v>0</v>
      </c>
      <c r="R389" s="57">
        <f t="shared" si="89"/>
        <v>0</v>
      </c>
      <c r="S389" s="57">
        <f t="shared" si="89"/>
        <v>0</v>
      </c>
      <c r="T389" s="57">
        <f t="shared" si="89"/>
        <v>0</v>
      </c>
      <c r="U389" s="57">
        <f t="shared" si="89"/>
        <v>0</v>
      </c>
      <c r="V389" s="62">
        <f t="shared" si="89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0">IFERROR(SUMPRODUCT($BD$73:$BD$87,Q$73:Q$87)/SUM(Q$73:Q$87)*Q$89*(1+Q$208),0)</f>
        <v>0</v>
      </c>
      <c r="R390" s="57">
        <f t="shared" si="90"/>
        <v>0</v>
      </c>
      <c r="S390" s="57">
        <f t="shared" si="90"/>
        <v>0</v>
      </c>
      <c r="T390" s="57">
        <f t="shared" si="90"/>
        <v>0</v>
      </c>
      <c r="U390" s="57">
        <f t="shared" si="90"/>
        <v>0</v>
      </c>
      <c r="V390" s="62">
        <f t="shared" si="90"/>
        <v>0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1">IFERROR(SUMPRODUCT($BE$73:$BE$87,Q$73:Q$87)/SUM(Q$73:Q$87)*Q$89*(1+Q$208),0)</f>
        <v>0</v>
      </c>
      <c r="R391" s="57">
        <f t="shared" si="91"/>
        <v>0</v>
      </c>
      <c r="S391" s="57">
        <f t="shared" si="91"/>
        <v>0</v>
      </c>
      <c r="T391" s="57">
        <f t="shared" si="91"/>
        <v>0</v>
      </c>
      <c r="U391" s="57">
        <f t="shared" si="91"/>
        <v>0</v>
      </c>
      <c r="V391" s="62">
        <f t="shared" si="91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2">IFERROR(SUMPRODUCT($BF$73:$BF$87,Q$73:Q$87)/SUM(Q$73:Q$87)*Q$89*(1+Q$208),0)</f>
        <v>471858.57543942035</v>
      </c>
      <c r="R392" s="57">
        <f t="shared" si="92"/>
        <v>432745.50817818695</v>
      </c>
      <c r="S392" s="57">
        <f t="shared" si="92"/>
        <v>389820.16040159453</v>
      </c>
      <c r="T392" s="57">
        <f t="shared" si="92"/>
        <v>355345.40584988095</v>
      </c>
      <c r="U392" s="57">
        <f t="shared" si="92"/>
        <v>1426996.7662634766</v>
      </c>
      <c r="V392" s="62">
        <f t="shared" si="92"/>
        <v>1542442.0259633579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93">IFERROR(SUMPRODUCT($BG$73:$BG$87,Q$73:Q$87)/SUM(Q$73:Q$87)*Q$89*(1+Q$208),0)</f>
        <v>0</v>
      </c>
      <c r="R393" s="57">
        <f t="shared" si="93"/>
        <v>0</v>
      </c>
      <c r="S393" s="57">
        <f t="shared" si="93"/>
        <v>0</v>
      </c>
      <c r="T393" s="57">
        <f t="shared" si="93"/>
        <v>0</v>
      </c>
      <c r="U393" s="57">
        <f t="shared" si="93"/>
        <v>0</v>
      </c>
      <c r="V393" s="62">
        <f t="shared" si="93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94">IFERROR(SUMPRODUCT($BH$73:$BH$87,Q$73:Q$87)/SUM(Q$73:Q$87)*Q$89*(1+Q$208),0)</f>
        <v>0</v>
      </c>
      <c r="R394" s="57">
        <f t="shared" si="94"/>
        <v>0</v>
      </c>
      <c r="S394" s="57">
        <f t="shared" si="94"/>
        <v>0</v>
      </c>
      <c r="T394" s="57">
        <f t="shared" si="94"/>
        <v>0</v>
      </c>
      <c r="U394" s="57">
        <f t="shared" si="94"/>
        <v>0</v>
      </c>
      <c r="V394" s="62">
        <f t="shared" si="94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5">SUM(P388:P394)</f>
        <v>0</v>
      </c>
      <c r="Q396" s="37">
        <f t="shared" si="95"/>
        <v>471858.57543942035</v>
      </c>
      <c r="R396" s="37">
        <f t="shared" si="95"/>
        <v>432745.50817818695</v>
      </c>
      <c r="S396" s="37">
        <f t="shared" si="95"/>
        <v>389820.16040159453</v>
      </c>
      <c r="T396" s="37">
        <f t="shared" si="95"/>
        <v>355345.40584988095</v>
      </c>
      <c r="U396" s="37">
        <f t="shared" si="95"/>
        <v>1426996.7662634766</v>
      </c>
      <c r="V396" s="64">
        <f t="shared" si="95"/>
        <v>1542442.0259633579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B0F0"/>
  </sheetPr>
  <dimension ref="A1:BI399"/>
  <sheetViews>
    <sheetView topLeftCell="I7" workbookViewId="0">
      <selection activeCell="Q33" sqref="Q33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30" width="9.140625" style="4"/>
    <col min="31" max="31" width="11.140625" style="4" customWidth="1"/>
    <col min="32" max="16384" width="9.140625" style="4"/>
  </cols>
  <sheetData>
    <row r="1" spans="1:7" s="3" customFormat="1">
      <c r="A1" s="2" t="s">
        <v>2</v>
      </c>
    </row>
    <row r="2" spans="1:7" s="1" customFormat="1">
      <c r="A2" s="3" t="s">
        <v>196</v>
      </c>
    </row>
    <row r="3" spans="1:7" s="1" customFormat="1">
      <c r="A3" s="3" t="s">
        <v>95</v>
      </c>
    </row>
    <row r="4" spans="1:7" s="1" customFormat="1">
      <c r="A4" s="22" t="s">
        <v>43</v>
      </c>
    </row>
    <row r="6" spans="1:7" s="1" customFormat="1">
      <c r="A6" s="2">
        <v>2</v>
      </c>
      <c r="B6" s="2" t="s">
        <v>45</v>
      </c>
    </row>
    <row r="9" spans="1:7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</row>
    <row r="10" spans="1:7">
      <c r="B10" s="8" t="s">
        <v>197</v>
      </c>
      <c r="D10" s="10">
        <v>0.03</v>
      </c>
      <c r="E10" s="10">
        <v>0.56999999999999995</v>
      </c>
      <c r="F10" s="26">
        <f>D10+E10</f>
        <v>0.6</v>
      </c>
      <c r="G10" s="26">
        <f>1-F10</f>
        <v>0.4</v>
      </c>
    </row>
    <row r="11" spans="1:7">
      <c r="B11" s="8" t="s">
        <v>198</v>
      </c>
      <c r="D11" s="10">
        <v>0.03</v>
      </c>
      <c r="E11" s="10">
        <v>0.56999999999999995</v>
      </c>
      <c r="F11" s="26">
        <f t="shared" ref="F11:F15" si="0">D11+E11</f>
        <v>0.6</v>
      </c>
      <c r="G11" s="26">
        <f t="shared" ref="G11:G15" si="1">1-F11</f>
        <v>0.4</v>
      </c>
    </row>
    <row r="12" spans="1:7">
      <c r="B12" s="8" t="s">
        <v>199</v>
      </c>
      <c r="D12" s="10">
        <v>0.03</v>
      </c>
      <c r="E12" s="10">
        <v>0.56999999999999995</v>
      </c>
      <c r="F12" s="26">
        <f t="shared" si="0"/>
        <v>0.6</v>
      </c>
      <c r="G12" s="26">
        <f t="shared" si="1"/>
        <v>0.4</v>
      </c>
    </row>
    <row r="13" spans="1:7">
      <c r="B13" s="8" t="s">
        <v>200</v>
      </c>
      <c r="D13" s="10">
        <v>0.03</v>
      </c>
      <c r="E13" s="10">
        <v>0.56999999999999995</v>
      </c>
      <c r="F13" s="26">
        <f t="shared" si="0"/>
        <v>0.6</v>
      </c>
      <c r="G13" s="26">
        <f t="shared" si="1"/>
        <v>0.4</v>
      </c>
    </row>
    <row r="14" spans="1:7">
      <c r="B14" s="8" t="s">
        <v>201</v>
      </c>
      <c r="D14" s="10">
        <v>0.04</v>
      </c>
      <c r="E14" s="10">
        <v>0.76</v>
      </c>
      <c r="F14" s="26">
        <f t="shared" si="0"/>
        <v>0.8</v>
      </c>
      <c r="G14" s="26">
        <f t="shared" si="1"/>
        <v>0.19999999999999996</v>
      </c>
    </row>
    <row r="15" spans="1:7">
      <c r="B15" s="8" t="s">
        <v>202</v>
      </c>
      <c r="D15" s="10">
        <v>0.04</v>
      </c>
      <c r="E15" s="10">
        <v>0.76</v>
      </c>
      <c r="F15" s="26">
        <f t="shared" si="0"/>
        <v>0.8</v>
      </c>
      <c r="G15" s="26">
        <f t="shared" si="1"/>
        <v>0.19999999999999996</v>
      </c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203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87" t="s">
        <v>52</v>
      </c>
      <c r="I28" s="189"/>
      <c r="J28" s="189"/>
      <c r="K28" s="189"/>
      <c r="L28" s="188"/>
      <c r="M28" s="187" t="s">
        <v>53</v>
      </c>
      <c r="N28" s="189"/>
      <c r="O28" s="189"/>
      <c r="P28" s="189"/>
      <c r="Q28" s="188"/>
      <c r="R28" s="187" t="s">
        <v>54</v>
      </c>
      <c r="S28" s="189"/>
      <c r="T28" s="189"/>
      <c r="U28" s="189"/>
      <c r="V28" s="18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>IF(B10&lt;&gt;"",B10,"[blank]")</f>
        <v>City Gate - New</v>
      </c>
      <c r="D31" s="31" t="s">
        <v>60</v>
      </c>
      <c r="E31" s="31"/>
      <c r="P31" s="77"/>
      <c r="Q31" s="33">
        <f>'AMP inputs'!U49*'General assumptions'!$S$21</f>
        <v>1531928.57476418</v>
      </c>
      <c r="R31" s="33">
        <f>'AMP inputs'!V49*'General assumptions'!$S$21</f>
        <v>2093635.7188443793</v>
      </c>
      <c r="S31" s="33">
        <f>'AMP inputs'!W49*'General assumptions'!$S$21</f>
        <v>408514.28660378134</v>
      </c>
      <c r="T31" s="33">
        <f>'AMP inputs'!X49*'General assumptions'!$S$21</f>
        <v>0</v>
      </c>
      <c r="U31" s="33">
        <f>'AMP inputs'!Y49*'General assumptions'!$S$21</f>
        <v>0</v>
      </c>
      <c r="V31" s="33">
        <f>'AMP inputs'!Z49*'General assumptions'!$S$21</f>
        <v>0</v>
      </c>
      <c r="X31" s="20"/>
    </row>
    <row r="32" spans="1:24">
      <c r="B32" s="4" t="str">
        <f t="shared" ref="B32:B45" si="2">IF(B11&lt;&gt;"",B11,"[blank]")</f>
        <v>City Gate - Capacity Upgrade</v>
      </c>
      <c r="D32" s="31" t="s">
        <v>60</v>
      </c>
      <c r="E32" s="31"/>
      <c r="P32" s="77"/>
      <c r="Q32" s="33">
        <f>'AMP inputs'!U50*'General assumptions'!$S$21</f>
        <v>408514.28660378134</v>
      </c>
      <c r="R32" s="33">
        <f>'AMP inputs'!V50*'General assumptions'!$S$21</f>
        <v>0</v>
      </c>
      <c r="S32" s="33">
        <f>'AMP inputs'!W50*'General assumptions'!$S$21</f>
        <v>1531928.57476418</v>
      </c>
      <c r="T32" s="33">
        <f>'AMP inputs'!X50*'General assumptions'!$S$21</f>
        <v>0</v>
      </c>
      <c r="U32" s="33">
        <f>'AMP inputs'!Y50*'General assumptions'!$S$21</f>
        <v>204257.14330189067</v>
      </c>
      <c r="V32" s="33">
        <f>'AMP inputs'!Z50*'General assumptions'!$S$21</f>
        <v>0</v>
      </c>
      <c r="X32" s="20"/>
    </row>
    <row r="33" spans="1:24">
      <c r="B33" s="4" t="str">
        <f t="shared" si="2"/>
        <v>Field Regulator - New</v>
      </c>
      <c r="D33" s="31" t="s">
        <v>60</v>
      </c>
      <c r="P33" s="77"/>
      <c r="Q33" s="33">
        <f>'AMP inputs'!U51*'General assumptions'!$S$21</f>
        <v>204257.14330189067</v>
      </c>
      <c r="R33" s="33">
        <f>'AMP inputs'!V51*'General assumptions'!$S$21</f>
        <v>919157.14485850802</v>
      </c>
      <c r="S33" s="33">
        <f>'AMP inputs'!W51*'General assumptions'!$S$21</f>
        <v>0</v>
      </c>
      <c r="T33" s="33">
        <f>'AMP inputs'!X51*'General assumptions'!$S$21</f>
        <v>0</v>
      </c>
      <c r="U33" s="33">
        <f>'AMP inputs'!Y51*'General assumptions'!$S$21</f>
        <v>0</v>
      </c>
      <c r="V33" s="33">
        <f>'AMP inputs'!Z51*'General assumptions'!$S$21</f>
        <v>0</v>
      </c>
      <c r="X33" s="20"/>
    </row>
    <row r="34" spans="1:24">
      <c r="B34" s="4" t="str">
        <f t="shared" si="2"/>
        <v>Field Regulator - Capacity Upgrade</v>
      </c>
      <c r="D34" s="31" t="s">
        <v>60</v>
      </c>
      <c r="P34" s="77"/>
      <c r="Q34" s="33">
        <f>'AMP inputs'!U52*'General assumptions'!$S$21</f>
        <v>153192.85747641799</v>
      </c>
      <c r="R34" s="33">
        <f>'AMP inputs'!V52*'General assumptions'!$S$21</f>
        <v>0</v>
      </c>
      <c r="S34" s="33">
        <f>'AMP inputs'!W52*'General assumptions'!$S$21</f>
        <v>0</v>
      </c>
      <c r="T34" s="33">
        <f>'AMP inputs'!X52*'General assumptions'!$S$21</f>
        <v>204257.14330189067</v>
      </c>
      <c r="U34" s="33">
        <f>'AMP inputs'!Y52*'General assumptions'!$S$21</f>
        <v>204257.14330189067</v>
      </c>
      <c r="V34" s="33">
        <f>'AMP inputs'!Z52*'General assumptions'!$S$21</f>
        <v>0</v>
      </c>
      <c r="X34" s="20"/>
    </row>
    <row r="35" spans="1:24">
      <c r="B35" s="4" t="str">
        <f t="shared" si="2"/>
        <v>Network Reinforcement - Distribution</v>
      </c>
      <c r="D35" s="31" t="s">
        <v>60</v>
      </c>
      <c r="P35" s="77"/>
      <c r="Q35" s="33">
        <f>'AMP inputs'!U53*'General assumptions'!$S$21</f>
        <v>408514.28660378134</v>
      </c>
      <c r="R35" s="33">
        <f>'AMP inputs'!V53*'General assumptions'!$S$21</f>
        <v>2133465.8617882482</v>
      </c>
      <c r="S35" s="33">
        <f>'AMP inputs'!W53*'General assumptions'!$S$21</f>
        <v>439152.85809906491</v>
      </c>
      <c r="T35" s="33">
        <f>'AMP inputs'!X53*'General assumptions'!$S$21</f>
        <v>367662.85794340319</v>
      </c>
      <c r="U35" s="33">
        <f>'AMP inputs'!Y53*'General assumptions'!$S$21</f>
        <v>1542141.4319292745</v>
      </c>
      <c r="V35" s="33">
        <f>'AMP inputs'!Z53*'General assumptions'!$S$21</f>
        <v>0</v>
      </c>
      <c r="X35" s="20"/>
    </row>
    <row r="36" spans="1:24">
      <c r="B36" s="4" t="str">
        <f t="shared" si="2"/>
        <v>Network Reinforcement - Transmission</v>
      </c>
      <c r="D36" s="31" t="s">
        <v>60</v>
      </c>
      <c r="P36" s="77"/>
      <c r="Q36" s="33">
        <f>'AMP inputs'!U54*'General assumptions'!$S$21</f>
        <v>1531928.57476418</v>
      </c>
      <c r="R36" s="33">
        <f>'AMP inputs'!V54*'General assumptions'!$S$21</f>
        <v>1531928.57476418</v>
      </c>
      <c r="S36" s="33">
        <f>'AMP inputs'!W54*'General assumptions'!$S$21</f>
        <v>510642.85825472669</v>
      </c>
      <c r="T36" s="33">
        <f>'AMP inputs'!X54*'General assumptions'!$S$21</f>
        <v>0</v>
      </c>
      <c r="U36" s="33">
        <f>'AMP inputs'!Y54*'General assumptions'!$S$21</f>
        <v>0</v>
      </c>
      <c r="V36" s="33">
        <f>'AMP inputs'!Z54*'General assumptions'!$S$21</f>
        <v>1021285.7165094534</v>
      </c>
      <c r="X36" s="20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8" spans="1:24" s="1" customFormat="1">
      <c r="A48" s="2">
        <v>4</v>
      </c>
      <c r="B48" s="2" t="s">
        <v>61</v>
      </c>
    </row>
    <row r="49" spans="2:61">
      <c r="Z49" s="5" t="s">
        <v>73</v>
      </c>
      <c r="AM49" s="5" t="s">
        <v>110</v>
      </c>
      <c r="BB49" s="5" t="s">
        <v>133</v>
      </c>
    </row>
    <row r="50" spans="2:61">
      <c r="H50" s="190" t="s">
        <v>52</v>
      </c>
      <c r="I50" s="190"/>
      <c r="J50" s="190"/>
      <c r="K50" s="190"/>
      <c r="L50" s="190"/>
      <c r="M50" s="190" t="s">
        <v>53</v>
      </c>
      <c r="N50" s="190"/>
      <c r="O50" s="190"/>
      <c r="P50" s="190"/>
      <c r="Q50" s="190"/>
      <c r="R50" s="190" t="s">
        <v>54</v>
      </c>
      <c r="S50" s="190"/>
      <c r="T50" s="190"/>
      <c r="U50" s="190"/>
      <c r="V50" s="190"/>
      <c r="X50" s="38"/>
      <c r="Z50" s="39" t="s">
        <v>69</v>
      </c>
      <c r="AA50" s="39" t="s">
        <v>70</v>
      </c>
      <c r="AB50" s="39" t="s">
        <v>71</v>
      </c>
      <c r="AC50" s="39" t="s">
        <v>72</v>
      </c>
      <c r="AD50" s="39" t="s">
        <v>64</v>
      </c>
      <c r="AE50" s="39" t="s">
        <v>65</v>
      </c>
      <c r="AF50" s="39" t="s">
        <v>66</v>
      </c>
      <c r="AG50" s="39" t="s">
        <v>107</v>
      </c>
      <c r="AH50" s="39" t="s">
        <v>67</v>
      </c>
      <c r="AI50" s="39" t="s">
        <v>68</v>
      </c>
      <c r="AJ50" s="39" t="s">
        <v>108</v>
      </c>
      <c r="AM50" s="39" t="s">
        <v>111</v>
      </c>
      <c r="AN50" s="39" t="s">
        <v>112</v>
      </c>
      <c r="AO50" s="39" t="s">
        <v>113</v>
      </c>
      <c r="AP50" s="39" t="s">
        <v>114</v>
      </c>
      <c r="AQ50" s="39" t="s">
        <v>115</v>
      </c>
      <c r="AR50" s="39" t="s">
        <v>36</v>
      </c>
      <c r="AS50" s="39" t="s">
        <v>116</v>
      </c>
      <c r="AT50" s="39" t="s">
        <v>35</v>
      </c>
      <c r="AU50" s="39" t="s">
        <v>117</v>
      </c>
      <c r="AV50" s="39" t="s">
        <v>118</v>
      </c>
      <c r="AW50" s="39" t="s">
        <v>119</v>
      </c>
      <c r="AX50" s="39" t="s">
        <v>74</v>
      </c>
      <c r="AY50" s="39" t="s">
        <v>75</v>
      </c>
      <c r="BB50" s="39" t="s">
        <v>134</v>
      </c>
      <c r="BC50" s="39" t="s">
        <v>135</v>
      </c>
      <c r="BD50" s="39" t="s">
        <v>136</v>
      </c>
      <c r="BE50" s="39" t="s">
        <v>107</v>
      </c>
      <c r="BF50" s="39" t="s">
        <v>137</v>
      </c>
      <c r="BG50" s="39" t="s">
        <v>138</v>
      </c>
      <c r="BH50" s="39" t="s">
        <v>108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63</v>
      </c>
    </row>
    <row r="52" spans="2:61">
      <c r="B52" s="5" t="s">
        <v>46</v>
      </c>
      <c r="D52" s="29" t="s">
        <v>55</v>
      </c>
      <c r="H52" s="16" t="s">
        <v>12</v>
      </c>
      <c r="I52" s="16" t="s">
        <v>12</v>
      </c>
      <c r="J52" s="16" t="s">
        <v>12</v>
      </c>
      <c r="K52" s="16" t="s">
        <v>12</v>
      </c>
      <c r="L52" s="16" t="s">
        <v>12</v>
      </c>
      <c r="M52" s="16" t="s">
        <v>12</v>
      </c>
      <c r="N52" s="16" t="s">
        <v>12</v>
      </c>
      <c r="O52" s="16" t="s">
        <v>12</v>
      </c>
      <c r="P52" s="16" t="s">
        <v>13</v>
      </c>
      <c r="Q52" s="16" t="s">
        <v>13</v>
      </c>
      <c r="R52" s="16" t="s">
        <v>13</v>
      </c>
      <c r="S52" s="16" t="s">
        <v>13</v>
      </c>
      <c r="T52" s="16" t="s">
        <v>13</v>
      </c>
      <c r="U52" s="16" t="s">
        <v>13</v>
      </c>
      <c r="V52" s="16" t="s">
        <v>13</v>
      </c>
      <c r="X52" s="34" t="s">
        <v>13</v>
      </c>
      <c r="Z52" s="79"/>
      <c r="AA52" s="79"/>
      <c r="AB52" s="79"/>
      <c r="AC52" s="79"/>
      <c r="BB52" s="85"/>
      <c r="BC52" s="85"/>
      <c r="BD52" s="85"/>
      <c r="BE52" s="85"/>
      <c r="BF52" s="87"/>
    </row>
    <row r="53" spans="2:61">
      <c r="B53" s="4" t="str">
        <f t="shared" ref="B53:B67" si="3">IF(B10&lt;&gt;"",B10,"[blank]")</f>
        <v>City Gate - New</v>
      </c>
      <c r="D53" s="31" t="s">
        <v>60</v>
      </c>
      <c r="O53" s="35"/>
      <c r="P53" s="35"/>
      <c r="Q53" s="175">
        <v>0</v>
      </c>
      <c r="R53" s="35">
        <f>R31*($D10*'General assumptions'!U$35+$E10*'General assumptions'!U$36+$G10*'General assumptions'!U$42)</f>
        <v>2102173.051158173</v>
      </c>
      <c r="S53" s="35">
        <f>S31*($D10*'General assumptions'!V$35+$E10*'General assumptions'!V$36+$G10*'General assumptions'!V$42)</f>
        <v>412448.49460499105</v>
      </c>
      <c r="T53" s="35">
        <f>T31*($D10*'General assumptions'!W$35+$E10*'General assumptions'!W$36+$G10*'General assumptions'!W$42)</f>
        <v>0</v>
      </c>
      <c r="U53" s="35">
        <f>U31*($D10*'General assumptions'!X$35+$E10*'General assumptions'!X$36+$G10*'General assumptions'!X$42)</f>
        <v>0</v>
      </c>
      <c r="V53" s="35">
        <f>V31*($D10*'General assumptions'!Y$35+$E10*'General assumptions'!Y$36+$G10*'General assumptions'!Y$42)</f>
        <v>0</v>
      </c>
      <c r="W53" s="35"/>
      <c r="X53" s="40">
        <f>SUM(R53:V53)</f>
        <v>2514621.5457631638</v>
      </c>
      <c r="Z53" s="10"/>
      <c r="AA53" s="10"/>
      <c r="AB53" s="10"/>
      <c r="AC53" s="10"/>
      <c r="AD53" s="10">
        <v>1</v>
      </c>
      <c r="AE53" s="10"/>
      <c r="AF53" s="10"/>
      <c r="AG53" s="10"/>
      <c r="AH53" s="10"/>
      <c r="AI53" s="10"/>
      <c r="AJ53" s="10"/>
      <c r="AK53" s="41">
        <f t="shared" ref="AK53:AK67" si="4">SUM(Z53:AI53)</f>
        <v>1</v>
      </c>
      <c r="AM53" s="10"/>
      <c r="AN53" s="10"/>
      <c r="AO53" s="10"/>
      <c r="AP53" s="10"/>
      <c r="AQ53" s="10"/>
      <c r="AR53" s="10">
        <v>1</v>
      </c>
      <c r="AS53" s="10"/>
      <c r="AT53" s="10"/>
      <c r="AU53" s="10"/>
      <c r="AV53" s="10"/>
      <c r="AW53" s="10"/>
      <c r="AX53" s="10"/>
      <c r="AY53" s="10"/>
      <c r="AZ53" s="41">
        <f t="shared" ref="AZ53:AZ67" si="5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6">SUM(BB53:BH53)</f>
        <v>1</v>
      </c>
    </row>
    <row r="54" spans="2:61">
      <c r="B54" s="4" t="str">
        <f t="shared" si="3"/>
        <v>City Gate - Capacity Upgrade</v>
      </c>
      <c r="D54" s="31" t="s">
        <v>60</v>
      </c>
      <c r="O54" s="50"/>
      <c r="P54" s="35"/>
      <c r="Q54" s="175">
        <v>0</v>
      </c>
      <c r="R54" s="35">
        <f>R32*($D11*'General assumptions'!U$35+$E11*'General assumptions'!U$36+$G11*'General assumptions'!U$42)</f>
        <v>0</v>
      </c>
      <c r="S54" s="35">
        <f>S32*($D11*'General assumptions'!V$35+$E11*'General assumptions'!V$36+$G11*'General assumptions'!V$42)</f>
        <v>1546681.8547687163</v>
      </c>
      <c r="T54" s="35">
        <f>T32*($D11*'General assumptions'!W$35+$E11*'General assumptions'!W$36+$G11*'General assumptions'!W$42)</f>
        <v>0</v>
      </c>
      <c r="U54" s="35">
        <f>U32*($D11*'General assumptions'!X$35+$E11*'General assumptions'!X$36+$G11*'General assumptions'!X$42)</f>
        <v>209621.04337881992</v>
      </c>
      <c r="V54" s="35">
        <f>V32*($D11*'General assumptions'!Y$35+$E11*'General assumptions'!Y$36+$G11*'General assumptions'!Y$42)</f>
        <v>0</v>
      </c>
      <c r="W54" s="35"/>
      <c r="X54" s="40">
        <f t="shared" ref="X54:X69" si="7">SUM(R54:V54)</f>
        <v>1756302.8981475362</v>
      </c>
      <c r="Z54" s="10"/>
      <c r="AA54" s="10"/>
      <c r="AB54" s="10"/>
      <c r="AC54" s="10"/>
      <c r="AD54" s="10">
        <v>1</v>
      </c>
      <c r="AE54" s="10"/>
      <c r="AF54" s="10"/>
      <c r="AG54" s="10"/>
      <c r="AH54" s="10"/>
      <c r="AI54" s="10"/>
      <c r="AJ54" s="10"/>
      <c r="AK54" s="41">
        <f t="shared" si="4"/>
        <v>1</v>
      </c>
      <c r="AM54" s="10"/>
      <c r="AN54" s="10"/>
      <c r="AO54" s="10"/>
      <c r="AP54" s="10"/>
      <c r="AQ54" s="10"/>
      <c r="AR54" s="10">
        <v>1</v>
      </c>
      <c r="AS54" s="10"/>
      <c r="AT54" s="10"/>
      <c r="AU54" s="10"/>
      <c r="AV54" s="10"/>
      <c r="AW54" s="10"/>
      <c r="AX54" s="10"/>
      <c r="AY54" s="10"/>
      <c r="AZ54" s="41">
        <f t="shared" si="5"/>
        <v>1</v>
      </c>
      <c r="BB54" s="10"/>
      <c r="BC54" s="10"/>
      <c r="BD54" s="10"/>
      <c r="BE54" s="10"/>
      <c r="BF54" s="10">
        <v>1</v>
      </c>
      <c r="BG54" s="10"/>
      <c r="BH54" s="10"/>
      <c r="BI54" s="41">
        <f t="shared" si="6"/>
        <v>1</v>
      </c>
    </row>
    <row r="55" spans="2:61">
      <c r="B55" s="4" t="str">
        <f t="shared" si="3"/>
        <v>Field Regulator - New</v>
      </c>
      <c r="D55" s="31" t="s">
        <v>60</v>
      </c>
      <c r="P55" s="35"/>
      <c r="Q55" s="175">
        <v>930000</v>
      </c>
      <c r="R55" s="35">
        <f>R33*($D12*'General assumptions'!U$35+$E12*'General assumptions'!U$36+$G12*'General assumptions'!U$42)</f>
        <v>922905.2419718809</v>
      </c>
      <c r="S55" s="35">
        <f>S33*($D12*'General assumptions'!V$35+$E12*'General assumptions'!V$36+$G12*'General assumptions'!V$42)</f>
        <v>0</v>
      </c>
      <c r="T55" s="35">
        <f>T33*($D12*'General assumptions'!W$35+$E12*'General assumptions'!W$36+$G12*'General assumptions'!W$42)</f>
        <v>0</v>
      </c>
      <c r="U55" s="35">
        <f>U33*($D12*'General assumptions'!X$35+$E12*'General assumptions'!X$36+$G12*'General assumptions'!X$42)</f>
        <v>0</v>
      </c>
      <c r="V55" s="35">
        <f>V33*($D12*'General assumptions'!Y$35+$E12*'General assumptions'!Y$36+$G12*'General assumptions'!Y$42)</f>
        <v>0</v>
      </c>
      <c r="W55" s="35"/>
      <c r="X55" s="40">
        <f t="shared" si="7"/>
        <v>922905.2419718809</v>
      </c>
      <c r="Z55" s="10"/>
      <c r="AA55" s="10"/>
      <c r="AB55" s="10"/>
      <c r="AC55" s="10"/>
      <c r="AD55" s="10">
        <v>1</v>
      </c>
      <c r="AE55" s="10"/>
      <c r="AF55" s="10"/>
      <c r="AG55" s="10"/>
      <c r="AH55" s="10"/>
      <c r="AI55" s="10"/>
      <c r="AJ55" s="10"/>
      <c r="AK55" s="41">
        <f t="shared" si="4"/>
        <v>1</v>
      </c>
      <c r="AM55" s="10"/>
      <c r="AN55" s="10"/>
      <c r="AO55" s="10"/>
      <c r="AP55" s="10"/>
      <c r="AQ55" s="10"/>
      <c r="AR55" s="10">
        <v>1</v>
      </c>
      <c r="AS55" s="10"/>
      <c r="AT55" s="10"/>
      <c r="AU55" s="10"/>
      <c r="AV55" s="10"/>
      <c r="AW55" s="10"/>
      <c r="AX55" s="10"/>
      <c r="AY55" s="10"/>
      <c r="AZ55" s="41">
        <f t="shared" si="5"/>
        <v>1</v>
      </c>
      <c r="BB55" s="10"/>
      <c r="BC55" s="10"/>
      <c r="BD55" s="10"/>
      <c r="BE55" s="10"/>
      <c r="BF55" s="10">
        <v>1</v>
      </c>
      <c r="BG55" s="10"/>
      <c r="BH55" s="10"/>
      <c r="BI55" s="41">
        <f t="shared" si="6"/>
        <v>1</v>
      </c>
    </row>
    <row r="56" spans="2:61">
      <c r="B56" s="4" t="str">
        <f t="shared" si="3"/>
        <v>Field Regulator - Capacity Upgrade</v>
      </c>
      <c r="D56" s="31" t="s">
        <v>60</v>
      </c>
      <c r="P56" s="35"/>
      <c r="Q56" s="175">
        <v>0</v>
      </c>
      <c r="R56" s="35">
        <f>R34*($D13*'General assumptions'!U$35+$E13*'General assumptions'!U$36+$G13*'General assumptions'!U$42)</f>
        <v>0</v>
      </c>
      <c r="S56" s="35">
        <f>S34*($D13*'General assumptions'!V$35+$E13*'General assumptions'!V$36+$G13*'General assumptions'!V$42)</f>
        <v>0</v>
      </c>
      <c r="T56" s="35">
        <f>T34*($D13*'General assumptions'!W$35+$E13*'General assumptions'!W$36+$G13*'General assumptions'!W$42)</f>
        <v>207688.5191677805</v>
      </c>
      <c r="U56" s="35">
        <f>U34*($D13*'General assumptions'!X$35+$E13*'General assumptions'!X$36+$G13*'General assumptions'!X$42)</f>
        <v>209621.04337881992</v>
      </c>
      <c r="V56" s="35">
        <f>V34*($D13*'General assumptions'!Y$35+$E13*'General assumptions'!Y$36+$G13*'General assumptions'!Y$42)</f>
        <v>0</v>
      </c>
      <c r="W56" s="35"/>
      <c r="X56" s="40">
        <f t="shared" si="7"/>
        <v>417309.56254660041</v>
      </c>
      <c r="Z56" s="10"/>
      <c r="AA56" s="10"/>
      <c r="AB56" s="10"/>
      <c r="AC56" s="10"/>
      <c r="AD56" s="10">
        <v>1</v>
      </c>
      <c r="AE56" s="10"/>
      <c r="AF56" s="10"/>
      <c r="AG56" s="10"/>
      <c r="AH56" s="10"/>
      <c r="AI56" s="10"/>
      <c r="AJ56" s="10"/>
      <c r="AK56" s="41">
        <f t="shared" si="4"/>
        <v>1</v>
      </c>
      <c r="AM56" s="10"/>
      <c r="AN56" s="10"/>
      <c r="AO56" s="10"/>
      <c r="AP56" s="10"/>
      <c r="AQ56" s="10"/>
      <c r="AR56" s="10">
        <v>1</v>
      </c>
      <c r="AS56" s="10"/>
      <c r="AT56" s="10"/>
      <c r="AU56" s="10"/>
      <c r="AV56" s="10"/>
      <c r="AW56" s="10"/>
      <c r="AX56" s="10"/>
      <c r="AY56" s="10"/>
      <c r="AZ56" s="41">
        <f t="shared" si="5"/>
        <v>1</v>
      </c>
      <c r="BB56" s="10"/>
      <c r="BC56" s="10"/>
      <c r="BD56" s="10"/>
      <c r="BE56" s="10"/>
      <c r="BF56" s="10">
        <v>1</v>
      </c>
      <c r="BG56" s="10"/>
      <c r="BH56" s="10"/>
      <c r="BI56" s="41">
        <f t="shared" si="6"/>
        <v>1</v>
      </c>
    </row>
    <row r="57" spans="2:61">
      <c r="B57" s="4" t="str">
        <f t="shared" si="3"/>
        <v>Network Reinforcement - Distribution</v>
      </c>
      <c r="D57" s="31" t="s">
        <v>60</v>
      </c>
      <c r="P57" s="35"/>
      <c r="Q57" s="175">
        <v>0</v>
      </c>
      <c r="R57" s="35">
        <f>R35*($D14*'General assumptions'!U$35+$E14*'General assumptions'!U$36+$G14*'General assumptions'!U$42)</f>
        <v>2145065.5282620792</v>
      </c>
      <c r="S57" s="35">
        <f>S35*($D14*'General assumptions'!V$35+$E14*'General assumptions'!V$36+$G14*'General assumptions'!V$42)</f>
        <v>444791.8895674654</v>
      </c>
      <c r="T57" s="35">
        <f>T35*($D14*'General assumptions'!W$35+$E14*'General assumptions'!W$36+$G14*'General assumptions'!W$42)</f>
        <v>375898.16002153867</v>
      </c>
      <c r="U57" s="35">
        <f>U35*($D14*'General assumptions'!X$35+$E14*'General assumptions'!X$36+$G14*'General assumptions'!X$42)</f>
        <v>1596138.026037029</v>
      </c>
      <c r="V57" s="35">
        <f>V35*($D14*'General assumptions'!Y$35+$E14*'General assumptions'!Y$36+$G14*'General assumptions'!Y$42)</f>
        <v>0</v>
      </c>
      <c r="X57" s="40">
        <f t="shared" si="7"/>
        <v>4561893.6038881131</v>
      </c>
      <c r="Z57" s="10"/>
      <c r="AA57" s="10">
        <v>1</v>
      </c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4"/>
        <v>1</v>
      </c>
      <c r="AM57" s="10"/>
      <c r="AN57" s="10"/>
      <c r="AO57" s="10"/>
      <c r="AP57" s="10"/>
      <c r="AQ57" s="10"/>
      <c r="AR57" s="10">
        <v>1</v>
      </c>
      <c r="AS57" s="10"/>
      <c r="AT57" s="10"/>
      <c r="AU57" s="10"/>
      <c r="AV57" s="10"/>
      <c r="AW57" s="10"/>
      <c r="AX57" s="10"/>
      <c r="AY57" s="10"/>
      <c r="AZ57" s="41">
        <f t="shared" si="5"/>
        <v>1</v>
      </c>
      <c r="BB57" s="10">
        <v>1</v>
      </c>
      <c r="BC57" s="10"/>
      <c r="BD57" s="10"/>
      <c r="BE57" s="10"/>
      <c r="BF57" s="10"/>
      <c r="BG57" s="10"/>
      <c r="BH57" s="10"/>
      <c r="BI57" s="41">
        <f t="shared" si="6"/>
        <v>1</v>
      </c>
    </row>
    <row r="58" spans="2:61">
      <c r="B58" s="4" t="str">
        <f t="shared" si="3"/>
        <v>Network Reinforcement - Transmission</v>
      </c>
      <c r="D58" s="31" t="s">
        <v>60</v>
      </c>
      <c r="P58" s="35"/>
      <c r="Q58" s="175">
        <v>0</v>
      </c>
      <c r="R58" s="35">
        <f>R36*($D15*'General assumptions'!U$35+$E15*'General assumptions'!U$36+$G15*'General assumptions'!U$42)</f>
        <v>1540257.6794605642</v>
      </c>
      <c r="S58" s="35">
        <f>S36*($D15*'General assumptions'!V$35+$E15*'General assumptions'!V$36+$G15*'General assumptions'!V$42)</f>
        <v>517199.87159007613</v>
      </c>
      <c r="T58" s="35">
        <f>T36*($D15*'General assumptions'!W$35+$E15*'General assumptions'!W$36+$G15*'General assumptions'!W$42)</f>
        <v>0</v>
      </c>
      <c r="U58" s="35">
        <f>U36*($D15*'General assumptions'!X$35+$E15*'General assumptions'!X$36+$G15*'General assumptions'!X$42)</f>
        <v>0</v>
      </c>
      <c r="V58" s="35">
        <f>V36*($D15*'General assumptions'!Y$35+$E15*'General assumptions'!Y$36+$G15*'General assumptions'!Y$42)</f>
        <v>1071051.9420095519</v>
      </c>
      <c r="X58" s="40">
        <f t="shared" si="7"/>
        <v>3128509.4930601921</v>
      </c>
      <c r="Z58" s="10">
        <v>1</v>
      </c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4"/>
        <v>1</v>
      </c>
      <c r="AM58" s="10"/>
      <c r="AN58" s="10"/>
      <c r="AO58" s="10"/>
      <c r="AP58" s="10"/>
      <c r="AQ58" s="10"/>
      <c r="AR58" s="10">
        <v>1</v>
      </c>
      <c r="AS58" s="10"/>
      <c r="AT58" s="10"/>
      <c r="AU58" s="10"/>
      <c r="AV58" s="10"/>
      <c r="AW58" s="10"/>
      <c r="AX58" s="10"/>
      <c r="AY58" s="10"/>
      <c r="AZ58" s="41">
        <f t="shared" si="5"/>
        <v>1</v>
      </c>
      <c r="BB58" s="10">
        <v>1</v>
      </c>
      <c r="BC58" s="10"/>
      <c r="BD58" s="10"/>
      <c r="BE58" s="10"/>
      <c r="BF58" s="10"/>
      <c r="BG58" s="10"/>
      <c r="BH58" s="10"/>
      <c r="BI58" s="41">
        <f t="shared" si="6"/>
        <v>1</v>
      </c>
    </row>
    <row r="59" spans="2:61">
      <c r="B59" s="4" t="str">
        <f t="shared" si="3"/>
        <v>[blank]</v>
      </c>
      <c r="P59" s="35"/>
      <c r="X59" s="40">
        <f t="shared" si="7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4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5"/>
        <v>0</v>
      </c>
      <c r="BB59" s="10"/>
      <c r="BC59" s="10"/>
      <c r="BD59" s="10"/>
      <c r="BE59" s="10"/>
      <c r="BF59" s="10"/>
      <c r="BG59" s="10"/>
      <c r="BH59" s="10"/>
      <c r="BI59" s="41">
        <f t="shared" si="6"/>
        <v>0</v>
      </c>
    </row>
    <row r="60" spans="2:61">
      <c r="B60" s="4" t="str">
        <f t="shared" si="3"/>
        <v>[blank]</v>
      </c>
      <c r="P60" s="35"/>
      <c r="X60" s="40">
        <f t="shared" si="7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4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5"/>
        <v>0</v>
      </c>
      <c r="BB60" s="10"/>
      <c r="BC60" s="10"/>
      <c r="BD60" s="10"/>
      <c r="BE60" s="10"/>
      <c r="BF60" s="10"/>
      <c r="BG60" s="10"/>
      <c r="BH60" s="10"/>
      <c r="BI60" s="41">
        <f t="shared" si="6"/>
        <v>0</v>
      </c>
    </row>
    <row r="61" spans="2:61">
      <c r="B61" s="4" t="str">
        <f t="shared" si="3"/>
        <v>[blank]</v>
      </c>
      <c r="P61" s="35"/>
      <c r="X61" s="40">
        <f t="shared" si="7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4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5"/>
        <v>0</v>
      </c>
      <c r="BB61" s="10"/>
      <c r="BC61" s="10"/>
      <c r="BD61" s="10"/>
      <c r="BE61" s="10"/>
      <c r="BF61" s="10"/>
      <c r="BG61" s="10"/>
      <c r="BH61" s="10"/>
      <c r="BI61" s="41">
        <f t="shared" si="6"/>
        <v>0</v>
      </c>
    </row>
    <row r="62" spans="2:61">
      <c r="B62" s="4" t="str">
        <f t="shared" si="3"/>
        <v>[blank]</v>
      </c>
      <c r="P62" s="35"/>
      <c r="X62" s="40">
        <f t="shared" si="7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4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5"/>
        <v>0</v>
      </c>
      <c r="BB62" s="10"/>
      <c r="BC62" s="10"/>
      <c r="BD62" s="10"/>
      <c r="BE62" s="10"/>
      <c r="BF62" s="10"/>
      <c r="BG62" s="10"/>
      <c r="BH62" s="10"/>
      <c r="BI62" s="41">
        <f t="shared" si="6"/>
        <v>0</v>
      </c>
    </row>
    <row r="63" spans="2:61">
      <c r="B63" s="4" t="str">
        <f t="shared" si="3"/>
        <v>[blank]</v>
      </c>
      <c r="P63" s="35"/>
      <c r="X63" s="40">
        <f t="shared" si="7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4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5"/>
        <v>0</v>
      </c>
      <c r="BB63" s="10"/>
      <c r="BC63" s="10"/>
      <c r="BD63" s="10"/>
      <c r="BE63" s="10"/>
      <c r="BF63" s="10"/>
      <c r="BG63" s="10"/>
      <c r="BH63" s="10"/>
      <c r="BI63" s="41">
        <f t="shared" si="6"/>
        <v>0</v>
      </c>
    </row>
    <row r="64" spans="2:61">
      <c r="B64" s="4" t="str">
        <f t="shared" si="3"/>
        <v>[blank]</v>
      </c>
      <c r="P64" s="35"/>
      <c r="X64" s="40">
        <f t="shared" si="7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4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5"/>
        <v>0</v>
      </c>
      <c r="BB64" s="10"/>
      <c r="BC64" s="10"/>
      <c r="BD64" s="10"/>
      <c r="BE64" s="10"/>
      <c r="BF64" s="10"/>
      <c r="BG64" s="10"/>
      <c r="BH64" s="10"/>
      <c r="BI64" s="41">
        <f t="shared" si="6"/>
        <v>0</v>
      </c>
    </row>
    <row r="65" spans="1:61">
      <c r="B65" s="4" t="str">
        <f t="shared" si="3"/>
        <v>[blank]</v>
      </c>
      <c r="P65" s="35"/>
      <c r="X65" s="40">
        <f t="shared" si="7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4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5"/>
        <v>0</v>
      </c>
      <c r="BB65" s="10"/>
      <c r="BC65" s="10"/>
      <c r="BD65" s="10"/>
      <c r="BE65" s="10"/>
      <c r="BF65" s="10"/>
      <c r="BG65" s="10"/>
      <c r="BH65" s="10"/>
      <c r="BI65" s="41">
        <f t="shared" si="6"/>
        <v>0</v>
      </c>
    </row>
    <row r="66" spans="1:61">
      <c r="B66" s="4" t="str">
        <f t="shared" si="3"/>
        <v>[blank]</v>
      </c>
      <c r="P66" s="35"/>
      <c r="X66" s="40">
        <f t="shared" si="7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4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5"/>
        <v>0</v>
      </c>
      <c r="BB66" s="10"/>
      <c r="BC66" s="10"/>
      <c r="BD66" s="10"/>
      <c r="BE66" s="10"/>
      <c r="BF66" s="10"/>
      <c r="BG66" s="10"/>
      <c r="BH66" s="10"/>
      <c r="BI66" s="41">
        <f t="shared" si="6"/>
        <v>0</v>
      </c>
    </row>
    <row r="67" spans="1:61">
      <c r="B67" s="4" t="str">
        <f t="shared" si="3"/>
        <v>[blank]</v>
      </c>
      <c r="P67" s="35"/>
      <c r="X67" s="40">
        <f t="shared" si="7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4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5"/>
        <v>0</v>
      </c>
      <c r="BB67" s="10"/>
      <c r="BC67" s="10"/>
      <c r="BD67" s="10"/>
      <c r="BE67" s="10"/>
      <c r="BF67" s="10"/>
      <c r="BG67" s="10"/>
      <c r="BH67" s="10"/>
      <c r="BI67" s="41">
        <f t="shared" si="6"/>
        <v>0</v>
      </c>
    </row>
    <row r="68" spans="1:61">
      <c r="P68" s="35"/>
    </row>
    <row r="69" spans="1:61" ht="12.75" thickBot="1">
      <c r="B69" s="5" t="s">
        <v>62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8">SUM(P53:P67)</f>
        <v>0</v>
      </c>
      <c r="Q69" s="37">
        <f t="shared" si="8"/>
        <v>930000</v>
      </c>
      <c r="R69" s="37">
        <f t="shared" si="8"/>
        <v>6710401.5008526985</v>
      </c>
      <c r="S69" s="37">
        <f t="shared" si="8"/>
        <v>2921122.1105312486</v>
      </c>
      <c r="T69" s="37">
        <f t="shared" si="8"/>
        <v>583586.67918931914</v>
      </c>
      <c r="U69" s="37">
        <f t="shared" si="8"/>
        <v>2015380.1127946689</v>
      </c>
      <c r="V69" s="37">
        <f t="shared" si="8"/>
        <v>1071051.9420095519</v>
      </c>
      <c r="X69" s="37">
        <f t="shared" si="7"/>
        <v>13301542.345377486</v>
      </c>
    </row>
    <row r="71" spans="1:61">
      <c r="B71" s="5" t="s">
        <v>76</v>
      </c>
    </row>
    <row r="72" spans="1:61" s="1" customFormat="1">
      <c r="A72" s="4"/>
      <c r="B72" s="2" t="s">
        <v>77</v>
      </c>
    </row>
    <row r="74" spans="1:61">
      <c r="H74" s="190" t="s">
        <v>52</v>
      </c>
      <c r="I74" s="190"/>
      <c r="J74" s="190"/>
      <c r="K74" s="190"/>
      <c r="L74" s="190"/>
      <c r="M74" s="190" t="s">
        <v>53</v>
      </c>
      <c r="N74" s="190"/>
      <c r="O74" s="190"/>
      <c r="P74" s="190"/>
      <c r="Q74" s="190"/>
      <c r="R74" s="190" t="s">
        <v>54</v>
      </c>
      <c r="S74" s="190"/>
      <c r="T74" s="190"/>
      <c r="U74" s="190"/>
      <c r="V74" s="190"/>
      <c r="X74" s="38"/>
    </row>
    <row r="75" spans="1:61">
      <c r="B75" s="42" t="s">
        <v>79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63</v>
      </c>
    </row>
    <row r="76" spans="1:61">
      <c r="B76" s="5" t="s">
        <v>46</v>
      </c>
      <c r="D76" s="29" t="s">
        <v>55</v>
      </c>
      <c r="H76" s="16" t="s">
        <v>12</v>
      </c>
      <c r="I76" s="16" t="s">
        <v>12</v>
      </c>
      <c r="J76" s="16" t="s">
        <v>12</v>
      </c>
      <c r="K76" s="16" t="s">
        <v>12</v>
      </c>
      <c r="L76" s="16" t="s">
        <v>12</v>
      </c>
      <c r="M76" s="16" t="s">
        <v>12</v>
      </c>
      <c r="N76" s="16" t="s">
        <v>12</v>
      </c>
      <c r="O76" s="16" t="s">
        <v>12</v>
      </c>
      <c r="P76" s="16" t="s">
        <v>13</v>
      </c>
      <c r="Q76" s="16" t="s">
        <v>13</v>
      </c>
      <c r="R76" s="16" t="s">
        <v>13</v>
      </c>
      <c r="S76" s="16" t="s">
        <v>13</v>
      </c>
      <c r="T76" s="16" t="s">
        <v>13</v>
      </c>
      <c r="U76" s="16" t="s">
        <v>13</v>
      </c>
      <c r="V76" s="16" t="s">
        <v>13</v>
      </c>
      <c r="X76" s="34" t="s">
        <v>13</v>
      </c>
    </row>
    <row r="77" spans="1:61">
      <c r="B77" s="4" t="str">
        <f t="shared" ref="B77:B91" si="9">IF(B10&lt;&gt;"",B10,"[blank]")</f>
        <v>City Gate - New</v>
      </c>
      <c r="D77" s="31" t="s">
        <v>60</v>
      </c>
      <c r="O77" s="35"/>
      <c r="P77" s="35">
        <f t="shared" ref="P77:V80" si="10">$D10*P53</f>
        <v>0</v>
      </c>
      <c r="Q77" s="35">
        <f t="shared" si="10"/>
        <v>0</v>
      </c>
      <c r="R77" s="35">
        <f t="shared" si="10"/>
        <v>63065.191534745187</v>
      </c>
      <c r="S77" s="35">
        <f t="shared" si="10"/>
        <v>12373.454838149732</v>
      </c>
      <c r="T77" s="35">
        <f t="shared" si="10"/>
        <v>0</v>
      </c>
      <c r="U77" s="35">
        <f t="shared" si="10"/>
        <v>0</v>
      </c>
      <c r="V77" s="35">
        <f t="shared" si="10"/>
        <v>0</v>
      </c>
      <c r="X77" s="40">
        <f>SUM(R77:V77)</f>
        <v>75438.646372894917</v>
      </c>
    </row>
    <row r="78" spans="1:61">
      <c r="B78" s="4" t="str">
        <f t="shared" si="9"/>
        <v>City Gate - Capacity Upgrade</v>
      </c>
      <c r="D78" s="31" t="s">
        <v>60</v>
      </c>
      <c r="O78" s="50"/>
      <c r="P78" s="35">
        <f t="shared" si="10"/>
        <v>0</v>
      </c>
      <c r="Q78" s="35">
        <f t="shared" si="10"/>
        <v>0</v>
      </c>
      <c r="R78" s="35">
        <f t="shared" si="10"/>
        <v>0</v>
      </c>
      <c r="S78" s="35">
        <f t="shared" si="10"/>
        <v>46400.455643061483</v>
      </c>
      <c r="T78" s="35">
        <f t="shared" si="10"/>
        <v>0</v>
      </c>
      <c r="U78" s="35">
        <f t="shared" si="10"/>
        <v>6288.6313013645977</v>
      </c>
      <c r="V78" s="35">
        <f t="shared" si="10"/>
        <v>0</v>
      </c>
      <c r="X78" s="40">
        <f t="shared" ref="X78:X91" si="11">SUM(R78:V78)</f>
        <v>52689.086944426082</v>
      </c>
    </row>
    <row r="79" spans="1:61">
      <c r="B79" s="4" t="str">
        <f t="shared" si="9"/>
        <v>Field Regulator - New</v>
      </c>
      <c r="D79" s="31" t="s">
        <v>60</v>
      </c>
      <c r="P79" s="35">
        <f t="shared" si="10"/>
        <v>0</v>
      </c>
      <c r="Q79" s="35">
        <f t="shared" si="10"/>
        <v>27900</v>
      </c>
      <c r="R79" s="35">
        <f t="shared" si="10"/>
        <v>27687.157259156425</v>
      </c>
      <c r="S79" s="35">
        <f t="shared" si="10"/>
        <v>0</v>
      </c>
      <c r="T79" s="35">
        <f t="shared" si="10"/>
        <v>0</v>
      </c>
      <c r="U79" s="35">
        <f t="shared" si="10"/>
        <v>0</v>
      </c>
      <c r="V79" s="35">
        <f t="shared" si="10"/>
        <v>0</v>
      </c>
      <c r="X79" s="40">
        <f t="shared" si="11"/>
        <v>27687.157259156425</v>
      </c>
    </row>
    <row r="80" spans="1:61">
      <c r="B80" s="4" t="str">
        <f t="shared" si="9"/>
        <v>Field Regulator - Capacity Upgrade</v>
      </c>
      <c r="D80" s="31" t="s">
        <v>60</v>
      </c>
      <c r="P80" s="35">
        <f t="shared" si="10"/>
        <v>0</v>
      </c>
      <c r="Q80" s="35">
        <f t="shared" si="10"/>
        <v>0</v>
      </c>
      <c r="R80" s="35">
        <f t="shared" ref="R80:V80" si="12">$D13*R56</f>
        <v>0</v>
      </c>
      <c r="S80" s="35">
        <f t="shared" si="12"/>
        <v>0</v>
      </c>
      <c r="T80" s="35">
        <f t="shared" si="12"/>
        <v>6230.6555750334146</v>
      </c>
      <c r="U80" s="35">
        <f t="shared" si="12"/>
        <v>6288.6313013645977</v>
      </c>
      <c r="V80" s="35">
        <f t="shared" si="12"/>
        <v>0</v>
      </c>
      <c r="X80" s="40">
        <f t="shared" si="11"/>
        <v>12519.286876398011</v>
      </c>
    </row>
    <row r="81" spans="1:24">
      <c r="B81" s="4" t="str">
        <f t="shared" si="9"/>
        <v>Network Reinforcement - Distribution</v>
      </c>
      <c r="D81" s="31" t="s">
        <v>60</v>
      </c>
      <c r="P81" s="35">
        <f t="shared" ref="P81" si="13">$D14*P57</f>
        <v>0</v>
      </c>
      <c r="Q81" s="35">
        <f t="shared" ref="Q81:V81" si="14">$D14*Q57</f>
        <v>0</v>
      </c>
      <c r="R81" s="35">
        <f t="shared" si="14"/>
        <v>85802.621130483167</v>
      </c>
      <c r="S81" s="35">
        <f t="shared" si="14"/>
        <v>17791.675582698615</v>
      </c>
      <c r="T81" s="35">
        <f t="shared" si="14"/>
        <v>15035.926400861546</v>
      </c>
      <c r="U81" s="35">
        <f t="shared" si="14"/>
        <v>63845.521041481159</v>
      </c>
      <c r="V81" s="35">
        <f t="shared" si="14"/>
        <v>0</v>
      </c>
      <c r="X81" s="40">
        <f t="shared" si="11"/>
        <v>182475.74415552447</v>
      </c>
    </row>
    <row r="82" spans="1:24">
      <c r="B82" s="4" t="str">
        <f t="shared" si="9"/>
        <v>Network Reinforcement - Transmission</v>
      </c>
      <c r="D82" s="31" t="s">
        <v>60</v>
      </c>
      <c r="P82" s="35">
        <f t="shared" ref="P82" si="15">$D15*P58</f>
        <v>0</v>
      </c>
      <c r="Q82" s="35">
        <f t="shared" ref="Q82:V82" si="16">$D15*Q58</f>
        <v>0</v>
      </c>
      <c r="R82" s="35">
        <f t="shared" si="16"/>
        <v>61610.307178422569</v>
      </c>
      <c r="S82" s="35">
        <f t="shared" si="16"/>
        <v>20687.994863603046</v>
      </c>
      <c r="T82" s="35">
        <f t="shared" si="16"/>
        <v>0</v>
      </c>
      <c r="U82" s="35">
        <f t="shared" si="16"/>
        <v>0</v>
      </c>
      <c r="V82" s="35">
        <f t="shared" si="16"/>
        <v>42842.077680382077</v>
      </c>
      <c r="X82" s="40">
        <f t="shared" si="11"/>
        <v>125140.37972240768</v>
      </c>
    </row>
    <row r="83" spans="1:24">
      <c r="B83" s="4" t="str">
        <f t="shared" si="9"/>
        <v>[blank]</v>
      </c>
      <c r="X83" s="40">
        <f t="shared" si="11"/>
        <v>0</v>
      </c>
    </row>
    <row r="84" spans="1:24">
      <c r="B84" s="4" t="str">
        <f t="shared" si="9"/>
        <v>[blank]</v>
      </c>
      <c r="X84" s="40">
        <f t="shared" si="11"/>
        <v>0</v>
      </c>
    </row>
    <row r="85" spans="1:24">
      <c r="B85" s="4" t="str">
        <f t="shared" si="9"/>
        <v>[blank]</v>
      </c>
      <c r="X85" s="40">
        <f t="shared" si="11"/>
        <v>0</v>
      </c>
    </row>
    <row r="86" spans="1:24">
      <c r="B86" s="4" t="str">
        <f t="shared" si="9"/>
        <v>[blank]</v>
      </c>
      <c r="X86" s="40">
        <f t="shared" si="11"/>
        <v>0</v>
      </c>
    </row>
    <row r="87" spans="1:24">
      <c r="B87" s="4" t="str">
        <f t="shared" si="9"/>
        <v>[blank]</v>
      </c>
      <c r="X87" s="40">
        <f t="shared" si="11"/>
        <v>0</v>
      </c>
    </row>
    <row r="88" spans="1:24">
      <c r="B88" s="4" t="str">
        <f t="shared" si="9"/>
        <v>[blank]</v>
      </c>
      <c r="X88" s="40">
        <f t="shared" si="11"/>
        <v>0</v>
      </c>
    </row>
    <row r="89" spans="1:24">
      <c r="B89" s="4" t="str">
        <f t="shared" si="9"/>
        <v>[blank]</v>
      </c>
      <c r="X89" s="40">
        <f t="shared" si="11"/>
        <v>0</v>
      </c>
    </row>
    <row r="90" spans="1:24">
      <c r="B90" s="4" t="str">
        <f t="shared" si="9"/>
        <v>[blank]</v>
      </c>
      <c r="X90" s="40">
        <f t="shared" si="11"/>
        <v>0</v>
      </c>
    </row>
    <row r="91" spans="1:24">
      <c r="B91" s="4" t="str">
        <f t="shared" si="9"/>
        <v>[blank]</v>
      </c>
      <c r="X91" s="40">
        <f t="shared" si="11"/>
        <v>0</v>
      </c>
    </row>
    <row r="93" spans="1:24" ht="12.75" thickBot="1">
      <c r="B93" s="5" t="s">
        <v>78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7">SUM(P77:P91)</f>
        <v>0</v>
      </c>
      <c r="Q93" s="37">
        <f t="shared" si="17"/>
        <v>27900</v>
      </c>
      <c r="R93" s="37">
        <f t="shared" si="17"/>
        <v>238165.27710280736</v>
      </c>
      <c r="S93" s="37">
        <f t="shared" si="17"/>
        <v>97253.58092751287</v>
      </c>
      <c r="T93" s="37">
        <f t="shared" si="17"/>
        <v>21266.581975894962</v>
      </c>
      <c r="U93" s="37">
        <f t="shared" si="17"/>
        <v>76422.783644210358</v>
      </c>
      <c r="V93" s="37">
        <f t="shared" si="17"/>
        <v>42842.077680382077</v>
      </c>
      <c r="X93" s="37">
        <f t="shared" ref="X93" si="18">SUM(R93:V93)</f>
        <v>475950.30133080768</v>
      </c>
    </row>
    <row r="95" spans="1:24" s="1" customFormat="1">
      <c r="A95" s="4"/>
      <c r="B95" s="2" t="s">
        <v>80</v>
      </c>
    </row>
    <row r="97" spans="2:24">
      <c r="H97" s="190" t="s">
        <v>52</v>
      </c>
      <c r="I97" s="190"/>
      <c r="J97" s="190"/>
      <c r="K97" s="190"/>
      <c r="L97" s="190"/>
      <c r="M97" s="190" t="s">
        <v>53</v>
      </c>
      <c r="N97" s="190"/>
      <c r="O97" s="190"/>
      <c r="P97" s="190"/>
      <c r="Q97" s="190"/>
      <c r="R97" s="190" t="s">
        <v>54</v>
      </c>
      <c r="S97" s="190"/>
      <c r="T97" s="190"/>
      <c r="U97" s="190"/>
      <c r="V97" s="190"/>
      <c r="X97" s="38"/>
    </row>
    <row r="98" spans="2:24">
      <c r="B98" s="43" t="s">
        <v>81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63</v>
      </c>
    </row>
    <row r="99" spans="2:24">
      <c r="B99" s="5" t="s">
        <v>46</v>
      </c>
      <c r="D99" s="29" t="s">
        <v>55</v>
      </c>
      <c r="H99" s="16" t="s">
        <v>12</v>
      </c>
      <c r="I99" s="16" t="s">
        <v>12</v>
      </c>
      <c r="J99" s="16" t="s">
        <v>12</v>
      </c>
      <c r="K99" s="16" t="s">
        <v>12</v>
      </c>
      <c r="L99" s="16" t="s">
        <v>12</v>
      </c>
      <c r="M99" s="16" t="s">
        <v>12</v>
      </c>
      <c r="N99" s="16" t="s">
        <v>12</v>
      </c>
      <c r="O99" s="16" t="s">
        <v>12</v>
      </c>
      <c r="P99" s="16" t="s">
        <v>13</v>
      </c>
      <c r="Q99" s="16" t="s">
        <v>13</v>
      </c>
      <c r="R99" s="16" t="s">
        <v>13</v>
      </c>
      <c r="S99" s="16" t="s">
        <v>13</v>
      </c>
      <c r="T99" s="16" t="s">
        <v>13</v>
      </c>
      <c r="U99" s="16" t="s">
        <v>13</v>
      </c>
      <c r="V99" s="16" t="s">
        <v>13</v>
      </c>
      <c r="X99" s="34" t="s">
        <v>13</v>
      </c>
    </row>
    <row r="100" spans="2:24">
      <c r="B100" s="4" t="str">
        <f t="shared" ref="B100:B114" si="19">IF(B10&lt;&gt;"",B10,"[blank]")</f>
        <v>City Gate - New</v>
      </c>
      <c r="D100" s="31" t="s">
        <v>60</v>
      </c>
      <c r="O100" s="35"/>
      <c r="P100" s="35">
        <f t="shared" ref="P100:V103" si="20">$E10*P53</f>
        <v>0</v>
      </c>
      <c r="Q100" s="35">
        <f t="shared" si="20"/>
        <v>0</v>
      </c>
      <c r="R100" s="35">
        <f t="shared" si="20"/>
        <v>1198238.6391601586</v>
      </c>
      <c r="S100" s="35">
        <f t="shared" si="20"/>
        <v>235095.64192484488</v>
      </c>
      <c r="T100" s="35">
        <f t="shared" si="20"/>
        <v>0</v>
      </c>
      <c r="U100" s="35">
        <f t="shared" si="20"/>
        <v>0</v>
      </c>
      <c r="V100" s="35">
        <f t="shared" si="20"/>
        <v>0</v>
      </c>
      <c r="X100" s="40">
        <f>SUM(R100:V100)</f>
        <v>1433334.2810850034</v>
      </c>
    </row>
    <row r="101" spans="2:24">
      <c r="B101" s="4" t="str">
        <f t="shared" si="19"/>
        <v>City Gate - Capacity Upgrade</v>
      </c>
      <c r="D101" s="31" t="s">
        <v>60</v>
      </c>
      <c r="O101" s="50"/>
      <c r="P101" s="35">
        <f t="shared" si="20"/>
        <v>0</v>
      </c>
      <c r="Q101" s="35">
        <f t="shared" si="20"/>
        <v>0</v>
      </c>
      <c r="R101" s="35">
        <f t="shared" si="20"/>
        <v>0</v>
      </c>
      <c r="S101" s="35">
        <f t="shared" si="20"/>
        <v>881608.65721816814</v>
      </c>
      <c r="T101" s="35">
        <f t="shared" si="20"/>
        <v>0</v>
      </c>
      <c r="U101" s="35">
        <f t="shared" si="20"/>
        <v>119483.99472592735</v>
      </c>
      <c r="V101" s="35">
        <f t="shared" si="20"/>
        <v>0</v>
      </c>
      <c r="X101" s="40">
        <f t="shared" ref="X101:X114" si="21">SUM(R101:V101)</f>
        <v>1001092.6519440955</v>
      </c>
    </row>
    <row r="102" spans="2:24">
      <c r="B102" s="4" t="str">
        <f t="shared" si="19"/>
        <v>Field Regulator - New</v>
      </c>
      <c r="D102" s="31" t="s">
        <v>60</v>
      </c>
      <c r="P102" s="35">
        <f t="shared" si="20"/>
        <v>0</v>
      </c>
      <c r="Q102" s="35">
        <f t="shared" si="20"/>
        <v>530100</v>
      </c>
      <c r="R102" s="35">
        <f t="shared" si="20"/>
        <v>526055.98792397208</v>
      </c>
      <c r="S102" s="35">
        <f t="shared" si="20"/>
        <v>0</v>
      </c>
      <c r="T102" s="35">
        <f t="shared" si="20"/>
        <v>0</v>
      </c>
      <c r="U102" s="35">
        <f t="shared" si="20"/>
        <v>0</v>
      </c>
      <c r="V102" s="35">
        <f t="shared" si="20"/>
        <v>0</v>
      </c>
      <c r="X102" s="40">
        <f t="shared" si="21"/>
        <v>526055.98792397208</v>
      </c>
    </row>
    <row r="103" spans="2:24">
      <c r="B103" s="4" t="str">
        <f t="shared" si="19"/>
        <v>Field Regulator - Capacity Upgrade</v>
      </c>
      <c r="D103" s="31" t="s">
        <v>60</v>
      </c>
      <c r="P103" s="35">
        <f t="shared" si="20"/>
        <v>0</v>
      </c>
      <c r="Q103" s="35">
        <f t="shared" si="20"/>
        <v>0</v>
      </c>
      <c r="R103" s="35">
        <f t="shared" si="20"/>
        <v>0</v>
      </c>
      <c r="S103" s="35">
        <f t="shared" si="20"/>
        <v>0</v>
      </c>
      <c r="T103" s="35">
        <f t="shared" si="20"/>
        <v>118382.45592563487</v>
      </c>
      <c r="U103" s="35">
        <f t="shared" si="20"/>
        <v>119483.99472592735</v>
      </c>
      <c r="V103" s="35">
        <f t="shared" si="20"/>
        <v>0</v>
      </c>
      <c r="X103" s="40">
        <f t="shared" si="21"/>
        <v>237866.45065156222</v>
      </c>
    </row>
    <row r="104" spans="2:24">
      <c r="B104" s="4" t="str">
        <f t="shared" si="19"/>
        <v>Network Reinforcement - Distribution</v>
      </c>
      <c r="P104" s="35">
        <f t="shared" ref="P104:V104" si="22">$E14*P57</f>
        <v>0</v>
      </c>
      <c r="Q104" s="35">
        <f t="shared" si="22"/>
        <v>0</v>
      </c>
      <c r="R104" s="35">
        <f t="shared" si="22"/>
        <v>1630249.8014791803</v>
      </c>
      <c r="S104" s="35">
        <f t="shared" si="22"/>
        <v>338041.83607127372</v>
      </c>
      <c r="T104" s="35">
        <f t="shared" si="22"/>
        <v>285682.60161636939</v>
      </c>
      <c r="U104" s="35">
        <f t="shared" si="22"/>
        <v>1213064.8997881419</v>
      </c>
      <c r="V104" s="35">
        <f t="shared" si="22"/>
        <v>0</v>
      </c>
      <c r="X104" s="40">
        <f t="shared" si="21"/>
        <v>3467039.1389549654</v>
      </c>
    </row>
    <row r="105" spans="2:24">
      <c r="B105" s="4" t="str">
        <f t="shared" si="19"/>
        <v>Network Reinforcement - Transmission</v>
      </c>
      <c r="P105" s="35">
        <f t="shared" ref="P105:V105" si="23">$E15*P58</f>
        <v>0</v>
      </c>
      <c r="Q105" s="35">
        <f t="shared" si="23"/>
        <v>0</v>
      </c>
      <c r="R105" s="35">
        <f t="shared" si="23"/>
        <v>1170595.8363900287</v>
      </c>
      <c r="S105" s="35">
        <f t="shared" si="23"/>
        <v>393071.90240845789</v>
      </c>
      <c r="T105" s="35">
        <f t="shared" si="23"/>
        <v>0</v>
      </c>
      <c r="U105" s="35">
        <f t="shared" si="23"/>
        <v>0</v>
      </c>
      <c r="V105" s="35">
        <f t="shared" si="23"/>
        <v>813999.47592725942</v>
      </c>
      <c r="X105" s="40">
        <f t="shared" si="21"/>
        <v>2377667.2147257458</v>
      </c>
    </row>
    <row r="106" spans="2:24">
      <c r="B106" s="4" t="str">
        <f t="shared" si="19"/>
        <v>[blank]</v>
      </c>
      <c r="X106" s="40">
        <f t="shared" si="21"/>
        <v>0</v>
      </c>
    </row>
    <row r="107" spans="2:24">
      <c r="B107" s="4" t="str">
        <f t="shared" si="19"/>
        <v>[blank]</v>
      </c>
      <c r="X107" s="40">
        <f t="shared" si="21"/>
        <v>0</v>
      </c>
    </row>
    <row r="108" spans="2:24">
      <c r="B108" s="4" t="str">
        <f t="shared" si="19"/>
        <v>[blank]</v>
      </c>
      <c r="X108" s="40">
        <f t="shared" si="21"/>
        <v>0</v>
      </c>
    </row>
    <row r="109" spans="2:24">
      <c r="B109" s="4" t="str">
        <f t="shared" si="19"/>
        <v>[blank]</v>
      </c>
      <c r="X109" s="40">
        <f t="shared" si="21"/>
        <v>0</v>
      </c>
    </row>
    <row r="110" spans="2:24">
      <c r="B110" s="4" t="str">
        <f t="shared" si="19"/>
        <v>[blank]</v>
      </c>
      <c r="X110" s="40">
        <f t="shared" si="21"/>
        <v>0</v>
      </c>
    </row>
    <row r="111" spans="2:24">
      <c r="B111" s="4" t="str">
        <f t="shared" si="19"/>
        <v>[blank]</v>
      </c>
      <c r="X111" s="40">
        <f t="shared" si="21"/>
        <v>0</v>
      </c>
    </row>
    <row r="112" spans="2:24">
      <c r="B112" s="4" t="str">
        <f t="shared" si="19"/>
        <v>[blank]</v>
      </c>
      <c r="X112" s="40">
        <f t="shared" si="21"/>
        <v>0</v>
      </c>
    </row>
    <row r="113" spans="1:24">
      <c r="B113" s="4" t="str">
        <f t="shared" si="19"/>
        <v>[blank]</v>
      </c>
      <c r="X113" s="40">
        <f t="shared" si="21"/>
        <v>0</v>
      </c>
    </row>
    <row r="114" spans="1:24">
      <c r="B114" s="4" t="str">
        <f t="shared" si="19"/>
        <v>[blank]</v>
      </c>
      <c r="X114" s="40">
        <f t="shared" si="21"/>
        <v>0</v>
      </c>
    </row>
    <row r="116" spans="1:24" ht="12.75" thickBot="1">
      <c r="B116" s="5" t="s">
        <v>82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24">SUM(P100:P114)</f>
        <v>0</v>
      </c>
      <c r="Q116" s="37">
        <f t="shared" si="24"/>
        <v>530100</v>
      </c>
      <c r="R116" s="37">
        <f t="shared" si="24"/>
        <v>4525140.2649533395</v>
      </c>
      <c r="S116" s="37">
        <f t="shared" si="24"/>
        <v>1847818.0376227447</v>
      </c>
      <c r="T116" s="37">
        <f t="shared" si="24"/>
        <v>404065.05754200427</v>
      </c>
      <c r="U116" s="37">
        <f t="shared" si="24"/>
        <v>1452032.8892399967</v>
      </c>
      <c r="V116" s="37">
        <f t="shared" si="24"/>
        <v>813999.47592725942</v>
      </c>
      <c r="X116" s="37">
        <f t="shared" ref="X116" si="25">SUM(R116:V116)</f>
        <v>9043055.7252853438</v>
      </c>
    </row>
    <row r="118" spans="1:24" s="1" customFormat="1">
      <c r="A118" s="4"/>
      <c r="B118" s="2" t="s">
        <v>83</v>
      </c>
    </row>
    <row r="120" spans="1:24">
      <c r="H120" s="190" t="s">
        <v>52</v>
      </c>
      <c r="I120" s="190"/>
      <c r="J120" s="190"/>
      <c r="K120" s="190"/>
      <c r="L120" s="190"/>
      <c r="M120" s="190" t="s">
        <v>53</v>
      </c>
      <c r="N120" s="190"/>
      <c r="O120" s="190"/>
      <c r="P120" s="190"/>
      <c r="Q120" s="190"/>
      <c r="R120" s="190" t="s">
        <v>54</v>
      </c>
      <c r="S120" s="190"/>
      <c r="T120" s="190"/>
      <c r="U120" s="190"/>
      <c r="V120" s="190"/>
      <c r="X120" s="38"/>
    </row>
    <row r="121" spans="1:24">
      <c r="B121" s="43" t="s">
        <v>84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63</v>
      </c>
    </row>
    <row r="122" spans="1:24">
      <c r="B122" s="5" t="s">
        <v>46</v>
      </c>
      <c r="D122" s="29" t="s">
        <v>55</v>
      </c>
      <c r="H122" s="16" t="s">
        <v>12</v>
      </c>
      <c r="I122" s="16" t="s">
        <v>12</v>
      </c>
      <c r="J122" s="16" t="s">
        <v>12</v>
      </c>
      <c r="K122" s="16" t="s">
        <v>12</v>
      </c>
      <c r="L122" s="16" t="s">
        <v>12</v>
      </c>
      <c r="M122" s="16" t="s">
        <v>12</v>
      </c>
      <c r="N122" s="16" t="s">
        <v>12</v>
      </c>
      <c r="O122" s="16" t="s">
        <v>12</v>
      </c>
      <c r="P122" s="16" t="s">
        <v>13</v>
      </c>
      <c r="Q122" s="16" t="s">
        <v>13</v>
      </c>
      <c r="R122" s="16" t="s">
        <v>13</v>
      </c>
      <c r="S122" s="16" t="s">
        <v>13</v>
      </c>
      <c r="T122" s="16" t="s">
        <v>13</v>
      </c>
      <c r="U122" s="16" t="s">
        <v>13</v>
      </c>
      <c r="V122" s="16" t="s">
        <v>13</v>
      </c>
      <c r="X122" s="34" t="s">
        <v>13</v>
      </c>
    </row>
    <row r="123" spans="1:24">
      <c r="B123" s="4" t="str">
        <f t="shared" ref="B123:B137" si="26">IF(B10&lt;&gt;"",B10,"[blank]")</f>
        <v>City Gate - New</v>
      </c>
      <c r="D123" s="31" t="s">
        <v>60</v>
      </c>
      <c r="O123" s="35"/>
      <c r="P123" s="35">
        <f>P77+P100</f>
        <v>0</v>
      </c>
      <c r="Q123" s="35">
        <f t="shared" ref="Q123:V123" si="27">Q77+Q100</f>
        <v>0</v>
      </c>
      <c r="R123" s="35">
        <f t="shared" si="27"/>
        <v>1261303.8306949039</v>
      </c>
      <c r="S123" s="35">
        <f t="shared" si="27"/>
        <v>247469.09676299462</v>
      </c>
      <c r="T123" s="35">
        <f t="shared" si="27"/>
        <v>0</v>
      </c>
      <c r="U123" s="35">
        <f t="shared" si="27"/>
        <v>0</v>
      </c>
      <c r="V123" s="35">
        <f t="shared" si="27"/>
        <v>0</v>
      </c>
      <c r="X123" s="40">
        <f>SUM(R123:V123)</f>
        <v>1508772.9274578984</v>
      </c>
    </row>
    <row r="124" spans="1:24">
      <c r="B124" s="4" t="str">
        <f t="shared" si="26"/>
        <v>City Gate - Capacity Upgrade</v>
      </c>
      <c r="D124" s="31" t="s">
        <v>60</v>
      </c>
      <c r="O124" s="50"/>
      <c r="P124" s="35">
        <f t="shared" ref="P124:V126" si="28">P78+P101</f>
        <v>0</v>
      </c>
      <c r="Q124" s="35">
        <f t="shared" si="28"/>
        <v>0</v>
      </c>
      <c r="R124" s="35">
        <f t="shared" si="28"/>
        <v>0</v>
      </c>
      <c r="S124" s="35">
        <f t="shared" si="28"/>
        <v>928009.11286122957</v>
      </c>
      <c r="T124" s="35">
        <f t="shared" si="28"/>
        <v>0</v>
      </c>
      <c r="U124" s="35">
        <f t="shared" si="28"/>
        <v>125772.62602729195</v>
      </c>
      <c r="V124" s="35">
        <f t="shared" si="28"/>
        <v>0</v>
      </c>
      <c r="X124" s="40">
        <f t="shared" ref="X124:X137" si="29">SUM(R124:V124)</f>
        <v>1053781.7388885214</v>
      </c>
    </row>
    <row r="125" spans="1:24">
      <c r="B125" s="4" t="str">
        <f t="shared" si="26"/>
        <v>Field Regulator - New</v>
      </c>
      <c r="D125" s="31" t="s">
        <v>60</v>
      </c>
      <c r="P125" s="35">
        <f t="shared" si="28"/>
        <v>0</v>
      </c>
      <c r="Q125" s="35">
        <f t="shared" si="28"/>
        <v>558000</v>
      </c>
      <c r="R125" s="35">
        <f t="shared" si="28"/>
        <v>553743.14518312854</v>
      </c>
      <c r="S125" s="35">
        <f t="shared" si="28"/>
        <v>0</v>
      </c>
      <c r="T125" s="35">
        <f t="shared" si="28"/>
        <v>0</v>
      </c>
      <c r="U125" s="35">
        <f t="shared" si="28"/>
        <v>0</v>
      </c>
      <c r="V125" s="35">
        <f t="shared" si="28"/>
        <v>0</v>
      </c>
      <c r="X125" s="40">
        <f t="shared" si="29"/>
        <v>553743.14518312854</v>
      </c>
    </row>
    <row r="126" spans="1:24">
      <c r="B126" s="4" t="str">
        <f t="shared" si="26"/>
        <v>Field Regulator - Capacity Upgrade</v>
      </c>
      <c r="D126" s="31" t="s">
        <v>60</v>
      </c>
      <c r="P126" s="35">
        <f t="shared" si="28"/>
        <v>0</v>
      </c>
      <c r="Q126" s="35">
        <f t="shared" si="28"/>
        <v>0</v>
      </c>
      <c r="R126" s="35">
        <f t="shared" si="28"/>
        <v>0</v>
      </c>
      <c r="S126" s="35">
        <f t="shared" si="28"/>
        <v>0</v>
      </c>
      <c r="T126" s="35">
        <f t="shared" si="28"/>
        <v>124613.11150066828</v>
      </c>
      <c r="U126" s="35">
        <f t="shared" si="28"/>
        <v>125772.62602729195</v>
      </c>
      <c r="V126" s="35">
        <f t="shared" si="28"/>
        <v>0</v>
      </c>
      <c r="X126" s="40">
        <f t="shared" si="29"/>
        <v>250385.73752796021</v>
      </c>
    </row>
    <row r="127" spans="1:24">
      <c r="B127" s="4" t="str">
        <f t="shared" si="26"/>
        <v>Network Reinforcement - Distribution</v>
      </c>
      <c r="P127" s="35">
        <f t="shared" ref="P127:V127" si="30">P81+P104</f>
        <v>0</v>
      </c>
      <c r="Q127" s="35">
        <f t="shared" si="30"/>
        <v>0</v>
      </c>
      <c r="R127" s="35">
        <f t="shared" si="30"/>
        <v>1716052.4226096636</v>
      </c>
      <c r="S127" s="35">
        <f t="shared" si="30"/>
        <v>355833.51165397232</v>
      </c>
      <c r="T127" s="35">
        <f t="shared" si="30"/>
        <v>300718.52801723091</v>
      </c>
      <c r="U127" s="35">
        <f t="shared" si="30"/>
        <v>1276910.420829623</v>
      </c>
      <c r="V127" s="35">
        <f t="shared" si="30"/>
        <v>0</v>
      </c>
      <c r="X127" s="40">
        <f t="shared" si="29"/>
        <v>3649514.8831104897</v>
      </c>
    </row>
    <row r="128" spans="1:24">
      <c r="B128" s="4" t="str">
        <f t="shared" si="26"/>
        <v>Network Reinforcement - Transmission</v>
      </c>
      <c r="P128" s="35">
        <f t="shared" ref="P128:V128" si="31">P82+P105</f>
        <v>0</v>
      </c>
      <c r="Q128" s="35">
        <f t="shared" si="31"/>
        <v>0</v>
      </c>
      <c r="R128" s="35">
        <f t="shared" si="31"/>
        <v>1232206.1435684513</v>
      </c>
      <c r="S128" s="35">
        <f t="shared" si="31"/>
        <v>413759.89727206092</v>
      </c>
      <c r="T128" s="35">
        <f t="shared" si="31"/>
        <v>0</v>
      </c>
      <c r="U128" s="35">
        <f t="shared" si="31"/>
        <v>0</v>
      </c>
      <c r="V128" s="35">
        <f t="shared" si="31"/>
        <v>856841.55360764149</v>
      </c>
      <c r="X128" s="40">
        <f t="shared" si="29"/>
        <v>2502807.5944481539</v>
      </c>
    </row>
    <row r="129" spans="1:24">
      <c r="B129" s="4" t="str">
        <f t="shared" si="26"/>
        <v>[blank]</v>
      </c>
      <c r="X129" s="40">
        <f t="shared" si="29"/>
        <v>0</v>
      </c>
    </row>
    <row r="130" spans="1:24">
      <c r="B130" s="4" t="str">
        <f t="shared" si="26"/>
        <v>[blank]</v>
      </c>
      <c r="X130" s="40">
        <f t="shared" si="29"/>
        <v>0</v>
      </c>
    </row>
    <row r="131" spans="1:24">
      <c r="B131" s="4" t="str">
        <f t="shared" si="26"/>
        <v>[blank]</v>
      </c>
      <c r="X131" s="40">
        <f t="shared" si="29"/>
        <v>0</v>
      </c>
    </row>
    <row r="132" spans="1:24">
      <c r="B132" s="4" t="str">
        <f t="shared" si="26"/>
        <v>[blank]</v>
      </c>
      <c r="X132" s="40">
        <f t="shared" si="29"/>
        <v>0</v>
      </c>
    </row>
    <row r="133" spans="1:24">
      <c r="B133" s="4" t="str">
        <f t="shared" si="26"/>
        <v>[blank]</v>
      </c>
      <c r="X133" s="40">
        <f t="shared" si="29"/>
        <v>0</v>
      </c>
    </row>
    <row r="134" spans="1:24">
      <c r="B134" s="4" t="str">
        <f t="shared" si="26"/>
        <v>[blank]</v>
      </c>
      <c r="X134" s="40">
        <f t="shared" si="29"/>
        <v>0</v>
      </c>
    </row>
    <row r="135" spans="1:24">
      <c r="B135" s="4" t="str">
        <f t="shared" si="26"/>
        <v>[blank]</v>
      </c>
      <c r="X135" s="40">
        <f t="shared" si="29"/>
        <v>0</v>
      </c>
    </row>
    <row r="136" spans="1:24">
      <c r="B136" s="4" t="str">
        <f t="shared" si="26"/>
        <v>[blank]</v>
      </c>
      <c r="X136" s="40">
        <f t="shared" si="29"/>
        <v>0</v>
      </c>
    </row>
    <row r="137" spans="1:24">
      <c r="B137" s="4" t="str">
        <f t="shared" si="26"/>
        <v>[blank]</v>
      </c>
      <c r="X137" s="40">
        <f t="shared" si="29"/>
        <v>0</v>
      </c>
    </row>
    <row r="139" spans="1:24" ht="12.75" thickBot="1">
      <c r="B139" s="5" t="s">
        <v>85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32">SUM(Q123:Q137)</f>
        <v>558000</v>
      </c>
      <c r="R139" s="37">
        <f t="shared" si="32"/>
        <v>4763305.542056147</v>
      </c>
      <c r="S139" s="37">
        <f t="shared" si="32"/>
        <v>1945071.6185502573</v>
      </c>
      <c r="T139" s="37">
        <f t="shared" si="32"/>
        <v>425331.6395178992</v>
      </c>
      <c r="U139" s="37">
        <f t="shared" si="32"/>
        <v>1528455.672884207</v>
      </c>
      <c r="V139" s="37">
        <f t="shared" si="32"/>
        <v>856841.55360764149</v>
      </c>
      <c r="X139" s="37">
        <f t="shared" ref="X139" si="33">SUM(R139:V139)</f>
        <v>9519006.0266161524</v>
      </c>
    </row>
    <row r="141" spans="1:24" s="1" customFormat="1">
      <c r="A141" s="4"/>
      <c r="B141" s="2" t="s">
        <v>86</v>
      </c>
    </row>
    <row r="143" spans="1:24">
      <c r="H143" s="190" t="s">
        <v>52</v>
      </c>
      <c r="I143" s="190"/>
      <c r="J143" s="190"/>
      <c r="K143" s="190"/>
      <c r="L143" s="190"/>
      <c r="M143" s="190" t="s">
        <v>53</v>
      </c>
      <c r="N143" s="190"/>
      <c r="O143" s="190"/>
      <c r="P143" s="190"/>
      <c r="Q143" s="190"/>
      <c r="R143" s="190" t="s">
        <v>54</v>
      </c>
      <c r="S143" s="190"/>
      <c r="T143" s="190"/>
      <c r="U143" s="190"/>
      <c r="V143" s="190"/>
      <c r="X143" s="38"/>
    </row>
    <row r="144" spans="1:24">
      <c r="B144" s="44" t="s">
        <v>50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63</v>
      </c>
    </row>
    <row r="145" spans="2:24">
      <c r="B145" s="5" t="s">
        <v>46</v>
      </c>
      <c r="D145" s="29" t="s">
        <v>55</v>
      </c>
      <c r="H145" s="16" t="s">
        <v>12</v>
      </c>
      <c r="I145" s="16" t="s">
        <v>12</v>
      </c>
      <c r="J145" s="16" t="s">
        <v>12</v>
      </c>
      <c r="K145" s="16" t="s">
        <v>12</v>
      </c>
      <c r="L145" s="16" t="s">
        <v>12</v>
      </c>
      <c r="M145" s="16" t="s">
        <v>12</v>
      </c>
      <c r="N145" s="16" t="s">
        <v>12</v>
      </c>
      <c r="O145" s="16" t="s">
        <v>12</v>
      </c>
      <c r="P145" s="16" t="s">
        <v>13</v>
      </c>
      <c r="Q145" s="16" t="s">
        <v>13</v>
      </c>
      <c r="R145" s="16" t="s">
        <v>13</v>
      </c>
      <c r="S145" s="16" t="s">
        <v>13</v>
      </c>
      <c r="T145" s="16" t="s">
        <v>13</v>
      </c>
      <c r="U145" s="16" t="s">
        <v>13</v>
      </c>
      <c r="V145" s="16" t="s">
        <v>13</v>
      </c>
      <c r="X145" s="34" t="s">
        <v>13</v>
      </c>
    </row>
    <row r="146" spans="2:24">
      <c r="B146" s="4" t="str">
        <f t="shared" ref="B146:B160" si="34">IF(B10&lt;&gt;"",B10,"[blank]")</f>
        <v>City Gate - New</v>
      </c>
      <c r="D146" s="31" t="s">
        <v>60</v>
      </c>
      <c r="O146" s="35"/>
      <c r="P146" s="35">
        <f t="shared" ref="P146:V149" si="35">$G10*P53</f>
        <v>0</v>
      </c>
      <c r="Q146" s="35">
        <f t="shared" si="35"/>
        <v>0</v>
      </c>
      <c r="R146" s="35">
        <f t="shared" si="35"/>
        <v>840869.22046326927</v>
      </c>
      <c r="S146" s="35">
        <f t="shared" si="35"/>
        <v>164979.39784199643</v>
      </c>
      <c r="T146" s="35">
        <f t="shared" si="35"/>
        <v>0</v>
      </c>
      <c r="U146" s="35">
        <f t="shared" si="35"/>
        <v>0</v>
      </c>
      <c r="V146" s="35">
        <f t="shared" si="35"/>
        <v>0</v>
      </c>
      <c r="X146" s="40">
        <f>SUM(R146:V146)</f>
        <v>1005848.6183052657</v>
      </c>
    </row>
    <row r="147" spans="2:24">
      <c r="B147" s="4" t="str">
        <f t="shared" si="34"/>
        <v>City Gate - Capacity Upgrade</v>
      </c>
      <c r="D147" s="31" t="s">
        <v>60</v>
      </c>
      <c r="O147" s="50"/>
      <c r="P147" s="35">
        <f t="shared" si="35"/>
        <v>0</v>
      </c>
      <c r="Q147" s="35">
        <f t="shared" si="35"/>
        <v>0</v>
      </c>
      <c r="R147" s="35">
        <f t="shared" si="35"/>
        <v>0</v>
      </c>
      <c r="S147" s="35">
        <f t="shared" si="35"/>
        <v>618672.74190748658</v>
      </c>
      <c r="T147" s="35">
        <f t="shared" si="35"/>
        <v>0</v>
      </c>
      <c r="U147" s="35">
        <f t="shared" si="35"/>
        <v>83848.417351527969</v>
      </c>
      <c r="V147" s="35">
        <f t="shared" si="35"/>
        <v>0</v>
      </c>
      <c r="X147" s="40">
        <f t="shared" ref="X147:X160" si="36">SUM(R147:V147)</f>
        <v>702521.15925901453</v>
      </c>
    </row>
    <row r="148" spans="2:24">
      <c r="B148" s="4" t="str">
        <f t="shared" si="34"/>
        <v>Field Regulator - New</v>
      </c>
      <c r="D148" s="31" t="s">
        <v>60</v>
      </c>
      <c r="P148" s="35">
        <f t="shared" si="35"/>
        <v>0</v>
      </c>
      <c r="Q148" s="35">
        <f t="shared" si="35"/>
        <v>372000</v>
      </c>
      <c r="R148" s="35">
        <f t="shared" si="35"/>
        <v>369162.09678875236</v>
      </c>
      <c r="S148" s="35">
        <f t="shared" si="35"/>
        <v>0</v>
      </c>
      <c r="T148" s="35">
        <f t="shared" si="35"/>
        <v>0</v>
      </c>
      <c r="U148" s="35">
        <f t="shared" si="35"/>
        <v>0</v>
      </c>
      <c r="V148" s="35">
        <f t="shared" si="35"/>
        <v>0</v>
      </c>
      <c r="X148" s="40">
        <f t="shared" si="36"/>
        <v>369162.09678875236</v>
      </c>
    </row>
    <row r="149" spans="2:24">
      <c r="B149" s="4" t="str">
        <f t="shared" si="34"/>
        <v>Field Regulator - Capacity Upgrade</v>
      </c>
      <c r="D149" s="31" t="s">
        <v>60</v>
      </c>
      <c r="P149" s="35">
        <f t="shared" si="35"/>
        <v>0</v>
      </c>
      <c r="Q149" s="35">
        <f t="shared" si="35"/>
        <v>0</v>
      </c>
      <c r="R149" s="35">
        <f t="shared" si="35"/>
        <v>0</v>
      </c>
      <c r="S149" s="35">
        <f t="shared" si="35"/>
        <v>0</v>
      </c>
      <c r="T149" s="35">
        <f t="shared" si="35"/>
        <v>83075.407667112202</v>
      </c>
      <c r="U149" s="35">
        <f t="shared" si="35"/>
        <v>83848.417351527969</v>
      </c>
      <c r="V149" s="35">
        <f t="shared" si="35"/>
        <v>0</v>
      </c>
      <c r="X149" s="40">
        <f t="shared" si="36"/>
        <v>166923.82501864017</v>
      </c>
    </row>
    <row r="150" spans="2:24">
      <c r="B150" s="4" t="str">
        <f t="shared" si="34"/>
        <v>Network Reinforcement - Distribution</v>
      </c>
      <c r="P150" s="35">
        <f t="shared" ref="P150:V150" si="37">$G14*P57</f>
        <v>0</v>
      </c>
      <c r="Q150" s="35">
        <f t="shared" si="37"/>
        <v>0</v>
      </c>
      <c r="R150" s="35">
        <f t="shared" si="37"/>
        <v>429013.10565241578</v>
      </c>
      <c r="S150" s="35">
        <f t="shared" si="37"/>
        <v>88958.377913493066</v>
      </c>
      <c r="T150" s="35">
        <f t="shared" si="37"/>
        <v>75179.632004307714</v>
      </c>
      <c r="U150" s="35">
        <f t="shared" si="37"/>
        <v>319227.60520740575</v>
      </c>
      <c r="V150" s="35">
        <f t="shared" si="37"/>
        <v>0</v>
      </c>
      <c r="X150" s="40">
        <f t="shared" si="36"/>
        <v>912378.72077762231</v>
      </c>
    </row>
    <row r="151" spans="2:24">
      <c r="B151" s="4" t="str">
        <f t="shared" si="34"/>
        <v>Network Reinforcement - Transmission</v>
      </c>
      <c r="P151" s="35">
        <f t="shared" ref="P151:V151" si="38">$G15*P58</f>
        <v>0</v>
      </c>
      <c r="Q151" s="35">
        <f t="shared" si="38"/>
        <v>0</v>
      </c>
      <c r="R151" s="35">
        <f t="shared" si="38"/>
        <v>308051.53589211276</v>
      </c>
      <c r="S151" s="35">
        <f t="shared" si="38"/>
        <v>103439.9743180152</v>
      </c>
      <c r="T151" s="35">
        <f t="shared" si="38"/>
        <v>0</v>
      </c>
      <c r="U151" s="35">
        <f t="shared" si="38"/>
        <v>0</v>
      </c>
      <c r="V151" s="35">
        <f t="shared" si="38"/>
        <v>214210.38840191034</v>
      </c>
      <c r="X151" s="40">
        <f t="shared" si="36"/>
        <v>625701.89861203835</v>
      </c>
    </row>
    <row r="152" spans="2:24">
      <c r="B152" s="4" t="str">
        <f t="shared" si="34"/>
        <v>[blank]</v>
      </c>
      <c r="P152" s="35"/>
      <c r="Q152" s="35"/>
      <c r="R152" s="35"/>
      <c r="S152" s="35"/>
      <c r="T152" s="35"/>
      <c r="U152" s="35"/>
      <c r="V152" s="35"/>
      <c r="X152" s="40">
        <f t="shared" si="36"/>
        <v>0</v>
      </c>
    </row>
    <row r="153" spans="2:24">
      <c r="B153" s="4" t="str">
        <f t="shared" si="34"/>
        <v>[blank]</v>
      </c>
      <c r="X153" s="40">
        <f t="shared" si="36"/>
        <v>0</v>
      </c>
    </row>
    <row r="154" spans="2:24">
      <c r="B154" s="4" t="str">
        <f t="shared" si="34"/>
        <v>[blank]</v>
      </c>
      <c r="X154" s="40">
        <f t="shared" si="36"/>
        <v>0</v>
      </c>
    </row>
    <row r="155" spans="2:24">
      <c r="B155" s="4" t="str">
        <f t="shared" si="34"/>
        <v>[blank]</v>
      </c>
      <c r="X155" s="40">
        <f t="shared" si="36"/>
        <v>0</v>
      </c>
    </row>
    <row r="156" spans="2:24">
      <c r="B156" s="4" t="str">
        <f t="shared" si="34"/>
        <v>[blank]</v>
      </c>
      <c r="X156" s="40">
        <f t="shared" si="36"/>
        <v>0</v>
      </c>
    </row>
    <row r="157" spans="2:24">
      <c r="B157" s="4" t="str">
        <f t="shared" si="34"/>
        <v>[blank]</v>
      </c>
      <c r="X157" s="40">
        <f t="shared" si="36"/>
        <v>0</v>
      </c>
    </row>
    <row r="158" spans="2:24">
      <c r="B158" s="4" t="str">
        <f t="shared" si="34"/>
        <v>[blank]</v>
      </c>
      <c r="X158" s="40">
        <f t="shared" si="36"/>
        <v>0</v>
      </c>
    </row>
    <row r="159" spans="2:24">
      <c r="B159" s="4" t="str">
        <f t="shared" si="34"/>
        <v>[blank]</v>
      </c>
      <c r="X159" s="40">
        <f t="shared" si="36"/>
        <v>0</v>
      </c>
    </row>
    <row r="160" spans="2:24">
      <c r="B160" s="4" t="str">
        <f t="shared" si="34"/>
        <v>[blank]</v>
      </c>
      <c r="X160" s="40">
        <f t="shared" si="36"/>
        <v>0</v>
      </c>
    </row>
    <row r="162" spans="1:24" ht="12.75" thickBot="1">
      <c r="B162" s="5" t="s">
        <v>87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39">SUM(Q146:Q160)</f>
        <v>372000</v>
      </c>
      <c r="R162" s="37">
        <f t="shared" si="39"/>
        <v>1947095.9587965501</v>
      </c>
      <c r="S162" s="37">
        <f t="shared" si="39"/>
        <v>976050.49198099121</v>
      </c>
      <c r="T162" s="37">
        <f t="shared" si="39"/>
        <v>158255.03967141992</v>
      </c>
      <c r="U162" s="37">
        <f t="shared" si="39"/>
        <v>486924.43991046166</v>
      </c>
      <c r="V162" s="37">
        <f t="shared" si="39"/>
        <v>214210.38840191034</v>
      </c>
      <c r="X162" s="37">
        <f t="shared" ref="X162" si="40">SUM(R162:V162)</f>
        <v>3782536.3187613334</v>
      </c>
    </row>
    <row r="164" spans="1:24" s="1" customFormat="1">
      <c r="A164" s="2">
        <v>5</v>
      </c>
      <c r="B164" s="2" t="s">
        <v>89</v>
      </c>
    </row>
    <row r="166" spans="1:24">
      <c r="H166" s="190" t="s">
        <v>52</v>
      </c>
      <c r="I166" s="190"/>
      <c r="J166" s="190"/>
      <c r="K166" s="190"/>
      <c r="L166" s="190"/>
      <c r="M166" s="190" t="s">
        <v>53</v>
      </c>
      <c r="N166" s="190"/>
      <c r="O166" s="190"/>
      <c r="P166" s="190"/>
      <c r="Q166" s="190"/>
      <c r="R166" s="190" t="s">
        <v>54</v>
      </c>
      <c r="S166" s="190"/>
      <c r="T166" s="190"/>
      <c r="U166" s="190"/>
      <c r="V166" s="190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63</v>
      </c>
    </row>
    <row r="168" spans="1:24">
      <c r="B168" s="5" t="s">
        <v>46</v>
      </c>
      <c r="D168" s="29" t="s">
        <v>55</v>
      </c>
      <c r="H168" s="16" t="s">
        <v>12</v>
      </c>
      <c r="I168" s="16" t="s">
        <v>12</v>
      </c>
      <c r="J168" s="16" t="s">
        <v>12</v>
      </c>
      <c r="K168" s="16" t="s">
        <v>12</v>
      </c>
      <c r="L168" s="16" t="s">
        <v>12</v>
      </c>
      <c r="M168" s="16" t="s">
        <v>12</v>
      </c>
      <c r="N168" s="16" t="s">
        <v>12</v>
      </c>
      <c r="O168" s="16" t="s">
        <v>12</v>
      </c>
      <c r="P168" s="16" t="s">
        <v>13</v>
      </c>
      <c r="Q168" s="16" t="s">
        <v>13</v>
      </c>
      <c r="R168" s="16" t="s">
        <v>13</v>
      </c>
      <c r="S168" s="16" t="s">
        <v>13</v>
      </c>
      <c r="T168" s="16" t="s">
        <v>13</v>
      </c>
      <c r="U168" s="16" t="s">
        <v>13</v>
      </c>
      <c r="V168" s="16" t="s">
        <v>13</v>
      </c>
      <c r="X168" s="34" t="s">
        <v>13</v>
      </c>
    </row>
    <row r="169" spans="1:24">
      <c r="B169" s="4" t="str">
        <f t="shared" ref="B169:B183" si="41">IF(B10&lt;&gt;"",B10,"[blank]")</f>
        <v>City Gate - New</v>
      </c>
      <c r="D169" s="31" t="s">
        <v>60</v>
      </c>
      <c r="O169" s="35"/>
      <c r="P169" s="35">
        <f>P53*P$188</f>
        <v>0</v>
      </c>
      <c r="Q169" s="35">
        <f t="shared" ref="Q169:V169" si="42">Q53*Q$188</f>
        <v>0</v>
      </c>
      <c r="R169" s="35">
        <f t="shared" si="42"/>
        <v>151715.5302794913</v>
      </c>
      <c r="S169" s="35">
        <f t="shared" si="42"/>
        <v>31454.59923454321</v>
      </c>
      <c r="T169" s="35">
        <f t="shared" si="42"/>
        <v>0</v>
      </c>
      <c r="U169" s="35">
        <f t="shared" si="42"/>
        <v>0</v>
      </c>
      <c r="V169" s="35">
        <f t="shared" si="42"/>
        <v>0</v>
      </c>
      <c r="X169" s="40">
        <f>SUM(R169:V169)</f>
        <v>183170.12951403452</v>
      </c>
    </row>
    <row r="170" spans="1:24">
      <c r="B170" s="4" t="str">
        <f t="shared" si="41"/>
        <v>City Gate - Capacity Upgrade</v>
      </c>
      <c r="D170" s="31" t="s">
        <v>60</v>
      </c>
      <c r="O170" s="50"/>
      <c r="P170" s="35">
        <f t="shared" ref="P170:V172" si="43">P54*P$188</f>
        <v>0</v>
      </c>
      <c r="Q170" s="35">
        <f t="shared" si="43"/>
        <v>0</v>
      </c>
      <c r="R170" s="35">
        <f t="shared" si="43"/>
        <v>0</v>
      </c>
      <c r="S170" s="35">
        <f t="shared" si="43"/>
        <v>117954.74712953702</v>
      </c>
      <c r="T170" s="35">
        <f t="shared" si="43"/>
        <v>0</v>
      </c>
      <c r="U170" s="35">
        <f t="shared" si="43"/>
        <v>17129.32666264939</v>
      </c>
      <c r="V170" s="35">
        <f t="shared" si="43"/>
        <v>0</v>
      </c>
      <c r="X170" s="40">
        <f t="shared" ref="X170:X183" si="44">SUM(R170:V170)</f>
        <v>135084.07379218642</v>
      </c>
    </row>
    <row r="171" spans="1:24">
      <c r="B171" s="4" t="str">
        <f t="shared" si="41"/>
        <v>Field Regulator - New</v>
      </c>
      <c r="D171" s="31" t="s">
        <v>60</v>
      </c>
      <c r="P171" s="35">
        <f t="shared" si="43"/>
        <v>0</v>
      </c>
      <c r="Q171" s="35">
        <f t="shared" si="43"/>
        <v>69602.778282293264</v>
      </c>
      <c r="R171" s="35">
        <f t="shared" si="43"/>
        <v>66606.818171483988</v>
      </c>
      <c r="S171" s="35">
        <f t="shared" si="43"/>
        <v>0</v>
      </c>
      <c r="T171" s="35">
        <f t="shared" si="43"/>
        <v>0</v>
      </c>
      <c r="U171" s="35">
        <f t="shared" si="43"/>
        <v>0</v>
      </c>
      <c r="V171" s="35">
        <f t="shared" si="43"/>
        <v>0</v>
      </c>
      <c r="X171" s="40">
        <f t="shared" si="44"/>
        <v>66606.818171483988</v>
      </c>
    </row>
    <row r="172" spans="1:24">
      <c r="B172" s="4" t="str">
        <f t="shared" si="41"/>
        <v>Field Regulator - Capacity Upgrade</v>
      </c>
      <c r="D172" s="31" t="s">
        <v>60</v>
      </c>
      <c r="P172" s="35">
        <f t="shared" si="43"/>
        <v>0</v>
      </c>
      <c r="Q172" s="35">
        <f t="shared" si="43"/>
        <v>0</v>
      </c>
      <c r="R172" s="35">
        <f t="shared" si="43"/>
        <v>0</v>
      </c>
      <c r="S172" s="35">
        <f t="shared" si="43"/>
        <v>0</v>
      </c>
      <c r="T172" s="35">
        <f t="shared" si="43"/>
        <v>16080.628092849827</v>
      </c>
      <c r="U172" s="35">
        <f t="shared" si="43"/>
        <v>17129.32666264939</v>
      </c>
      <c r="V172" s="35">
        <f t="shared" si="43"/>
        <v>0</v>
      </c>
      <c r="X172" s="40">
        <f t="shared" si="44"/>
        <v>33209.954755499217</v>
      </c>
    </row>
    <row r="173" spans="1:24">
      <c r="B173" s="4" t="str">
        <f t="shared" si="41"/>
        <v>Network Reinforcement - Distribution</v>
      </c>
      <c r="P173" s="35">
        <f t="shared" ref="P173:V173" si="45">P57*P$188</f>
        <v>0</v>
      </c>
      <c r="Q173" s="35">
        <f t="shared" si="45"/>
        <v>0</v>
      </c>
      <c r="R173" s="35">
        <f t="shared" si="45"/>
        <v>154811.11506269212</v>
      </c>
      <c r="S173" s="35">
        <f t="shared" si="45"/>
        <v>33921.206677015529</v>
      </c>
      <c r="T173" s="35">
        <f t="shared" si="45"/>
        <v>29104.538547986569</v>
      </c>
      <c r="U173" s="35">
        <f t="shared" si="45"/>
        <v>130429.50844040667</v>
      </c>
      <c r="V173" s="35">
        <f t="shared" si="45"/>
        <v>0</v>
      </c>
      <c r="X173" s="40">
        <f t="shared" si="44"/>
        <v>348266.3687281009</v>
      </c>
    </row>
    <row r="174" spans="1:24">
      <c r="B174" s="4" t="str">
        <f t="shared" si="41"/>
        <v>Network Reinforcement - Transmission</v>
      </c>
      <c r="P174" s="35">
        <f t="shared" ref="P174:V174" si="46">P58*P$188</f>
        <v>0</v>
      </c>
      <c r="Q174" s="35">
        <f t="shared" si="46"/>
        <v>0</v>
      </c>
      <c r="R174" s="35">
        <f t="shared" si="46"/>
        <v>111161.6431757004</v>
      </c>
      <c r="S174" s="35">
        <f t="shared" si="46"/>
        <v>39443.263577925041</v>
      </c>
      <c r="T174" s="35">
        <f t="shared" si="46"/>
        <v>0</v>
      </c>
      <c r="U174" s="35">
        <f t="shared" si="46"/>
        <v>0</v>
      </c>
      <c r="V174" s="35">
        <f t="shared" si="46"/>
        <v>90388.851638047621</v>
      </c>
      <c r="X174" s="40">
        <f t="shared" si="44"/>
        <v>240993.75839167304</v>
      </c>
    </row>
    <row r="175" spans="1:24">
      <c r="B175" s="4" t="str">
        <f t="shared" si="41"/>
        <v>[blank]</v>
      </c>
      <c r="X175" s="40">
        <f t="shared" si="44"/>
        <v>0</v>
      </c>
    </row>
    <row r="176" spans="1:24">
      <c r="B176" s="4" t="str">
        <f t="shared" si="41"/>
        <v>[blank]</v>
      </c>
      <c r="X176" s="40">
        <f t="shared" si="44"/>
        <v>0</v>
      </c>
    </row>
    <row r="177" spans="2:24">
      <c r="B177" s="4" t="str">
        <f t="shared" si="41"/>
        <v>[blank]</v>
      </c>
      <c r="X177" s="40">
        <f t="shared" si="44"/>
        <v>0</v>
      </c>
    </row>
    <row r="178" spans="2:24">
      <c r="B178" s="4" t="str">
        <f t="shared" si="41"/>
        <v>[blank]</v>
      </c>
      <c r="X178" s="40">
        <f t="shared" si="44"/>
        <v>0</v>
      </c>
    </row>
    <row r="179" spans="2:24">
      <c r="B179" s="4" t="str">
        <f t="shared" si="41"/>
        <v>[blank]</v>
      </c>
      <c r="X179" s="40">
        <f t="shared" si="44"/>
        <v>0</v>
      </c>
    </row>
    <row r="180" spans="2:24">
      <c r="B180" s="4" t="str">
        <f t="shared" si="41"/>
        <v>[blank]</v>
      </c>
      <c r="X180" s="40">
        <f t="shared" si="44"/>
        <v>0</v>
      </c>
    </row>
    <row r="181" spans="2:24">
      <c r="B181" s="4" t="str">
        <f t="shared" si="41"/>
        <v>[blank]</v>
      </c>
      <c r="X181" s="40">
        <f t="shared" si="44"/>
        <v>0</v>
      </c>
    </row>
    <row r="182" spans="2:24">
      <c r="B182" s="4" t="str">
        <f t="shared" si="41"/>
        <v>[blank]</v>
      </c>
      <c r="X182" s="40">
        <f t="shared" si="44"/>
        <v>0</v>
      </c>
    </row>
    <row r="183" spans="2:24">
      <c r="B183" s="4" t="str">
        <f t="shared" si="41"/>
        <v>[blank]</v>
      </c>
      <c r="X183" s="40">
        <f t="shared" si="44"/>
        <v>0</v>
      </c>
    </row>
    <row r="185" spans="2:24" ht="12.75" thickBot="1">
      <c r="B185" s="5" t="s">
        <v>88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47">SUM(Q169:Q183)</f>
        <v>69602.778282293264</v>
      </c>
      <c r="R185" s="37">
        <f t="shared" si="47"/>
        <v>484295.10668936779</v>
      </c>
      <c r="S185" s="37">
        <f t="shared" si="47"/>
        <v>222773.8166190208</v>
      </c>
      <c r="T185" s="37">
        <f t="shared" si="47"/>
        <v>45185.166640836396</v>
      </c>
      <c r="U185" s="37">
        <f t="shared" si="47"/>
        <v>164688.16176570544</v>
      </c>
      <c r="V185" s="37">
        <f t="shared" si="47"/>
        <v>90388.851638047621</v>
      </c>
      <c r="X185" s="37">
        <f t="shared" ref="X185" si="48">SUM(R185:V185)</f>
        <v>1007331.103352978</v>
      </c>
    </row>
    <row r="187" spans="2:24">
      <c r="B187" s="4" t="s">
        <v>92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49">Q69</f>
        <v>930000</v>
      </c>
      <c r="R187" s="45">
        <f t="shared" si="49"/>
        <v>6710401.5008526985</v>
      </c>
      <c r="S187" s="45">
        <f t="shared" si="49"/>
        <v>2921122.1105312486</v>
      </c>
      <c r="T187" s="45">
        <f t="shared" si="49"/>
        <v>583586.67918931914</v>
      </c>
      <c r="U187" s="45">
        <f t="shared" si="49"/>
        <v>2015380.1127946689</v>
      </c>
      <c r="V187" s="45">
        <f t="shared" si="49"/>
        <v>1071051.9420095519</v>
      </c>
      <c r="W187" s="45"/>
      <c r="X187" s="40">
        <f t="shared" si="49"/>
        <v>13301542.345377486</v>
      </c>
    </row>
    <row r="188" spans="2:24">
      <c r="B188" s="4" t="s">
        <v>90</v>
      </c>
      <c r="H188" s="21" t="str">
        <f>IFERROR(H192/H187,"")</f>
        <v/>
      </c>
      <c r="I188" s="21" t="str">
        <f t="shared" ref="I188:O188" si="50">IFERROR(I192/I187,"")</f>
        <v/>
      </c>
      <c r="J188" s="21" t="str">
        <f t="shared" si="50"/>
        <v/>
      </c>
      <c r="K188" s="21" t="str">
        <f t="shared" si="50"/>
        <v/>
      </c>
      <c r="L188" s="21" t="str">
        <f t="shared" si="50"/>
        <v/>
      </c>
      <c r="M188" s="21" t="str">
        <f t="shared" si="50"/>
        <v/>
      </c>
      <c r="N188" s="21" t="str">
        <f t="shared" si="50"/>
        <v/>
      </c>
      <c r="O188" s="21" t="str">
        <f t="shared" si="50"/>
        <v/>
      </c>
      <c r="P188" s="21">
        <f>'General assumptions'!S63</f>
        <v>0</v>
      </c>
      <c r="Q188" s="21">
        <f>'General assumptions'!T63</f>
        <v>7.4841697077734692E-2</v>
      </c>
      <c r="R188" s="21">
        <f>'General assumptions'!U63</f>
        <v>7.2170809247081261E-2</v>
      </c>
      <c r="S188" s="21">
        <f>'General assumptions'!V63</f>
        <v>7.6263096231367788E-2</v>
      </c>
      <c r="T188" s="21">
        <f>'General assumptions'!W63</f>
        <v>7.7426658716070601E-2</v>
      </c>
      <c r="U188" s="21">
        <f>'General assumptions'!X63</f>
        <v>8.1715682674538839E-2</v>
      </c>
      <c r="V188" s="21">
        <f>'General assumptions'!Y63</f>
        <v>8.4392593946897035E-2</v>
      </c>
      <c r="W188" s="21"/>
      <c r="X188" s="75">
        <f>X185/X187</f>
        <v>7.5730398565625204E-2</v>
      </c>
    </row>
    <row r="190" spans="2:24" ht="12.75" thickBot="1">
      <c r="B190" s="5" t="s">
        <v>91</v>
      </c>
      <c r="H190" s="37">
        <f t="shared" ref="H190:N190" si="51">IF(H168="forecast",H187*(1+H188),H187+H192)</f>
        <v>0</v>
      </c>
      <c r="I190" s="37">
        <f t="shared" si="51"/>
        <v>0</v>
      </c>
      <c r="J190" s="37">
        <f t="shared" si="51"/>
        <v>0</v>
      </c>
      <c r="K190" s="37">
        <f t="shared" si="51"/>
        <v>0</v>
      </c>
      <c r="L190" s="37">
        <f t="shared" si="51"/>
        <v>0</v>
      </c>
      <c r="M190" s="37">
        <f t="shared" si="51"/>
        <v>0</v>
      </c>
      <c r="N190" s="37">
        <f t="shared" si="51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52">IF(Q168="forecast",Q187*(1+Q188),Q187+Q192)</f>
        <v>999602.77828229335</v>
      </c>
      <c r="R190" s="37">
        <f t="shared" si="52"/>
        <v>7194696.6075420659</v>
      </c>
      <c r="S190" s="37">
        <f t="shared" si="52"/>
        <v>3143895.927150269</v>
      </c>
      <c r="T190" s="37">
        <f t="shared" si="52"/>
        <v>628771.84583015554</v>
      </c>
      <c r="U190" s="37">
        <f t="shared" si="52"/>
        <v>2180068.2745603742</v>
      </c>
      <c r="V190" s="37">
        <f t="shared" si="52"/>
        <v>1161440.7936475996</v>
      </c>
      <c r="X190" s="37">
        <f t="shared" ref="X190" si="53">IF(X168="forecast",X187*(1+X188),X187+X192)</f>
        <v>14308873.448730465</v>
      </c>
    </row>
    <row r="192" spans="2:24">
      <c r="B192" s="4" t="s">
        <v>18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54">Q190-Q187</f>
        <v>69602.778282293351</v>
      </c>
      <c r="R192" s="45">
        <f t="shared" si="54"/>
        <v>484295.10668936744</v>
      </c>
      <c r="S192" s="45">
        <f t="shared" si="54"/>
        <v>222773.81661902042</v>
      </c>
      <c r="T192" s="45">
        <f t="shared" si="54"/>
        <v>45185.166640836396</v>
      </c>
      <c r="U192" s="45">
        <f t="shared" si="54"/>
        <v>164688.16176570533</v>
      </c>
      <c r="V192" s="45">
        <f t="shared" si="54"/>
        <v>90388.851638047723</v>
      </c>
      <c r="X192" s="40">
        <f t="shared" ref="X192" si="55">X190-X187</f>
        <v>1007331.1033529788</v>
      </c>
    </row>
    <row r="194" spans="1:24" s="1" customFormat="1">
      <c r="A194" s="2">
        <v>6</v>
      </c>
      <c r="B194" s="2" t="s">
        <v>74</v>
      </c>
    </row>
    <row r="196" spans="1:24">
      <c r="H196" s="190" t="s">
        <v>52</v>
      </c>
      <c r="I196" s="190"/>
      <c r="J196" s="190"/>
      <c r="K196" s="190"/>
      <c r="L196" s="190"/>
      <c r="M196" s="190" t="s">
        <v>53</v>
      </c>
      <c r="N196" s="190"/>
      <c r="O196" s="190"/>
      <c r="P196" s="190"/>
      <c r="Q196" s="190"/>
      <c r="R196" s="190" t="s">
        <v>54</v>
      </c>
      <c r="S196" s="190"/>
      <c r="T196" s="190"/>
      <c r="U196" s="190"/>
      <c r="V196" s="190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63</v>
      </c>
    </row>
    <row r="198" spans="1:24">
      <c r="D198" s="29" t="s">
        <v>55</v>
      </c>
      <c r="H198" s="16" t="s">
        <v>12</v>
      </c>
      <c r="I198" s="16" t="s">
        <v>12</v>
      </c>
      <c r="J198" s="16" t="s">
        <v>12</v>
      </c>
      <c r="K198" s="16" t="s">
        <v>12</v>
      </c>
      <c r="L198" s="16" t="s">
        <v>12</v>
      </c>
      <c r="M198" s="16" t="s">
        <v>12</v>
      </c>
      <c r="N198" s="16" t="s">
        <v>12</v>
      </c>
      <c r="O198" s="16" t="s">
        <v>12</v>
      </c>
      <c r="P198" s="16" t="s">
        <v>13</v>
      </c>
      <c r="Q198" s="16" t="s">
        <v>13</v>
      </c>
      <c r="R198" s="16" t="s">
        <v>13</v>
      </c>
      <c r="S198" s="16" t="s">
        <v>13</v>
      </c>
      <c r="T198" s="16" t="s">
        <v>13</v>
      </c>
      <c r="U198" s="16" t="s">
        <v>13</v>
      </c>
      <c r="V198" s="16" t="s">
        <v>13</v>
      </c>
      <c r="X198" s="34" t="s">
        <v>13</v>
      </c>
    </row>
    <row r="199" spans="1:24">
      <c r="B199" s="5" t="s">
        <v>94</v>
      </c>
      <c r="D199" s="31" t="s">
        <v>105</v>
      </c>
      <c r="H199" s="4" t="str">
        <f t="shared" ref="H199:O199" si="56">IFERROR(-H218/H190,"")</f>
        <v/>
      </c>
      <c r="I199" s="4" t="str">
        <f t="shared" si="56"/>
        <v/>
      </c>
      <c r="J199" s="4" t="str">
        <f t="shared" si="56"/>
        <v/>
      </c>
      <c r="K199" s="4" t="str">
        <f t="shared" si="56"/>
        <v/>
      </c>
      <c r="L199" s="4" t="str">
        <f t="shared" si="56"/>
        <v/>
      </c>
      <c r="M199" s="4" t="str">
        <f t="shared" si="56"/>
        <v/>
      </c>
      <c r="N199" s="4" t="str">
        <f t="shared" si="56"/>
        <v/>
      </c>
      <c r="O199" s="4" t="str">
        <f t="shared" si="56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46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57">IF(B10&lt;&gt;"",B10,"[blank]")</f>
        <v>City Gate - New</v>
      </c>
      <c r="D202" s="31" t="s">
        <v>60</v>
      </c>
      <c r="P202" s="45">
        <f>(-P53*(1+P$188))*P$199</f>
        <v>0</v>
      </c>
      <c r="Q202" s="45">
        <f t="shared" ref="Q202:V202" si="58">(-Q53*(1+Q$188))*Q$199</f>
        <v>0</v>
      </c>
      <c r="R202" s="45">
        <f t="shared" si="58"/>
        <v>0</v>
      </c>
      <c r="S202" s="45">
        <f t="shared" si="58"/>
        <v>0</v>
      </c>
      <c r="T202" s="45">
        <f t="shared" si="58"/>
        <v>0</v>
      </c>
      <c r="U202" s="45">
        <f t="shared" si="58"/>
        <v>0</v>
      </c>
      <c r="V202" s="45">
        <f t="shared" si="58"/>
        <v>0</v>
      </c>
      <c r="X202" s="40">
        <f t="shared" ref="X202:X207" si="59">SUM(R202:V202)</f>
        <v>0</v>
      </c>
    </row>
    <row r="203" spans="1:24">
      <c r="B203" s="4" t="str">
        <f t="shared" si="57"/>
        <v>City Gate - Capacity Upgrade</v>
      </c>
      <c r="D203" s="31" t="s">
        <v>60</v>
      </c>
      <c r="P203" s="45">
        <f t="shared" ref="P203:V205" si="60">(-P54*(1+P$188))*P$199</f>
        <v>0</v>
      </c>
      <c r="Q203" s="45">
        <f t="shared" si="60"/>
        <v>0</v>
      </c>
      <c r="R203" s="45">
        <f t="shared" si="60"/>
        <v>0</v>
      </c>
      <c r="S203" s="45">
        <f t="shared" si="60"/>
        <v>0</v>
      </c>
      <c r="T203" s="45">
        <f t="shared" si="60"/>
        <v>0</v>
      </c>
      <c r="U203" s="45">
        <f t="shared" si="60"/>
        <v>0</v>
      </c>
      <c r="V203" s="45">
        <f t="shared" si="60"/>
        <v>0</v>
      </c>
      <c r="X203" s="40">
        <f t="shared" si="59"/>
        <v>0</v>
      </c>
    </row>
    <row r="204" spans="1:24">
      <c r="B204" s="4" t="str">
        <f t="shared" si="57"/>
        <v>Field Regulator - New</v>
      </c>
      <c r="D204" s="31" t="s">
        <v>60</v>
      </c>
      <c r="P204" s="45">
        <f t="shared" si="60"/>
        <v>0</v>
      </c>
      <c r="Q204" s="45">
        <f t="shared" si="60"/>
        <v>0</v>
      </c>
      <c r="R204" s="45">
        <f t="shared" si="60"/>
        <v>0</v>
      </c>
      <c r="S204" s="45">
        <f t="shared" si="60"/>
        <v>0</v>
      </c>
      <c r="T204" s="45">
        <f t="shared" si="60"/>
        <v>0</v>
      </c>
      <c r="U204" s="45">
        <f t="shared" si="60"/>
        <v>0</v>
      </c>
      <c r="V204" s="45">
        <f t="shared" si="60"/>
        <v>0</v>
      </c>
      <c r="X204" s="40">
        <f t="shared" si="59"/>
        <v>0</v>
      </c>
    </row>
    <row r="205" spans="1:24">
      <c r="B205" s="4" t="str">
        <f t="shared" si="57"/>
        <v>Field Regulator - Capacity Upgrade</v>
      </c>
      <c r="D205" s="31" t="s">
        <v>60</v>
      </c>
      <c r="P205" s="45">
        <f t="shared" si="60"/>
        <v>0</v>
      </c>
      <c r="Q205" s="45">
        <f t="shared" ref="Q205:V205" si="61">(-Q56*(1+Q$188))*Q$199</f>
        <v>0</v>
      </c>
      <c r="R205" s="45">
        <f t="shared" si="61"/>
        <v>0</v>
      </c>
      <c r="S205" s="45">
        <f t="shared" si="61"/>
        <v>0</v>
      </c>
      <c r="T205" s="45">
        <f t="shared" si="61"/>
        <v>0</v>
      </c>
      <c r="U205" s="45">
        <f t="shared" si="61"/>
        <v>0</v>
      </c>
      <c r="V205" s="45">
        <f t="shared" si="61"/>
        <v>0</v>
      </c>
      <c r="X205" s="40">
        <f t="shared" si="59"/>
        <v>0</v>
      </c>
    </row>
    <row r="206" spans="1:24">
      <c r="B206" s="4" t="str">
        <f t="shared" si="57"/>
        <v>Network Reinforcement - Distribution</v>
      </c>
      <c r="P206" s="45">
        <f t="shared" ref="P206:V206" si="62">(-P57*(1+P$188))*P$199</f>
        <v>0</v>
      </c>
      <c r="Q206" s="45">
        <f t="shared" si="62"/>
        <v>0</v>
      </c>
      <c r="R206" s="45">
        <f t="shared" si="62"/>
        <v>0</v>
      </c>
      <c r="S206" s="45">
        <f t="shared" si="62"/>
        <v>0</v>
      </c>
      <c r="T206" s="45">
        <f t="shared" si="62"/>
        <v>0</v>
      </c>
      <c r="U206" s="45">
        <f t="shared" si="62"/>
        <v>0</v>
      </c>
      <c r="V206" s="45">
        <f t="shared" si="62"/>
        <v>0</v>
      </c>
      <c r="X206" s="40">
        <f t="shared" si="59"/>
        <v>0</v>
      </c>
    </row>
    <row r="207" spans="1:24">
      <c r="B207" s="4" t="str">
        <f t="shared" si="57"/>
        <v>Network Reinforcement - Transmission</v>
      </c>
      <c r="P207" s="45">
        <f t="shared" ref="P207:V207" si="63">(-P58*(1+P$188))*P$199</f>
        <v>0</v>
      </c>
      <c r="Q207" s="45">
        <f t="shared" si="63"/>
        <v>0</v>
      </c>
      <c r="R207" s="45">
        <f t="shared" si="63"/>
        <v>0</v>
      </c>
      <c r="S207" s="45">
        <f t="shared" si="63"/>
        <v>0</v>
      </c>
      <c r="T207" s="45">
        <f t="shared" si="63"/>
        <v>0</v>
      </c>
      <c r="U207" s="45">
        <f t="shared" si="63"/>
        <v>0</v>
      </c>
      <c r="V207" s="45">
        <f t="shared" si="63"/>
        <v>0</v>
      </c>
      <c r="X207" s="40">
        <f t="shared" si="59"/>
        <v>0</v>
      </c>
    </row>
    <row r="208" spans="1:24">
      <c r="B208" s="4" t="str">
        <f t="shared" si="57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57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57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57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57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57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57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57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57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93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64">-P199*P190</f>
        <v>0</v>
      </c>
      <c r="Q218" s="37">
        <f t="shared" si="64"/>
        <v>0</v>
      </c>
      <c r="R218" s="37">
        <f t="shared" si="64"/>
        <v>0</v>
      </c>
      <c r="S218" s="37">
        <f t="shared" si="64"/>
        <v>0</v>
      </c>
      <c r="T218" s="37">
        <f t="shared" si="64"/>
        <v>0</v>
      </c>
      <c r="U218" s="37">
        <f t="shared" si="64"/>
        <v>0</v>
      </c>
      <c r="V218" s="37">
        <f t="shared" si="64"/>
        <v>0</v>
      </c>
      <c r="X218" s="37">
        <f t="shared" ref="X218" si="65">SUM(R218:V218)</f>
        <v>0</v>
      </c>
    </row>
    <row r="220" spans="1:24" s="1" customFormat="1">
      <c r="A220" s="2">
        <v>7</v>
      </c>
      <c r="B220" s="2" t="s">
        <v>75</v>
      </c>
    </row>
    <row r="222" spans="1:24">
      <c r="H222" s="190" t="s">
        <v>52</v>
      </c>
      <c r="I222" s="190"/>
      <c r="J222" s="190"/>
      <c r="K222" s="190"/>
      <c r="L222" s="190"/>
      <c r="M222" s="190" t="s">
        <v>53</v>
      </c>
      <c r="N222" s="190"/>
      <c r="O222" s="190"/>
      <c r="P222" s="190"/>
      <c r="Q222" s="190"/>
      <c r="R222" s="190" t="s">
        <v>54</v>
      </c>
      <c r="S222" s="190"/>
      <c r="T222" s="190"/>
      <c r="U222" s="190"/>
      <c r="V222" s="190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63</v>
      </c>
    </row>
    <row r="224" spans="1:24">
      <c r="D224" s="29" t="s">
        <v>55</v>
      </c>
      <c r="H224" s="16" t="s">
        <v>12</v>
      </c>
      <c r="I224" s="16" t="s">
        <v>12</v>
      </c>
      <c r="J224" s="16" t="s">
        <v>12</v>
      </c>
      <c r="K224" s="16" t="s">
        <v>12</v>
      </c>
      <c r="L224" s="16" t="s">
        <v>12</v>
      </c>
      <c r="M224" s="16" t="s">
        <v>12</v>
      </c>
      <c r="N224" s="16" t="s">
        <v>12</v>
      </c>
      <c r="O224" s="16" t="s">
        <v>12</v>
      </c>
      <c r="P224" s="16" t="s">
        <v>13</v>
      </c>
      <c r="Q224" s="16" t="s">
        <v>13</v>
      </c>
      <c r="R224" s="16" t="s">
        <v>13</v>
      </c>
      <c r="S224" s="16" t="s">
        <v>13</v>
      </c>
      <c r="T224" s="16" t="s">
        <v>13</v>
      </c>
      <c r="U224" s="16" t="s">
        <v>13</v>
      </c>
      <c r="V224" s="16" t="s">
        <v>13</v>
      </c>
      <c r="X224" s="34" t="s">
        <v>13</v>
      </c>
    </row>
    <row r="225" spans="1:24">
      <c r="B225" s="38" t="s">
        <v>96</v>
      </c>
      <c r="D225" s="31"/>
      <c r="X225" s="40"/>
    </row>
    <row r="226" spans="1:24">
      <c r="B226" s="47" t="s">
        <v>97</v>
      </c>
      <c r="D226" s="31" t="s">
        <v>60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66">SUM(R226:V226)</f>
        <v>0</v>
      </c>
    </row>
    <row r="227" spans="1:24">
      <c r="B227" s="47" t="s">
        <v>98</v>
      </c>
      <c r="D227" s="31" t="s">
        <v>60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66"/>
        <v>0</v>
      </c>
    </row>
    <row r="228" spans="1:24">
      <c r="B228" s="47" t="s">
        <v>99</v>
      </c>
      <c r="D228" s="31" t="s">
        <v>60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66"/>
        <v>0</v>
      </c>
    </row>
    <row r="229" spans="1:24">
      <c r="B229" s="47" t="s">
        <v>100</v>
      </c>
      <c r="D229" s="31" t="s">
        <v>60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66"/>
        <v>0</v>
      </c>
    </row>
    <row r="230" spans="1:24">
      <c r="B230" s="47" t="s">
        <v>101</v>
      </c>
      <c r="D230" s="31" t="s">
        <v>60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66"/>
        <v>0</v>
      </c>
    </row>
    <row r="232" spans="1:24" ht="12.75" thickBot="1">
      <c r="B232" s="5" t="s">
        <v>102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67">SUM(Q226:Q230)</f>
        <v>0</v>
      </c>
      <c r="R232" s="49">
        <f t="shared" si="67"/>
        <v>0</v>
      </c>
      <c r="S232" s="49">
        <f t="shared" si="67"/>
        <v>0</v>
      </c>
      <c r="T232" s="49">
        <f t="shared" si="67"/>
        <v>0</v>
      </c>
      <c r="U232" s="49">
        <f t="shared" si="67"/>
        <v>0</v>
      </c>
      <c r="V232" s="49">
        <f t="shared" si="67"/>
        <v>0</v>
      </c>
      <c r="X232" s="37">
        <f t="shared" si="66"/>
        <v>0</v>
      </c>
    </row>
    <row r="234" spans="1:24" s="1" customFormat="1">
      <c r="A234" s="2">
        <v>8</v>
      </c>
      <c r="B234" s="2" t="s">
        <v>103</v>
      </c>
    </row>
    <row r="236" spans="1:24">
      <c r="H236" s="190" t="s">
        <v>52</v>
      </c>
      <c r="I236" s="190"/>
      <c r="J236" s="190"/>
      <c r="K236" s="190"/>
      <c r="L236" s="190"/>
      <c r="M236" s="190" t="s">
        <v>53</v>
      </c>
      <c r="N236" s="190"/>
      <c r="O236" s="190"/>
      <c r="P236" s="190"/>
      <c r="Q236" s="190"/>
      <c r="R236" s="190" t="s">
        <v>54</v>
      </c>
      <c r="S236" s="190"/>
      <c r="T236" s="190"/>
      <c r="U236" s="190"/>
      <c r="V236" s="190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63</v>
      </c>
    </row>
    <row r="238" spans="1:24">
      <c r="D238" s="29" t="s">
        <v>55</v>
      </c>
      <c r="H238" s="16" t="s">
        <v>12</v>
      </c>
      <c r="I238" s="16" t="s">
        <v>12</v>
      </c>
      <c r="J238" s="16" t="s">
        <v>12</v>
      </c>
      <c r="K238" s="16" t="s">
        <v>12</v>
      </c>
      <c r="L238" s="16" t="s">
        <v>12</v>
      </c>
      <c r="M238" s="16" t="s">
        <v>12</v>
      </c>
      <c r="N238" s="16" t="s">
        <v>12</v>
      </c>
      <c r="O238" s="16" t="s">
        <v>12</v>
      </c>
      <c r="P238" s="16" t="s">
        <v>13</v>
      </c>
      <c r="Q238" s="16" t="s">
        <v>13</v>
      </c>
      <c r="R238" s="16" t="s">
        <v>13</v>
      </c>
      <c r="S238" s="16" t="s">
        <v>13</v>
      </c>
      <c r="T238" s="16" t="s">
        <v>13</v>
      </c>
      <c r="U238" s="16" t="s">
        <v>13</v>
      </c>
      <c r="V238" s="16" t="s">
        <v>13</v>
      </c>
      <c r="X238" s="34" t="s">
        <v>13</v>
      </c>
    </row>
    <row r="239" spans="1:24">
      <c r="B239" s="4" t="s">
        <v>104</v>
      </c>
      <c r="D239" s="31" t="s">
        <v>60</v>
      </c>
      <c r="H239" s="45">
        <f t="shared" ref="H239:V239" si="68">H190</f>
        <v>0</v>
      </c>
      <c r="I239" s="45">
        <f t="shared" si="68"/>
        <v>0</v>
      </c>
      <c r="J239" s="45">
        <f t="shared" si="68"/>
        <v>0</v>
      </c>
      <c r="K239" s="45">
        <f t="shared" si="68"/>
        <v>0</v>
      </c>
      <c r="L239" s="45">
        <f t="shared" si="68"/>
        <v>0</v>
      </c>
      <c r="M239" s="45">
        <f t="shared" si="68"/>
        <v>0</v>
      </c>
      <c r="N239" s="45">
        <f t="shared" si="68"/>
        <v>0</v>
      </c>
      <c r="O239" s="45">
        <f t="shared" si="68"/>
        <v>0</v>
      </c>
      <c r="P239" s="45">
        <f t="shared" si="68"/>
        <v>0</v>
      </c>
      <c r="Q239" s="45">
        <f t="shared" si="68"/>
        <v>999602.77828229335</v>
      </c>
      <c r="R239" s="45">
        <f t="shared" si="68"/>
        <v>7194696.6075420659</v>
      </c>
      <c r="S239" s="45">
        <f t="shared" si="68"/>
        <v>3143895.927150269</v>
      </c>
      <c r="T239" s="45">
        <f t="shared" si="68"/>
        <v>628771.84583015554</v>
      </c>
      <c r="U239" s="45">
        <f t="shared" si="68"/>
        <v>2180068.2745603742</v>
      </c>
      <c r="V239" s="45">
        <f t="shared" si="68"/>
        <v>1161440.7936475996</v>
      </c>
      <c r="X239" s="40">
        <f t="shared" ref="X239:X241" si="69">SUM(R239:V239)</f>
        <v>14308873.448730467</v>
      </c>
    </row>
    <row r="240" spans="1:24">
      <c r="B240" s="4" t="s">
        <v>74</v>
      </c>
      <c r="D240" s="31" t="s">
        <v>60</v>
      </c>
      <c r="H240" s="45">
        <f>H218</f>
        <v>0</v>
      </c>
      <c r="I240" s="45">
        <f t="shared" ref="I240:V240" si="70">I218</f>
        <v>0</v>
      </c>
      <c r="J240" s="45">
        <f t="shared" si="70"/>
        <v>0</v>
      </c>
      <c r="K240" s="45">
        <f t="shared" si="70"/>
        <v>0</v>
      </c>
      <c r="L240" s="45">
        <f t="shared" si="70"/>
        <v>0</v>
      </c>
      <c r="M240" s="45">
        <f t="shared" si="70"/>
        <v>0</v>
      </c>
      <c r="N240" s="45">
        <f t="shared" si="70"/>
        <v>0</v>
      </c>
      <c r="O240" s="45">
        <f t="shared" si="70"/>
        <v>0</v>
      </c>
      <c r="P240" s="45">
        <f t="shared" si="70"/>
        <v>0</v>
      </c>
      <c r="Q240" s="45">
        <f t="shared" si="70"/>
        <v>0</v>
      </c>
      <c r="R240" s="45">
        <f t="shared" si="70"/>
        <v>0</v>
      </c>
      <c r="S240" s="45">
        <f t="shared" si="70"/>
        <v>0</v>
      </c>
      <c r="T240" s="45">
        <f t="shared" si="70"/>
        <v>0</v>
      </c>
      <c r="U240" s="45">
        <f t="shared" si="70"/>
        <v>0</v>
      </c>
      <c r="V240" s="45">
        <f t="shared" si="70"/>
        <v>0</v>
      </c>
      <c r="X240" s="40">
        <f t="shared" si="69"/>
        <v>0</v>
      </c>
    </row>
    <row r="241" spans="1:24">
      <c r="B241" s="4" t="s">
        <v>75</v>
      </c>
      <c r="D241" s="31" t="s">
        <v>60</v>
      </c>
      <c r="H241" s="45">
        <f>H232</f>
        <v>0</v>
      </c>
      <c r="I241" s="45">
        <f t="shared" ref="I241:V241" si="71">I232</f>
        <v>0</v>
      </c>
      <c r="J241" s="45">
        <f t="shared" si="71"/>
        <v>0</v>
      </c>
      <c r="K241" s="45">
        <f t="shared" si="71"/>
        <v>0</v>
      </c>
      <c r="L241" s="45">
        <f t="shared" si="71"/>
        <v>0</v>
      </c>
      <c r="M241" s="45">
        <f t="shared" si="71"/>
        <v>0</v>
      </c>
      <c r="N241" s="45">
        <f t="shared" si="71"/>
        <v>0</v>
      </c>
      <c r="O241" s="45">
        <f t="shared" si="71"/>
        <v>0</v>
      </c>
      <c r="P241" s="45">
        <f t="shared" si="71"/>
        <v>0</v>
      </c>
      <c r="Q241" s="45">
        <f t="shared" si="71"/>
        <v>0</v>
      </c>
      <c r="R241" s="45">
        <f t="shared" si="71"/>
        <v>0</v>
      </c>
      <c r="S241" s="45">
        <f t="shared" si="71"/>
        <v>0</v>
      </c>
      <c r="T241" s="45">
        <f t="shared" si="71"/>
        <v>0</v>
      </c>
      <c r="U241" s="45">
        <f t="shared" si="71"/>
        <v>0</v>
      </c>
      <c r="V241" s="45">
        <f t="shared" si="71"/>
        <v>0</v>
      </c>
      <c r="X241" s="40">
        <f t="shared" si="69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103</v>
      </c>
      <c r="D243" s="31" t="s">
        <v>60</v>
      </c>
      <c r="H243" s="37">
        <f>SUM(H239:H241)</f>
        <v>0</v>
      </c>
      <c r="I243" s="37">
        <f t="shared" ref="I243:V243" si="72">SUM(I239:I241)</f>
        <v>0</v>
      </c>
      <c r="J243" s="37">
        <f t="shared" si="72"/>
        <v>0</v>
      </c>
      <c r="K243" s="37">
        <f t="shared" si="72"/>
        <v>0</v>
      </c>
      <c r="L243" s="37">
        <f t="shared" si="72"/>
        <v>0</v>
      </c>
      <c r="M243" s="37">
        <f t="shared" si="72"/>
        <v>0</v>
      </c>
      <c r="N243" s="37">
        <f t="shared" si="72"/>
        <v>0</v>
      </c>
      <c r="O243" s="37">
        <f t="shared" si="72"/>
        <v>0</v>
      </c>
      <c r="P243" s="37">
        <f t="shared" si="72"/>
        <v>0</v>
      </c>
      <c r="Q243" s="37">
        <f t="shared" si="72"/>
        <v>999602.77828229335</v>
      </c>
      <c r="R243" s="37">
        <f t="shared" si="72"/>
        <v>7194696.6075420659</v>
      </c>
      <c r="S243" s="37">
        <f t="shared" si="72"/>
        <v>3143895.927150269</v>
      </c>
      <c r="T243" s="37">
        <f t="shared" si="72"/>
        <v>628771.84583015554</v>
      </c>
      <c r="U243" s="37">
        <f t="shared" si="72"/>
        <v>2180068.2745603742</v>
      </c>
      <c r="V243" s="37">
        <f t="shared" si="72"/>
        <v>1161440.7936475996</v>
      </c>
      <c r="X243" s="37">
        <f t="shared" ref="X243" si="73">SUM(R243:V243)</f>
        <v>14308873.448730467</v>
      </c>
    </row>
    <row r="244" spans="1:24">
      <c r="D244" s="31"/>
    </row>
    <row r="246" spans="1:24" s="66" customFormat="1">
      <c r="A246" s="65">
        <v>9</v>
      </c>
      <c r="B246" s="65" t="s">
        <v>121</v>
      </c>
    </row>
    <row r="268" spans="2:22">
      <c r="B268" s="69" t="s">
        <v>120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329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74">IFERROR(SUMPRODUCT($Z$53:$Z$67,Q$53:Q$67)/SUM(Q$53:Q$67)*Q$69,0)</f>
        <v>0</v>
      </c>
      <c r="R276" s="57">
        <f t="shared" si="74"/>
        <v>1540257.6794605642</v>
      </c>
      <c r="S276" s="57">
        <f t="shared" si="74"/>
        <v>517199.87159007613</v>
      </c>
      <c r="T276" s="57">
        <f t="shared" si="74"/>
        <v>0</v>
      </c>
      <c r="U276" s="57">
        <f t="shared" si="74"/>
        <v>0</v>
      </c>
      <c r="V276" s="62">
        <f t="shared" si="74"/>
        <v>1071051.9420095519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75">IFERROR(SUMPRODUCT($AA$53:$AA$67,Q$53:Q$67)/SUM(Q$53:Q$67)*Q$69,0)</f>
        <v>0</v>
      </c>
      <c r="R277" s="57">
        <f t="shared" si="75"/>
        <v>2145065.5282620792</v>
      </c>
      <c r="S277" s="57">
        <f t="shared" si="75"/>
        <v>444791.8895674654</v>
      </c>
      <c r="T277" s="57">
        <f t="shared" si="75"/>
        <v>375898.16002153867</v>
      </c>
      <c r="U277" s="57">
        <f t="shared" si="75"/>
        <v>1596138.026037029</v>
      </c>
      <c r="V277" s="62">
        <f t="shared" si="75"/>
        <v>0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76">IFERROR(SUMPRODUCT($AB$53:$AB$67,Q$53:Q$67)/SUM(Q$53:Q$67)*Q$69,0)</f>
        <v>0</v>
      </c>
      <c r="R278" s="57">
        <f t="shared" si="76"/>
        <v>0</v>
      </c>
      <c r="S278" s="57">
        <f t="shared" si="76"/>
        <v>0</v>
      </c>
      <c r="T278" s="57">
        <f t="shared" si="76"/>
        <v>0</v>
      </c>
      <c r="U278" s="57">
        <f t="shared" si="76"/>
        <v>0</v>
      </c>
      <c r="V278" s="62">
        <f t="shared" si="76"/>
        <v>0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77">IFERROR(SUMPRODUCT($AC$53:$AC$67,Q$53:Q$67)/SUM(Q$53:Q$67)*Q$69,0)</f>
        <v>0</v>
      </c>
      <c r="R279" s="57">
        <f t="shared" si="77"/>
        <v>0</v>
      </c>
      <c r="S279" s="57">
        <f t="shared" si="77"/>
        <v>0</v>
      </c>
      <c r="T279" s="57">
        <f t="shared" si="77"/>
        <v>0</v>
      </c>
      <c r="U279" s="57">
        <f t="shared" si="77"/>
        <v>0</v>
      </c>
      <c r="V279" s="62">
        <f t="shared" si="77"/>
        <v>0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78">IFERROR(SUMPRODUCT($AD$53:$AD$67,Q$53:Q$67)/SUM(Q$53:Q$67)*Q$69,0)</f>
        <v>930000</v>
      </c>
      <c r="R280" s="57">
        <f t="shared" si="78"/>
        <v>3025078.2931300541</v>
      </c>
      <c r="S280" s="57">
        <f t="shared" si="78"/>
        <v>1959130.3493737073</v>
      </c>
      <c r="T280" s="57">
        <f t="shared" si="78"/>
        <v>207688.5191677805</v>
      </c>
      <c r="U280" s="57">
        <f t="shared" si="78"/>
        <v>419242.08675763983</v>
      </c>
      <c r="V280" s="62">
        <f t="shared" si="78"/>
        <v>0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79">IFERROR(SUMPRODUCT($AE$53:$AE$67,Q$53:Q$67)/SUM(Q$53:Q$67)*Q$69,0)</f>
        <v>0</v>
      </c>
      <c r="R281" s="57">
        <f t="shared" si="79"/>
        <v>0</v>
      </c>
      <c r="S281" s="57">
        <f t="shared" si="79"/>
        <v>0</v>
      </c>
      <c r="T281" s="57">
        <f t="shared" si="79"/>
        <v>0</v>
      </c>
      <c r="U281" s="57">
        <f t="shared" si="79"/>
        <v>0</v>
      </c>
      <c r="V281" s="62">
        <f t="shared" si="79"/>
        <v>0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80">IFERROR(SUMPRODUCT($AF$53:$AF$67,Q$53:Q$67)/SUM(Q$53:Q$67)*Q$69,0)</f>
        <v>0</v>
      </c>
      <c r="R282" s="57">
        <f t="shared" si="80"/>
        <v>0</v>
      </c>
      <c r="S282" s="57">
        <f t="shared" si="80"/>
        <v>0</v>
      </c>
      <c r="T282" s="57">
        <f t="shared" si="80"/>
        <v>0</v>
      </c>
      <c r="U282" s="57">
        <f t="shared" si="80"/>
        <v>0</v>
      </c>
      <c r="V282" s="62">
        <f t="shared" si="80"/>
        <v>0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81">IFERROR(SUMPRODUCT($AG$53:$AG$67,Q$53:Q$67)/SUM(Q$53:Q$67)*Q$69,0)</f>
        <v>0</v>
      </c>
      <c r="R283" s="57">
        <f t="shared" si="81"/>
        <v>0</v>
      </c>
      <c r="S283" s="57">
        <f t="shared" si="81"/>
        <v>0</v>
      </c>
      <c r="T283" s="57">
        <f t="shared" si="81"/>
        <v>0</v>
      </c>
      <c r="U283" s="57">
        <f t="shared" si="81"/>
        <v>0</v>
      </c>
      <c r="V283" s="62">
        <f t="shared" si="81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82">IFERROR(SUMPRODUCT($AH$53:$AH$67,Q$53:Q$67)/SUM(Q$53:Q$67)*Q$69,0)</f>
        <v>0</v>
      </c>
      <c r="R284" s="57">
        <f t="shared" si="82"/>
        <v>0</v>
      </c>
      <c r="S284" s="57">
        <f t="shared" si="82"/>
        <v>0</v>
      </c>
      <c r="T284" s="57">
        <f t="shared" si="82"/>
        <v>0</v>
      </c>
      <c r="U284" s="57">
        <f t="shared" si="82"/>
        <v>0</v>
      </c>
      <c r="V284" s="62">
        <f t="shared" si="82"/>
        <v>0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83">IFERROR(SUMPRODUCT($AI$53:$AI$67,Q$53:Q$67)/SUM(Q$53:Q$67)*Q$69,0)</f>
        <v>0</v>
      </c>
      <c r="R285" s="57">
        <f t="shared" si="83"/>
        <v>0</v>
      </c>
      <c r="S285" s="57">
        <f t="shared" si="83"/>
        <v>0</v>
      </c>
      <c r="T285" s="57">
        <f t="shared" si="83"/>
        <v>0</v>
      </c>
      <c r="U285" s="57">
        <f t="shared" si="83"/>
        <v>0</v>
      </c>
      <c r="V285" s="62">
        <f t="shared" si="83"/>
        <v>0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84">IFERROR(SUMPRODUCT($AJ$53:$AJ$67,Q$53:Q$67)/SUM(Q$53:Q$67)*Q$69,0)</f>
        <v>0</v>
      </c>
      <c r="R286" s="57">
        <f t="shared" si="84"/>
        <v>0</v>
      </c>
      <c r="S286" s="57">
        <f t="shared" si="84"/>
        <v>0</v>
      </c>
      <c r="T286" s="57">
        <f t="shared" si="84"/>
        <v>0</v>
      </c>
      <c r="U286" s="57">
        <f t="shared" si="84"/>
        <v>0</v>
      </c>
      <c r="V286" s="62">
        <f t="shared" si="84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85">SUM(Q276:Q286)</f>
        <v>930000</v>
      </c>
      <c r="R288" s="37">
        <f t="shared" si="85"/>
        <v>6710401.5008526975</v>
      </c>
      <c r="S288" s="37">
        <f t="shared" si="85"/>
        <v>2921122.1105312491</v>
      </c>
      <c r="T288" s="37">
        <f t="shared" si="85"/>
        <v>583586.67918931914</v>
      </c>
      <c r="U288" s="37">
        <f t="shared" si="85"/>
        <v>2015380.1127946689</v>
      </c>
      <c r="V288" s="64">
        <f t="shared" si="85"/>
        <v>1071051.9420095519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282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86">P276*(1+P$188)</f>
        <v>0</v>
      </c>
      <c r="Q297" s="57">
        <f t="shared" si="86"/>
        <v>0</v>
      </c>
      <c r="R297" s="57">
        <f t="shared" si="86"/>
        <v>1651419.3226362644</v>
      </c>
      <c r="S297" s="57">
        <f t="shared" si="86"/>
        <v>556643.13516800117</v>
      </c>
      <c r="T297" s="57">
        <f t="shared" si="86"/>
        <v>0</v>
      </c>
      <c r="U297" s="57">
        <f t="shared" si="86"/>
        <v>0</v>
      </c>
      <c r="V297" s="62">
        <f t="shared" si="86"/>
        <v>1161440.7936475996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86"/>
        <v>0</v>
      </c>
      <c r="Q298" s="57">
        <f t="shared" si="86"/>
        <v>0</v>
      </c>
      <c r="R298" s="57">
        <f t="shared" si="86"/>
        <v>2299876.643324771</v>
      </c>
      <c r="S298" s="57">
        <f t="shared" si="86"/>
        <v>478713.09624448093</v>
      </c>
      <c r="T298" s="57">
        <f t="shared" si="86"/>
        <v>405002.69856952521</v>
      </c>
      <c r="U298" s="57">
        <f t="shared" si="86"/>
        <v>1726567.5344774358</v>
      </c>
      <c r="V298" s="62">
        <f t="shared" si="86"/>
        <v>0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86"/>
        <v>0</v>
      </c>
      <c r="Q299" s="57">
        <f t="shared" si="86"/>
        <v>0</v>
      </c>
      <c r="R299" s="57">
        <f t="shared" si="86"/>
        <v>0</v>
      </c>
      <c r="S299" s="57">
        <f t="shared" si="86"/>
        <v>0</v>
      </c>
      <c r="T299" s="57">
        <f t="shared" si="86"/>
        <v>0</v>
      </c>
      <c r="U299" s="57">
        <f t="shared" si="86"/>
        <v>0</v>
      </c>
      <c r="V299" s="62">
        <f t="shared" si="86"/>
        <v>0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86"/>
        <v>0</v>
      </c>
      <c r="Q300" s="57">
        <f t="shared" si="86"/>
        <v>0</v>
      </c>
      <c r="R300" s="57">
        <f t="shared" si="86"/>
        <v>0</v>
      </c>
      <c r="S300" s="57">
        <f t="shared" si="86"/>
        <v>0</v>
      </c>
      <c r="T300" s="57">
        <f t="shared" si="86"/>
        <v>0</v>
      </c>
      <c r="U300" s="57">
        <f t="shared" si="86"/>
        <v>0</v>
      </c>
      <c r="V300" s="62">
        <f t="shared" si="86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86"/>
        <v>0</v>
      </c>
      <c r="Q301" s="57">
        <f t="shared" si="86"/>
        <v>999602.77828229335</v>
      </c>
      <c r="R301" s="57">
        <f t="shared" si="86"/>
        <v>3243400.6415810292</v>
      </c>
      <c r="S301" s="57">
        <f t="shared" si="86"/>
        <v>2108539.6957377875</v>
      </c>
      <c r="T301" s="57">
        <f t="shared" si="86"/>
        <v>223769.14726063033</v>
      </c>
      <c r="U301" s="57">
        <f t="shared" si="86"/>
        <v>453500.74008293863</v>
      </c>
      <c r="V301" s="62">
        <f t="shared" si="86"/>
        <v>0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86"/>
        <v>0</v>
      </c>
      <c r="Q302" s="57">
        <f t="shared" si="86"/>
        <v>0</v>
      </c>
      <c r="R302" s="57">
        <f t="shared" si="86"/>
        <v>0</v>
      </c>
      <c r="S302" s="57">
        <f t="shared" si="86"/>
        <v>0</v>
      </c>
      <c r="T302" s="57">
        <f t="shared" si="86"/>
        <v>0</v>
      </c>
      <c r="U302" s="57">
        <f t="shared" si="86"/>
        <v>0</v>
      </c>
      <c r="V302" s="62">
        <f t="shared" si="86"/>
        <v>0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86"/>
        <v>0</v>
      </c>
      <c r="Q303" s="57">
        <f t="shared" si="86"/>
        <v>0</v>
      </c>
      <c r="R303" s="57">
        <f t="shared" si="86"/>
        <v>0</v>
      </c>
      <c r="S303" s="57">
        <f t="shared" si="86"/>
        <v>0</v>
      </c>
      <c r="T303" s="57">
        <f t="shared" si="86"/>
        <v>0</v>
      </c>
      <c r="U303" s="57">
        <f t="shared" si="86"/>
        <v>0</v>
      </c>
      <c r="V303" s="62">
        <f t="shared" si="86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86"/>
        <v>0</v>
      </c>
      <c r="Q304" s="57">
        <f t="shared" si="86"/>
        <v>0</v>
      </c>
      <c r="R304" s="57">
        <f t="shared" si="86"/>
        <v>0</v>
      </c>
      <c r="S304" s="57">
        <f t="shared" si="86"/>
        <v>0</v>
      </c>
      <c r="T304" s="57">
        <f t="shared" si="86"/>
        <v>0</v>
      </c>
      <c r="U304" s="57">
        <f t="shared" si="86"/>
        <v>0</v>
      </c>
      <c r="V304" s="62">
        <f t="shared" si="86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86"/>
        <v>0</v>
      </c>
      <c r="Q305" s="57">
        <f t="shared" si="86"/>
        <v>0</v>
      </c>
      <c r="R305" s="57">
        <f t="shared" si="86"/>
        <v>0</v>
      </c>
      <c r="S305" s="57">
        <f t="shared" si="86"/>
        <v>0</v>
      </c>
      <c r="T305" s="57">
        <f t="shared" si="86"/>
        <v>0</v>
      </c>
      <c r="U305" s="57">
        <f t="shared" si="86"/>
        <v>0</v>
      </c>
      <c r="V305" s="62">
        <f t="shared" si="86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86"/>
        <v>0</v>
      </c>
      <c r="Q306" s="57">
        <f t="shared" si="86"/>
        <v>0</v>
      </c>
      <c r="R306" s="57">
        <f t="shared" si="86"/>
        <v>0</v>
      </c>
      <c r="S306" s="57">
        <f t="shared" si="86"/>
        <v>0</v>
      </c>
      <c r="T306" s="57">
        <f t="shared" si="86"/>
        <v>0</v>
      </c>
      <c r="U306" s="57">
        <f t="shared" si="86"/>
        <v>0</v>
      </c>
      <c r="V306" s="62">
        <f t="shared" si="86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86"/>
        <v>0</v>
      </c>
      <c r="Q307" s="57">
        <f t="shared" si="86"/>
        <v>0</v>
      </c>
      <c r="R307" s="57">
        <f t="shared" si="86"/>
        <v>0</v>
      </c>
      <c r="S307" s="57">
        <f t="shared" si="86"/>
        <v>0</v>
      </c>
      <c r="T307" s="57">
        <f t="shared" si="86"/>
        <v>0</v>
      </c>
      <c r="U307" s="57">
        <f t="shared" si="86"/>
        <v>0</v>
      </c>
      <c r="V307" s="62">
        <f t="shared" si="86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87">SUM(Q297:Q307)</f>
        <v>999602.77828229335</v>
      </c>
      <c r="R309" s="37">
        <f t="shared" si="87"/>
        <v>7194696.607542064</v>
      </c>
      <c r="S309" s="37">
        <f t="shared" si="87"/>
        <v>3143895.9271502695</v>
      </c>
      <c r="T309" s="37">
        <f t="shared" si="87"/>
        <v>628771.84583015554</v>
      </c>
      <c r="U309" s="37">
        <f t="shared" si="87"/>
        <v>2180068.2745603742</v>
      </c>
      <c r="V309" s="64">
        <f t="shared" si="87"/>
        <v>1161440.7936475996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283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88">P297*(1-P$199)</f>
        <v>0</v>
      </c>
      <c r="Q318" s="57">
        <f t="shared" si="88"/>
        <v>0</v>
      </c>
      <c r="R318" s="57">
        <f t="shared" si="88"/>
        <v>1651419.3226362644</v>
      </c>
      <c r="S318" s="57">
        <f t="shared" si="88"/>
        <v>556643.13516800117</v>
      </c>
      <c r="T318" s="57">
        <f t="shared" si="88"/>
        <v>0</v>
      </c>
      <c r="U318" s="57">
        <f t="shared" si="88"/>
        <v>0</v>
      </c>
      <c r="V318" s="62">
        <f t="shared" si="88"/>
        <v>1161440.7936475996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88"/>
        <v>0</v>
      </c>
      <c r="Q319" s="57">
        <f t="shared" si="88"/>
        <v>0</v>
      </c>
      <c r="R319" s="57">
        <f t="shared" si="88"/>
        <v>2299876.643324771</v>
      </c>
      <c r="S319" s="57">
        <f t="shared" si="88"/>
        <v>478713.09624448093</v>
      </c>
      <c r="T319" s="57">
        <f t="shared" si="88"/>
        <v>405002.69856952521</v>
      </c>
      <c r="U319" s="57">
        <f t="shared" si="88"/>
        <v>1726567.5344774358</v>
      </c>
      <c r="V319" s="62">
        <f t="shared" si="88"/>
        <v>0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88"/>
        <v>0</v>
      </c>
      <c r="Q320" s="57">
        <f t="shared" si="88"/>
        <v>0</v>
      </c>
      <c r="R320" s="57">
        <f t="shared" si="88"/>
        <v>0</v>
      </c>
      <c r="S320" s="57">
        <f t="shared" si="88"/>
        <v>0</v>
      </c>
      <c r="T320" s="57">
        <f t="shared" si="88"/>
        <v>0</v>
      </c>
      <c r="U320" s="57">
        <f t="shared" si="88"/>
        <v>0</v>
      </c>
      <c r="V320" s="62">
        <f t="shared" si="88"/>
        <v>0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88"/>
        <v>0</v>
      </c>
      <c r="Q321" s="57">
        <f t="shared" si="88"/>
        <v>0</v>
      </c>
      <c r="R321" s="57">
        <f t="shared" si="88"/>
        <v>0</v>
      </c>
      <c r="S321" s="57">
        <f t="shared" si="88"/>
        <v>0</v>
      </c>
      <c r="T321" s="57">
        <f t="shared" si="88"/>
        <v>0</v>
      </c>
      <c r="U321" s="57">
        <f t="shared" si="88"/>
        <v>0</v>
      </c>
      <c r="V321" s="62">
        <f t="shared" si="88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88"/>
        <v>0</v>
      </c>
      <c r="Q322" s="57">
        <f t="shared" si="88"/>
        <v>999602.77828229335</v>
      </c>
      <c r="R322" s="57">
        <f t="shared" si="88"/>
        <v>3243400.6415810292</v>
      </c>
      <c r="S322" s="57">
        <f t="shared" si="88"/>
        <v>2108539.6957377875</v>
      </c>
      <c r="T322" s="57">
        <f t="shared" si="88"/>
        <v>223769.14726063033</v>
      </c>
      <c r="U322" s="57">
        <f t="shared" si="88"/>
        <v>453500.74008293863</v>
      </c>
      <c r="V322" s="62">
        <f t="shared" si="88"/>
        <v>0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88"/>
        <v>0</v>
      </c>
      <c r="Q323" s="57">
        <f t="shared" si="88"/>
        <v>0</v>
      </c>
      <c r="R323" s="57">
        <f t="shared" si="88"/>
        <v>0</v>
      </c>
      <c r="S323" s="57">
        <f t="shared" si="88"/>
        <v>0</v>
      </c>
      <c r="T323" s="57">
        <f t="shared" si="88"/>
        <v>0</v>
      </c>
      <c r="U323" s="57">
        <f t="shared" si="88"/>
        <v>0</v>
      </c>
      <c r="V323" s="62">
        <f t="shared" si="88"/>
        <v>0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88"/>
        <v>0</v>
      </c>
      <c r="Q324" s="57">
        <f t="shared" si="88"/>
        <v>0</v>
      </c>
      <c r="R324" s="57">
        <f t="shared" si="88"/>
        <v>0</v>
      </c>
      <c r="S324" s="57">
        <f t="shared" si="88"/>
        <v>0</v>
      </c>
      <c r="T324" s="57">
        <f t="shared" si="88"/>
        <v>0</v>
      </c>
      <c r="U324" s="57">
        <f t="shared" si="88"/>
        <v>0</v>
      </c>
      <c r="V324" s="62">
        <f t="shared" si="88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88"/>
        <v>0</v>
      </c>
      <c r="Q325" s="57">
        <f t="shared" si="88"/>
        <v>0</v>
      </c>
      <c r="R325" s="57">
        <f t="shared" si="88"/>
        <v>0</v>
      </c>
      <c r="S325" s="57">
        <f t="shared" si="88"/>
        <v>0</v>
      </c>
      <c r="T325" s="57">
        <f t="shared" si="88"/>
        <v>0</v>
      </c>
      <c r="U325" s="57">
        <f t="shared" si="88"/>
        <v>0</v>
      </c>
      <c r="V325" s="62">
        <f t="shared" si="88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88"/>
        <v>0</v>
      </c>
      <c r="Q326" s="57">
        <f t="shared" si="88"/>
        <v>0</v>
      </c>
      <c r="R326" s="57">
        <f t="shared" si="88"/>
        <v>0</v>
      </c>
      <c r="S326" s="57">
        <f t="shared" si="88"/>
        <v>0</v>
      </c>
      <c r="T326" s="57">
        <f t="shared" si="88"/>
        <v>0</v>
      </c>
      <c r="U326" s="57">
        <f t="shared" si="88"/>
        <v>0</v>
      </c>
      <c r="V326" s="62">
        <f t="shared" si="88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88"/>
        <v>0</v>
      </c>
      <c r="Q327" s="57">
        <f t="shared" si="88"/>
        <v>0</v>
      </c>
      <c r="R327" s="57">
        <f t="shared" si="88"/>
        <v>0</v>
      </c>
      <c r="S327" s="57">
        <f t="shared" si="88"/>
        <v>0</v>
      </c>
      <c r="T327" s="57">
        <f t="shared" si="88"/>
        <v>0</v>
      </c>
      <c r="U327" s="57">
        <f t="shared" si="88"/>
        <v>0</v>
      </c>
      <c r="V327" s="62">
        <f t="shared" si="88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88"/>
        <v>0</v>
      </c>
      <c r="Q328" s="57">
        <f t="shared" si="88"/>
        <v>0</v>
      </c>
      <c r="R328" s="57">
        <f t="shared" si="88"/>
        <v>0</v>
      </c>
      <c r="S328" s="57">
        <f t="shared" si="88"/>
        <v>0</v>
      </c>
      <c r="T328" s="57">
        <f t="shared" si="88"/>
        <v>0</v>
      </c>
      <c r="U328" s="57">
        <f t="shared" si="88"/>
        <v>0</v>
      </c>
      <c r="V328" s="62">
        <f t="shared" si="88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89">SUM(Q318:Q328)</f>
        <v>999602.77828229335</v>
      </c>
      <c r="R330" s="37">
        <f t="shared" si="89"/>
        <v>7194696.607542064</v>
      </c>
      <c r="S330" s="37">
        <f t="shared" si="89"/>
        <v>3143895.9271502695</v>
      </c>
      <c r="T330" s="37">
        <f t="shared" si="89"/>
        <v>628771.84583015554</v>
      </c>
      <c r="U330" s="37">
        <f t="shared" si="89"/>
        <v>2180068.2745603742</v>
      </c>
      <c r="V330" s="64">
        <f t="shared" si="89"/>
        <v>1161440.7936475996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284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90">Q297*Q$199</f>
        <v>0</v>
      </c>
      <c r="R339" s="57">
        <f t="shared" si="90"/>
        <v>0</v>
      </c>
      <c r="S339" s="57">
        <f t="shared" si="90"/>
        <v>0</v>
      </c>
      <c r="T339" s="57">
        <f t="shared" si="90"/>
        <v>0</v>
      </c>
      <c r="U339" s="57">
        <f t="shared" si="90"/>
        <v>0</v>
      </c>
      <c r="V339" s="62">
        <f t="shared" si="90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91">P298*P$199</f>
        <v>0</v>
      </c>
      <c r="Q340" s="57">
        <f t="shared" si="90"/>
        <v>0</v>
      </c>
      <c r="R340" s="57">
        <f t="shared" si="90"/>
        <v>0</v>
      </c>
      <c r="S340" s="57">
        <f t="shared" si="90"/>
        <v>0</v>
      </c>
      <c r="T340" s="57">
        <f t="shared" si="90"/>
        <v>0</v>
      </c>
      <c r="U340" s="57">
        <f t="shared" si="90"/>
        <v>0</v>
      </c>
      <c r="V340" s="62">
        <f t="shared" si="90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91"/>
        <v>0</v>
      </c>
      <c r="Q341" s="57">
        <f t="shared" si="90"/>
        <v>0</v>
      </c>
      <c r="R341" s="57">
        <f t="shared" si="90"/>
        <v>0</v>
      </c>
      <c r="S341" s="57">
        <f t="shared" si="90"/>
        <v>0</v>
      </c>
      <c r="T341" s="57">
        <f t="shared" si="90"/>
        <v>0</v>
      </c>
      <c r="U341" s="57">
        <f t="shared" si="90"/>
        <v>0</v>
      </c>
      <c r="V341" s="62">
        <f t="shared" si="90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91"/>
        <v>0</v>
      </c>
      <c r="Q342" s="57">
        <f t="shared" si="90"/>
        <v>0</v>
      </c>
      <c r="R342" s="57">
        <f t="shared" si="90"/>
        <v>0</v>
      </c>
      <c r="S342" s="57">
        <f t="shared" si="90"/>
        <v>0</v>
      </c>
      <c r="T342" s="57">
        <f t="shared" si="90"/>
        <v>0</v>
      </c>
      <c r="U342" s="57">
        <f t="shared" si="90"/>
        <v>0</v>
      </c>
      <c r="V342" s="62">
        <f t="shared" si="90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91"/>
        <v>0</v>
      </c>
      <c r="Q343" s="57">
        <f t="shared" si="90"/>
        <v>0</v>
      </c>
      <c r="R343" s="57">
        <f t="shared" si="90"/>
        <v>0</v>
      </c>
      <c r="S343" s="57">
        <f t="shared" si="90"/>
        <v>0</v>
      </c>
      <c r="T343" s="57">
        <f t="shared" si="90"/>
        <v>0</v>
      </c>
      <c r="U343" s="57">
        <f t="shared" si="90"/>
        <v>0</v>
      </c>
      <c r="V343" s="62">
        <f t="shared" si="90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91"/>
        <v>0</v>
      </c>
      <c r="Q344" s="57">
        <f t="shared" si="90"/>
        <v>0</v>
      </c>
      <c r="R344" s="57">
        <f t="shared" si="90"/>
        <v>0</v>
      </c>
      <c r="S344" s="57">
        <f t="shared" si="90"/>
        <v>0</v>
      </c>
      <c r="T344" s="57">
        <f t="shared" si="90"/>
        <v>0</v>
      </c>
      <c r="U344" s="57">
        <f t="shared" si="90"/>
        <v>0</v>
      </c>
      <c r="V344" s="62">
        <f t="shared" si="90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91"/>
        <v>0</v>
      </c>
      <c r="Q345" s="57">
        <f t="shared" si="90"/>
        <v>0</v>
      </c>
      <c r="R345" s="57">
        <f t="shared" si="90"/>
        <v>0</v>
      </c>
      <c r="S345" s="57">
        <f t="shared" si="90"/>
        <v>0</v>
      </c>
      <c r="T345" s="57">
        <f t="shared" si="90"/>
        <v>0</v>
      </c>
      <c r="U345" s="57">
        <f t="shared" si="90"/>
        <v>0</v>
      </c>
      <c r="V345" s="62">
        <f t="shared" si="90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91"/>
        <v>0</v>
      </c>
      <c r="Q346" s="57">
        <f t="shared" si="90"/>
        <v>0</v>
      </c>
      <c r="R346" s="57">
        <f t="shared" si="90"/>
        <v>0</v>
      </c>
      <c r="S346" s="57">
        <f t="shared" si="90"/>
        <v>0</v>
      </c>
      <c r="T346" s="57">
        <f t="shared" si="90"/>
        <v>0</v>
      </c>
      <c r="U346" s="57">
        <f t="shared" si="90"/>
        <v>0</v>
      </c>
      <c r="V346" s="62">
        <f t="shared" si="90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91"/>
        <v>0</v>
      </c>
      <c r="Q347" s="57">
        <f t="shared" si="90"/>
        <v>0</v>
      </c>
      <c r="R347" s="57">
        <f t="shared" si="90"/>
        <v>0</v>
      </c>
      <c r="S347" s="57">
        <f t="shared" si="90"/>
        <v>0</v>
      </c>
      <c r="T347" s="57">
        <f t="shared" si="90"/>
        <v>0</v>
      </c>
      <c r="U347" s="57">
        <f t="shared" si="90"/>
        <v>0</v>
      </c>
      <c r="V347" s="62">
        <f t="shared" si="90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91"/>
        <v>0</v>
      </c>
      <c r="Q348" s="57">
        <f t="shared" si="90"/>
        <v>0</v>
      </c>
      <c r="R348" s="57">
        <f t="shared" si="90"/>
        <v>0</v>
      </c>
      <c r="S348" s="57">
        <f t="shared" si="90"/>
        <v>0</v>
      </c>
      <c r="T348" s="57">
        <f t="shared" si="90"/>
        <v>0</v>
      </c>
      <c r="U348" s="57">
        <f t="shared" si="90"/>
        <v>0</v>
      </c>
      <c r="V348" s="62">
        <f t="shared" si="90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91"/>
        <v>0</v>
      </c>
      <c r="Q349" s="57">
        <f t="shared" si="90"/>
        <v>0</v>
      </c>
      <c r="R349" s="57">
        <f t="shared" si="90"/>
        <v>0</v>
      </c>
      <c r="S349" s="57">
        <f t="shared" si="90"/>
        <v>0</v>
      </c>
      <c r="T349" s="57">
        <f t="shared" si="90"/>
        <v>0</v>
      </c>
      <c r="U349" s="57">
        <f t="shared" si="90"/>
        <v>0</v>
      </c>
      <c r="V349" s="62">
        <f t="shared" si="90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92">SUM(Q339:Q349)</f>
        <v>0</v>
      </c>
      <c r="R351" s="37">
        <f t="shared" si="92"/>
        <v>0</v>
      </c>
      <c r="S351" s="37">
        <f t="shared" si="92"/>
        <v>0</v>
      </c>
      <c r="T351" s="37">
        <f t="shared" si="92"/>
        <v>0</v>
      </c>
      <c r="U351" s="37">
        <f t="shared" si="92"/>
        <v>0</v>
      </c>
      <c r="V351" s="64">
        <f t="shared" si="92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282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93">IFERROR(SUMPRODUCT($AM$53:$AM$67,Q$53:Q$67)/SUM(Q$53:Q$67)*Q$69,0)</f>
        <v>0</v>
      </c>
      <c r="R362" s="57">
        <f t="shared" si="93"/>
        <v>0</v>
      </c>
      <c r="S362" s="57">
        <f t="shared" si="93"/>
        <v>0</v>
      </c>
      <c r="T362" s="57">
        <f t="shared" si="93"/>
        <v>0</v>
      </c>
      <c r="U362" s="57">
        <f t="shared" si="93"/>
        <v>0</v>
      </c>
      <c r="V362" s="62">
        <f t="shared" si="93"/>
        <v>0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94">IFERROR(SUMPRODUCT($AN$53:$AN$67,Q$53:Q$67)/SUM(Q$53:Q$67)*Q$69,0)</f>
        <v>0</v>
      </c>
      <c r="R363" s="57">
        <f t="shared" si="94"/>
        <v>0</v>
      </c>
      <c r="S363" s="57">
        <f t="shared" si="94"/>
        <v>0</v>
      </c>
      <c r="T363" s="57">
        <f t="shared" si="94"/>
        <v>0</v>
      </c>
      <c r="U363" s="57">
        <f t="shared" si="94"/>
        <v>0</v>
      </c>
      <c r="V363" s="62">
        <f t="shared" si="94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95">IFERROR(SUMPRODUCT($AO$53:$AO$67,Q$53:Q$67)/SUM(Q$53:Q$67)*Q$69,0)</f>
        <v>0</v>
      </c>
      <c r="R364" s="57">
        <f t="shared" si="95"/>
        <v>0</v>
      </c>
      <c r="S364" s="57">
        <f t="shared" si="95"/>
        <v>0</v>
      </c>
      <c r="T364" s="57">
        <f t="shared" si="95"/>
        <v>0</v>
      </c>
      <c r="U364" s="57">
        <f t="shared" si="95"/>
        <v>0</v>
      </c>
      <c r="V364" s="62">
        <f t="shared" si="95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96">IFERROR(SUMPRODUCT($AP$53:$AP$67,Q$53:Q$67)/SUM(Q$53:Q$67)*Q$69,0)</f>
        <v>0</v>
      </c>
      <c r="R365" s="57">
        <f t="shared" si="96"/>
        <v>0</v>
      </c>
      <c r="S365" s="57">
        <f t="shared" si="96"/>
        <v>0</v>
      </c>
      <c r="T365" s="57">
        <f t="shared" si="96"/>
        <v>0</v>
      </c>
      <c r="U365" s="57">
        <f t="shared" si="96"/>
        <v>0</v>
      </c>
      <c r="V365" s="62">
        <f t="shared" si="96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97">IFERROR(SUMPRODUCT($AQ$53:$AQ$67,Q$53:Q$67)/SUM(Q$53:Q$67)*Q$69,0)</f>
        <v>0</v>
      </c>
      <c r="R366" s="57">
        <f t="shared" si="97"/>
        <v>0</v>
      </c>
      <c r="S366" s="57">
        <f t="shared" si="97"/>
        <v>0</v>
      </c>
      <c r="T366" s="57">
        <f t="shared" si="97"/>
        <v>0</v>
      </c>
      <c r="U366" s="57">
        <f t="shared" si="97"/>
        <v>0</v>
      </c>
      <c r="V366" s="62">
        <f t="shared" si="97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98">IFERROR(SUMPRODUCT($AR$53:$AR$67,Q$53:Q$67)/SUM(Q$53:Q$67)*Q$69,0)</f>
        <v>930000</v>
      </c>
      <c r="R367" s="57">
        <f t="shared" si="98"/>
        <v>6710401.5008526985</v>
      </c>
      <c r="S367" s="57">
        <f t="shared" si="98"/>
        <v>2921122.1105312486</v>
      </c>
      <c r="T367" s="57">
        <f t="shared" si="98"/>
        <v>583586.67918931914</v>
      </c>
      <c r="U367" s="57">
        <f t="shared" si="98"/>
        <v>2015380.1127946689</v>
      </c>
      <c r="V367" s="62">
        <f t="shared" si="98"/>
        <v>1071051.9420095519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99">IFERROR(SUMPRODUCT($AS$53:$AS$67,Q$53:Q$67)/SUM(Q$53:Q$67)*Q$69,0)</f>
        <v>0</v>
      </c>
      <c r="R368" s="57">
        <f t="shared" si="99"/>
        <v>0</v>
      </c>
      <c r="S368" s="57">
        <f t="shared" si="99"/>
        <v>0</v>
      </c>
      <c r="T368" s="57">
        <f t="shared" si="99"/>
        <v>0</v>
      </c>
      <c r="U368" s="57">
        <f t="shared" si="99"/>
        <v>0</v>
      </c>
      <c r="V368" s="62">
        <f t="shared" si="99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100">IFERROR(SUMPRODUCT($AT$53:$AT$67,Q$53:Q$67)/SUM(Q$53:Q$67)*Q$69,0)</f>
        <v>0</v>
      </c>
      <c r="R369" s="57">
        <f t="shared" si="100"/>
        <v>0</v>
      </c>
      <c r="S369" s="57">
        <f t="shared" si="100"/>
        <v>0</v>
      </c>
      <c r="T369" s="57">
        <f t="shared" si="100"/>
        <v>0</v>
      </c>
      <c r="U369" s="57">
        <f t="shared" si="100"/>
        <v>0</v>
      </c>
      <c r="V369" s="62">
        <f t="shared" si="100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101">IFERROR(SUMPRODUCT($AU$53:$AU$67,Q$53:Q$67)/SUM(Q$53:Q$67)*Q$69,0)</f>
        <v>0</v>
      </c>
      <c r="R370" s="57">
        <f t="shared" si="101"/>
        <v>0</v>
      </c>
      <c r="S370" s="57">
        <f t="shared" si="101"/>
        <v>0</v>
      </c>
      <c r="T370" s="57">
        <f t="shared" si="101"/>
        <v>0</v>
      </c>
      <c r="U370" s="57">
        <f t="shared" si="101"/>
        <v>0</v>
      </c>
      <c r="V370" s="62">
        <f t="shared" si="101"/>
        <v>0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102">IFERROR(SUMPRODUCT($AV$53:$AV$67,Q$53:Q$67)/SUM(Q$53:Q$67)*Q$69,0)</f>
        <v>0</v>
      </c>
      <c r="R371" s="57">
        <f t="shared" si="102"/>
        <v>0</v>
      </c>
      <c r="S371" s="57">
        <f t="shared" si="102"/>
        <v>0</v>
      </c>
      <c r="T371" s="57">
        <f t="shared" si="102"/>
        <v>0</v>
      </c>
      <c r="U371" s="57">
        <f t="shared" si="102"/>
        <v>0</v>
      </c>
      <c r="V371" s="62">
        <f t="shared" si="102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103">IFERROR(SUMPRODUCT($AW$53:$AW$67,Q$53:Q$67)/SUM(Q$53:Q$67)*Q$69,0)</f>
        <v>0</v>
      </c>
      <c r="R372" s="57">
        <f t="shared" si="103"/>
        <v>0</v>
      </c>
      <c r="S372" s="57">
        <f t="shared" si="103"/>
        <v>0</v>
      </c>
      <c r="T372" s="57">
        <f t="shared" si="103"/>
        <v>0</v>
      </c>
      <c r="U372" s="57">
        <f t="shared" si="103"/>
        <v>0</v>
      </c>
      <c r="V372" s="62">
        <f t="shared" si="103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104">Q218</f>
        <v>0</v>
      </c>
      <c r="R373" s="57">
        <f t="shared" si="104"/>
        <v>0</v>
      </c>
      <c r="S373" s="57">
        <f t="shared" si="104"/>
        <v>0</v>
      </c>
      <c r="T373" s="57">
        <f t="shared" si="104"/>
        <v>0</v>
      </c>
      <c r="U373" s="57">
        <f t="shared" si="104"/>
        <v>0</v>
      </c>
      <c r="V373" s="62">
        <f t="shared" si="104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105">Q232</f>
        <v>0</v>
      </c>
      <c r="R374" s="57">
        <f t="shared" si="105"/>
        <v>0</v>
      </c>
      <c r="S374" s="57">
        <f t="shared" si="105"/>
        <v>0</v>
      </c>
      <c r="T374" s="57">
        <f t="shared" si="105"/>
        <v>0</v>
      </c>
      <c r="U374" s="57">
        <f t="shared" si="105"/>
        <v>0</v>
      </c>
      <c r="V374" s="62">
        <f t="shared" si="105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106">SUM(Q362:Q372)*Q188</f>
        <v>69602.778282293264</v>
      </c>
      <c r="R375" s="57">
        <f t="shared" si="106"/>
        <v>484295.10668936791</v>
      </c>
      <c r="S375" s="57">
        <f t="shared" si="106"/>
        <v>222773.8166190208</v>
      </c>
      <c r="T375" s="57">
        <f t="shared" si="106"/>
        <v>45185.166640836396</v>
      </c>
      <c r="U375" s="57">
        <f t="shared" si="106"/>
        <v>164688.16176570544</v>
      </c>
      <c r="V375" s="62">
        <f t="shared" si="106"/>
        <v>90388.851638047621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07">SUM(P362:P375)</f>
        <v>0</v>
      </c>
      <c r="Q377" s="37">
        <f t="shared" si="107"/>
        <v>999602.77828229323</v>
      </c>
      <c r="R377" s="37">
        <f t="shared" si="107"/>
        <v>7194696.6075420659</v>
      </c>
      <c r="S377" s="37">
        <f t="shared" si="107"/>
        <v>3143895.9271502695</v>
      </c>
      <c r="T377" s="37">
        <f t="shared" si="107"/>
        <v>628771.84583015554</v>
      </c>
      <c r="U377" s="37">
        <f t="shared" si="107"/>
        <v>2180068.2745603742</v>
      </c>
      <c r="V377" s="64">
        <f t="shared" si="107"/>
        <v>1161440.7936475996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282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108">IFERROR(SUMPRODUCT($BB$53:$BB$67,Q$53:Q$67)/SUM(Q$53:Q$67)*Q$69*(1+Q$188),0)</f>
        <v>0</v>
      </c>
      <c r="R388" s="57">
        <f t="shared" si="108"/>
        <v>3951295.9659610358</v>
      </c>
      <c r="S388" s="57">
        <f t="shared" si="108"/>
        <v>1035356.2314124821</v>
      </c>
      <c r="T388" s="57">
        <f t="shared" si="108"/>
        <v>405002.69856952521</v>
      </c>
      <c r="U388" s="57">
        <f t="shared" si="108"/>
        <v>1726567.5344774358</v>
      </c>
      <c r="V388" s="62">
        <f t="shared" si="108"/>
        <v>1161440.7936475996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109">IFERROR(SUMPRODUCT($BC$53:$BC$67,Q$53:Q$67)/SUM(Q$53:Q$67)*Q$69*(1+Q$188),0)</f>
        <v>0</v>
      </c>
      <c r="R389" s="57">
        <f t="shared" si="109"/>
        <v>0</v>
      </c>
      <c r="S389" s="57">
        <f t="shared" si="109"/>
        <v>0</v>
      </c>
      <c r="T389" s="57">
        <f t="shared" si="109"/>
        <v>0</v>
      </c>
      <c r="U389" s="57">
        <f t="shared" si="109"/>
        <v>0</v>
      </c>
      <c r="V389" s="62">
        <f t="shared" si="109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110">IFERROR(SUMPRODUCT($BD$53:$BD$67,Q$53:Q$67)/SUM(Q$53:Q$67)*Q$69*(1+Q$188),0)</f>
        <v>0</v>
      </c>
      <c r="R390" s="57">
        <f t="shared" si="110"/>
        <v>0</v>
      </c>
      <c r="S390" s="57">
        <f t="shared" si="110"/>
        <v>0</v>
      </c>
      <c r="T390" s="57">
        <f t="shared" si="110"/>
        <v>0</v>
      </c>
      <c r="U390" s="57">
        <f t="shared" si="110"/>
        <v>0</v>
      </c>
      <c r="V390" s="62">
        <f t="shared" si="110"/>
        <v>0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111">IFERROR(SUMPRODUCT($BE$53:$BE$67,Q$53:Q$67)/SUM(Q$53:Q$67)*Q$69*(1+Q$188),0)</f>
        <v>0</v>
      </c>
      <c r="R391" s="57">
        <f t="shared" si="111"/>
        <v>0</v>
      </c>
      <c r="S391" s="57">
        <f t="shared" si="111"/>
        <v>0</v>
      </c>
      <c r="T391" s="57">
        <f t="shared" si="111"/>
        <v>0</v>
      </c>
      <c r="U391" s="57">
        <f t="shared" si="111"/>
        <v>0</v>
      </c>
      <c r="V391" s="62">
        <f t="shared" si="111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112">IFERROR(SUMPRODUCT($BF$53:$BF$67,Q$53:Q$67)/SUM(Q$53:Q$67)*Q$69*(1+Q$188),0)</f>
        <v>999602.77828229335</v>
      </c>
      <c r="R392" s="57">
        <f t="shared" si="112"/>
        <v>3243400.6415810292</v>
      </c>
      <c r="S392" s="57">
        <f t="shared" si="112"/>
        <v>2108539.6957377875</v>
      </c>
      <c r="T392" s="57">
        <f t="shared" si="112"/>
        <v>223769.14726063033</v>
      </c>
      <c r="U392" s="57">
        <f t="shared" si="112"/>
        <v>453500.74008293863</v>
      </c>
      <c r="V392" s="62">
        <f t="shared" si="112"/>
        <v>0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113">IFERROR(SUMPRODUCT($BG$53:$BG$67,Q$53:Q$67)/SUM(Q$53:Q$67)*Q$69*(1+Q$188),0)</f>
        <v>0</v>
      </c>
      <c r="R393" s="57">
        <f t="shared" si="113"/>
        <v>0</v>
      </c>
      <c r="S393" s="57">
        <f t="shared" si="113"/>
        <v>0</v>
      </c>
      <c r="T393" s="57">
        <f t="shared" si="113"/>
        <v>0</v>
      </c>
      <c r="U393" s="57">
        <f t="shared" si="113"/>
        <v>0</v>
      </c>
      <c r="V393" s="62">
        <f t="shared" si="113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114">IFERROR(SUMPRODUCT($BH$53:$BH$67,Q$53:Q$67)/SUM(Q$53:Q$67)*Q$69*(1+Q$188),0)</f>
        <v>0</v>
      </c>
      <c r="R394" s="57">
        <f t="shared" si="114"/>
        <v>0</v>
      </c>
      <c r="S394" s="57">
        <f t="shared" si="114"/>
        <v>0</v>
      </c>
      <c r="T394" s="57">
        <f t="shared" si="114"/>
        <v>0</v>
      </c>
      <c r="U394" s="57">
        <f t="shared" si="114"/>
        <v>0</v>
      </c>
      <c r="V394" s="62">
        <f t="shared" si="114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15">SUM(P388:P394)</f>
        <v>0</v>
      </c>
      <c r="Q396" s="37">
        <f t="shared" si="115"/>
        <v>999602.77828229335</v>
      </c>
      <c r="R396" s="37">
        <f t="shared" si="115"/>
        <v>7194696.607542065</v>
      </c>
      <c r="S396" s="37">
        <f t="shared" si="115"/>
        <v>3143895.9271502695</v>
      </c>
      <c r="T396" s="37">
        <f t="shared" si="115"/>
        <v>628771.84583015554</v>
      </c>
      <c r="U396" s="37">
        <f t="shared" si="115"/>
        <v>2180068.2745603742</v>
      </c>
      <c r="V396" s="64">
        <f t="shared" si="115"/>
        <v>1161440.7936475996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48">
    <mergeCell ref="H28:L28"/>
    <mergeCell ref="M28:Q28"/>
    <mergeCell ref="R28:V28"/>
    <mergeCell ref="H50:L50"/>
    <mergeCell ref="M50:Q50"/>
    <mergeCell ref="R50:V50"/>
    <mergeCell ref="H74:L74"/>
    <mergeCell ref="M74:Q74"/>
    <mergeCell ref="R74:V74"/>
    <mergeCell ref="H97:L97"/>
    <mergeCell ref="M97:Q97"/>
    <mergeCell ref="R97:V97"/>
    <mergeCell ref="H120:L120"/>
    <mergeCell ref="M120:Q120"/>
    <mergeCell ref="R120:V120"/>
    <mergeCell ref="H143:L143"/>
    <mergeCell ref="M143:Q143"/>
    <mergeCell ref="R143:V143"/>
    <mergeCell ref="H166:L166"/>
    <mergeCell ref="M166:Q166"/>
    <mergeCell ref="R166:V166"/>
    <mergeCell ref="H196:L196"/>
    <mergeCell ref="M196:Q196"/>
    <mergeCell ref="R196:V196"/>
    <mergeCell ref="H222:L222"/>
    <mergeCell ref="M222:Q222"/>
    <mergeCell ref="R222:V222"/>
    <mergeCell ref="H236:L236"/>
    <mergeCell ref="M236:Q236"/>
    <mergeCell ref="R236:V23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36:L336"/>
    <mergeCell ref="M336:Q336"/>
    <mergeCell ref="R336:V336"/>
    <mergeCell ref="H359:L359"/>
    <mergeCell ref="M359:Q359"/>
    <mergeCell ref="R359:V359"/>
    <mergeCell ref="H385:L385"/>
    <mergeCell ref="M385:Q385"/>
    <mergeCell ref="R385:V385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I399"/>
  <sheetViews>
    <sheetView topLeftCell="D10" workbookViewId="0"/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5" s="3" customFormat="1">
      <c r="A1" s="2" t="s">
        <v>2</v>
      </c>
    </row>
    <row r="2" spans="1:15" s="1" customFormat="1">
      <c r="A2" s="3" t="s">
        <v>204</v>
      </c>
    </row>
    <row r="3" spans="1:15" s="1" customFormat="1">
      <c r="A3" s="3" t="s">
        <v>95</v>
      </c>
    </row>
    <row r="4" spans="1:15" s="1" customFormat="1">
      <c r="A4" s="22" t="s">
        <v>43</v>
      </c>
    </row>
    <row r="6" spans="1:15" s="1" customFormat="1">
      <c r="A6" s="2">
        <v>2</v>
      </c>
      <c r="B6" s="2" t="s">
        <v>45</v>
      </c>
    </row>
    <row r="9" spans="1:15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  <c r="I9" s="94"/>
      <c r="J9" s="94"/>
      <c r="K9" s="94"/>
      <c r="L9" s="94"/>
      <c r="M9" s="94"/>
      <c r="N9" s="94"/>
      <c r="O9" s="94"/>
    </row>
    <row r="10" spans="1:15">
      <c r="B10" s="8"/>
      <c r="D10" s="10"/>
      <c r="E10" s="10"/>
      <c r="F10" s="26"/>
      <c r="G10" s="26"/>
      <c r="I10" s="94"/>
      <c r="J10" s="94"/>
      <c r="K10" s="94"/>
      <c r="L10" s="94"/>
      <c r="M10" s="94"/>
      <c r="N10" s="94"/>
      <c r="O10" s="94"/>
    </row>
    <row r="11" spans="1:15">
      <c r="B11" s="8"/>
      <c r="D11" s="10"/>
      <c r="E11" s="10"/>
      <c r="F11" s="26"/>
      <c r="G11" s="26"/>
      <c r="I11" s="94"/>
      <c r="J11" s="94"/>
      <c r="K11" s="94"/>
      <c r="L11" s="94"/>
      <c r="M11" s="94"/>
      <c r="N11" s="94"/>
      <c r="O11" s="94"/>
    </row>
    <row r="12" spans="1:15">
      <c r="B12" s="8"/>
      <c r="D12" s="10"/>
      <c r="E12" s="10"/>
      <c r="F12" s="26"/>
      <c r="G12" s="26"/>
      <c r="I12" s="94"/>
      <c r="J12" s="94"/>
      <c r="K12" s="94"/>
      <c r="L12" s="94"/>
      <c r="M12" s="94"/>
      <c r="N12" s="94"/>
      <c r="O12" s="94"/>
    </row>
    <row r="13" spans="1:15">
      <c r="B13" s="8"/>
      <c r="D13" s="10"/>
      <c r="E13" s="10"/>
      <c r="F13" s="26"/>
      <c r="G13" s="26"/>
      <c r="I13" s="94"/>
      <c r="J13" s="94"/>
      <c r="K13" s="94"/>
      <c r="L13" s="94"/>
      <c r="M13" s="94"/>
      <c r="N13" s="94"/>
      <c r="O13" s="94"/>
    </row>
    <row r="14" spans="1:15">
      <c r="B14" s="8" t="s">
        <v>205</v>
      </c>
      <c r="D14" s="10">
        <v>0.04</v>
      </c>
      <c r="E14" s="10">
        <v>0.66</v>
      </c>
      <c r="F14" s="26">
        <f>D14+E14</f>
        <v>0.70000000000000007</v>
      </c>
      <c r="G14" s="26">
        <f>1-F14</f>
        <v>0.29999999999999993</v>
      </c>
      <c r="I14" s="94"/>
      <c r="J14" s="94"/>
      <c r="K14" s="94"/>
      <c r="L14" s="94"/>
      <c r="M14" s="94"/>
      <c r="N14" s="94"/>
      <c r="O14" s="94"/>
    </row>
    <row r="15" spans="1:15">
      <c r="B15" s="8"/>
      <c r="D15" s="10"/>
      <c r="E15" s="10"/>
      <c r="F15" s="26"/>
      <c r="G15" s="26"/>
    </row>
    <row r="16" spans="1:15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203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87" t="s">
        <v>52</v>
      </c>
      <c r="I28" s="189"/>
      <c r="J28" s="189"/>
      <c r="K28" s="189"/>
      <c r="L28" s="188"/>
      <c r="M28" s="187" t="s">
        <v>53</v>
      </c>
      <c r="N28" s="189"/>
      <c r="O28" s="189"/>
      <c r="P28" s="189"/>
      <c r="Q28" s="188"/>
      <c r="R28" s="187" t="s">
        <v>54</v>
      </c>
      <c r="S28" s="189"/>
      <c r="T28" s="189"/>
      <c r="U28" s="189"/>
      <c r="V28" s="18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 t="shared" ref="B31:B45" si="0">IF(B10&lt;&gt;"",B10,"[blank]")</f>
        <v>[blank]</v>
      </c>
      <c r="D31" s="31" t="s">
        <v>60</v>
      </c>
      <c r="E31" s="31"/>
      <c r="P31" s="77"/>
      <c r="Q31" s="33"/>
      <c r="R31" s="33"/>
      <c r="S31" s="33"/>
      <c r="T31" s="33"/>
      <c r="U31" s="33"/>
      <c r="V31" s="33"/>
      <c r="X31" s="20"/>
    </row>
    <row r="32" spans="1:24">
      <c r="B32" s="4" t="str">
        <f t="shared" si="0"/>
        <v>[blank]</v>
      </c>
      <c r="D32" s="31" t="s">
        <v>60</v>
      </c>
      <c r="E32" s="31"/>
      <c r="P32" s="77"/>
      <c r="Q32" s="33"/>
      <c r="R32" s="33"/>
      <c r="S32" s="33"/>
      <c r="T32" s="33"/>
      <c r="U32" s="33"/>
      <c r="V32" s="33"/>
      <c r="X32" s="20"/>
    </row>
    <row r="33" spans="1:24">
      <c r="B33" s="4" t="str">
        <f t="shared" si="0"/>
        <v>[blank]</v>
      </c>
      <c r="D33" s="31" t="s">
        <v>60</v>
      </c>
      <c r="P33" s="77"/>
      <c r="Q33" s="33"/>
      <c r="R33" s="33"/>
      <c r="S33" s="33"/>
      <c r="T33" s="33"/>
      <c r="U33" s="33"/>
      <c r="V33" s="33"/>
      <c r="X33" s="20"/>
    </row>
    <row r="34" spans="1:24">
      <c r="B34" s="4" t="str">
        <f t="shared" si="0"/>
        <v>[blank]</v>
      </c>
      <c r="D34" s="31" t="s">
        <v>60</v>
      </c>
      <c r="P34" s="77"/>
      <c r="Q34" s="33"/>
      <c r="R34" s="33"/>
      <c r="S34" s="33"/>
      <c r="T34" s="33"/>
      <c r="U34" s="33"/>
      <c r="V34" s="33"/>
      <c r="X34" s="20"/>
    </row>
    <row r="35" spans="1:24">
      <c r="B35" s="4" t="str">
        <f t="shared" si="0"/>
        <v>Other Works</v>
      </c>
      <c r="D35" s="31" t="s">
        <v>60</v>
      </c>
      <c r="P35" s="77"/>
      <c r="Q35" s="33">
        <f>'AMP inputs'!U55*1000*'General assumptions'!$S$21</f>
        <v>0</v>
      </c>
      <c r="R35" s="33">
        <f>'AMP inputs'!V55*'General assumptions'!$S$21</f>
        <v>15319.285747641799</v>
      </c>
      <c r="S35" s="33">
        <f>'AMP inputs'!W55*'General assumptions'!$S$21</f>
        <v>20425.714330189068</v>
      </c>
      <c r="T35" s="33">
        <f>'AMP inputs'!X55*'General assumptions'!$S$21</f>
        <v>20425.714330189068</v>
      </c>
      <c r="U35" s="33">
        <f>'AMP inputs'!Y55*'General assumptions'!$S$21</f>
        <v>20425.714330189068</v>
      </c>
      <c r="V35" s="33">
        <f>'AMP inputs'!Z55*'General assumptions'!$S$21</f>
        <v>20425.714330189068</v>
      </c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61</v>
      </c>
    </row>
    <row r="49" spans="2:61">
      <c r="Z49" s="5" t="s">
        <v>73</v>
      </c>
      <c r="AM49" s="5" t="s">
        <v>110</v>
      </c>
      <c r="BB49" s="5" t="s">
        <v>133</v>
      </c>
    </row>
    <row r="50" spans="2:61">
      <c r="H50" s="190" t="s">
        <v>52</v>
      </c>
      <c r="I50" s="190"/>
      <c r="J50" s="190"/>
      <c r="K50" s="190"/>
      <c r="L50" s="190"/>
      <c r="M50" s="190" t="s">
        <v>53</v>
      </c>
      <c r="N50" s="190"/>
      <c r="O50" s="190"/>
      <c r="P50" s="190"/>
      <c r="Q50" s="190"/>
      <c r="R50" s="190" t="s">
        <v>54</v>
      </c>
      <c r="S50" s="190"/>
      <c r="T50" s="190"/>
      <c r="U50" s="190"/>
      <c r="V50" s="190"/>
      <c r="X50" s="38"/>
      <c r="Z50" s="39" t="s">
        <v>69</v>
      </c>
      <c r="AA50" s="39" t="s">
        <v>70</v>
      </c>
      <c r="AB50" s="39" t="s">
        <v>71</v>
      </c>
      <c r="AC50" s="39" t="s">
        <v>72</v>
      </c>
      <c r="AD50" s="39" t="s">
        <v>64</v>
      </c>
      <c r="AE50" s="39" t="s">
        <v>65</v>
      </c>
      <c r="AF50" s="39" t="s">
        <v>66</v>
      </c>
      <c r="AG50" s="39" t="s">
        <v>107</v>
      </c>
      <c r="AH50" s="39" t="s">
        <v>67</v>
      </c>
      <c r="AI50" s="39" t="s">
        <v>68</v>
      </c>
      <c r="AJ50" s="39" t="s">
        <v>108</v>
      </c>
      <c r="AM50" s="39" t="s">
        <v>111</v>
      </c>
      <c r="AN50" s="39" t="s">
        <v>112</v>
      </c>
      <c r="AO50" s="39" t="s">
        <v>113</v>
      </c>
      <c r="AP50" s="39" t="s">
        <v>114</v>
      </c>
      <c r="AQ50" s="39" t="s">
        <v>115</v>
      </c>
      <c r="AR50" s="39" t="s">
        <v>36</v>
      </c>
      <c r="AS50" s="39" t="s">
        <v>116</v>
      </c>
      <c r="AT50" s="39" t="s">
        <v>35</v>
      </c>
      <c r="AU50" s="39" t="s">
        <v>117</v>
      </c>
      <c r="AV50" s="39" t="s">
        <v>118</v>
      </c>
      <c r="AW50" s="39" t="s">
        <v>119</v>
      </c>
      <c r="AX50" s="39" t="s">
        <v>74</v>
      </c>
      <c r="AY50" s="39" t="s">
        <v>75</v>
      </c>
      <c r="BB50" s="39" t="s">
        <v>134</v>
      </c>
      <c r="BC50" s="39" t="s">
        <v>135</v>
      </c>
      <c r="BD50" s="39" t="s">
        <v>136</v>
      </c>
      <c r="BE50" s="39" t="s">
        <v>107</v>
      </c>
      <c r="BF50" s="39" t="s">
        <v>137</v>
      </c>
      <c r="BG50" s="39" t="s">
        <v>138</v>
      </c>
      <c r="BH50" s="39" t="s">
        <v>108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63</v>
      </c>
    </row>
    <row r="52" spans="2:61">
      <c r="B52" s="5" t="s">
        <v>46</v>
      </c>
      <c r="D52" s="29" t="s">
        <v>55</v>
      </c>
      <c r="H52" s="16" t="s">
        <v>12</v>
      </c>
      <c r="I52" s="16" t="s">
        <v>12</v>
      </c>
      <c r="J52" s="16" t="s">
        <v>12</v>
      </c>
      <c r="K52" s="16" t="s">
        <v>12</v>
      </c>
      <c r="L52" s="16" t="s">
        <v>12</v>
      </c>
      <c r="M52" s="16" t="s">
        <v>12</v>
      </c>
      <c r="N52" s="16" t="s">
        <v>12</v>
      </c>
      <c r="O52" s="16" t="s">
        <v>12</v>
      </c>
      <c r="P52" s="16" t="s">
        <v>13</v>
      </c>
      <c r="Q52" s="16" t="s">
        <v>13</v>
      </c>
      <c r="R52" s="16" t="s">
        <v>13</v>
      </c>
      <c r="S52" s="16" t="s">
        <v>13</v>
      </c>
      <c r="T52" s="16" t="s">
        <v>13</v>
      </c>
      <c r="U52" s="16" t="s">
        <v>13</v>
      </c>
      <c r="V52" s="16" t="s">
        <v>13</v>
      </c>
      <c r="X52" s="34" t="s">
        <v>13</v>
      </c>
    </row>
    <row r="53" spans="2:61">
      <c r="B53" s="4" t="str">
        <f t="shared" ref="B53:B67" si="1">IF(B10&lt;&gt;"",B10,"[blank]")</f>
        <v>[blank]</v>
      </c>
      <c r="D53" s="31" t="s">
        <v>60</v>
      </c>
      <c r="O53" s="35"/>
      <c r="P53" s="35"/>
      <c r="Q53" s="35">
        <f>Q31*($D10*'General assumptions'!T$35+$E10*'General assumptions'!T$36+$G10*'General assumptions'!T$42)</f>
        <v>0</v>
      </c>
      <c r="R53" s="35">
        <f>R31*($D10*'General assumptions'!U$35+$E10*'General assumptions'!U$36+$G10*'General assumptions'!U$42)</f>
        <v>0</v>
      </c>
      <c r="S53" s="35">
        <f>S31*($D10*'General assumptions'!V$35+$E10*'General assumptions'!V$36+$G10*'General assumptions'!V$42)</f>
        <v>0</v>
      </c>
      <c r="T53" s="35">
        <f>T31*($D10*'General assumptions'!W$35+$E10*'General assumptions'!W$36+$G10*'General assumptions'!W$42)</f>
        <v>0</v>
      </c>
      <c r="U53" s="35">
        <f>U31*($D10*'General assumptions'!X$35+$E10*'General assumptions'!X$36+$G10*'General assumptions'!X$42)</f>
        <v>0</v>
      </c>
      <c r="V53" s="35">
        <f>V31*($D10*'General assumptions'!Y$35+$E10*'General assumptions'!Y$36+$G10*'General assumptions'!Y$42)</f>
        <v>0</v>
      </c>
      <c r="W53" s="35"/>
      <c r="X53" s="40">
        <f>SUM(R53:V53)</f>
        <v>0</v>
      </c>
      <c r="Z53" s="10"/>
      <c r="AA53" s="10"/>
      <c r="AB53" s="10"/>
      <c r="AC53" s="10"/>
      <c r="AD53" s="10">
        <v>1</v>
      </c>
      <c r="AE53" s="10"/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>
        <v>1</v>
      </c>
      <c r="AV53" s="10"/>
      <c r="AW53" s="10"/>
      <c r="AX53" s="10"/>
      <c r="AY53" s="10"/>
      <c r="AZ53" s="41">
        <f t="shared" ref="AZ53:AZ67" si="3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 t="s">
        <v>60</v>
      </c>
      <c r="O54" s="50"/>
      <c r="P54" s="35"/>
      <c r="Q54" s="35">
        <f>Q32*($D11*'General assumptions'!T$35+$E11*'General assumptions'!T$36+$G11*'General assumptions'!T$42)</f>
        <v>0</v>
      </c>
      <c r="R54" s="35">
        <f>R32*($D11*'General assumptions'!U$35+$E11*'General assumptions'!U$36+$G11*'General assumptions'!U$42)</f>
        <v>0</v>
      </c>
      <c r="S54" s="35">
        <f>S32*($D11*'General assumptions'!V$35+$E11*'General assumptions'!V$36+$G11*'General assumptions'!V$42)</f>
        <v>0</v>
      </c>
      <c r="T54" s="35">
        <f>T32*($D11*'General assumptions'!W$35+$E11*'General assumptions'!W$36+$G11*'General assumptions'!W$42)</f>
        <v>0</v>
      </c>
      <c r="U54" s="35">
        <f>U32*($D11*'General assumptions'!X$35+$E11*'General assumptions'!X$36+$G11*'General assumptions'!X$42)</f>
        <v>0</v>
      </c>
      <c r="V54" s="35">
        <f>V32*($D11*'General assumptions'!Y$35+$E11*'General assumptions'!Y$36+$G11*'General assumptions'!Y$42)</f>
        <v>0</v>
      </c>
      <c r="W54" s="35"/>
      <c r="X54" s="40">
        <f t="shared" ref="X54:X69" si="5">SUM(R54:V54)</f>
        <v>0</v>
      </c>
      <c r="Z54" s="10">
        <v>1</v>
      </c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1</v>
      </c>
      <c r="AM54" s="10"/>
      <c r="AN54" s="10"/>
      <c r="AO54" s="10"/>
      <c r="AP54" s="10"/>
      <c r="AQ54" s="10"/>
      <c r="AR54" s="10"/>
      <c r="AS54" s="10"/>
      <c r="AT54" s="10"/>
      <c r="AU54" s="10">
        <v>1</v>
      </c>
      <c r="AV54" s="10"/>
      <c r="AW54" s="10"/>
      <c r="AX54" s="10"/>
      <c r="AY54" s="10"/>
      <c r="AZ54" s="41">
        <f t="shared" si="3"/>
        <v>1</v>
      </c>
      <c r="BB54" s="10">
        <v>1</v>
      </c>
      <c r="BC54" s="10"/>
      <c r="BD54" s="10"/>
      <c r="BE54" s="10"/>
      <c r="BF54" s="10"/>
      <c r="BG54" s="10"/>
      <c r="BH54" s="10"/>
      <c r="BI54" s="41">
        <f t="shared" si="4"/>
        <v>1</v>
      </c>
    </row>
    <row r="55" spans="2:61">
      <c r="B55" s="4" t="str">
        <f t="shared" si="1"/>
        <v>[blank]</v>
      </c>
      <c r="D55" s="31" t="s">
        <v>60</v>
      </c>
      <c r="P55" s="35"/>
      <c r="Q55" s="35">
        <f>Q33*($D12*'General assumptions'!T$35+$E12*'General assumptions'!T$36+$G12*'General assumptions'!T$42)</f>
        <v>0</v>
      </c>
      <c r="R55" s="35">
        <f>R33*($D12*'General assumptions'!U$35+$E12*'General assumptions'!U$36+$G12*'General assumptions'!U$42)</f>
        <v>0</v>
      </c>
      <c r="S55" s="35">
        <f>S33*($D12*'General assumptions'!V$35+$E12*'General assumptions'!V$36+$G12*'General assumptions'!V$42)</f>
        <v>0</v>
      </c>
      <c r="T55" s="35">
        <f>T33*($D12*'General assumptions'!W$35+$E12*'General assumptions'!W$36+$G12*'General assumptions'!W$42)</f>
        <v>0</v>
      </c>
      <c r="U55" s="35">
        <f>U33*($D12*'General assumptions'!X$35+$E12*'General assumptions'!X$36+$G12*'General assumptions'!X$42)</f>
        <v>0</v>
      </c>
      <c r="V55" s="35">
        <f>V33*($D12*'General assumptions'!Y$35+$E12*'General assumptions'!Y$36+$G12*'General assumptions'!Y$42)</f>
        <v>0</v>
      </c>
      <c r="W55" s="35"/>
      <c r="X55" s="40">
        <f t="shared" si="5"/>
        <v>0</v>
      </c>
      <c r="Z55" s="10"/>
      <c r="AA55" s="10"/>
      <c r="AB55" s="10"/>
      <c r="AC55" s="10"/>
      <c r="AD55" s="10">
        <v>1</v>
      </c>
      <c r="AE55" s="10"/>
      <c r="AF55" s="10"/>
      <c r="AG55" s="10"/>
      <c r="AH55" s="10"/>
      <c r="AI55" s="10"/>
      <c r="AJ55" s="10"/>
      <c r="AK55" s="41">
        <f t="shared" si="2"/>
        <v>1</v>
      </c>
      <c r="AM55" s="10"/>
      <c r="AN55" s="10"/>
      <c r="AO55" s="10"/>
      <c r="AP55" s="10"/>
      <c r="AQ55" s="10"/>
      <c r="AR55" s="10"/>
      <c r="AS55" s="10"/>
      <c r="AT55" s="10"/>
      <c r="AU55" s="10">
        <v>1</v>
      </c>
      <c r="AV55" s="10"/>
      <c r="AW55" s="10"/>
      <c r="AX55" s="10"/>
      <c r="AY55" s="10"/>
      <c r="AZ55" s="41">
        <f t="shared" si="3"/>
        <v>1</v>
      </c>
      <c r="BB55" s="10"/>
      <c r="BC55" s="10"/>
      <c r="BD55" s="10"/>
      <c r="BE55" s="10"/>
      <c r="BF55" s="10">
        <v>1</v>
      </c>
      <c r="BG55" s="10"/>
      <c r="BH55" s="10"/>
      <c r="BI55" s="41">
        <f t="shared" si="4"/>
        <v>1</v>
      </c>
    </row>
    <row r="56" spans="2:61">
      <c r="B56" s="4" t="str">
        <f t="shared" si="1"/>
        <v>[blank]</v>
      </c>
      <c r="D56" s="31" t="s">
        <v>60</v>
      </c>
      <c r="P56" s="35"/>
      <c r="Q56" s="35">
        <f>Q34*($D13*'General assumptions'!T$35+$E13*'General assumptions'!T$36+$G13*'General assumptions'!T$42)</f>
        <v>0</v>
      </c>
      <c r="R56" s="35">
        <f>R34*($D13*'General assumptions'!U$35+$E13*'General assumptions'!U$36+$G13*'General assumptions'!U$42)</f>
        <v>0</v>
      </c>
      <c r="S56" s="35">
        <f>S34*($D13*'General assumptions'!V$35+$E13*'General assumptions'!V$36+$G13*'General assumptions'!V$42)</f>
        <v>0</v>
      </c>
      <c r="T56" s="35">
        <f>T34*($D13*'General assumptions'!W$35+$E13*'General assumptions'!W$36+$G13*'General assumptions'!W$42)</f>
        <v>0</v>
      </c>
      <c r="U56" s="35">
        <f>U34*($D13*'General assumptions'!X$35+$E13*'General assumptions'!X$36+$G13*'General assumptions'!X$42)</f>
        <v>0</v>
      </c>
      <c r="V56" s="35">
        <f>V34*($D13*'General assumptions'!Y$35+$E13*'General assumptions'!Y$36+$G13*'General assumptions'!Y$42)</f>
        <v>0</v>
      </c>
      <c r="W56" s="35"/>
      <c r="X56" s="40">
        <f t="shared" si="5"/>
        <v>0</v>
      </c>
      <c r="Z56" s="10"/>
      <c r="AA56" s="10"/>
      <c r="AB56" s="10"/>
      <c r="AC56" s="10"/>
      <c r="AD56" s="10">
        <v>1</v>
      </c>
      <c r="AE56" s="10"/>
      <c r="AF56" s="10"/>
      <c r="AG56" s="10"/>
      <c r="AH56" s="10"/>
      <c r="AI56" s="10"/>
      <c r="AJ56" s="10"/>
      <c r="AK56" s="41">
        <f t="shared" si="2"/>
        <v>1</v>
      </c>
      <c r="AM56" s="10"/>
      <c r="AN56" s="10"/>
      <c r="AO56" s="10"/>
      <c r="AP56" s="10"/>
      <c r="AQ56" s="10"/>
      <c r="AR56" s="10"/>
      <c r="AS56" s="10"/>
      <c r="AT56" s="10"/>
      <c r="AU56" s="10">
        <v>1</v>
      </c>
      <c r="AV56" s="10"/>
      <c r="AW56" s="10"/>
      <c r="AX56" s="10"/>
      <c r="AY56" s="10"/>
      <c r="AZ56" s="41">
        <f t="shared" si="3"/>
        <v>1</v>
      </c>
      <c r="BB56" s="10"/>
      <c r="BC56" s="10"/>
      <c r="BD56" s="10"/>
      <c r="BE56" s="10"/>
      <c r="BF56" s="10">
        <v>1</v>
      </c>
      <c r="BG56" s="10"/>
      <c r="BH56" s="10"/>
      <c r="BI56" s="41">
        <f t="shared" si="4"/>
        <v>1</v>
      </c>
    </row>
    <row r="57" spans="2:61">
      <c r="B57" s="4" t="str">
        <f t="shared" si="1"/>
        <v>Other Works</v>
      </c>
      <c r="D57" s="31" t="s">
        <v>60</v>
      </c>
      <c r="P57" s="35"/>
      <c r="Q57" s="35">
        <f>Q35*($D14*'General assumptions'!T$35+$E14*'General assumptions'!T$36+$G14*'General assumptions'!T$42)</f>
        <v>0</v>
      </c>
      <c r="R57" s="35">
        <f>R35*($D14*'General assumptions'!U$35+$E14*'General assumptions'!U$36+$G14*'General assumptions'!U$42)</f>
        <v>15392.492898084103</v>
      </c>
      <c r="S57" s="35">
        <f>S35*($D14*'General assumptions'!V$35+$E14*'General assumptions'!V$36+$G14*'General assumptions'!V$42)</f>
        <v>20655.6492643376</v>
      </c>
      <c r="T57" s="35">
        <f>T35*($D14*'General assumptions'!W$35+$E14*'General assumptions'!W$36+$G14*'General assumptions'!W$42)</f>
        <v>20826.436468809108</v>
      </c>
      <c r="U57" s="35">
        <f>U35*($D14*'General assumptions'!X$35+$E14*'General assumptions'!X$36+$G14*'General assumptions'!X$42)</f>
        <v>21051.735634854442</v>
      </c>
      <c r="V57" s="35">
        <f>V35*($D14*'General assumptions'!Y$35+$E14*'General assumptions'!Y$36+$G14*'General assumptions'!Y$42)</f>
        <v>21296.745315063003</v>
      </c>
      <c r="X57" s="40">
        <f t="shared" si="5"/>
        <v>99223.059581148249</v>
      </c>
      <c r="Z57" s="10"/>
      <c r="AA57" s="10"/>
      <c r="AB57" s="10"/>
      <c r="AC57" s="10"/>
      <c r="AD57" s="10">
        <v>1</v>
      </c>
      <c r="AE57" s="10"/>
      <c r="AF57" s="10"/>
      <c r="AG57" s="10"/>
      <c r="AH57" s="10"/>
      <c r="AI57" s="10"/>
      <c r="AJ57" s="10"/>
      <c r="AK57" s="41">
        <f t="shared" si="2"/>
        <v>1</v>
      </c>
      <c r="AM57" s="10"/>
      <c r="AN57" s="10"/>
      <c r="AO57" s="10"/>
      <c r="AP57" s="10"/>
      <c r="AQ57" s="10"/>
      <c r="AR57" s="10"/>
      <c r="AS57" s="10"/>
      <c r="AT57" s="10"/>
      <c r="AU57" s="10">
        <v>1</v>
      </c>
      <c r="AV57" s="10"/>
      <c r="AW57" s="10"/>
      <c r="AX57" s="10"/>
      <c r="AY57" s="10"/>
      <c r="AZ57" s="41">
        <f t="shared" si="3"/>
        <v>1</v>
      </c>
      <c r="BB57" s="10"/>
      <c r="BC57" s="10"/>
      <c r="BD57" s="10"/>
      <c r="BE57" s="10"/>
      <c r="BF57" s="10">
        <v>1</v>
      </c>
      <c r="BG57" s="10"/>
      <c r="BH57" s="10"/>
      <c r="BI57" s="41">
        <f t="shared" si="4"/>
        <v>1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62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0</v>
      </c>
      <c r="R69" s="37">
        <f t="shared" si="6"/>
        <v>15392.492898084103</v>
      </c>
      <c r="S69" s="37">
        <f t="shared" si="6"/>
        <v>20655.6492643376</v>
      </c>
      <c r="T69" s="37">
        <f t="shared" si="6"/>
        <v>20826.436468809108</v>
      </c>
      <c r="U69" s="37">
        <f t="shared" si="6"/>
        <v>21051.735634854442</v>
      </c>
      <c r="V69" s="37">
        <f t="shared" si="6"/>
        <v>21296.745315063003</v>
      </c>
      <c r="X69" s="37">
        <f t="shared" si="5"/>
        <v>99223.059581148249</v>
      </c>
    </row>
    <row r="71" spans="1:61">
      <c r="B71" s="5" t="s">
        <v>76</v>
      </c>
    </row>
    <row r="72" spans="1:61" s="1" customFormat="1">
      <c r="A72" s="4"/>
      <c r="B72" s="2" t="s">
        <v>77</v>
      </c>
    </row>
    <row r="74" spans="1:61">
      <c r="H74" s="190" t="s">
        <v>52</v>
      </c>
      <c r="I74" s="190"/>
      <c r="J74" s="190"/>
      <c r="K74" s="190"/>
      <c r="L74" s="190"/>
      <c r="M74" s="190" t="s">
        <v>53</v>
      </c>
      <c r="N74" s="190"/>
      <c r="O74" s="190"/>
      <c r="P74" s="190"/>
      <c r="Q74" s="190"/>
      <c r="R74" s="190" t="s">
        <v>54</v>
      </c>
      <c r="S74" s="190"/>
      <c r="T74" s="190"/>
      <c r="U74" s="190"/>
      <c r="V74" s="190"/>
      <c r="X74" s="38"/>
    </row>
    <row r="75" spans="1:61">
      <c r="B75" s="42" t="s">
        <v>79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63</v>
      </c>
    </row>
    <row r="76" spans="1:61">
      <c r="B76" s="5" t="s">
        <v>46</v>
      </c>
      <c r="D76" s="29" t="s">
        <v>55</v>
      </c>
      <c r="H76" s="16" t="s">
        <v>12</v>
      </c>
      <c r="I76" s="16" t="s">
        <v>12</v>
      </c>
      <c r="J76" s="16" t="s">
        <v>12</v>
      </c>
      <c r="K76" s="16" t="s">
        <v>12</v>
      </c>
      <c r="L76" s="16" t="s">
        <v>12</v>
      </c>
      <c r="M76" s="16" t="s">
        <v>12</v>
      </c>
      <c r="N76" s="16" t="s">
        <v>12</v>
      </c>
      <c r="O76" s="16" t="s">
        <v>12</v>
      </c>
      <c r="P76" s="16" t="s">
        <v>13</v>
      </c>
      <c r="Q76" s="16" t="s">
        <v>13</v>
      </c>
      <c r="R76" s="16" t="s">
        <v>13</v>
      </c>
      <c r="S76" s="16" t="s">
        <v>13</v>
      </c>
      <c r="T76" s="16" t="s">
        <v>13</v>
      </c>
      <c r="U76" s="16" t="s">
        <v>13</v>
      </c>
      <c r="V76" s="16" t="s">
        <v>13</v>
      </c>
      <c r="X76" s="34" t="s">
        <v>13</v>
      </c>
    </row>
    <row r="77" spans="1:61">
      <c r="B77" s="4" t="str">
        <f t="shared" ref="B77:B91" si="7">IF(B10&lt;&gt;"",B10,"[blank]")</f>
        <v>[blank]</v>
      </c>
      <c r="D77" s="31" t="s">
        <v>60</v>
      </c>
      <c r="O77" s="35"/>
      <c r="P77" s="35">
        <f t="shared" ref="P77:V81" si="8">$D10*P53</f>
        <v>0</v>
      </c>
      <c r="Q77" s="35">
        <f t="shared" si="8"/>
        <v>0</v>
      </c>
      <c r="R77" s="35">
        <f t="shared" si="8"/>
        <v>0</v>
      </c>
      <c r="S77" s="35">
        <f t="shared" si="8"/>
        <v>0</v>
      </c>
      <c r="T77" s="35">
        <f t="shared" si="8"/>
        <v>0</v>
      </c>
      <c r="U77" s="35">
        <f t="shared" si="8"/>
        <v>0</v>
      </c>
      <c r="V77" s="35">
        <f t="shared" si="8"/>
        <v>0</v>
      </c>
      <c r="X77" s="40">
        <f>SUM(R77:V77)</f>
        <v>0</v>
      </c>
    </row>
    <row r="78" spans="1:61">
      <c r="B78" s="4" t="str">
        <f t="shared" si="7"/>
        <v>[blank]</v>
      </c>
      <c r="D78" s="31" t="s">
        <v>60</v>
      </c>
      <c r="O78" s="50"/>
      <c r="P78" s="35">
        <f t="shared" si="8"/>
        <v>0</v>
      </c>
      <c r="Q78" s="35">
        <f t="shared" si="8"/>
        <v>0</v>
      </c>
      <c r="R78" s="35">
        <f t="shared" si="8"/>
        <v>0</v>
      </c>
      <c r="S78" s="35">
        <f t="shared" si="8"/>
        <v>0</v>
      </c>
      <c r="T78" s="35">
        <f t="shared" si="8"/>
        <v>0</v>
      </c>
      <c r="U78" s="35">
        <f t="shared" si="8"/>
        <v>0</v>
      </c>
      <c r="V78" s="35">
        <f t="shared" si="8"/>
        <v>0</v>
      </c>
      <c r="X78" s="40">
        <f t="shared" ref="X78:X91" si="9">SUM(R78:V78)</f>
        <v>0</v>
      </c>
    </row>
    <row r="79" spans="1:61">
      <c r="B79" s="4" t="str">
        <f t="shared" si="7"/>
        <v>[blank]</v>
      </c>
      <c r="D79" s="31" t="s">
        <v>60</v>
      </c>
      <c r="P79" s="35">
        <f t="shared" si="8"/>
        <v>0</v>
      </c>
      <c r="Q79" s="35">
        <f t="shared" si="8"/>
        <v>0</v>
      </c>
      <c r="R79" s="35">
        <f t="shared" si="8"/>
        <v>0</v>
      </c>
      <c r="S79" s="35">
        <f t="shared" si="8"/>
        <v>0</v>
      </c>
      <c r="T79" s="35">
        <f t="shared" si="8"/>
        <v>0</v>
      </c>
      <c r="U79" s="35">
        <f t="shared" si="8"/>
        <v>0</v>
      </c>
      <c r="V79" s="35">
        <f t="shared" si="8"/>
        <v>0</v>
      </c>
      <c r="X79" s="40">
        <f t="shared" si="9"/>
        <v>0</v>
      </c>
    </row>
    <row r="80" spans="1:61">
      <c r="B80" s="4" t="str">
        <f t="shared" si="7"/>
        <v>[blank]</v>
      </c>
      <c r="D80" s="31" t="s">
        <v>60</v>
      </c>
      <c r="P80" s="35">
        <f t="shared" si="8"/>
        <v>0</v>
      </c>
      <c r="Q80" s="35">
        <f t="shared" si="8"/>
        <v>0</v>
      </c>
      <c r="R80" s="35">
        <f t="shared" si="8"/>
        <v>0</v>
      </c>
      <c r="S80" s="35">
        <f t="shared" si="8"/>
        <v>0</v>
      </c>
      <c r="T80" s="35">
        <f t="shared" si="8"/>
        <v>0</v>
      </c>
      <c r="U80" s="35">
        <f t="shared" si="8"/>
        <v>0</v>
      </c>
      <c r="V80" s="35">
        <f t="shared" si="8"/>
        <v>0</v>
      </c>
      <c r="X80" s="40">
        <f t="shared" si="9"/>
        <v>0</v>
      </c>
    </row>
    <row r="81" spans="1:24">
      <c r="B81" s="4" t="str">
        <f t="shared" si="7"/>
        <v>Other Works</v>
      </c>
      <c r="D81" s="31" t="s">
        <v>60</v>
      </c>
      <c r="P81" s="35">
        <f t="shared" si="8"/>
        <v>0</v>
      </c>
      <c r="Q81" s="35">
        <f t="shared" si="8"/>
        <v>0</v>
      </c>
      <c r="R81" s="35">
        <f t="shared" si="8"/>
        <v>615.69971592336412</v>
      </c>
      <c r="S81" s="35">
        <f t="shared" si="8"/>
        <v>826.22597057350401</v>
      </c>
      <c r="T81" s="35">
        <f t="shared" si="8"/>
        <v>833.05745875236437</v>
      </c>
      <c r="U81" s="35">
        <f t="shared" si="8"/>
        <v>842.06942539417764</v>
      </c>
      <c r="V81" s="35">
        <f t="shared" si="8"/>
        <v>851.86981260252014</v>
      </c>
      <c r="X81" s="40">
        <f t="shared" si="9"/>
        <v>3968.9223832459302</v>
      </c>
    </row>
    <row r="82" spans="1:24">
      <c r="B82" s="4" t="str">
        <f t="shared" si="7"/>
        <v>[blank]</v>
      </c>
      <c r="D82" s="31" t="s">
        <v>60</v>
      </c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78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0</v>
      </c>
      <c r="R93" s="37">
        <f t="shared" si="10"/>
        <v>615.69971592336412</v>
      </c>
      <c r="S93" s="37">
        <f t="shared" si="10"/>
        <v>826.22597057350401</v>
      </c>
      <c r="T93" s="37">
        <f t="shared" si="10"/>
        <v>833.05745875236437</v>
      </c>
      <c r="U93" s="37">
        <f t="shared" si="10"/>
        <v>842.06942539417764</v>
      </c>
      <c r="V93" s="37">
        <f t="shared" si="10"/>
        <v>851.86981260252014</v>
      </c>
      <c r="X93" s="37">
        <f t="shared" ref="X93" si="11">SUM(R93:V93)</f>
        <v>3968.9223832459302</v>
      </c>
    </row>
    <row r="95" spans="1:24" s="1" customFormat="1">
      <c r="A95" s="4"/>
      <c r="B95" s="2" t="s">
        <v>80</v>
      </c>
    </row>
    <row r="97" spans="2:24">
      <c r="H97" s="190" t="s">
        <v>52</v>
      </c>
      <c r="I97" s="190"/>
      <c r="J97" s="190"/>
      <c r="K97" s="190"/>
      <c r="L97" s="190"/>
      <c r="M97" s="190" t="s">
        <v>53</v>
      </c>
      <c r="N97" s="190"/>
      <c r="O97" s="190"/>
      <c r="P97" s="190"/>
      <c r="Q97" s="190"/>
      <c r="R97" s="190" t="s">
        <v>54</v>
      </c>
      <c r="S97" s="190"/>
      <c r="T97" s="190"/>
      <c r="U97" s="190"/>
      <c r="V97" s="190"/>
      <c r="X97" s="38"/>
    </row>
    <row r="98" spans="2:24">
      <c r="B98" s="43" t="s">
        <v>81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63</v>
      </c>
    </row>
    <row r="99" spans="2:24">
      <c r="B99" s="5" t="s">
        <v>46</v>
      </c>
      <c r="D99" s="29" t="s">
        <v>55</v>
      </c>
      <c r="H99" s="16" t="s">
        <v>12</v>
      </c>
      <c r="I99" s="16" t="s">
        <v>12</v>
      </c>
      <c r="J99" s="16" t="s">
        <v>12</v>
      </c>
      <c r="K99" s="16" t="s">
        <v>12</v>
      </c>
      <c r="L99" s="16" t="s">
        <v>12</v>
      </c>
      <c r="M99" s="16" t="s">
        <v>12</v>
      </c>
      <c r="N99" s="16" t="s">
        <v>12</v>
      </c>
      <c r="O99" s="16" t="s">
        <v>12</v>
      </c>
      <c r="P99" s="16" t="s">
        <v>13</v>
      </c>
      <c r="Q99" s="16" t="s">
        <v>13</v>
      </c>
      <c r="R99" s="16" t="s">
        <v>13</v>
      </c>
      <c r="S99" s="16" t="s">
        <v>13</v>
      </c>
      <c r="T99" s="16" t="s">
        <v>13</v>
      </c>
      <c r="U99" s="16" t="s">
        <v>13</v>
      </c>
      <c r="V99" s="16" t="s">
        <v>13</v>
      </c>
      <c r="X99" s="34" t="s">
        <v>13</v>
      </c>
    </row>
    <row r="100" spans="2:24">
      <c r="B100" s="4" t="str">
        <f t="shared" ref="B100:B114" si="12">IF(B10&lt;&gt;"",B10,"[blank]")</f>
        <v>[blank]</v>
      </c>
      <c r="D100" s="31" t="s">
        <v>60</v>
      </c>
      <c r="O100" s="35"/>
      <c r="P100" s="35">
        <f t="shared" ref="P100:V104" si="13">$E10*P53</f>
        <v>0</v>
      </c>
      <c r="Q100" s="35">
        <f t="shared" si="13"/>
        <v>0</v>
      </c>
      <c r="R100" s="35">
        <f t="shared" si="13"/>
        <v>0</v>
      </c>
      <c r="S100" s="35">
        <f t="shared" si="13"/>
        <v>0</v>
      </c>
      <c r="T100" s="35">
        <f t="shared" si="13"/>
        <v>0</v>
      </c>
      <c r="U100" s="35">
        <f t="shared" si="13"/>
        <v>0</v>
      </c>
      <c r="V100" s="35">
        <f t="shared" si="13"/>
        <v>0</v>
      </c>
      <c r="X100" s="40">
        <f>SUM(R100:V100)</f>
        <v>0</v>
      </c>
    </row>
    <row r="101" spans="2:24">
      <c r="B101" s="4" t="str">
        <f t="shared" si="12"/>
        <v>[blank]</v>
      </c>
      <c r="D101" s="31" t="s">
        <v>60</v>
      </c>
      <c r="O101" s="50"/>
      <c r="P101" s="35">
        <f t="shared" si="13"/>
        <v>0</v>
      </c>
      <c r="Q101" s="35">
        <f t="shared" si="13"/>
        <v>0</v>
      </c>
      <c r="R101" s="35">
        <f t="shared" si="13"/>
        <v>0</v>
      </c>
      <c r="S101" s="35">
        <f t="shared" si="13"/>
        <v>0</v>
      </c>
      <c r="T101" s="35">
        <f t="shared" si="13"/>
        <v>0</v>
      </c>
      <c r="U101" s="35">
        <f t="shared" si="13"/>
        <v>0</v>
      </c>
      <c r="V101" s="35">
        <f t="shared" si="13"/>
        <v>0</v>
      </c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 t="s">
        <v>60</v>
      </c>
      <c r="P102" s="35">
        <f t="shared" si="13"/>
        <v>0</v>
      </c>
      <c r="Q102" s="35">
        <f t="shared" si="13"/>
        <v>0</v>
      </c>
      <c r="R102" s="35">
        <f t="shared" si="13"/>
        <v>0</v>
      </c>
      <c r="S102" s="35">
        <f t="shared" si="13"/>
        <v>0</v>
      </c>
      <c r="T102" s="35">
        <f t="shared" si="13"/>
        <v>0</v>
      </c>
      <c r="U102" s="35">
        <f t="shared" si="13"/>
        <v>0</v>
      </c>
      <c r="V102" s="35">
        <f t="shared" si="13"/>
        <v>0</v>
      </c>
      <c r="X102" s="40">
        <f t="shared" si="14"/>
        <v>0</v>
      </c>
    </row>
    <row r="103" spans="2:24">
      <c r="B103" s="4" t="str">
        <f t="shared" si="12"/>
        <v>[blank]</v>
      </c>
      <c r="D103" s="31" t="s">
        <v>60</v>
      </c>
      <c r="P103" s="35">
        <f t="shared" si="13"/>
        <v>0</v>
      </c>
      <c r="Q103" s="35">
        <f t="shared" si="13"/>
        <v>0</v>
      </c>
      <c r="R103" s="35">
        <f t="shared" si="13"/>
        <v>0</v>
      </c>
      <c r="S103" s="35">
        <f t="shared" si="13"/>
        <v>0</v>
      </c>
      <c r="T103" s="35">
        <f t="shared" si="13"/>
        <v>0</v>
      </c>
      <c r="U103" s="35">
        <f t="shared" si="13"/>
        <v>0</v>
      </c>
      <c r="V103" s="35">
        <f t="shared" si="13"/>
        <v>0</v>
      </c>
      <c r="X103" s="40">
        <f t="shared" si="14"/>
        <v>0</v>
      </c>
    </row>
    <row r="104" spans="2:24">
      <c r="B104" s="4" t="str">
        <f t="shared" si="12"/>
        <v>Other Works</v>
      </c>
      <c r="P104" s="35">
        <f t="shared" si="13"/>
        <v>0</v>
      </c>
      <c r="Q104" s="35">
        <f t="shared" si="13"/>
        <v>0</v>
      </c>
      <c r="R104" s="35">
        <f t="shared" si="13"/>
        <v>10159.045312735509</v>
      </c>
      <c r="S104" s="35">
        <f t="shared" si="13"/>
        <v>13632.728514462817</v>
      </c>
      <c r="T104" s="35">
        <f t="shared" si="13"/>
        <v>13745.448069414013</v>
      </c>
      <c r="U104" s="35">
        <f t="shared" si="13"/>
        <v>13894.145519003932</v>
      </c>
      <c r="V104" s="35">
        <f t="shared" si="13"/>
        <v>14055.851907941582</v>
      </c>
      <c r="X104" s="40">
        <f t="shared" si="14"/>
        <v>65487.21932355786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82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0</v>
      </c>
      <c r="R116" s="37">
        <f t="shared" si="15"/>
        <v>10159.045312735509</v>
      </c>
      <c r="S116" s="37">
        <f t="shared" si="15"/>
        <v>13632.728514462817</v>
      </c>
      <c r="T116" s="37">
        <f t="shared" si="15"/>
        <v>13745.448069414013</v>
      </c>
      <c r="U116" s="37">
        <f t="shared" si="15"/>
        <v>13894.145519003932</v>
      </c>
      <c r="V116" s="37">
        <f t="shared" si="15"/>
        <v>14055.851907941582</v>
      </c>
      <c r="X116" s="37">
        <f t="shared" ref="X116" si="16">SUM(R116:V116)</f>
        <v>65487.21932355786</v>
      </c>
    </row>
    <row r="118" spans="1:24" s="1" customFormat="1">
      <c r="A118" s="4"/>
      <c r="B118" s="2" t="s">
        <v>83</v>
      </c>
    </row>
    <row r="120" spans="1:24">
      <c r="H120" s="190" t="s">
        <v>52</v>
      </c>
      <c r="I120" s="190"/>
      <c r="J120" s="190"/>
      <c r="K120" s="190"/>
      <c r="L120" s="190"/>
      <c r="M120" s="190" t="s">
        <v>53</v>
      </c>
      <c r="N120" s="190"/>
      <c r="O120" s="190"/>
      <c r="P120" s="190"/>
      <c r="Q120" s="190"/>
      <c r="R120" s="190" t="s">
        <v>54</v>
      </c>
      <c r="S120" s="190"/>
      <c r="T120" s="190"/>
      <c r="U120" s="190"/>
      <c r="V120" s="190"/>
      <c r="X120" s="38"/>
    </row>
    <row r="121" spans="1:24">
      <c r="B121" s="43" t="s">
        <v>84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63</v>
      </c>
    </row>
    <row r="122" spans="1:24">
      <c r="B122" s="5" t="s">
        <v>46</v>
      </c>
      <c r="D122" s="29" t="s">
        <v>55</v>
      </c>
      <c r="H122" s="16" t="s">
        <v>12</v>
      </c>
      <c r="I122" s="16" t="s">
        <v>12</v>
      </c>
      <c r="J122" s="16" t="s">
        <v>12</v>
      </c>
      <c r="K122" s="16" t="s">
        <v>12</v>
      </c>
      <c r="L122" s="16" t="s">
        <v>12</v>
      </c>
      <c r="M122" s="16" t="s">
        <v>12</v>
      </c>
      <c r="N122" s="16" t="s">
        <v>12</v>
      </c>
      <c r="O122" s="16" t="s">
        <v>12</v>
      </c>
      <c r="P122" s="16" t="s">
        <v>13</v>
      </c>
      <c r="Q122" s="16" t="s">
        <v>13</v>
      </c>
      <c r="R122" s="16" t="s">
        <v>13</v>
      </c>
      <c r="S122" s="16" t="s">
        <v>13</v>
      </c>
      <c r="T122" s="16" t="s">
        <v>13</v>
      </c>
      <c r="U122" s="16" t="s">
        <v>13</v>
      </c>
      <c r="V122" s="16" t="s">
        <v>13</v>
      </c>
      <c r="X122" s="34" t="s">
        <v>13</v>
      </c>
    </row>
    <row r="123" spans="1:24">
      <c r="B123" s="4" t="str">
        <f t="shared" ref="B123:B137" si="17">IF(B10&lt;&gt;"",B10,"[blank]")</f>
        <v>[blank]</v>
      </c>
      <c r="D123" s="31" t="s">
        <v>60</v>
      </c>
      <c r="O123" s="35"/>
      <c r="P123" s="35">
        <f>P77+P100</f>
        <v>0</v>
      </c>
      <c r="Q123" s="35">
        <f t="shared" ref="Q123:V123" si="18">Q77+Q100</f>
        <v>0</v>
      </c>
      <c r="R123" s="35">
        <f t="shared" si="18"/>
        <v>0</v>
      </c>
      <c r="S123" s="35">
        <f t="shared" si="18"/>
        <v>0</v>
      </c>
      <c r="T123" s="35">
        <f t="shared" si="18"/>
        <v>0</v>
      </c>
      <c r="U123" s="35">
        <f t="shared" si="18"/>
        <v>0</v>
      </c>
      <c r="V123" s="35">
        <f t="shared" si="18"/>
        <v>0</v>
      </c>
      <c r="X123" s="40">
        <f>SUM(R123:V123)</f>
        <v>0</v>
      </c>
    </row>
    <row r="124" spans="1:24">
      <c r="B124" s="4" t="str">
        <f t="shared" si="17"/>
        <v>[blank]</v>
      </c>
      <c r="D124" s="31" t="s">
        <v>60</v>
      </c>
      <c r="O124" s="50"/>
      <c r="P124" s="35">
        <f t="shared" ref="P124:V127" si="19">P78+P101</f>
        <v>0</v>
      </c>
      <c r="Q124" s="35">
        <f t="shared" si="19"/>
        <v>0</v>
      </c>
      <c r="R124" s="35">
        <f t="shared" si="19"/>
        <v>0</v>
      </c>
      <c r="S124" s="35">
        <f t="shared" si="19"/>
        <v>0</v>
      </c>
      <c r="T124" s="35">
        <f t="shared" si="19"/>
        <v>0</v>
      </c>
      <c r="U124" s="35">
        <f t="shared" si="19"/>
        <v>0</v>
      </c>
      <c r="V124" s="35">
        <f t="shared" si="19"/>
        <v>0</v>
      </c>
      <c r="X124" s="40">
        <f t="shared" ref="X124:X137" si="20">SUM(R124:V124)</f>
        <v>0</v>
      </c>
    </row>
    <row r="125" spans="1:24">
      <c r="B125" s="4" t="str">
        <f t="shared" si="17"/>
        <v>[blank]</v>
      </c>
      <c r="D125" s="31" t="s">
        <v>60</v>
      </c>
      <c r="P125" s="35">
        <f t="shared" si="19"/>
        <v>0</v>
      </c>
      <c r="Q125" s="35">
        <f t="shared" si="19"/>
        <v>0</v>
      </c>
      <c r="R125" s="35">
        <f t="shared" si="19"/>
        <v>0</v>
      </c>
      <c r="S125" s="35">
        <f t="shared" si="19"/>
        <v>0</v>
      </c>
      <c r="T125" s="35">
        <f t="shared" si="19"/>
        <v>0</v>
      </c>
      <c r="U125" s="35">
        <f t="shared" si="19"/>
        <v>0</v>
      </c>
      <c r="V125" s="35">
        <f t="shared" si="19"/>
        <v>0</v>
      </c>
      <c r="X125" s="40">
        <f t="shared" si="20"/>
        <v>0</v>
      </c>
    </row>
    <row r="126" spans="1:24">
      <c r="B126" s="4" t="str">
        <f t="shared" si="17"/>
        <v>[blank]</v>
      </c>
      <c r="D126" s="31" t="s">
        <v>60</v>
      </c>
      <c r="P126" s="35">
        <f t="shared" si="19"/>
        <v>0</v>
      </c>
      <c r="Q126" s="35">
        <f t="shared" si="19"/>
        <v>0</v>
      </c>
      <c r="R126" s="35">
        <f t="shared" si="19"/>
        <v>0</v>
      </c>
      <c r="S126" s="35">
        <f t="shared" si="19"/>
        <v>0</v>
      </c>
      <c r="T126" s="35">
        <f t="shared" si="19"/>
        <v>0</v>
      </c>
      <c r="U126" s="35">
        <f t="shared" si="19"/>
        <v>0</v>
      </c>
      <c r="V126" s="35">
        <f t="shared" si="19"/>
        <v>0</v>
      </c>
      <c r="X126" s="40">
        <f t="shared" si="20"/>
        <v>0</v>
      </c>
    </row>
    <row r="127" spans="1:24">
      <c r="B127" s="4" t="str">
        <f t="shared" si="17"/>
        <v>Other Works</v>
      </c>
      <c r="P127" s="35">
        <f t="shared" si="19"/>
        <v>0</v>
      </c>
      <c r="Q127" s="35">
        <f t="shared" si="19"/>
        <v>0</v>
      </c>
      <c r="R127" s="35">
        <f t="shared" si="19"/>
        <v>10774.745028658872</v>
      </c>
      <c r="S127" s="35">
        <f t="shared" si="19"/>
        <v>14458.95448503632</v>
      </c>
      <c r="T127" s="35">
        <f t="shared" si="19"/>
        <v>14578.505528166377</v>
      </c>
      <c r="U127" s="35">
        <f t="shared" si="19"/>
        <v>14736.214944398111</v>
      </c>
      <c r="V127" s="35">
        <f t="shared" si="19"/>
        <v>14907.721720544101</v>
      </c>
      <c r="X127" s="40">
        <f t="shared" si="20"/>
        <v>69456.141706803784</v>
      </c>
    </row>
    <row r="128" spans="1:24">
      <c r="B128" s="4" t="str">
        <f t="shared" si="17"/>
        <v>[blank]</v>
      </c>
      <c r="X128" s="40">
        <f t="shared" si="20"/>
        <v>0</v>
      </c>
    </row>
    <row r="129" spans="1:24">
      <c r="B129" s="4" t="str">
        <f t="shared" si="17"/>
        <v>[blank]</v>
      </c>
      <c r="X129" s="40">
        <f t="shared" si="20"/>
        <v>0</v>
      </c>
    </row>
    <row r="130" spans="1:24">
      <c r="B130" s="4" t="str">
        <f t="shared" si="17"/>
        <v>[blank]</v>
      </c>
      <c r="X130" s="40">
        <f t="shared" si="20"/>
        <v>0</v>
      </c>
    </row>
    <row r="131" spans="1:24">
      <c r="B131" s="4" t="str">
        <f t="shared" si="17"/>
        <v>[blank]</v>
      </c>
      <c r="X131" s="40">
        <f t="shared" si="20"/>
        <v>0</v>
      </c>
    </row>
    <row r="132" spans="1:24">
      <c r="B132" s="4" t="str">
        <f t="shared" si="17"/>
        <v>[blank]</v>
      </c>
      <c r="X132" s="40">
        <f t="shared" si="20"/>
        <v>0</v>
      </c>
    </row>
    <row r="133" spans="1:24">
      <c r="B133" s="4" t="str">
        <f t="shared" si="17"/>
        <v>[blank]</v>
      </c>
      <c r="X133" s="40">
        <f t="shared" si="20"/>
        <v>0</v>
      </c>
    </row>
    <row r="134" spans="1:24">
      <c r="B134" s="4" t="str">
        <f t="shared" si="17"/>
        <v>[blank]</v>
      </c>
      <c r="X134" s="40">
        <f t="shared" si="20"/>
        <v>0</v>
      </c>
    </row>
    <row r="135" spans="1:24">
      <c r="B135" s="4" t="str">
        <f t="shared" si="17"/>
        <v>[blank]</v>
      </c>
      <c r="X135" s="40">
        <f t="shared" si="20"/>
        <v>0</v>
      </c>
    </row>
    <row r="136" spans="1:24">
      <c r="B136" s="4" t="str">
        <f t="shared" si="17"/>
        <v>[blank]</v>
      </c>
      <c r="X136" s="40">
        <f t="shared" si="20"/>
        <v>0</v>
      </c>
    </row>
    <row r="137" spans="1:24">
      <c r="B137" s="4" t="str">
        <f t="shared" si="17"/>
        <v>[blank]</v>
      </c>
      <c r="X137" s="40">
        <f t="shared" si="20"/>
        <v>0</v>
      </c>
    </row>
    <row r="139" spans="1:24" ht="12.75" thickBot="1">
      <c r="B139" s="5" t="s">
        <v>85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1">SUM(Q123:Q137)</f>
        <v>0</v>
      </c>
      <c r="R139" s="37">
        <f t="shared" si="21"/>
        <v>10774.745028658872</v>
      </c>
      <c r="S139" s="37">
        <f t="shared" si="21"/>
        <v>14458.95448503632</v>
      </c>
      <c r="T139" s="37">
        <f t="shared" si="21"/>
        <v>14578.505528166377</v>
      </c>
      <c r="U139" s="37">
        <f t="shared" si="21"/>
        <v>14736.214944398111</v>
      </c>
      <c r="V139" s="37">
        <f t="shared" si="21"/>
        <v>14907.721720544101</v>
      </c>
      <c r="X139" s="37">
        <f t="shared" ref="X139" si="22">SUM(R139:V139)</f>
        <v>69456.141706803784</v>
      </c>
    </row>
    <row r="141" spans="1:24" s="1" customFormat="1">
      <c r="A141" s="4"/>
      <c r="B141" s="2" t="s">
        <v>86</v>
      </c>
    </row>
    <row r="143" spans="1:24">
      <c r="H143" s="190" t="s">
        <v>52</v>
      </c>
      <c r="I143" s="190"/>
      <c r="J143" s="190"/>
      <c r="K143" s="190"/>
      <c r="L143" s="190"/>
      <c r="M143" s="190" t="s">
        <v>53</v>
      </c>
      <c r="N143" s="190"/>
      <c r="O143" s="190"/>
      <c r="P143" s="190"/>
      <c r="Q143" s="190"/>
      <c r="R143" s="190" t="s">
        <v>54</v>
      </c>
      <c r="S143" s="190"/>
      <c r="T143" s="190"/>
      <c r="U143" s="190"/>
      <c r="V143" s="190"/>
      <c r="X143" s="38"/>
    </row>
    <row r="144" spans="1:24">
      <c r="B144" s="44" t="s">
        <v>50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63</v>
      </c>
    </row>
    <row r="145" spans="2:24">
      <c r="B145" s="5" t="s">
        <v>46</v>
      </c>
      <c r="D145" s="29" t="s">
        <v>55</v>
      </c>
      <c r="H145" s="16" t="s">
        <v>12</v>
      </c>
      <c r="I145" s="16" t="s">
        <v>12</v>
      </c>
      <c r="J145" s="16" t="s">
        <v>12</v>
      </c>
      <c r="K145" s="16" t="s">
        <v>12</v>
      </c>
      <c r="L145" s="16" t="s">
        <v>12</v>
      </c>
      <c r="M145" s="16" t="s">
        <v>12</v>
      </c>
      <c r="N145" s="16" t="s">
        <v>12</v>
      </c>
      <c r="O145" s="16" t="s">
        <v>12</v>
      </c>
      <c r="P145" s="16" t="s">
        <v>13</v>
      </c>
      <c r="Q145" s="16" t="s">
        <v>13</v>
      </c>
      <c r="R145" s="16" t="s">
        <v>13</v>
      </c>
      <c r="S145" s="16" t="s">
        <v>13</v>
      </c>
      <c r="T145" s="16" t="s">
        <v>13</v>
      </c>
      <c r="U145" s="16" t="s">
        <v>13</v>
      </c>
      <c r="V145" s="16" t="s">
        <v>13</v>
      </c>
      <c r="X145" s="34" t="s">
        <v>13</v>
      </c>
    </row>
    <row r="146" spans="2:24">
      <c r="B146" s="4" t="str">
        <f t="shared" ref="B146:B160" si="23">IF(B10&lt;&gt;"",B10,"[blank]")</f>
        <v>[blank]</v>
      </c>
      <c r="D146" s="31" t="s">
        <v>60</v>
      </c>
      <c r="O146" s="35"/>
      <c r="P146" s="35">
        <f t="shared" ref="P146:V150" si="24">$G10*P53</f>
        <v>0</v>
      </c>
      <c r="Q146" s="35">
        <f t="shared" si="24"/>
        <v>0</v>
      </c>
      <c r="R146" s="35">
        <f t="shared" si="24"/>
        <v>0</v>
      </c>
      <c r="S146" s="35">
        <f t="shared" si="24"/>
        <v>0</v>
      </c>
      <c r="T146" s="35">
        <f t="shared" si="24"/>
        <v>0</v>
      </c>
      <c r="U146" s="35">
        <f t="shared" si="24"/>
        <v>0</v>
      </c>
      <c r="V146" s="35">
        <f t="shared" si="24"/>
        <v>0</v>
      </c>
      <c r="X146" s="40">
        <f>SUM(R146:V146)</f>
        <v>0</v>
      </c>
    </row>
    <row r="147" spans="2:24">
      <c r="B147" s="4" t="str">
        <f t="shared" si="23"/>
        <v>[blank]</v>
      </c>
      <c r="D147" s="31" t="s">
        <v>60</v>
      </c>
      <c r="O147" s="50"/>
      <c r="P147" s="35">
        <f t="shared" si="24"/>
        <v>0</v>
      </c>
      <c r="Q147" s="35">
        <f t="shared" si="24"/>
        <v>0</v>
      </c>
      <c r="R147" s="35">
        <f t="shared" si="24"/>
        <v>0</v>
      </c>
      <c r="S147" s="35">
        <f t="shared" si="24"/>
        <v>0</v>
      </c>
      <c r="T147" s="35">
        <f t="shared" si="24"/>
        <v>0</v>
      </c>
      <c r="U147" s="35">
        <f t="shared" si="24"/>
        <v>0</v>
      </c>
      <c r="V147" s="35">
        <f t="shared" si="24"/>
        <v>0</v>
      </c>
      <c r="X147" s="40">
        <f t="shared" ref="X147:X160" si="25">SUM(R147:V147)</f>
        <v>0</v>
      </c>
    </row>
    <row r="148" spans="2:24">
      <c r="B148" s="4" t="str">
        <f t="shared" si="23"/>
        <v>[blank]</v>
      </c>
      <c r="D148" s="31" t="s">
        <v>60</v>
      </c>
      <c r="P148" s="35">
        <f t="shared" si="24"/>
        <v>0</v>
      </c>
      <c r="Q148" s="35">
        <f t="shared" si="24"/>
        <v>0</v>
      </c>
      <c r="R148" s="35">
        <f t="shared" si="24"/>
        <v>0</v>
      </c>
      <c r="S148" s="35">
        <f t="shared" si="24"/>
        <v>0</v>
      </c>
      <c r="T148" s="35">
        <f t="shared" si="24"/>
        <v>0</v>
      </c>
      <c r="U148" s="35">
        <f t="shared" si="24"/>
        <v>0</v>
      </c>
      <c r="V148" s="35">
        <f t="shared" si="24"/>
        <v>0</v>
      </c>
      <c r="X148" s="40">
        <f t="shared" si="25"/>
        <v>0</v>
      </c>
    </row>
    <row r="149" spans="2:24">
      <c r="B149" s="4" t="str">
        <f t="shared" si="23"/>
        <v>[blank]</v>
      </c>
      <c r="D149" s="31" t="s">
        <v>60</v>
      </c>
      <c r="P149" s="35">
        <f t="shared" si="24"/>
        <v>0</v>
      </c>
      <c r="Q149" s="35">
        <f t="shared" si="24"/>
        <v>0</v>
      </c>
      <c r="R149" s="35">
        <f t="shared" si="24"/>
        <v>0</v>
      </c>
      <c r="S149" s="35">
        <f t="shared" si="24"/>
        <v>0</v>
      </c>
      <c r="T149" s="35">
        <f t="shared" si="24"/>
        <v>0</v>
      </c>
      <c r="U149" s="35">
        <f t="shared" si="24"/>
        <v>0</v>
      </c>
      <c r="V149" s="35">
        <f t="shared" si="24"/>
        <v>0</v>
      </c>
      <c r="X149" s="40">
        <f t="shared" si="25"/>
        <v>0</v>
      </c>
    </row>
    <row r="150" spans="2:24">
      <c r="B150" s="4" t="str">
        <f t="shared" si="23"/>
        <v>Other Works</v>
      </c>
      <c r="P150" s="35">
        <f t="shared" si="24"/>
        <v>0</v>
      </c>
      <c r="Q150" s="35">
        <f t="shared" si="24"/>
        <v>0</v>
      </c>
      <c r="R150" s="35">
        <f t="shared" si="24"/>
        <v>4617.7478694252295</v>
      </c>
      <c r="S150" s="35">
        <f t="shared" si="24"/>
        <v>6196.6947793012787</v>
      </c>
      <c r="T150" s="35">
        <f t="shared" si="24"/>
        <v>6247.930940642731</v>
      </c>
      <c r="U150" s="35">
        <f t="shared" si="24"/>
        <v>6315.5206904563311</v>
      </c>
      <c r="V150" s="35">
        <f t="shared" si="24"/>
        <v>6389.0235945188997</v>
      </c>
      <c r="X150" s="40">
        <f t="shared" si="25"/>
        <v>29766.917874344472</v>
      </c>
    </row>
    <row r="151" spans="2:24">
      <c r="B151" s="4" t="str">
        <f t="shared" si="23"/>
        <v>[blank]</v>
      </c>
      <c r="X151" s="40">
        <f t="shared" si="25"/>
        <v>0</v>
      </c>
    </row>
    <row r="152" spans="2:24">
      <c r="B152" s="4" t="str">
        <f t="shared" si="23"/>
        <v>[blank]</v>
      </c>
      <c r="X152" s="40">
        <f t="shared" si="25"/>
        <v>0</v>
      </c>
    </row>
    <row r="153" spans="2:24">
      <c r="B153" s="4" t="str">
        <f t="shared" si="23"/>
        <v>[blank]</v>
      </c>
      <c r="X153" s="40">
        <f t="shared" si="25"/>
        <v>0</v>
      </c>
    </row>
    <row r="154" spans="2:24">
      <c r="B154" s="4" t="str">
        <f t="shared" si="23"/>
        <v>[blank]</v>
      </c>
      <c r="X154" s="40">
        <f t="shared" si="25"/>
        <v>0</v>
      </c>
    </row>
    <row r="155" spans="2:24">
      <c r="B155" s="4" t="str">
        <f t="shared" si="23"/>
        <v>[blank]</v>
      </c>
      <c r="X155" s="40">
        <f t="shared" si="25"/>
        <v>0</v>
      </c>
    </row>
    <row r="156" spans="2:24">
      <c r="B156" s="4" t="str">
        <f t="shared" si="23"/>
        <v>[blank]</v>
      </c>
      <c r="X156" s="40">
        <f t="shared" si="25"/>
        <v>0</v>
      </c>
    </row>
    <row r="157" spans="2:24">
      <c r="B157" s="4" t="str">
        <f t="shared" si="23"/>
        <v>[blank]</v>
      </c>
      <c r="X157" s="40">
        <f t="shared" si="25"/>
        <v>0</v>
      </c>
    </row>
    <row r="158" spans="2:24">
      <c r="B158" s="4" t="str">
        <f t="shared" si="23"/>
        <v>[blank]</v>
      </c>
      <c r="X158" s="40">
        <f t="shared" si="25"/>
        <v>0</v>
      </c>
    </row>
    <row r="159" spans="2:24">
      <c r="B159" s="4" t="str">
        <f t="shared" si="23"/>
        <v>[blank]</v>
      </c>
      <c r="X159" s="40">
        <f t="shared" si="25"/>
        <v>0</v>
      </c>
    </row>
    <row r="160" spans="2:24">
      <c r="B160" s="4" t="str">
        <f t="shared" si="23"/>
        <v>[blank]</v>
      </c>
      <c r="X160" s="40">
        <f t="shared" si="25"/>
        <v>0</v>
      </c>
    </row>
    <row r="162" spans="1:24" ht="12.75" thickBot="1">
      <c r="B162" s="5" t="s">
        <v>87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6">SUM(Q146:Q160)</f>
        <v>0</v>
      </c>
      <c r="R162" s="37">
        <f t="shared" si="26"/>
        <v>4617.7478694252295</v>
      </c>
      <c r="S162" s="37">
        <f t="shared" si="26"/>
        <v>6196.6947793012787</v>
      </c>
      <c r="T162" s="37">
        <f t="shared" si="26"/>
        <v>6247.930940642731</v>
      </c>
      <c r="U162" s="37">
        <f t="shared" si="26"/>
        <v>6315.5206904563311</v>
      </c>
      <c r="V162" s="37">
        <f t="shared" si="26"/>
        <v>6389.0235945188997</v>
      </c>
      <c r="X162" s="37">
        <f t="shared" ref="X162" si="27">SUM(R162:V162)</f>
        <v>29766.917874344472</v>
      </c>
    </row>
    <row r="164" spans="1:24" s="1" customFormat="1">
      <c r="A164" s="2">
        <v>5</v>
      </c>
      <c r="B164" s="2" t="s">
        <v>89</v>
      </c>
    </row>
    <row r="166" spans="1:24">
      <c r="H166" s="190" t="s">
        <v>52</v>
      </c>
      <c r="I166" s="190"/>
      <c r="J166" s="190"/>
      <c r="K166" s="190"/>
      <c r="L166" s="190"/>
      <c r="M166" s="190" t="s">
        <v>53</v>
      </c>
      <c r="N166" s="190"/>
      <c r="O166" s="190"/>
      <c r="P166" s="190"/>
      <c r="Q166" s="190"/>
      <c r="R166" s="190" t="s">
        <v>54</v>
      </c>
      <c r="S166" s="190"/>
      <c r="T166" s="190"/>
      <c r="U166" s="190"/>
      <c r="V166" s="190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63</v>
      </c>
    </row>
    <row r="168" spans="1:24">
      <c r="B168" s="5" t="s">
        <v>46</v>
      </c>
      <c r="D168" s="29" t="s">
        <v>55</v>
      </c>
      <c r="H168" s="16" t="s">
        <v>12</v>
      </c>
      <c r="I168" s="16" t="s">
        <v>12</v>
      </c>
      <c r="J168" s="16" t="s">
        <v>12</v>
      </c>
      <c r="K168" s="16" t="s">
        <v>12</v>
      </c>
      <c r="L168" s="16" t="s">
        <v>12</v>
      </c>
      <c r="M168" s="16" t="s">
        <v>12</v>
      </c>
      <c r="N168" s="16" t="s">
        <v>12</v>
      </c>
      <c r="O168" s="16" t="s">
        <v>12</v>
      </c>
      <c r="P168" s="16" t="s">
        <v>13</v>
      </c>
      <c r="Q168" s="16" t="s">
        <v>13</v>
      </c>
      <c r="R168" s="16" t="s">
        <v>13</v>
      </c>
      <c r="S168" s="16" t="s">
        <v>13</v>
      </c>
      <c r="T168" s="16" t="s">
        <v>13</v>
      </c>
      <c r="U168" s="16" t="s">
        <v>13</v>
      </c>
      <c r="V168" s="16" t="s">
        <v>13</v>
      </c>
      <c r="X168" s="34" t="s">
        <v>13</v>
      </c>
    </row>
    <row r="169" spans="1:24">
      <c r="B169" s="4" t="str">
        <f t="shared" ref="B169:B183" si="28">IF(B10&lt;&gt;"",B10,"[blank]")</f>
        <v>[blank]</v>
      </c>
      <c r="D169" s="31" t="s">
        <v>60</v>
      </c>
      <c r="O169" s="35"/>
      <c r="P169" s="35">
        <f>P53*P$188</f>
        <v>0</v>
      </c>
      <c r="Q169" s="35">
        <f t="shared" ref="Q169:V169" si="29">Q53*Q$188</f>
        <v>0</v>
      </c>
      <c r="R169" s="35">
        <f t="shared" si="29"/>
        <v>0</v>
      </c>
      <c r="S169" s="35">
        <f t="shared" si="29"/>
        <v>0</v>
      </c>
      <c r="T169" s="35">
        <f t="shared" si="29"/>
        <v>0</v>
      </c>
      <c r="U169" s="35">
        <f t="shared" si="29"/>
        <v>0</v>
      </c>
      <c r="V169" s="35">
        <f t="shared" si="29"/>
        <v>0</v>
      </c>
      <c r="X169" s="40">
        <f>SUM(R169:V169)</f>
        <v>0</v>
      </c>
    </row>
    <row r="170" spans="1:24">
      <c r="B170" s="4" t="str">
        <f t="shared" si="28"/>
        <v>[blank]</v>
      </c>
      <c r="D170" s="31" t="s">
        <v>60</v>
      </c>
      <c r="O170" s="50"/>
      <c r="P170" s="35">
        <f t="shared" ref="P170:V173" si="30">P54*P$188</f>
        <v>0</v>
      </c>
      <c r="Q170" s="35">
        <f t="shared" si="30"/>
        <v>0</v>
      </c>
      <c r="R170" s="35">
        <f t="shared" si="30"/>
        <v>0</v>
      </c>
      <c r="S170" s="35">
        <f t="shared" si="30"/>
        <v>0</v>
      </c>
      <c r="T170" s="35">
        <f t="shared" si="30"/>
        <v>0</v>
      </c>
      <c r="U170" s="35">
        <f t="shared" si="30"/>
        <v>0</v>
      </c>
      <c r="V170" s="35">
        <f t="shared" si="30"/>
        <v>0</v>
      </c>
      <c r="X170" s="40">
        <f t="shared" ref="X170:X183" si="31">SUM(R170:V170)</f>
        <v>0</v>
      </c>
    </row>
    <row r="171" spans="1:24">
      <c r="B171" s="4" t="str">
        <f t="shared" si="28"/>
        <v>[blank]</v>
      </c>
      <c r="D171" s="31" t="s">
        <v>60</v>
      </c>
      <c r="P171" s="35">
        <f t="shared" si="30"/>
        <v>0</v>
      </c>
      <c r="Q171" s="35">
        <f t="shared" si="30"/>
        <v>0</v>
      </c>
      <c r="R171" s="35">
        <f t="shared" si="30"/>
        <v>0</v>
      </c>
      <c r="S171" s="35">
        <f t="shared" si="30"/>
        <v>0</v>
      </c>
      <c r="T171" s="35">
        <f t="shared" si="30"/>
        <v>0</v>
      </c>
      <c r="U171" s="35">
        <f t="shared" si="30"/>
        <v>0</v>
      </c>
      <c r="V171" s="35">
        <f t="shared" si="30"/>
        <v>0</v>
      </c>
      <c r="X171" s="40">
        <f t="shared" si="31"/>
        <v>0</v>
      </c>
    </row>
    <row r="172" spans="1:24">
      <c r="B172" s="4" t="str">
        <f t="shared" si="28"/>
        <v>[blank]</v>
      </c>
      <c r="D172" s="31" t="s">
        <v>60</v>
      </c>
      <c r="P172" s="35">
        <f t="shared" si="30"/>
        <v>0</v>
      </c>
      <c r="Q172" s="35">
        <f t="shared" si="30"/>
        <v>0</v>
      </c>
      <c r="R172" s="35">
        <f t="shared" si="30"/>
        <v>0</v>
      </c>
      <c r="S172" s="35">
        <f t="shared" si="30"/>
        <v>0</v>
      </c>
      <c r="T172" s="35">
        <f t="shared" si="30"/>
        <v>0</v>
      </c>
      <c r="U172" s="35">
        <f t="shared" si="30"/>
        <v>0</v>
      </c>
      <c r="V172" s="35">
        <f t="shared" si="30"/>
        <v>0</v>
      </c>
      <c r="X172" s="40">
        <f t="shared" si="31"/>
        <v>0</v>
      </c>
    </row>
    <row r="173" spans="1:24">
      <c r="B173" s="4" t="str">
        <f t="shared" si="28"/>
        <v>Other Works</v>
      </c>
      <c r="P173" s="35">
        <f t="shared" si="30"/>
        <v>0</v>
      </c>
      <c r="Q173" s="35">
        <f t="shared" si="30"/>
        <v>0</v>
      </c>
      <c r="R173" s="35">
        <f t="shared" si="30"/>
        <v>1110.8886687846809</v>
      </c>
      <c r="S173" s="35">
        <f t="shared" si="30"/>
        <v>1575.2637675675596</v>
      </c>
      <c r="T173" s="35">
        <f t="shared" si="30"/>
        <v>1612.5213887424093</v>
      </c>
      <c r="U173" s="35">
        <f t="shared" si="30"/>
        <v>1720.256948886047</v>
      </c>
      <c r="V173" s="35">
        <f t="shared" si="30"/>
        <v>1797.2875797645938</v>
      </c>
      <c r="X173" s="40">
        <f t="shared" si="31"/>
        <v>7816.2183537452902</v>
      </c>
    </row>
    <row r="174" spans="1:24">
      <c r="B174" s="4" t="str">
        <f t="shared" si="28"/>
        <v>[blank]</v>
      </c>
      <c r="X174" s="40">
        <f t="shared" si="31"/>
        <v>0</v>
      </c>
    </row>
    <row r="175" spans="1:24">
      <c r="B175" s="4" t="str">
        <f t="shared" si="28"/>
        <v>[blank]</v>
      </c>
      <c r="X175" s="40">
        <f t="shared" si="31"/>
        <v>0</v>
      </c>
    </row>
    <row r="176" spans="1:24">
      <c r="B176" s="4" t="str">
        <f t="shared" si="28"/>
        <v>[blank]</v>
      </c>
      <c r="X176" s="40">
        <f t="shared" si="31"/>
        <v>0</v>
      </c>
    </row>
    <row r="177" spans="2:24">
      <c r="B177" s="4" t="str">
        <f t="shared" si="28"/>
        <v>[blank]</v>
      </c>
      <c r="X177" s="40">
        <f t="shared" si="31"/>
        <v>0</v>
      </c>
    </row>
    <row r="178" spans="2:24">
      <c r="B178" s="4" t="str">
        <f t="shared" si="28"/>
        <v>[blank]</v>
      </c>
      <c r="X178" s="40">
        <f t="shared" si="31"/>
        <v>0</v>
      </c>
    </row>
    <row r="179" spans="2:24">
      <c r="B179" s="4" t="str">
        <f t="shared" si="28"/>
        <v>[blank]</v>
      </c>
      <c r="X179" s="40">
        <f t="shared" si="31"/>
        <v>0</v>
      </c>
    </row>
    <row r="180" spans="2:24">
      <c r="B180" s="4" t="str">
        <f t="shared" si="28"/>
        <v>[blank]</v>
      </c>
      <c r="X180" s="40">
        <f t="shared" si="31"/>
        <v>0</v>
      </c>
    </row>
    <row r="181" spans="2:24">
      <c r="B181" s="4" t="str">
        <f t="shared" si="28"/>
        <v>[blank]</v>
      </c>
      <c r="X181" s="40">
        <f t="shared" si="31"/>
        <v>0</v>
      </c>
    </row>
    <row r="182" spans="2:24">
      <c r="B182" s="4" t="str">
        <f t="shared" si="28"/>
        <v>[blank]</v>
      </c>
      <c r="X182" s="40">
        <f t="shared" si="31"/>
        <v>0</v>
      </c>
    </row>
    <row r="183" spans="2:24">
      <c r="B183" s="4" t="str">
        <f t="shared" si="28"/>
        <v>[blank]</v>
      </c>
      <c r="X183" s="40">
        <f t="shared" si="31"/>
        <v>0</v>
      </c>
    </row>
    <row r="185" spans="2:24" ht="12.75" thickBot="1">
      <c r="B185" s="5" t="s">
        <v>88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2">SUM(Q169:Q183)</f>
        <v>0</v>
      </c>
      <c r="R185" s="37">
        <f t="shared" si="32"/>
        <v>1110.8886687846809</v>
      </c>
      <c r="S185" s="37">
        <f t="shared" si="32"/>
        <v>1575.2637675675596</v>
      </c>
      <c r="T185" s="37">
        <f t="shared" si="32"/>
        <v>1612.5213887424093</v>
      </c>
      <c r="U185" s="37">
        <f t="shared" si="32"/>
        <v>1720.256948886047</v>
      </c>
      <c r="V185" s="37">
        <f t="shared" si="32"/>
        <v>1797.2875797645938</v>
      </c>
      <c r="X185" s="37">
        <f t="shared" ref="X185" si="33">SUM(R185:V185)</f>
        <v>7816.2183537452902</v>
      </c>
    </row>
    <row r="187" spans="2:24">
      <c r="B187" s="4" t="s">
        <v>92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4">Q69</f>
        <v>0</v>
      </c>
      <c r="R187" s="45">
        <f t="shared" si="34"/>
        <v>15392.492898084103</v>
      </c>
      <c r="S187" s="45">
        <f t="shared" si="34"/>
        <v>20655.6492643376</v>
      </c>
      <c r="T187" s="45">
        <f t="shared" si="34"/>
        <v>20826.436468809108</v>
      </c>
      <c r="U187" s="45">
        <f t="shared" si="34"/>
        <v>21051.735634854442</v>
      </c>
      <c r="V187" s="45">
        <f t="shared" si="34"/>
        <v>21296.745315063003</v>
      </c>
      <c r="W187" s="45"/>
      <c r="X187" s="40">
        <f t="shared" si="34"/>
        <v>99223.059581148249</v>
      </c>
    </row>
    <row r="188" spans="2:24">
      <c r="B188" s="4" t="s">
        <v>90</v>
      </c>
      <c r="H188" s="21" t="str">
        <f>IFERROR(H192/H187,"")</f>
        <v/>
      </c>
      <c r="I188" s="21" t="str">
        <f t="shared" ref="I188:O188" si="35">IFERROR(I192/I187,"")</f>
        <v/>
      </c>
      <c r="J188" s="21" t="str">
        <f t="shared" si="35"/>
        <v/>
      </c>
      <c r="K188" s="21" t="str">
        <f t="shared" si="35"/>
        <v/>
      </c>
      <c r="L188" s="21" t="str">
        <f t="shared" si="35"/>
        <v/>
      </c>
      <c r="M188" s="21" t="str">
        <f t="shared" si="35"/>
        <v/>
      </c>
      <c r="N188" s="21" t="str">
        <f t="shared" si="35"/>
        <v/>
      </c>
      <c r="O188" s="21" t="str">
        <f t="shared" si="35"/>
        <v/>
      </c>
      <c r="P188" s="21">
        <f>'General assumptions'!S64</f>
        <v>0</v>
      </c>
      <c r="Q188" s="21">
        <f>'General assumptions'!T64</f>
        <v>7.4841697077734692E-2</v>
      </c>
      <c r="R188" s="21">
        <f>'General assumptions'!U64</f>
        <v>7.2170809247081261E-2</v>
      </c>
      <c r="S188" s="21">
        <f>'General assumptions'!V64</f>
        <v>7.6263096231367788E-2</v>
      </c>
      <c r="T188" s="21">
        <f>'General assumptions'!W64</f>
        <v>7.7426658716070601E-2</v>
      </c>
      <c r="U188" s="21">
        <f>'General assumptions'!X64</f>
        <v>8.1715682674538839E-2</v>
      </c>
      <c r="V188" s="21">
        <f>'General assumptions'!Y64</f>
        <v>8.4392593946897035E-2</v>
      </c>
      <c r="W188" s="21"/>
      <c r="X188" s="75">
        <f>X185/X187</f>
        <v>7.8774212231914706E-2</v>
      </c>
    </row>
    <row r="190" spans="2:24" ht="12.75" thickBot="1">
      <c r="B190" s="5" t="s">
        <v>91</v>
      </c>
      <c r="H190" s="37">
        <f t="shared" ref="H190:N190" si="36">IF(H168="forecast",H187*(1+H188),H187+H192)</f>
        <v>0</v>
      </c>
      <c r="I190" s="37">
        <f t="shared" si="36"/>
        <v>0</v>
      </c>
      <c r="J190" s="37">
        <f t="shared" si="36"/>
        <v>0</v>
      </c>
      <c r="K190" s="37">
        <f t="shared" si="36"/>
        <v>0</v>
      </c>
      <c r="L190" s="37">
        <f t="shared" si="36"/>
        <v>0</v>
      </c>
      <c r="M190" s="37">
        <f t="shared" si="36"/>
        <v>0</v>
      </c>
      <c r="N190" s="37">
        <f t="shared" si="36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7">IF(Q168="forecast",Q187*(1+Q188),Q187+Q192)</f>
        <v>0</v>
      </c>
      <c r="R190" s="37">
        <f t="shared" si="37"/>
        <v>16503.381566868782</v>
      </c>
      <c r="S190" s="37">
        <f t="shared" si="37"/>
        <v>22230.913031905158</v>
      </c>
      <c r="T190" s="37">
        <f t="shared" si="37"/>
        <v>22438.957857551515</v>
      </c>
      <c r="U190" s="37">
        <f t="shared" si="37"/>
        <v>22771.992583740488</v>
      </c>
      <c r="V190" s="37">
        <f t="shared" si="37"/>
        <v>23094.032894827596</v>
      </c>
      <c r="X190" s="37">
        <f t="shared" ref="X190" si="38">IF(X168="forecast",X187*(1+X188),X187+X192)</f>
        <v>107039.27793489353</v>
      </c>
    </row>
    <row r="192" spans="2:24">
      <c r="B192" s="4" t="s">
        <v>18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9">Q190-Q187</f>
        <v>0</v>
      </c>
      <c r="R192" s="45">
        <f t="shared" si="39"/>
        <v>1110.8886687846789</v>
      </c>
      <c r="S192" s="45">
        <f t="shared" si="39"/>
        <v>1575.2637675675578</v>
      </c>
      <c r="T192" s="45">
        <f t="shared" si="39"/>
        <v>1612.521388742407</v>
      </c>
      <c r="U192" s="45">
        <f t="shared" si="39"/>
        <v>1720.2569488860463</v>
      </c>
      <c r="V192" s="45">
        <f t="shared" si="39"/>
        <v>1797.2875797645938</v>
      </c>
      <c r="X192" s="40">
        <f t="shared" ref="X192" si="40">X190-X187</f>
        <v>7816.2183537452802</v>
      </c>
    </row>
    <row r="194" spans="1:24" s="1" customFormat="1">
      <c r="A194" s="2">
        <v>6</v>
      </c>
      <c r="B194" s="2" t="s">
        <v>74</v>
      </c>
    </row>
    <row r="196" spans="1:24">
      <c r="H196" s="190" t="s">
        <v>52</v>
      </c>
      <c r="I196" s="190"/>
      <c r="J196" s="190"/>
      <c r="K196" s="190"/>
      <c r="L196" s="190"/>
      <c r="M196" s="190" t="s">
        <v>53</v>
      </c>
      <c r="N196" s="190"/>
      <c r="O196" s="190"/>
      <c r="P196" s="190"/>
      <c r="Q196" s="190"/>
      <c r="R196" s="190" t="s">
        <v>54</v>
      </c>
      <c r="S196" s="190"/>
      <c r="T196" s="190"/>
      <c r="U196" s="190"/>
      <c r="V196" s="190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63</v>
      </c>
    </row>
    <row r="198" spans="1:24">
      <c r="D198" s="29" t="s">
        <v>55</v>
      </c>
      <c r="H198" s="16" t="s">
        <v>12</v>
      </c>
      <c r="I198" s="16" t="s">
        <v>12</v>
      </c>
      <c r="J198" s="16" t="s">
        <v>12</v>
      </c>
      <c r="K198" s="16" t="s">
        <v>12</v>
      </c>
      <c r="L198" s="16" t="s">
        <v>12</v>
      </c>
      <c r="M198" s="16" t="s">
        <v>12</v>
      </c>
      <c r="N198" s="16" t="s">
        <v>12</v>
      </c>
      <c r="O198" s="16" t="s">
        <v>12</v>
      </c>
      <c r="P198" s="16" t="s">
        <v>13</v>
      </c>
      <c r="Q198" s="16" t="s">
        <v>13</v>
      </c>
      <c r="R198" s="16" t="s">
        <v>13</v>
      </c>
      <c r="S198" s="16" t="s">
        <v>13</v>
      </c>
      <c r="T198" s="16" t="s">
        <v>13</v>
      </c>
      <c r="U198" s="16" t="s">
        <v>13</v>
      </c>
      <c r="V198" s="16" t="s">
        <v>13</v>
      </c>
      <c r="X198" s="34" t="s">
        <v>13</v>
      </c>
    </row>
    <row r="199" spans="1:24">
      <c r="B199" s="5" t="s">
        <v>94</v>
      </c>
      <c r="D199" s="31" t="s">
        <v>105</v>
      </c>
      <c r="H199" s="4" t="str">
        <f t="shared" ref="H199:O199" si="41">IFERROR(-H218/H190,"")</f>
        <v/>
      </c>
      <c r="I199" s="4" t="str">
        <f t="shared" si="41"/>
        <v/>
      </c>
      <c r="J199" s="4" t="str">
        <f t="shared" si="41"/>
        <v/>
      </c>
      <c r="K199" s="4" t="str">
        <f t="shared" si="41"/>
        <v/>
      </c>
      <c r="L199" s="4" t="str">
        <f t="shared" si="41"/>
        <v/>
      </c>
      <c r="M199" s="4" t="str">
        <f t="shared" si="41"/>
        <v/>
      </c>
      <c r="N199" s="4" t="str">
        <f t="shared" si="41"/>
        <v/>
      </c>
      <c r="O199" s="4" t="str">
        <f t="shared" si="41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46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2">IF(B10&lt;&gt;"",B10,"[blank]")</f>
        <v>[blank]</v>
      </c>
      <c r="D202" s="31" t="s">
        <v>60</v>
      </c>
      <c r="P202" s="45">
        <f>(-P53*(1+P$188))*P$199</f>
        <v>0</v>
      </c>
      <c r="Q202" s="45">
        <f t="shared" ref="Q202:V202" si="43">(-Q53*(1+Q$188))*Q$199</f>
        <v>0</v>
      </c>
      <c r="R202" s="45">
        <f t="shared" si="43"/>
        <v>0</v>
      </c>
      <c r="S202" s="45">
        <f t="shared" si="43"/>
        <v>0</v>
      </c>
      <c r="T202" s="45">
        <f t="shared" si="43"/>
        <v>0</v>
      </c>
      <c r="U202" s="45">
        <f t="shared" si="43"/>
        <v>0</v>
      </c>
      <c r="V202" s="45">
        <f t="shared" si="43"/>
        <v>0</v>
      </c>
      <c r="X202" s="40">
        <f t="shared" ref="X202" si="44">SUM(R202:V202)</f>
        <v>0</v>
      </c>
    </row>
    <row r="203" spans="1:24">
      <c r="B203" s="4" t="str">
        <f t="shared" si="42"/>
        <v>[blank]</v>
      </c>
      <c r="D203" s="31" t="s">
        <v>60</v>
      </c>
      <c r="P203" s="45">
        <f t="shared" ref="P203:V206" si="45">(-P54*(1+P$188))*P$199</f>
        <v>0</v>
      </c>
      <c r="Q203" s="45">
        <f t="shared" si="45"/>
        <v>0</v>
      </c>
      <c r="R203" s="45">
        <f t="shared" si="45"/>
        <v>0</v>
      </c>
      <c r="S203" s="45">
        <f t="shared" si="45"/>
        <v>0</v>
      </c>
      <c r="T203" s="45">
        <f t="shared" si="45"/>
        <v>0</v>
      </c>
      <c r="U203" s="45">
        <f t="shared" si="45"/>
        <v>0</v>
      </c>
      <c r="V203" s="45">
        <f t="shared" si="45"/>
        <v>0</v>
      </c>
      <c r="X203" s="40"/>
    </row>
    <row r="204" spans="1:24">
      <c r="B204" s="4" t="str">
        <f t="shared" si="42"/>
        <v>[blank]</v>
      </c>
      <c r="D204" s="31" t="s">
        <v>60</v>
      </c>
      <c r="P204" s="45">
        <f t="shared" si="45"/>
        <v>0</v>
      </c>
      <c r="Q204" s="45">
        <f t="shared" si="45"/>
        <v>0</v>
      </c>
      <c r="R204" s="45">
        <f t="shared" si="45"/>
        <v>0</v>
      </c>
      <c r="S204" s="45">
        <f t="shared" si="45"/>
        <v>0</v>
      </c>
      <c r="T204" s="45">
        <f t="shared" si="45"/>
        <v>0</v>
      </c>
      <c r="U204" s="45">
        <f t="shared" si="45"/>
        <v>0</v>
      </c>
      <c r="V204" s="45">
        <f t="shared" si="45"/>
        <v>0</v>
      </c>
      <c r="X204" s="40"/>
    </row>
    <row r="205" spans="1:24">
      <c r="B205" s="4" t="str">
        <f t="shared" si="42"/>
        <v>[blank]</v>
      </c>
      <c r="D205" s="31" t="s">
        <v>60</v>
      </c>
      <c r="P205" s="45">
        <f t="shared" si="45"/>
        <v>0</v>
      </c>
      <c r="Q205" s="45">
        <f t="shared" si="45"/>
        <v>0</v>
      </c>
      <c r="R205" s="45">
        <f t="shared" si="45"/>
        <v>0</v>
      </c>
      <c r="S205" s="45">
        <f t="shared" si="45"/>
        <v>0</v>
      </c>
      <c r="T205" s="45">
        <f t="shared" si="45"/>
        <v>0</v>
      </c>
      <c r="U205" s="45">
        <f t="shared" si="45"/>
        <v>0</v>
      </c>
      <c r="V205" s="45">
        <f t="shared" si="45"/>
        <v>0</v>
      </c>
      <c r="X205" s="40"/>
    </row>
    <row r="206" spans="1:24">
      <c r="B206" s="4" t="str">
        <f t="shared" si="42"/>
        <v>Other Works</v>
      </c>
      <c r="P206" s="45">
        <f t="shared" si="45"/>
        <v>0</v>
      </c>
      <c r="Q206" s="45">
        <f t="shared" si="45"/>
        <v>0</v>
      </c>
      <c r="R206" s="45">
        <f t="shared" si="45"/>
        <v>0</v>
      </c>
      <c r="S206" s="45">
        <f t="shared" si="45"/>
        <v>0</v>
      </c>
      <c r="T206" s="45">
        <f t="shared" si="45"/>
        <v>0</v>
      </c>
      <c r="U206" s="45">
        <f t="shared" si="45"/>
        <v>0</v>
      </c>
      <c r="V206" s="45">
        <f t="shared" si="45"/>
        <v>0</v>
      </c>
    </row>
    <row r="207" spans="1:24">
      <c r="B207" s="4" t="str">
        <f t="shared" si="42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2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2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2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2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2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2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2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2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2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93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6">-P199*P190</f>
        <v>0</v>
      </c>
      <c r="Q218" s="37">
        <f t="shared" si="46"/>
        <v>0</v>
      </c>
      <c r="R218" s="37">
        <f t="shared" si="46"/>
        <v>0</v>
      </c>
      <c r="S218" s="37">
        <f t="shared" si="46"/>
        <v>0</v>
      </c>
      <c r="T218" s="37">
        <f t="shared" si="46"/>
        <v>0</v>
      </c>
      <c r="U218" s="37">
        <f t="shared" si="46"/>
        <v>0</v>
      </c>
      <c r="V218" s="37">
        <f t="shared" si="46"/>
        <v>0</v>
      </c>
      <c r="X218" s="37">
        <f t="shared" ref="X218" si="47">SUM(R218:V218)</f>
        <v>0</v>
      </c>
    </row>
    <row r="220" spans="1:24" s="1" customFormat="1">
      <c r="A220" s="2">
        <v>7</v>
      </c>
      <c r="B220" s="2" t="s">
        <v>75</v>
      </c>
    </row>
    <row r="222" spans="1:24">
      <c r="H222" s="190" t="s">
        <v>52</v>
      </c>
      <c r="I222" s="190"/>
      <c r="J222" s="190"/>
      <c r="K222" s="190"/>
      <c r="L222" s="190"/>
      <c r="M222" s="190" t="s">
        <v>53</v>
      </c>
      <c r="N222" s="190"/>
      <c r="O222" s="190"/>
      <c r="P222" s="190"/>
      <c r="Q222" s="190"/>
      <c r="R222" s="190" t="s">
        <v>54</v>
      </c>
      <c r="S222" s="190"/>
      <c r="T222" s="190"/>
      <c r="U222" s="190"/>
      <c r="V222" s="190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63</v>
      </c>
    </row>
    <row r="224" spans="1:24">
      <c r="D224" s="29" t="s">
        <v>55</v>
      </c>
      <c r="H224" s="16" t="s">
        <v>12</v>
      </c>
      <c r="I224" s="16" t="s">
        <v>12</v>
      </c>
      <c r="J224" s="16" t="s">
        <v>12</v>
      </c>
      <c r="K224" s="16" t="s">
        <v>12</v>
      </c>
      <c r="L224" s="16" t="s">
        <v>12</v>
      </c>
      <c r="M224" s="16" t="s">
        <v>12</v>
      </c>
      <c r="N224" s="16" t="s">
        <v>12</v>
      </c>
      <c r="O224" s="16" t="s">
        <v>12</v>
      </c>
      <c r="P224" s="16" t="s">
        <v>13</v>
      </c>
      <c r="Q224" s="16" t="s">
        <v>13</v>
      </c>
      <c r="R224" s="16" t="s">
        <v>13</v>
      </c>
      <c r="S224" s="16" t="s">
        <v>13</v>
      </c>
      <c r="T224" s="16" t="s">
        <v>13</v>
      </c>
      <c r="U224" s="16" t="s">
        <v>13</v>
      </c>
      <c r="V224" s="16" t="s">
        <v>13</v>
      </c>
      <c r="X224" s="34" t="s">
        <v>13</v>
      </c>
    </row>
    <row r="225" spans="1:24">
      <c r="B225" s="38" t="s">
        <v>96</v>
      </c>
      <c r="D225" s="31"/>
      <c r="X225" s="40"/>
    </row>
    <row r="226" spans="1:24">
      <c r="B226" s="47" t="s">
        <v>97</v>
      </c>
      <c r="D226" s="31" t="s">
        <v>60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8">SUM(R226:V226)</f>
        <v>0</v>
      </c>
    </row>
    <row r="227" spans="1:24">
      <c r="B227" s="47" t="s">
        <v>98</v>
      </c>
      <c r="D227" s="31" t="s">
        <v>60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8"/>
        <v>0</v>
      </c>
    </row>
    <row r="228" spans="1:24">
      <c r="B228" s="47" t="s">
        <v>99</v>
      </c>
      <c r="D228" s="31" t="s">
        <v>60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8"/>
        <v>0</v>
      </c>
    </row>
    <row r="229" spans="1:24">
      <c r="B229" s="47" t="s">
        <v>100</v>
      </c>
      <c r="D229" s="31" t="s">
        <v>60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8"/>
        <v>0</v>
      </c>
    </row>
    <row r="230" spans="1:24">
      <c r="B230" s="47" t="s">
        <v>101</v>
      </c>
      <c r="D230" s="31" t="s">
        <v>60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8"/>
        <v>0</v>
      </c>
    </row>
    <row r="232" spans="1:24" ht="12.75" thickBot="1">
      <c r="B232" s="5" t="s">
        <v>102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9">SUM(Q226:Q230)</f>
        <v>0</v>
      </c>
      <c r="R232" s="49">
        <f t="shared" si="49"/>
        <v>0</v>
      </c>
      <c r="S232" s="49">
        <f t="shared" si="49"/>
        <v>0</v>
      </c>
      <c r="T232" s="49">
        <f t="shared" si="49"/>
        <v>0</v>
      </c>
      <c r="U232" s="49">
        <f t="shared" si="49"/>
        <v>0</v>
      </c>
      <c r="V232" s="49">
        <f t="shared" si="49"/>
        <v>0</v>
      </c>
      <c r="X232" s="37">
        <f t="shared" si="48"/>
        <v>0</v>
      </c>
    </row>
    <row r="234" spans="1:24" s="1" customFormat="1">
      <c r="A234" s="2">
        <v>8</v>
      </c>
      <c r="B234" s="2" t="s">
        <v>103</v>
      </c>
    </row>
    <row r="236" spans="1:24">
      <c r="H236" s="190" t="s">
        <v>52</v>
      </c>
      <c r="I236" s="190"/>
      <c r="J236" s="190"/>
      <c r="K236" s="190"/>
      <c r="L236" s="190"/>
      <c r="M236" s="190" t="s">
        <v>53</v>
      </c>
      <c r="N236" s="190"/>
      <c r="O236" s="190"/>
      <c r="P236" s="190"/>
      <c r="Q236" s="190"/>
      <c r="R236" s="190" t="s">
        <v>54</v>
      </c>
      <c r="S236" s="190"/>
      <c r="T236" s="190"/>
      <c r="U236" s="190"/>
      <c r="V236" s="190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63</v>
      </c>
    </row>
    <row r="238" spans="1:24">
      <c r="D238" s="29" t="s">
        <v>55</v>
      </c>
      <c r="H238" s="16" t="s">
        <v>12</v>
      </c>
      <c r="I238" s="16" t="s">
        <v>12</v>
      </c>
      <c r="J238" s="16" t="s">
        <v>12</v>
      </c>
      <c r="K238" s="16" t="s">
        <v>12</v>
      </c>
      <c r="L238" s="16" t="s">
        <v>12</v>
      </c>
      <c r="M238" s="16" t="s">
        <v>12</v>
      </c>
      <c r="N238" s="16" t="s">
        <v>12</v>
      </c>
      <c r="O238" s="16" t="s">
        <v>12</v>
      </c>
      <c r="P238" s="16" t="s">
        <v>13</v>
      </c>
      <c r="Q238" s="16" t="s">
        <v>13</v>
      </c>
      <c r="R238" s="16" t="s">
        <v>13</v>
      </c>
      <c r="S238" s="16" t="s">
        <v>13</v>
      </c>
      <c r="T238" s="16" t="s">
        <v>13</v>
      </c>
      <c r="U238" s="16" t="s">
        <v>13</v>
      </c>
      <c r="V238" s="16" t="s">
        <v>13</v>
      </c>
      <c r="X238" s="34" t="s">
        <v>13</v>
      </c>
    </row>
    <row r="239" spans="1:24">
      <c r="B239" s="4" t="s">
        <v>104</v>
      </c>
      <c r="D239" s="31" t="s">
        <v>60</v>
      </c>
      <c r="H239" s="45">
        <f t="shared" ref="H239:V239" si="50">H190</f>
        <v>0</v>
      </c>
      <c r="I239" s="45">
        <f t="shared" si="50"/>
        <v>0</v>
      </c>
      <c r="J239" s="45">
        <f t="shared" si="50"/>
        <v>0</v>
      </c>
      <c r="K239" s="45">
        <f t="shared" si="50"/>
        <v>0</v>
      </c>
      <c r="L239" s="45">
        <f t="shared" si="50"/>
        <v>0</v>
      </c>
      <c r="M239" s="45">
        <f t="shared" si="50"/>
        <v>0</v>
      </c>
      <c r="N239" s="45">
        <f t="shared" si="50"/>
        <v>0</v>
      </c>
      <c r="O239" s="45">
        <f t="shared" si="50"/>
        <v>0</v>
      </c>
      <c r="P239" s="45">
        <f t="shared" si="50"/>
        <v>0</v>
      </c>
      <c r="Q239" s="45">
        <f t="shared" si="50"/>
        <v>0</v>
      </c>
      <c r="R239" s="45">
        <f t="shared" si="50"/>
        <v>16503.381566868782</v>
      </c>
      <c r="S239" s="45">
        <f t="shared" si="50"/>
        <v>22230.913031905158</v>
      </c>
      <c r="T239" s="45">
        <f t="shared" si="50"/>
        <v>22438.957857551515</v>
      </c>
      <c r="U239" s="45">
        <f t="shared" si="50"/>
        <v>22771.992583740488</v>
      </c>
      <c r="V239" s="45">
        <f t="shared" si="50"/>
        <v>23094.032894827596</v>
      </c>
      <c r="X239" s="40">
        <f t="shared" ref="X239:X241" si="51">SUM(R239:V239)</f>
        <v>107039.27793489354</v>
      </c>
    </row>
    <row r="240" spans="1:24">
      <c r="B240" s="4" t="s">
        <v>74</v>
      </c>
      <c r="D240" s="31" t="s">
        <v>60</v>
      </c>
      <c r="H240" s="45">
        <f>H218</f>
        <v>0</v>
      </c>
      <c r="I240" s="45">
        <f t="shared" ref="I240:V240" si="52">I218</f>
        <v>0</v>
      </c>
      <c r="J240" s="45">
        <f t="shared" si="52"/>
        <v>0</v>
      </c>
      <c r="K240" s="45">
        <f t="shared" si="52"/>
        <v>0</v>
      </c>
      <c r="L240" s="45">
        <f t="shared" si="52"/>
        <v>0</v>
      </c>
      <c r="M240" s="45">
        <f t="shared" si="52"/>
        <v>0</v>
      </c>
      <c r="N240" s="45">
        <f t="shared" si="52"/>
        <v>0</v>
      </c>
      <c r="O240" s="45">
        <f t="shared" si="52"/>
        <v>0</v>
      </c>
      <c r="P240" s="45">
        <f t="shared" si="52"/>
        <v>0</v>
      </c>
      <c r="Q240" s="45">
        <f t="shared" si="52"/>
        <v>0</v>
      </c>
      <c r="R240" s="45">
        <f t="shared" si="52"/>
        <v>0</v>
      </c>
      <c r="S240" s="45">
        <f t="shared" si="52"/>
        <v>0</v>
      </c>
      <c r="T240" s="45">
        <f t="shared" si="52"/>
        <v>0</v>
      </c>
      <c r="U240" s="45">
        <f t="shared" si="52"/>
        <v>0</v>
      </c>
      <c r="V240" s="45">
        <f t="shared" si="52"/>
        <v>0</v>
      </c>
      <c r="X240" s="40">
        <f t="shared" si="51"/>
        <v>0</v>
      </c>
    </row>
    <row r="241" spans="1:24">
      <c r="B241" s="4" t="s">
        <v>75</v>
      </c>
      <c r="D241" s="31" t="s">
        <v>60</v>
      </c>
      <c r="H241" s="45">
        <f>H232</f>
        <v>0</v>
      </c>
      <c r="I241" s="45">
        <f t="shared" ref="I241:V241" si="53">I232</f>
        <v>0</v>
      </c>
      <c r="J241" s="45">
        <f t="shared" si="53"/>
        <v>0</v>
      </c>
      <c r="K241" s="45">
        <f t="shared" si="53"/>
        <v>0</v>
      </c>
      <c r="L241" s="45">
        <f t="shared" si="53"/>
        <v>0</v>
      </c>
      <c r="M241" s="45">
        <f t="shared" si="53"/>
        <v>0</v>
      </c>
      <c r="N241" s="45">
        <f t="shared" si="53"/>
        <v>0</v>
      </c>
      <c r="O241" s="45">
        <f t="shared" si="53"/>
        <v>0</v>
      </c>
      <c r="P241" s="45">
        <f t="shared" si="53"/>
        <v>0</v>
      </c>
      <c r="Q241" s="45">
        <f t="shared" si="53"/>
        <v>0</v>
      </c>
      <c r="R241" s="45">
        <f t="shared" si="53"/>
        <v>0</v>
      </c>
      <c r="S241" s="45">
        <f t="shared" si="53"/>
        <v>0</v>
      </c>
      <c r="T241" s="45">
        <f t="shared" si="53"/>
        <v>0</v>
      </c>
      <c r="U241" s="45">
        <f t="shared" si="53"/>
        <v>0</v>
      </c>
      <c r="V241" s="45">
        <f t="shared" si="53"/>
        <v>0</v>
      </c>
      <c r="X241" s="40">
        <f t="shared" si="51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103</v>
      </c>
      <c r="D243" s="31" t="s">
        <v>60</v>
      </c>
      <c r="H243" s="37">
        <f>SUM(H239:H241)</f>
        <v>0</v>
      </c>
      <c r="I243" s="37">
        <f t="shared" ref="I243:V243" si="54">SUM(I239:I241)</f>
        <v>0</v>
      </c>
      <c r="J243" s="37">
        <f t="shared" si="54"/>
        <v>0</v>
      </c>
      <c r="K243" s="37">
        <f t="shared" si="54"/>
        <v>0</v>
      </c>
      <c r="L243" s="37">
        <f t="shared" si="54"/>
        <v>0</v>
      </c>
      <c r="M243" s="37">
        <f t="shared" si="54"/>
        <v>0</v>
      </c>
      <c r="N243" s="37">
        <f t="shared" si="54"/>
        <v>0</v>
      </c>
      <c r="O243" s="37">
        <f t="shared" si="54"/>
        <v>0</v>
      </c>
      <c r="P243" s="37">
        <f t="shared" si="54"/>
        <v>0</v>
      </c>
      <c r="Q243" s="37">
        <f t="shared" si="54"/>
        <v>0</v>
      </c>
      <c r="R243" s="37">
        <f t="shared" si="54"/>
        <v>16503.381566868782</v>
      </c>
      <c r="S243" s="37">
        <f t="shared" si="54"/>
        <v>22230.913031905158</v>
      </c>
      <c r="T243" s="37">
        <f t="shared" si="54"/>
        <v>22438.957857551515</v>
      </c>
      <c r="U243" s="37">
        <f t="shared" si="54"/>
        <v>22771.992583740488</v>
      </c>
      <c r="V243" s="37">
        <f t="shared" si="54"/>
        <v>23094.032894827596</v>
      </c>
      <c r="X243" s="37">
        <f t="shared" ref="X243" si="55">SUM(R243:V243)</f>
        <v>107039.27793489354</v>
      </c>
    </row>
    <row r="244" spans="1:24">
      <c r="D244" s="31"/>
    </row>
    <row r="246" spans="1:24" s="66" customFormat="1">
      <c r="A246" s="65">
        <v>9</v>
      </c>
      <c r="B246" s="65" t="s">
        <v>121</v>
      </c>
    </row>
    <row r="268" spans="2:22">
      <c r="B268" s="69" t="s">
        <v>120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330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6">IFERROR(SUMPRODUCT($Z$53:$Z$67,Q$53:Q$67)/SUM(Q$53:Q$67)*Q$69,0)</f>
        <v>0</v>
      </c>
      <c r="R276" s="57">
        <f t="shared" si="56"/>
        <v>0</v>
      </c>
      <c r="S276" s="57">
        <f t="shared" si="56"/>
        <v>0</v>
      </c>
      <c r="T276" s="57">
        <f t="shared" si="56"/>
        <v>0</v>
      </c>
      <c r="U276" s="57">
        <f t="shared" si="56"/>
        <v>0</v>
      </c>
      <c r="V276" s="62">
        <f t="shared" si="56"/>
        <v>0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7">IFERROR(SUMPRODUCT($AA$53:$AA$67,Q$53:Q$67)/SUM(Q$53:Q$67)*Q$69,0)</f>
        <v>0</v>
      </c>
      <c r="R277" s="57">
        <f t="shared" si="57"/>
        <v>0</v>
      </c>
      <c r="S277" s="57">
        <f t="shared" si="57"/>
        <v>0</v>
      </c>
      <c r="T277" s="57">
        <f t="shared" si="57"/>
        <v>0</v>
      </c>
      <c r="U277" s="57">
        <f t="shared" si="57"/>
        <v>0</v>
      </c>
      <c r="V277" s="62">
        <f t="shared" si="57"/>
        <v>0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8">IFERROR(SUMPRODUCT($AB$53:$AB$67,Q$53:Q$67)/SUM(Q$53:Q$67)*Q$69,0)</f>
        <v>0</v>
      </c>
      <c r="R278" s="57">
        <f t="shared" si="58"/>
        <v>0</v>
      </c>
      <c r="S278" s="57">
        <f t="shared" si="58"/>
        <v>0</v>
      </c>
      <c r="T278" s="57">
        <f t="shared" si="58"/>
        <v>0</v>
      </c>
      <c r="U278" s="57">
        <f t="shared" si="58"/>
        <v>0</v>
      </c>
      <c r="V278" s="62">
        <f t="shared" si="58"/>
        <v>0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9">IFERROR(SUMPRODUCT($AC$53:$AC$67,Q$53:Q$67)/SUM(Q$53:Q$67)*Q$69,0)</f>
        <v>0</v>
      </c>
      <c r="R279" s="57">
        <f t="shared" si="59"/>
        <v>0</v>
      </c>
      <c r="S279" s="57">
        <f t="shared" si="59"/>
        <v>0</v>
      </c>
      <c r="T279" s="57">
        <f t="shared" si="59"/>
        <v>0</v>
      </c>
      <c r="U279" s="57">
        <f t="shared" si="59"/>
        <v>0</v>
      </c>
      <c r="V279" s="62">
        <f t="shared" si="59"/>
        <v>0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60">IFERROR(SUMPRODUCT($AD$53:$AD$67,Q$53:Q$67)/SUM(Q$53:Q$67)*Q$69,0)</f>
        <v>0</v>
      </c>
      <c r="R280" s="57">
        <f t="shared" si="60"/>
        <v>15392.492898084103</v>
      </c>
      <c r="S280" s="57">
        <f t="shared" si="60"/>
        <v>20655.6492643376</v>
      </c>
      <c r="T280" s="57">
        <f t="shared" si="60"/>
        <v>20826.436468809108</v>
      </c>
      <c r="U280" s="57">
        <f t="shared" si="60"/>
        <v>21051.735634854442</v>
      </c>
      <c r="V280" s="62">
        <f t="shared" si="60"/>
        <v>21296.745315063003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61">IFERROR(SUMPRODUCT($AE$53:$AE$67,Q$53:Q$67)/SUM(Q$53:Q$67)*Q$69,0)</f>
        <v>0</v>
      </c>
      <c r="R281" s="57">
        <f t="shared" si="61"/>
        <v>0</v>
      </c>
      <c r="S281" s="57">
        <f t="shared" si="61"/>
        <v>0</v>
      </c>
      <c r="T281" s="57">
        <f t="shared" si="61"/>
        <v>0</v>
      </c>
      <c r="U281" s="57">
        <f t="shared" si="61"/>
        <v>0</v>
      </c>
      <c r="V281" s="62">
        <f t="shared" si="61"/>
        <v>0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62">IFERROR(SUMPRODUCT($AF$53:$AF$67,Q$53:Q$67)/SUM(Q$53:Q$67)*Q$69,0)</f>
        <v>0</v>
      </c>
      <c r="R282" s="57">
        <f t="shared" si="62"/>
        <v>0</v>
      </c>
      <c r="S282" s="57">
        <f t="shared" si="62"/>
        <v>0</v>
      </c>
      <c r="T282" s="57">
        <f t="shared" si="62"/>
        <v>0</v>
      </c>
      <c r="U282" s="57">
        <f t="shared" si="62"/>
        <v>0</v>
      </c>
      <c r="V282" s="62">
        <f t="shared" si="62"/>
        <v>0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3">IFERROR(SUMPRODUCT($AG$53:$AG$67,Q$53:Q$67)/SUM(Q$53:Q$67)*Q$69,0)</f>
        <v>0</v>
      </c>
      <c r="R283" s="57">
        <f t="shared" si="63"/>
        <v>0</v>
      </c>
      <c r="S283" s="57">
        <f t="shared" si="63"/>
        <v>0</v>
      </c>
      <c r="T283" s="57">
        <f t="shared" si="63"/>
        <v>0</v>
      </c>
      <c r="U283" s="57">
        <f t="shared" si="63"/>
        <v>0</v>
      </c>
      <c r="V283" s="62">
        <f t="shared" si="63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4">IFERROR(SUMPRODUCT($AH$53:$AH$67,Q$53:Q$67)/SUM(Q$53:Q$67)*Q$69,0)</f>
        <v>0</v>
      </c>
      <c r="R284" s="57">
        <f t="shared" si="64"/>
        <v>0</v>
      </c>
      <c r="S284" s="57">
        <f t="shared" si="64"/>
        <v>0</v>
      </c>
      <c r="T284" s="57">
        <f t="shared" si="64"/>
        <v>0</v>
      </c>
      <c r="U284" s="57">
        <f t="shared" si="64"/>
        <v>0</v>
      </c>
      <c r="V284" s="62">
        <f t="shared" si="64"/>
        <v>0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5">IFERROR(SUMPRODUCT($AI$53:$AI$67,Q$53:Q$67)/SUM(Q$53:Q$67)*Q$69,0)</f>
        <v>0</v>
      </c>
      <c r="R285" s="57">
        <f t="shared" si="65"/>
        <v>0</v>
      </c>
      <c r="S285" s="57">
        <f t="shared" si="65"/>
        <v>0</v>
      </c>
      <c r="T285" s="57">
        <f t="shared" si="65"/>
        <v>0</v>
      </c>
      <c r="U285" s="57">
        <f t="shared" si="65"/>
        <v>0</v>
      </c>
      <c r="V285" s="62">
        <f t="shared" si="65"/>
        <v>0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6">IFERROR(SUMPRODUCT($AJ$53:$AJ$67,Q$53:Q$67)/SUM(Q$53:Q$67)*Q$69,0)</f>
        <v>0</v>
      </c>
      <c r="R286" s="57">
        <f t="shared" si="66"/>
        <v>0</v>
      </c>
      <c r="S286" s="57">
        <f t="shared" si="66"/>
        <v>0</v>
      </c>
      <c r="T286" s="57">
        <f t="shared" si="66"/>
        <v>0</v>
      </c>
      <c r="U286" s="57">
        <f t="shared" si="66"/>
        <v>0</v>
      </c>
      <c r="V286" s="62">
        <f t="shared" si="66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7">SUM(Q276:Q286)</f>
        <v>0</v>
      </c>
      <c r="R288" s="37">
        <f t="shared" si="67"/>
        <v>15392.492898084103</v>
      </c>
      <c r="S288" s="37">
        <f t="shared" si="67"/>
        <v>20655.6492643376</v>
      </c>
      <c r="T288" s="37">
        <f t="shared" si="67"/>
        <v>20826.436468809108</v>
      </c>
      <c r="U288" s="37">
        <f t="shared" si="67"/>
        <v>21051.735634854442</v>
      </c>
      <c r="V288" s="64">
        <f t="shared" si="67"/>
        <v>21296.745315063003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285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8">P276*(1+P$188)</f>
        <v>0</v>
      </c>
      <c r="Q297" s="57">
        <f t="shared" si="68"/>
        <v>0</v>
      </c>
      <c r="R297" s="57">
        <f t="shared" si="68"/>
        <v>0</v>
      </c>
      <c r="S297" s="57">
        <f t="shared" si="68"/>
        <v>0</v>
      </c>
      <c r="T297" s="57">
        <f t="shared" si="68"/>
        <v>0</v>
      </c>
      <c r="U297" s="57">
        <f t="shared" si="68"/>
        <v>0</v>
      </c>
      <c r="V297" s="62">
        <f t="shared" si="68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8"/>
        <v>0</v>
      </c>
      <c r="Q298" s="57">
        <f t="shared" si="68"/>
        <v>0</v>
      </c>
      <c r="R298" s="57">
        <f t="shared" si="68"/>
        <v>0</v>
      </c>
      <c r="S298" s="57">
        <f t="shared" si="68"/>
        <v>0</v>
      </c>
      <c r="T298" s="57">
        <f t="shared" si="68"/>
        <v>0</v>
      </c>
      <c r="U298" s="57">
        <f t="shared" si="68"/>
        <v>0</v>
      </c>
      <c r="V298" s="62">
        <f t="shared" si="68"/>
        <v>0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8"/>
        <v>0</v>
      </c>
      <c r="Q299" s="57">
        <f t="shared" si="68"/>
        <v>0</v>
      </c>
      <c r="R299" s="57">
        <f t="shared" si="68"/>
        <v>0</v>
      </c>
      <c r="S299" s="57">
        <f t="shared" si="68"/>
        <v>0</v>
      </c>
      <c r="T299" s="57">
        <f t="shared" si="68"/>
        <v>0</v>
      </c>
      <c r="U299" s="57">
        <f t="shared" si="68"/>
        <v>0</v>
      </c>
      <c r="V299" s="62">
        <f t="shared" si="68"/>
        <v>0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8"/>
        <v>0</v>
      </c>
      <c r="Q300" s="57">
        <f t="shared" si="68"/>
        <v>0</v>
      </c>
      <c r="R300" s="57">
        <f t="shared" si="68"/>
        <v>0</v>
      </c>
      <c r="S300" s="57">
        <f t="shared" si="68"/>
        <v>0</v>
      </c>
      <c r="T300" s="57">
        <f t="shared" si="68"/>
        <v>0</v>
      </c>
      <c r="U300" s="57">
        <f t="shared" si="68"/>
        <v>0</v>
      </c>
      <c r="V300" s="62">
        <f t="shared" si="68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8"/>
        <v>0</v>
      </c>
      <c r="Q301" s="57">
        <f t="shared" si="68"/>
        <v>0</v>
      </c>
      <c r="R301" s="57">
        <f t="shared" si="68"/>
        <v>16503.381566868782</v>
      </c>
      <c r="S301" s="57">
        <f t="shared" si="68"/>
        <v>22230.913031905158</v>
      </c>
      <c r="T301" s="57">
        <f t="shared" si="68"/>
        <v>22438.957857551515</v>
      </c>
      <c r="U301" s="57">
        <f t="shared" si="68"/>
        <v>22771.992583740488</v>
      </c>
      <c r="V301" s="62">
        <f t="shared" si="68"/>
        <v>23094.032894827596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8"/>
        <v>0</v>
      </c>
      <c r="Q302" s="57">
        <f t="shared" si="68"/>
        <v>0</v>
      </c>
      <c r="R302" s="57">
        <f t="shared" si="68"/>
        <v>0</v>
      </c>
      <c r="S302" s="57">
        <f t="shared" si="68"/>
        <v>0</v>
      </c>
      <c r="T302" s="57">
        <f t="shared" si="68"/>
        <v>0</v>
      </c>
      <c r="U302" s="57">
        <f t="shared" si="68"/>
        <v>0</v>
      </c>
      <c r="V302" s="62">
        <f t="shared" si="68"/>
        <v>0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8"/>
        <v>0</v>
      </c>
      <c r="Q303" s="57">
        <f t="shared" si="68"/>
        <v>0</v>
      </c>
      <c r="R303" s="57">
        <f t="shared" si="68"/>
        <v>0</v>
      </c>
      <c r="S303" s="57">
        <f t="shared" si="68"/>
        <v>0</v>
      </c>
      <c r="T303" s="57">
        <f t="shared" si="68"/>
        <v>0</v>
      </c>
      <c r="U303" s="57">
        <f t="shared" si="68"/>
        <v>0</v>
      </c>
      <c r="V303" s="62">
        <f t="shared" si="68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8"/>
        <v>0</v>
      </c>
      <c r="Q304" s="57">
        <f t="shared" si="68"/>
        <v>0</v>
      </c>
      <c r="R304" s="57">
        <f t="shared" si="68"/>
        <v>0</v>
      </c>
      <c r="S304" s="57">
        <f t="shared" si="68"/>
        <v>0</v>
      </c>
      <c r="T304" s="57">
        <f t="shared" si="68"/>
        <v>0</v>
      </c>
      <c r="U304" s="57">
        <f t="shared" si="68"/>
        <v>0</v>
      </c>
      <c r="V304" s="62">
        <f t="shared" si="68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8"/>
        <v>0</v>
      </c>
      <c r="Q305" s="57">
        <f t="shared" si="68"/>
        <v>0</v>
      </c>
      <c r="R305" s="57">
        <f t="shared" si="68"/>
        <v>0</v>
      </c>
      <c r="S305" s="57">
        <f t="shared" si="68"/>
        <v>0</v>
      </c>
      <c r="T305" s="57">
        <f t="shared" si="68"/>
        <v>0</v>
      </c>
      <c r="U305" s="57">
        <f t="shared" si="68"/>
        <v>0</v>
      </c>
      <c r="V305" s="62">
        <f t="shared" si="68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8"/>
        <v>0</v>
      </c>
      <c r="Q306" s="57">
        <f t="shared" si="68"/>
        <v>0</v>
      </c>
      <c r="R306" s="57">
        <f t="shared" si="68"/>
        <v>0</v>
      </c>
      <c r="S306" s="57">
        <f t="shared" si="68"/>
        <v>0</v>
      </c>
      <c r="T306" s="57">
        <f t="shared" si="68"/>
        <v>0</v>
      </c>
      <c r="U306" s="57">
        <f t="shared" si="68"/>
        <v>0</v>
      </c>
      <c r="V306" s="62">
        <f t="shared" si="68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8"/>
        <v>0</v>
      </c>
      <c r="Q307" s="57">
        <f t="shared" si="68"/>
        <v>0</v>
      </c>
      <c r="R307" s="57">
        <f t="shared" si="68"/>
        <v>0</v>
      </c>
      <c r="S307" s="57">
        <f t="shared" si="68"/>
        <v>0</v>
      </c>
      <c r="T307" s="57">
        <f t="shared" si="68"/>
        <v>0</v>
      </c>
      <c r="U307" s="57">
        <f t="shared" si="68"/>
        <v>0</v>
      </c>
      <c r="V307" s="62">
        <f t="shared" si="68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9">SUM(Q297:Q307)</f>
        <v>0</v>
      </c>
      <c r="R309" s="37">
        <f t="shared" si="69"/>
        <v>16503.381566868782</v>
      </c>
      <c r="S309" s="37">
        <f t="shared" si="69"/>
        <v>22230.913031905158</v>
      </c>
      <c r="T309" s="37">
        <f t="shared" si="69"/>
        <v>22438.957857551515</v>
      </c>
      <c r="U309" s="37">
        <f t="shared" si="69"/>
        <v>22771.992583740488</v>
      </c>
      <c r="V309" s="64">
        <f t="shared" si="69"/>
        <v>23094.032894827596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286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0">P297*(1-P$199)</f>
        <v>0</v>
      </c>
      <c r="Q318" s="57">
        <f t="shared" si="70"/>
        <v>0</v>
      </c>
      <c r="R318" s="57">
        <f t="shared" si="70"/>
        <v>0</v>
      </c>
      <c r="S318" s="57">
        <f t="shared" si="70"/>
        <v>0</v>
      </c>
      <c r="T318" s="57">
        <f t="shared" si="70"/>
        <v>0</v>
      </c>
      <c r="U318" s="57">
        <f t="shared" si="70"/>
        <v>0</v>
      </c>
      <c r="V318" s="62">
        <f t="shared" si="70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0"/>
        <v>0</v>
      </c>
      <c r="Q319" s="57">
        <f t="shared" si="70"/>
        <v>0</v>
      </c>
      <c r="R319" s="57">
        <f t="shared" si="70"/>
        <v>0</v>
      </c>
      <c r="S319" s="57">
        <f t="shared" si="70"/>
        <v>0</v>
      </c>
      <c r="T319" s="57">
        <f t="shared" si="70"/>
        <v>0</v>
      </c>
      <c r="U319" s="57">
        <f t="shared" si="70"/>
        <v>0</v>
      </c>
      <c r="V319" s="62">
        <f t="shared" si="70"/>
        <v>0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0"/>
        <v>0</v>
      </c>
      <c r="Q320" s="57">
        <f t="shared" si="70"/>
        <v>0</v>
      </c>
      <c r="R320" s="57">
        <f t="shared" si="70"/>
        <v>0</v>
      </c>
      <c r="S320" s="57">
        <f t="shared" si="70"/>
        <v>0</v>
      </c>
      <c r="T320" s="57">
        <f t="shared" si="70"/>
        <v>0</v>
      </c>
      <c r="U320" s="57">
        <f t="shared" si="70"/>
        <v>0</v>
      </c>
      <c r="V320" s="62">
        <f t="shared" si="70"/>
        <v>0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0"/>
        <v>0</v>
      </c>
      <c r="Q321" s="57">
        <f t="shared" si="70"/>
        <v>0</v>
      </c>
      <c r="R321" s="57">
        <f t="shared" si="70"/>
        <v>0</v>
      </c>
      <c r="S321" s="57">
        <f t="shared" si="70"/>
        <v>0</v>
      </c>
      <c r="T321" s="57">
        <f t="shared" si="70"/>
        <v>0</v>
      </c>
      <c r="U321" s="57">
        <f t="shared" si="70"/>
        <v>0</v>
      </c>
      <c r="V321" s="62">
        <f t="shared" si="70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0"/>
        <v>0</v>
      </c>
      <c r="Q322" s="57">
        <f t="shared" si="70"/>
        <v>0</v>
      </c>
      <c r="R322" s="57">
        <f t="shared" si="70"/>
        <v>16503.381566868782</v>
      </c>
      <c r="S322" s="57">
        <f t="shared" si="70"/>
        <v>22230.913031905158</v>
      </c>
      <c r="T322" s="57">
        <f t="shared" si="70"/>
        <v>22438.957857551515</v>
      </c>
      <c r="U322" s="57">
        <f t="shared" si="70"/>
        <v>22771.992583740488</v>
      </c>
      <c r="V322" s="62">
        <f t="shared" si="70"/>
        <v>23094.032894827596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0"/>
        <v>0</v>
      </c>
      <c r="Q323" s="57">
        <f t="shared" si="70"/>
        <v>0</v>
      </c>
      <c r="R323" s="57">
        <f t="shared" si="70"/>
        <v>0</v>
      </c>
      <c r="S323" s="57">
        <f t="shared" si="70"/>
        <v>0</v>
      </c>
      <c r="T323" s="57">
        <f t="shared" si="70"/>
        <v>0</v>
      </c>
      <c r="U323" s="57">
        <f t="shared" si="70"/>
        <v>0</v>
      </c>
      <c r="V323" s="62">
        <f t="shared" si="70"/>
        <v>0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0"/>
        <v>0</v>
      </c>
      <c r="Q324" s="57">
        <f t="shared" si="70"/>
        <v>0</v>
      </c>
      <c r="R324" s="57">
        <f t="shared" si="70"/>
        <v>0</v>
      </c>
      <c r="S324" s="57">
        <f t="shared" si="70"/>
        <v>0</v>
      </c>
      <c r="T324" s="57">
        <f t="shared" si="70"/>
        <v>0</v>
      </c>
      <c r="U324" s="57">
        <f t="shared" si="70"/>
        <v>0</v>
      </c>
      <c r="V324" s="62">
        <f t="shared" si="70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0"/>
        <v>0</v>
      </c>
      <c r="Q325" s="57">
        <f t="shared" si="70"/>
        <v>0</v>
      </c>
      <c r="R325" s="57">
        <f t="shared" si="70"/>
        <v>0</v>
      </c>
      <c r="S325" s="57">
        <f t="shared" si="70"/>
        <v>0</v>
      </c>
      <c r="T325" s="57">
        <f t="shared" si="70"/>
        <v>0</v>
      </c>
      <c r="U325" s="57">
        <f t="shared" si="70"/>
        <v>0</v>
      </c>
      <c r="V325" s="62">
        <f t="shared" si="70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0"/>
        <v>0</v>
      </c>
      <c r="Q326" s="57">
        <f t="shared" si="70"/>
        <v>0</v>
      </c>
      <c r="R326" s="57">
        <f t="shared" si="70"/>
        <v>0</v>
      </c>
      <c r="S326" s="57">
        <f t="shared" si="70"/>
        <v>0</v>
      </c>
      <c r="T326" s="57">
        <f t="shared" si="70"/>
        <v>0</v>
      </c>
      <c r="U326" s="57">
        <f t="shared" si="70"/>
        <v>0</v>
      </c>
      <c r="V326" s="62">
        <f t="shared" si="70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0"/>
        <v>0</v>
      </c>
      <c r="Q327" s="57">
        <f t="shared" si="70"/>
        <v>0</v>
      </c>
      <c r="R327" s="57">
        <f t="shared" si="70"/>
        <v>0</v>
      </c>
      <c r="S327" s="57">
        <f t="shared" si="70"/>
        <v>0</v>
      </c>
      <c r="T327" s="57">
        <f t="shared" si="70"/>
        <v>0</v>
      </c>
      <c r="U327" s="57">
        <f t="shared" si="70"/>
        <v>0</v>
      </c>
      <c r="V327" s="62">
        <f t="shared" si="70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0"/>
        <v>0</v>
      </c>
      <c r="Q328" s="57">
        <f t="shared" si="70"/>
        <v>0</v>
      </c>
      <c r="R328" s="57">
        <f t="shared" si="70"/>
        <v>0</v>
      </c>
      <c r="S328" s="57">
        <f t="shared" si="70"/>
        <v>0</v>
      </c>
      <c r="T328" s="57">
        <f t="shared" si="70"/>
        <v>0</v>
      </c>
      <c r="U328" s="57">
        <f t="shared" si="70"/>
        <v>0</v>
      </c>
      <c r="V328" s="62">
        <f t="shared" si="70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1">SUM(Q318:Q328)</f>
        <v>0</v>
      </c>
      <c r="R330" s="37">
        <f t="shared" si="71"/>
        <v>16503.381566868782</v>
      </c>
      <c r="S330" s="37">
        <f t="shared" si="71"/>
        <v>22230.913031905158</v>
      </c>
      <c r="T330" s="37">
        <f t="shared" si="71"/>
        <v>22438.957857551515</v>
      </c>
      <c r="U330" s="37">
        <f t="shared" si="71"/>
        <v>22771.992583740488</v>
      </c>
      <c r="V330" s="64">
        <f t="shared" si="71"/>
        <v>23094.032894827596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287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72">Q297*Q$199</f>
        <v>0</v>
      </c>
      <c r="R339" s="57">
        <f t="shared" si="72"/>
        <v>0</v>
      </c>
      <c r="S339" s="57">
        <f t="shared" si="72"/>
        <v>0</v>
      </c>
      <c r="T339" s="57">
        <f t="shared" si="72"/>
        <v>0</v>
      </c>
      <c r="U339" s="57">
        <f t="shared" si="72"/>
        <v>0</v>
      </c>
      <c r="V339" s="62">
        <f t="shared" si="72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3">P298*P$199</f>
        <v>0</v>
      </c>
      <c r="Q340" s="57">
        <f t="shared" si="72"/>
        <v>0</v>
      </c>
      <c r="R340" s="57">
        <f t="shared" si="72"/>
        <v>0</v>
      </c>
      <c r="S340" s="57">
        <f t="shared" si="72"/>
        <v>0</v>
      </c>
      <c r="T340" s="57">
        <f t="shared" si="72"/>
        <v>0</v>
      </c>
      <c r="U340" s="57">
        <f t="shared" si="72"/>
        <v>0</v>
      </c>
      <c r="V340" s="62">
        <f t="shared" si="72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3"/>
        <v>0</v>
      </c>
      <c r="Q341" s="57">
        <f t="shared" si="72"/>
        <v>0</v>
      </c>
      <c r="R341" s="57">
        <f t="shared" si="72"/>
        <v>0</v>
      </c>
      <c r="S341" s="57">
        <f t="shared" si="72"/>
        <v>0</v>
      </c>
      <c r="T341" s="57">
        <f t="shared" si="72"/>
        <v>0</v>
      </c>
      <c r="U341" s="57">
        <f t="shared" si="72"/>
        <v>0</v>
      </c>
      <c r="V341" s="62">
        <f t="shared" si="72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3"/>
        <v>0</v>
      </c>
      <c r="Q342" s="57">
        <f t="shared" si="72"/>
        <v>0</v>
      </c>
      <c r="R342" s="57">
        <f t="shared" si="72"/>
        <v>0</v>
      </c>
      <c r="S342" s="57">
        <f t="shared" si="72"/>
        <v>0</v>
      </c>
      <c r="T342" s="57">
        <f t="shared" si="72"/>
        <v>0</v>
      </c>
      <c r="U342" s="57">
        <f t="shared" si="72"/>
        <v>0</v>
      </c>
      <c r="V342" s="62">
        <f t="shared" si="72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3"/>
        <v>0</v>
      </c>
      <c r="Q343" s="57">
        <f t="shared" si="72"/>
        <v>0</v>
      </c>
      <c r="R343" s="57">
        <f t="shared" si="72"/>
        <v>0</v>
      </c>
      <c r="S343" s="57">
        <f t="shared" si="72"/>
        <v>0</v>
      </c>
      <c r="T343" s="57">
        <f t="shared" si="72"/>
        <v>0</v>
      </c>
      <c r="U343" s="57">
        <f t="shared" si="72"/>
        <v>0</v>
      </c>
      <c r="V343" s="62">
        <f t="shared" si="72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3"/>
        <v>0</v>
      </c>
      <c r="Q344" s="57">
        <f t="shared" si="72"/>
        <v>0</v>
      </c>
      <c r="R344" s="57">
        <f t="shared" si="72"/>
        <v>0</v>
      </c>
      <c r="S344" s="57">
        <f t="shared" si="72"/>
        <v>0</v>
      </c>
      <c r="T344" s="57">
        <f t="shared" si="72"/>
        <v>0</v>
      </c>
      <c r="U344" s="57">
        <f t="shared" si="72"/>
        <v>0</v>
      </c>
      <c r="V344" s="62">
        <f t="shared" si="72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3"/>
        <v>0</v>
      </c>
      <c r="Q345" s="57">
        <f t="shared" si="72"/>
        <v>0</v>
      </c>
      <c r="R345" s="57">
        <f t="shared" si="72"/>
        <v>0</v>
      </c>
      <c r="S345" s="57">
        <f t="shared" si="72"/>
        <v>0</v>
      </c>
      <c r="T345" s="57">
        <f t="shared" si="72"/>
        <v>0</v>
      </c>
      <c r="U345" s="57">
        <f t="shared" si="72"/>
        <v>0</v>
      </c>
      <c r="V345" s="62">
        <f t="shared" si="72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3"/>
        <v>0</v>
      </c>
      <c r="Q346" s="57">
        <f t="shared" si="72"/>
        <v>0</v>
      </c>
      <c r="R346" s="57">
        <f t="shared" si="72"/>
        <v>0</v>
      </c>
      <c r="S346" s="57">
        <f t="shared" si="72"/>
        <v>0</v>
      </c>
      <c r="T346" s="57">
        <f t="shared" si="72"/>
        <v>0</v>
      </c>
      <c r="U346" s="57">
        <f t="shared" si="72"/>
        <v>0</v>
      </c>
      <c r="V346" s="62">
        <f t="shared" si="72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3"/>
        <v>0</v>
      </c>
      <c r="Q347" s="57">
        <f t="shared" si="72"/>
        <v>0</v>
      </c>
      <c r="R347" s="57">
        <f t="shared" si="72"/>
        <v>0</v>
      </c>
      <c r="S347" s="57">
        <f t="shared" si="72"/>
        <v>0</v>
      </c>
      <c r="T347" s="57">
        <f t="shared" si="72"/>
        <v>0</v>
      </c>
      <c r="U347" s="57">
        <f t="shared" si="72"/>
        <v>0</v>
      </c>
      <c r="V347" s="62">
        <f t="shared" si="72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3"/>
        <v>0</v>
      </c>
      <c r="Q348" s="57">
        <f t="shared" si="72"/>
        <v>0</v>
      </c>
      <c r="R348" s="57">
        <f t="shared" si="72"/>
        <v>0</v>
      </c>
      <c r="S348" s="57">
        <f t="shared" si="72"/>
        <v>0</v>
      </c>
      <c r="T348" s="57">
        <f t="shared" si="72"/>
        <v>0</v>
      </c>
      <c r="U348" s="57">
        <f t="shared" si="72"/>
        <v>0</v>
      </c>
      <c r="V348" s="62">
        <f t="shared" si="72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3"/>
        <v>0</v>
      </c>
      <c r="Q349" s="57">
        <f t="shared" si="72"/>
        <v>0</v>
      </c>
      <c r="R349" s="57">
        <f t="shared" si="72"/>
        <v>0</v>
      </c>
      <c r="S349" s="57">
        <f t="shared" si="72"/>
        <v>0</v>
      </c>
      <c r="T349" s="57">
        <f t="shared" si="72"/>
        <v>0</v>
      </c>
      <c r="U349" s="57">
        <f t="shared" si="72"/>
        <v>0</v>
      </c>
      <c r="V349" s="62">
        <f t="shared" si="72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4">SUM(Q339:Q349)</f>
        <v>0</v>
      </c>
      <c r="R351" s="37">
        <f t="shared" si="74"/>
        <v>0</v>
      </c>
      <c r="S351" s="37">
        <f t="shared" si="74"/>
        <v>0</v>
      </c>
      <c r="T351" s="37">
        <f t="shared" si="74"/>
        <v>0</v>
      </c>
      <c r="U351" s="37">
        <f t="shared" si="74"/>
        <v>0</v>
      </c>
      <c r="V351" s="64">
        <f t="shared" si="74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285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5">IFERROR(SUMPRODUCT($AM$53:$AM$67,Q$53:Q$67)/SUM(Q$53:Q$67)*Q$69,0)</f>
        <v>0</v>
      </c>
      <c r="R362" s="57">
        <f t="shared" si="75"/>
        <v>0</v>
      </c>
      <c r="S362" s="57">
        <f t="shared" si="75"/>
        <v>0</v>
      </c>
      <c r="T362" s="57">
        <f t="shared" si="75"/>
        <v>0</v>
      </c>
      <c r="U362" s="57">
        <f t="shared" si="75"/>
        <v>0</v>
      </c>
      <c r="V362" s="62">
        <f t="shared" si="75"/>
        <v>0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6">IFERROR(SUMPRODUCT($AN$53:$AN$67,Q$53:Q$67)/SUM(Q$53:Q$67)*Q$69,0)</f>
        <v>0</v>
      </c>
      <c r="R363" s="57">
        <f t="shared" si="76"/>
        <v>0</v>
      </c>
      <c r="S363" s="57">
        <f t="shared" si="76"/>
        <v>0</v>
      </c>
      <c r="T363" s="57">
        <f t="shared" si="76"/>
        <v>0</v>
      </c>
      <c r="U363" s="57">
        <f t="shared" si="76"/>
        <v>0</v>
      </c>
      <c r="V363" s="62">
        <f t="shared" si="76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7">IFERROR(SUMPRODUCT($AO$53:$AO$67,Q$53:Q$67)/SUM(Q$53:Q$67)*Q$69,0)</f>
        <v>0</v>
      </c>
      <c r="R364" s="57">
        <f t="shared" si="77"/>
        <v>0</v>
      </c>
      <c r="S364" s="57">
        <f t="shared" si="77"/>
        <v>0</v>
      </c>
      <c r="T364" s="57">
        <f t="shared" si="77"/>
        <v>0</v>
      </c>
      <c r="U364" s="57">
        <f t="shared" si="77"/>
        <v>0</v>
      </c>
      <c r="V364" s="62">
        <f t="shared" si="77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8">IFERROR(SUMPRODUCT($AP$53:$AP$67,Q$53:Q$67)/SUM(Q$53:Q$67)*Q$69,0)</f>
        <v>0</v>
      </c>
      <c r="R365" s="57">
        <f t="shared" si="78"/>
        <v>0</v>
      </c>
      <c r="S365" s="57">
        <f t="shared" si="78"/>
        <v>0</v>
      </c>
      <c r="T365" s="57">
        <f t="shared" si="78"/>
        <v>0</v>
      </c>
      <c r="U365" s="57">
        <f t="shared" si="78"/>
        <v>0</v>
      </c>
      <c r="V365" s="62">
        <f t="shared" si="78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9">IFERROR(SUMPRODUCT($AQ$53:$AQ$67,Q$53:Q$67)/SUM(Q$53:Q$67)*Q$69,0)</f>
        <v>0</v>
      </c>
      <c r="R366" s="57">
        <f t="shared" si="79"/>
        <v>0</v>
      </c>
      <c r="S366" s="57">
        <f t="shared" si="79"/>
        <v>0</v>
      </c>
      <c r="T366" s="57">
        <f t="shared" si="79"/>
        <v>0</v>
      </c>
      <c r="U366" s="57">
        <f t="shared" si="79"/>
        <v>0</v>
      </c>
      <c r="V366" s="62">
        <f t="shared" si="79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80">IFERROR(SUMPRODUCT($AR$53:$AR$67,Q$53:Q$67)/SUM(Q$53:Q$67)*Q$69,0)</f>
        <v>0</v>
      </c>
      <c r="R367" s="57">
        <f t="shared" si="80"/>
        <v>0</v>
      </c>
      <c r="S367" s="57">
        <f t="shared" si="80"/>
        <v>0</v>
      </c>
      <c r="T367" s="57">
        <f t="shared" si="80"/>
        <v>0</v>
      </c>
      <c r="U367" s="57">
        <f t="shared" si="80"/>
        <v>0</v>
      </c>
      <c r="V367" s="62">
        <f t="shared" si="80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81">IFERROR(SUMPRODUCT($AS$53:$AS$67,Q$53:Q$67)/SUM(Q$53:Q$67)*Q$69,0)</f>
        <v>0</v>
      </c>
      <c r="R368" s="57">
        <f t="shared" si="81"/>
        <v>0</v>
      </c>
      <c r="S368" s="57">
        <f t="shared" si="81"/>
        <v>0</v>
      </c>
      <c r="T368" s="57">
        <f t="shared" si="81"/>
        <v>0</v>
      </c>
      <c r="U368" s="57">
        <f t="shared" si="81"/>
        <v>0</v>
      </c>
      <c r="V368" s="62">
        <f t="shared" si="81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82">IFERROR(SUMPRODUCT($AT$53:$AT$67,Q$53:Q$67)/SUM(Q$53:Q$67)*Q$69,0)</f>
        <v>0</v>
      </c>
      <c r="R369" s="57">
        <f t="shared" si="82"/>
        <v>0</v>
      </c>
      <c r="S369" s="57">
        <f t="shared" si="82"/>
        <v>0</v>
      </c>
      <c r="T369" s="57">
        <f t="shared" si="82"/>
        <v>0</v>
      </c>
      <c r="U369" s="57">
        <f t="shared" si="82"/>
        <v>0</v>
      </c>
      <c r="V369" s="62">
        <f t="shared" si="82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3">IFERROR(SUMPRODUCT($AU$53:$AU$67,Q$53:Q$67)/SUM(Q$53:Q$67)*Q$69,0)</f>
        <v>0</v>
      </c>
      <c r="R370" s="57">
        <f t="shared" si="83"/>
        <v>15392.492898084103</v>
      </c>
      <c r="S370" s="57">
        <f t="shared" si="83"/>
        <v>20655.6492643376</v>
      </c>
      <c r="T370" s="57">
        <f t="shared" si="83"/>
        <v>20826.436468809108</v>
      </c>
      <c r="U370" s="57">
        <f t="shared" si="83"/>
        <v>21051.735634854442</v>
      </c>
      <c r="V370" s="62">
        <f t="shared" si="83"/>
        <v>21296.745315063003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4">IFERROR(SUMPRODUCT($AV$53:$AV$67,Q$53:Q$67)/SUM(Q$53:Q$67)*Q$69,0)</f>
        <v>0</v>
      </c>
      <c r="R371" s="57">
        <f t="shared" si="84"/>
        <v>0</v>
      </c>
      <c r="S371" s="57">
        <f t="shared" si="84"/>
        <v>0</v>
      </c>
      <c r="T371" s="57">
        <f t="shared" si="84"/>
        <v>0</v>
      </c>
      <c r="U371" s="57">
        <f t="shared" si="84"/>
        <v>0</v>
      </c>
      <c r="V371" s="62">
        <f t="shared" si="84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5">IFERROR(SUMPRODUCT($AW$53:$AW$67,Q$53:Q$67)/SUM(Q$53:Q$67)*Q$69,0)</f>
        <v>0</v>
      </c>
      <c r="R372" s="57">
        <f t="shared" si="85"/>
        <v>0</v>
      </c>
      <c r="S372" s="57">
        <f t="shared" si="85"/>
        <v>0</v>
      </c>
      <c r="T372" s="57">
        <f t="shared" si="85"/>
        <v>0</v>
      </c>
      <c r="U372" s="57">
        <f t="shared" si="85"/>
        <v>0</v>
      </c>
      <c r="V372" s="62">
        <f t="shared" si="85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6">Q218</f>
        <v>0</v>
      </c>
      <c r="R373" s="57">
        <f t="shared" si="86"/>
        <v>0</v>
      </c>
      <c r="S373" s="57">
        <f t="shared" si="86"/>
        <v>0</v>
      </c>
      <c r="T373" s="57">
        <f t="shared" si="86"/>
        <v>0</v>
      </c>
      <c r="U373" s="57">
        <f t="shared" si="86"/>
        <v>0</v>
      </c>
      <c r="V373" s="62">
        <f t="shared" si="86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7">Q232</f>
        <v>0</v>
      </c>
      <c r="R374" s="57">
        <f t="shared" si="87"/>
        <v>0</v>
      </c>
      <c r="S374" s="57">
        <f t="shared" si="87"/>
        <v>0</v>
      </c>
      <c r="T374" s="57">
        <f t="shared" si="87"/>
        <v>0</v>
      </c>
      <c r="U374" s="57">
        <f t="shared" si="87"/>
        <v>0</v>
      </c>
      <c r="V374" s="62">
        <f t="shared" si="87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8">SUM(Q362:Q372)*Q188</f>
        <v>0</v>
      </c>
      <c r="R375" s="57">
        <f t="shared" si="88"/>
        <v>1110.8886687846809</v>
      </c>
      <c r="S375" s="57">
        <f t="shared" si="88"/>
        <v>1575.2637675675596</v>
      </c>
      <c r="T375" s="57">
        <f t="shared" si="88"/>
        <v>1612.5213887424093</v>
      </c>
      <c r="U375" s="57">
        <f t="shared" si="88"/>
        <v>1720.256948886047</v>
      </c>
      <c r="V375" s="62">
        <f t="shared" si="88"/>
        <v>1797.2875797645938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9">SUM(P362:P375)</f>
        <v>0</v>
      </c>
      <c r="Q377" s="37">
        <f t="shared" si="89"/>
        <v>0</v>
      </c>
      <c r="R377" s="37">
        <f t="shared" si="89"/>
        <v>16503.381566868786</v>
      </c>
      <c r="S377" s="37">
        <f t="shared" si="89"/>
        <v>22230.913031905162</v>
      </c>
      <c r="T377" s="37">
        <f t="shared" si="89"/>
        <v>22438.957857551519</v>
      </c>
      <c r="U377" s="37">
        <f t="shared" si="89"/>
        <v>22771.992583740488</v>
      </c>
      <c r="V377" s="64">
        <f t="shared" si="89"/>
        <v>23094.032894827596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285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90">IFERROR(SUMPRODUCT($BB$53:$BB$67,Q$53:Q$67)/SUM(Q$53:Q$67)*Q$69*(1+Q$188),0)</f>
        <v>0</v>
      </c>
      <c r="R388" s="57">
        <f t="shared" si="90"/>
        <v>0</v>
      </c>
      <c r="S388" s="57">
        <f t="shared" si="90"/>
        <v>0</v>
      </c>
      <c r="T388" s="57">
        <f t="shared" si="90"/>
        <v>0</v>
      </c>
      <c r="U388" s="57">
        <f t="shared" si="90"/>
        <v>0</v>
      </c>
      <c r="V388" s="62">
        <f t="shared" si="90"/>
        <v>0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91">IFERROR(SUMPRODUCT($BC$53:$BC$67,Q$53:Q$67)/SUM(Q$53:Q$67)*Q$69*(1+Q$188),0)</f>
        <v>0</v>
      </c>
      <c r="R389" s="57">
        <f t="shared" si="91"/>
        <v>0</v>
      </c>
      <c r="S389" s="57">
        <f t="shared" si="91"/>
        <v>0</v>
      </c>
      <c r="T389" s="57">
        <f t="shared" si="91"/>
        <v>0</v>
      </c>
      <c r="U389" s="57">
        <f t="shared" si="91"/>
        <v>0</v>
      </c>
      <c r="V389" s="62">
        <f t="shared" si="91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92">IFERROR(SUMPRODUCT($BD$53:$BD$67,Q$53:Q$67)/SUM(Q$53:Q$67)*Q$69*(1+Q$188),0)</f>
        <v>0</v>
      </c>
      <c r="R390" s="57">
        <f t="shared" si="92"/>
        <v>0</v>
      </c>
      <c r="S390" s="57">
        <f t="shared" si="92"/>
        <v>0</v>
      </c>
      <c r="T390" s="57">
        <f t="shared" si="92"/>
        <v>0</v>
      </c>
      <c r="U390" s="57">
        <f t="shared" si="92"/>
        <v>0</v>
      </c>
      <c r="V390" s="62">
        <f t="shared" si="92"/>
        <v>0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3">IFERROR(SUMPRODUCT($BE$53:$BE$67,Q$53:Q$67)/SUM(Q$53:Q$67)*Q$69*(1+Q$188),0)</f>
        <v>0</v>
      </c>
      <c r="R391" s="57">
        <f t="shared" si="93"/>
        <v>0</v>
      </c>
      <c r="S391" s="57">
        <f t="shared" si="93"/>
        <v>0</v>
      </c>
      <c r="T391" s="57">
        <f t="shared" si="93"/>
        <v>0</v>
      </c>
      <c r="U391" s="57">
        <f t="shared" si="93"/>
        <v>0</v>
      </c>
      <c r="V391" s="62">
        <f t="shared" si="93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4">IFERROR(SUMPRODUCT($BF$53:$BF$67,Q$53:Q$67)/SUM(Q$53:Q$67)*Q$69*(1+Q$188),0)</f>
        <v>0</v>
      </c>
      <c r="R392" s="57">
        <f t="shared" si="94"/>
        <v>16503.381566868782</v>
      </c>
      <c r="S392" s="57">
        <f t="shared" si="94"/>
        <v>22230.913031905158</v>
      </c>
      <c r="T392" s="57">
        <f t="shared" si="94"/>
        <v>22438.957857551515</v>
      </c>
      <c r="U392" s="57">
        <f t="shared" si="94"/>
        <v>22771.992583740488</v>
      </c>
      <c r="V392" s="62">
        <f t="shared" si="94"/>
        <v>23094.032894827596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5">IFERROR(SUMPRODUCT($BG$53:$BG$67,Q$53:Q$67)/SUM(Q$53:Q$67)*Q$69*(1+Q$188),0)</f>
        <v>0</v>
      </c>
      <c r="R393" s="57">
        <f t="shared" si="95"/>
        <v>0</v>
      </c>
      <c r="S393" s="57">
        <f t="shared" si="95"/>
        <v>0</v>
      </c>
      <c r="T393" s="57">
        <f t="shared" si="95"/>
        <v>0</v>
      </c>
      <c r="U393" s="57">
        <f t="shared" si="95"/>
        <v>0</v>
      </c>
      <c r="V393" s="62">
        <f t="shared" si="95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6">IFERROR(SUMPRODUCT($BH$53:$BH$67,Q$53:Q$67)/SUM(Q$53:Q$67)*Q$69*(1+Q$188),0)</f>
        <v>0</v>
      </c>
      <c r="R394" s="57">
        <f t="shared" si="96"/>
        <v>0</v>
      </c>
      <c r="S394" s="57">
        <f t="shared" si="96"/>
        <v>0</v>
      </c>
      <c r="T394" s="57">
        <f t="shared" si="96"/>
        <v>0</v>
      </c>
      <c r="U394" s="57">
        <f t="shared" si="96"/>
        <v>0</v>
      </c>
      <c r="V394" s="62">
        <f t="shared" si="96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7">SUM(P388:P394)</f>
        <v>0</v>
      </c>
      <c r="Q396" s="37">
        <f t="shared" si="97"/>
        <v>0</v>
      </c>
      <c r="R396" s="37">
        <f t="shared" si="97"/>
        <v>16503.381566868782</v>
      </c>
      <c r="S396" s="37">
        <f t="shared" si="97"/>
        <v>22230.913031905158</v>
      </c>
      <c r="T396" s="37">
        <f t="shared" si="97"/>
        <v>22438.957857551515</v>
      </c>
      <c r="U396" s="37">
        <f t="shared" si="97"/>
        <v>22771.992583740488</v>
      </c>
      <c r="V396" s="64">
        <f t="shared" si="97"/>
        <v>23094.032894827596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48">
    <mergeCell ref="H28:L28"/>
    <mergeCell ref="M28:Q28"/>
    <mergeCell ref="R28:V28"/>
    <mergeCell ref="H50:L50"/>
    <mergeCell ref="M50:Q50"/>
    <mergeCell ref="R50:V50"/>
    <mergeCell ref="H74:L74"/>
    <mergeCell ref="M74:Q74"/>
    <mergeCell ref="R74:V74"/>
    <mergeCell ref="H97:L97"/>
    <mergeCell ref="M97:Q97"/>
    <mergeCell ref="R97:V97"/>
    <mergeCell ref="H120:L120"/>
    <mergeCell ref="M120:Q120"/>
    <mergeCell ref="R120:V120"/>
    <mergeCell ref="H143:L143"/>
    <mergeCell ref="M143:Q143"/>
    <mergeCell ref="R143:V143"/>
    <mergeCell ref="H166:L166"/>
    <mergeCell ref="M166:Q166"/>
    <mergeCell ref="R166:V166"/>
    <mergeCell ref="H196:L196"/>
    <mergeCell ref="M196:Q196"/>
    <mergeCell ref="R196:V196"/>
    <mergeCell ref="H222:L222"/>
    <mergeCell ref="M222:Q222"/>
    <mergeCell ref="R222:V222"/>
    <mergeCell ref="H236:L236"/>
    <mergeCell ref="M236:Q236"/>
    <mergeCell ref="R236:V23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36:L336"/>
    <mergeCell ref="M336:Q336"/>
    <mergeCell ref="R336:V336"/>
    <mergeCell ref="H359:L359"/>
    <mergeCell ref="M359:Q359"/>
    <mergeCell ref="R359:V359"/>
    <mergeCell ref="H385:L385"/>
    <mergeCell ref="M385:Q385"/>
    <mergeCell ref="R385:V385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B0F0"/>
  </sheetPr>
  <dimension ref="A1:BI399"/>
  <sheetViews>
    <sheetView topLeftCell="C1" workbookViewId="0">
      <selection activeCell="R52" sqref="R52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20" s="3" customFormat="1">
      <c r="A1" s="2" t="s">
        <v>2</v>
      </c>
    </row>
    <row r="2" spans="1:20" s="1" customFormat="1">
      <c r="A2" s="3" t="s">
        <v>206</v>
      </c>
    </row>
    <row r="3" spans="1:20" s="1" customFormat="1">
      <c r="A3" s="3" t="s">
        <v>95</v>
      </c>
    </row>
    <row r="4" spans="1:20" s="1" customFormat="1">
      <c r="A4" s="22" t="s">
        <v>43</v>
      </c>
    </row>
    <row r="6" spans="1:20" s="1" customFormat="1">
      <c r="A6" s="2">
        <v>2</v>
      </c>
      <c r="B6" s="2" t="s">
        <v>45</v>
      </c>
    </row>
    <row r="8" spans="1:20">
      <c r="O8" s="94"/>
      <c r="P8" s="95"/>
      <c r="Q8" s="95"/>
      <c r="R8" s="95"/>
      <c r="S8" s="95"/>
      <c r="T8" s="79"/>
    </row>
    <row r="9" spans="1:20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  <c r="I9" s="94"/>
      <c r="J9" s="94"/>
      <c r="K9" s="94"/>
      <c r="O9" s="94"/>
      <c r="P9" s="95"/>
      <c r="Q9" s="95"/>
      <c r="R9" s="95"/>
      <c r="S9" s="94"/>
    </row>
    <row r="10" spans="1:20">
      <c r="B10" s="8" t="s">
        <v>219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  <c r="I10" s="94"/>
      <c r="J10" s="94"/>
      <c r="K10" s="94"/>
      <c r="L10" s="94"/>
      <c r="M10" s="94"/>
      <c r="O10" s="94"/>
      <c r="P10" s="94"/>
      <c r="Q10" s="94"/>
      <c r="R10" s="94"/>
      <c r="S10" s="94"/>
    </row>
    <row r="11" spans="1:20">
      <c r="B11" s="8"/>
      <c r="D11" s="10"/>
      <c r="E11" s="10"/>
      <c r="F11" s="26"/>
      <c r="G11" s="26"/>
      <c r="I11" s="94"/>
      <c r="J11" s="94"/>
      <c r="K11" s="94"/>
      <c r="P11" s="95"/>
      <c r="Q11" s="95"/>
      <c r="R11" s="95"/>
      <c r="S11" s="94"/>
    </row>
    <row r="12" spans="1:20">
      <c r="B12" s="8"/>
      <c r="D12" s="10"/>
      <c r="E12" s="10"/>
      <c r="F12" s="26"/>
      <c r="G12" s="26"/>
      <c r="I12" s="94"/>
      <c r="J12" s="94"/>
      <c r="K12" s="94"/>
    </row>
    <row r="13" spans="1:20">
      <c r="B13" s="8"/>
      <c r="D13" s="10"/>
      <c r="E13" s="10"/>
      <c r="F13" s="26"/>
      <c r="G13" s="26"/>
      <c r="I13" s="94"/>
      <c r="J13" s="94"/>
      <c r="K13" s="94"/>
    </row>
    <row r="14" spans="1:20">
      <c r="B14" s="8"/>
      <c r="D14" s="10"/>
      <c r="E14" s="10"/>
      <c r="F14" s="26"/>
      <c r="G14" s="26"/>
    </row>
    <row r="15" spans="1:20">
      <c r="B15" s="8"/>
      <c r="D15" s="10"/>
      <c r="E15" s="10"/>
      <c r="F15" s="27"/>
      <c r="G15" s="27"/>
    </row>
    <row r="16" spans="1:20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51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90" t="s">
        <v>52</v>
      </c>
      <c r="I28" s="190"/>
      <c r="J28" s="190"/>
      <c r="K28" s="190"/>
      <c r="L28" s="190"/>
      <c r="M28" s="190" t="s">
        <v>53</v>
      </c>
      <c r="N28" s="190"/>
      <c r="O28" s="190"/>
      <c r="P28" s="190"/>
      <c r="Q28" s="190"/>
      <c r="R28" s="190" t="s">
        <v>54</v>
      </c>
      <c r="S28" s="190"/>
      <c r="T28" s="190"/>
      <c r="U28" s="190"/>
      <c r="V28" s="190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>IF(B10&lt;&gt;"",B10,"[blank]")</f>
        <v>Residential connections</v>
      </c>
      <c r="D31" s="31" t="s">
        <v>193</v>
      </c>
      <c r="E31" s="31"/>
      <c r="P31" s="108">
        <f>'AMP inputs'!F56*'General assumptions'!$S$21</f>
        <v>1983.3554848614649</v>
      </c>
      <c r="Q31" s="67">
        <f>$P31*($D10*'General assumptions'!T$35+$E10*'General assumptions'!T$36+$G10*'General assumptions'!T$42)</f>
        <v>1982.452211704277</v>
      </c>
      <c r="R31" s="67">
        <f>$P31*($D10*'General assumptions'!U$35+$E10*'General assumptions'!U$36+$G10*'General assumptions'!U$42)</f>
        <v>1994.1390003305864</v>
      </c>
      <c r="S31" s="67">
        <f>$P31*($D10*'General assumptions'!V$35+$E10*'General assumptions'!V$36+$G10*'General assumptions'!V$42)</f>
        <v>2008.8231637935137</v>
      </c>
      <c r="T31" s="67">
        <f>$P31*($D10*'General assumptions'!W$35+$E10*'General assumptions'!W$36+$G10*'General assumptions'!W$42)</f>
        <v>2027.780781551824</v>
      </c>
      <c r="U31" s="67">
        <f>$P31*($D10*'General assumptions'!X$35+$E10*'General assumptions'!X$36+$G10*'General assumptions'!X$42)</f>
        <v>2052.8007632711592</v>
      </c>
      <c r="V31" s="67">
        <f>$P31*($D10*'General assumptions'!Y$35+$E10*'General assumptions'!Y$36+$G10*'General assumptions'!Y$42)</f>
        <v>2080.0024022822072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P32" s="94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P33" s="94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P34" s="94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  <c r="P35" s="77"/>
      <c r="Q35" s="67"/>
      <c r="R35" s="67"/>
      <c r="S35" s="67"/>
      <c r="T35" s="67"/>
      <c r="U35" s="67"/>
      <c r="V35" s="67"/>
      <c r="X35" s="20"/>
    </row>
    <row r="36" spans="1:24">
      <c r="B36" s="4" t="str">
        <f t="shared" si="0"/>
        <v>[blank]</v>
      </c>
      <c r="D36" s="31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7" spans="1:24" s="1" customFormat="1">
      <c r="A47" s="2">
        <v>4</v>
      </c>
      <c r="B47" s="2" t="s">
        <v>56</v>
      </c>
    </row>
    <row r="49" spans="2:24">
      <c r="H49" s="190" t="s">
        <v>52</v>
      </c>
      <c r="I49" s="190"/>
      <c r="J49" s="190"/>
      <c r="K49" s="190"/>
      <c r="L49" s="190"/>
      <c r="M49" s="190" t="s">
        <v>53</v>
      </c>
      <c r="N49" s="190"/>
      <c r="O49" s="190"/>
      <c r="P49" s="190"/>
      <c r="Q49" s="190"/>
      <c r="R49" s="190" t="s">
        <v>54</v>
      </c>
      <c r="S49" s="190"/>
      <c r="T49" s="190"/>
      <c r="U49" s="190"/>
      <c r="V49" s="190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46</v>
      </c>
      <c r="D51" s="29" t="s">
        <v>55</v>
      </c>
      <c r="H51" s="16" t="s">
        <v>12</v>
      </c>
      <c r="I51" s="16" t="s">
        <v>12</v>
      </c>
      <c r="J51" s="16" t="s">
        <v>12</v>
      </c>
      <c r="K51" s="16" t="s">
        <v>12</v>
      </c>
      <c r="L51" s="16" t="s">
        <v>12</v>
      </c>
      <c r="M51" s="16" t="s">
        <v>12</v>
      </c>
      <c r="N51" s="16" t="s">
        <v>12</v>
      </c>
      <c r="O51" s="16" t="s">
        <v>12</v>
      </c>
      <c r="P51" s="16" t="s">
        <v>13</v>
      </c>
      <c r="Q51" s="16" t="s">
        <v>13</v>
      </c>
      <c r="R51" s="16" t="s">
        <v>13</v>
      </c>
      <c r="S51" s="16" t="s">
        <v>13</v>
      </c>
      <c r="T51" s="16" t="s">
        <v>13</v>
      </c>
      <c r="U51" s="16" t="s">
        <v>13</v>
      </c>
      <c r="V51" s="16" t="s">
        <v>13</v>
      </c>
    </row>
    <row r="52" spans="2:24">
      <c r="B52" s="4" t="str">
        <f>IF(B10&lt;&gt;"",B10,"[blank]")</f>
        <v>Residential connections</v>
      </c>
      <c r="D52" s="31" t="s">
        <v>193</v>
      </c>
      <c r="P52" s="77"/>
      <c r="Q52" s="33">
        <f>'AMP inputs'!N56</f>
        <v>15253.680492358082</v>
      </c>
      <c r="R52" s="33">
        <f>'AMP inputs'!O56</f>
        <v>17377.03597220518</v>
      </c>
      <c r="S52" s="33">
        <f>'AMP inputs'!P56</f>
        <v>17671.560182002133</v>
      </c>
      <c r="T52" s="33">
        <f>'AMP inputs'!Q56</f>
        <v>18022.899817495887</v>
      </c>
      <c r="U52" s="33">
        <f>'AMP inputs'!R56</f>
        <v>18421.158961037472</v>
      </c>
      <c r="V52" s="33">
        <f>'AMP inputs'!S56</f>
        <v>17516.764212989983</v>
      </c>
      <c r="X52" s="20"/>
    </row>
    <row r="53" spans="2:24">
      <c r="B53" s="4" t="str">
        <f t="shared" ref="B53:B66" si="1">IF(B11&lt;&gt;"",B11,"[blank]")</f>
        <v>[blank]</v>
      </c>
      <c r="D53" s="31"/>
      <c r="P53" s="77"/>
      <c r="Q53" s="77"/>
      <c r="R53" s="77"/>
      <c r="S53" s="77"/>
      <c r="T53" s="77"/>
      <c r="U53" s="77"/>
      <c r="V53" s="77"/>
      <c r="W53" s="94"/>
      <c r="X53" s="20"/>
    </row>
    <row r="54" spans="2:24">
      <c r="B54" s="4" t="str">
        <f t="shared" si="1"/>
        <v>[blank]</v>
      </c>
      <c r="D54" s="31"/>
      <c r="P54" s="77"/>
      <c r="Q54" s="77"/>
      <c r="R54" s="77"/>
      <c r="S54" s="77"/>
      <c r="T54" s="77"/>
      <c r="U54" s="77"/>
      <c r="V54" s="77"/>
      <c r="W54" s="94"/>
      <c r="X54" s="20"/>
    </row>
    <row r="55" spans="2:24">
      <c r="B55" s="4" t="str">
        <f t="shared" si="1"/>
        <v>[blank]</v>
      </c>
      <c r="D55" s="31"/>
      <c r="P55" s="77"/>
      <c r="Q55" s="77"/>
      <c r="R55" s="77"/>
      <c r="S55" s="77"/>
      <c r="T55" s="77"/>
      <c r="U55" s="77"/>
      <c r="V55" s="77"/>
      <c r="W55" s="94"/>
      <c r="X55" s="20"/>
    </row>
    <row r="56" spans="2:24">
      <c r="B56" s="4" t="str">
        <f t="shared" si="1"/>
        <v>[blank]</v>
      </c>
      <c r="D56" s="31"/>
      <c r="P56" s="77"/>
      <c r="Q56" s="77"/>
      <c r="R56" s="77"/>
      <c r="S56" s="77"/>
      <c r="T56" s="77"/>
      <c r="U56" s="77"/>
      <c r="V56" s="77"/>
      <c r="W56" s="94"/>
      <c r="X56" s="20"/>
    </row>
    <row r="57" spans="2:24">
      <c r="B57" s="4" t="str">
        <f t="shared" si="1"/>
        <v>[blank]</v>
      </c>
      <c r="D57" s="31"/>
      <c r="P57" s="94"/>
      <c r="Q57" s="94"/>
      <c r="R57" s="94"/>
      <c r="S57" s="94"/>
      <c r="T57" s="94"/>
      <c r="U57" s="94"/>
      <c r="V57" s="94"/>
      <c r="W57" s="94"/>
      <c r="X57" s="94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>
        <v>0</v>
      </c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61</v>
      </c>
    </row>
    <row r="69" spans="1:61">
      <c r="Z69" s="5" t="s">
        <v>73</v>
      </c>
      <c r="AM69" s="5" t="s">
        <v>110</v>
      </c>
      <c r="BB69" s="5" t="s">
        <v>133</v>
      </c>
    </row>
    <row r="70" spans="1:61">
      <c r="H70" s="190" t="s">
        <v>52</v>
      </c>
      <c r="I70" s="190"/>
      <c r="J70" s="190"/>
      <c r="K70" s="190"/>
      <c r="L70" s="190"/>
      <c r="M70" s="190" t="s">
        <v>53</v>
      </c>
      <c r="N70" s="190"/>
      <c r="O70" s="190"/>
      <c r="P70" s="190"/>
      <c r="Q70" s="190"/>
      <c r="R70" s="190" t="s">
        <v>54</v>
      </c>
      <c r="S70" s="190"/>
      <c r="T70" s="190"/>
      <c r="U70" s="190"/>
      <c r="V70" s="190"/>
      <c r="X70" s="38"/>
      <c r="Z70" s="39" t="s">
        <v>69</v>
      </c>
      <c r="AA70" s="39" t="s">
        <v>70</v>
      </c>
      <c r="AB70" s="39" t="s">
        <v>71</v>
      </c>
      <c r="AC70" s="39" t="s">
        <v>72</v>
      </c>
      <c r="AD70" s="39" t="s">
        <v>64</v>
      </c>
      <c r="AE70" s="39" t="s">
        <v>65</v>
      </c>
      <c r="AF70" s="39" t="s">
        <v>66</v>
      </c>
      <c r="AG70" s="39" t="s">
        <v>107</v>
      </c>
      <c r="AH70" s="39" t="s">
        <v>67</v>
      </c>
      <c r="AI70" s="39" t="s">
        <v>68</v>
      </c>
      <c r="AJ70" s="39" t="s">
        <v>108</v>
      </c>
      <c r="AM70" s="39" t="s">
        <v>111</v>
      </c>
      <c r="AN70" s="39" t="s">
        <v>112</v>
      </c>
      <c r="AO70" s="39" t="s">
        <v>113</v>
      </c>
      <c r="AP70" s="39" t="s">
        <v>114</v>
      </c>
      <c r="AQ70" s="39" t="s">
        <v>115</v>
      </c>
      <c r="AR70" s="39" t="s">
        <v>36</v>
      </c>
      <c r="AS70" s="39" t="s">
        <v>116</v>
      </c>
      <c r="AT70" s="39" t="s">
        <v>35</v>
      </c>
      <c r="AU70" s="39" t="s">
        <v>117</v>
      </c>
      <c r="AV70" s="39" t="s">
        <v>118</v>
      </c>
      <c r="AW70" s="39" t="s">
        <v>119</v>
      </c>
      <c r="AX70" s="39" t="s">
        <v>74</v>
      </c>
      <c r="AY70" s="39" t="s">
        <v>75</v>
      </c>
      <c r="BB70" s="39" t="s">
        <v>134</v>
      </c>
      <c r="BC70" s="39" t="s">
        <v>135</v>
      </c>
      <c r="BD70" s="39" t="s">
        <v>136</v>
      </c>
      <c r="BE70" s="39" t="s">
        <v>107</v>
      </c>
      <c r="BF70" s="39" t="s">
        <v>137</v>
      </c>
      <c r="BG70" s="39" t="s">
        <v>138</v>
      </c>
      <c r="BH70" s="39" t="s">
        <v>108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63</v>
      </c>
    </row>
    <row r="72" spans="1:61">
      <c r="B72" s="5" t="s">
        <v>46</v>
      </c>
      <c r="D72" s="29" t="s">
        <v>55</v>
      </c>
      <c r="H72" s="16" t="s">
        <v>12</v>
      </c>
      <c r="I72" s="16" t="s">
        <v>12</v>
      </c>
      <c r="J72" s="16" t="s">
        <v>12</v>
      </c>
      <c r="K72" s="16" t="s">
        <v>12</v>
      </c>
      <c r="L72" s="16" t="s">
        <v>12</v>
      </c>
      <c r="M72" s="16" t="s">
        <v>12</v>
      </c>
      <c r="N72" s="16" t="s">
        <v>12</v>
      </c>
      <c r="O72" s="16" t="s">
        <v>12</v>
      </c>
      <c r="P72" s="16" t="s">
        <v>13</v>
      </c>
      <c r="Q72" s="16" t="s">
        <v>13</v>
      </c>
      <c r="R72" s="16" t="s">
        <v>13</v>
      </c>
      <c r="S72" s="16" t="s">
        <v>13</v>
      </c>
      <c r="T72" s="16" t="s">
        <v>13</v>
      </c>
      <c r="U72" s="16" t="s">
        <v>13</v>
      </c>
      <c r="V72" s="16" t="s">
        <v>13</v>
      </c>
      <c r="X72" s="34" t="s">
        <v>13</v>
      </c>
    </row>
    <row r="73" spans="1:61">
      <c r="B73" s="4" t="str">
        <f>IF(B10&lt;&gt;"",B10,"[blank]")</f>
        <v>Residential connections</v>
      </c>
      <c r="D73" s="31" t="s">
        <v>60</v>
      </c>
      <c r="O73" s="35"/>
      <c r="P73" s="35"/>
      <c r="Q73" s="175">
        <v>30510428.780999999</v>
      </c>
      <c r="R73" s="35">
        <f t="shared" ref="R73:V73" si="2">R31*R52</f>
        <v>34652225.142321877</v>
      </c>
      <c r="S73" s="35">
        <f t="shared" si="2"/>
        <v>35499039.433977008</v>
      </c>
      <c r="T73" s="35">
        <f t="shared" si="2"/>
        <v>36546489.877752036</v>
      </c>
      <c r="U73" s="35">
        <f t="shared" si="2"/>
        <v>37814969.175557077</v>
      </c>
      <c r="V73" s="35">
        <f t="shared" si="2"/>
        <v>36434911.643230163</v>
      </c>
      <c r="W73" s="35"/>
      <c r="X73" s="40">
        <f>SUM(R73:V73)</f>
        <v>180947635.27283818</v>
      </c>
      <c r="Z73" s="10"/>
      <c r="AA73" s="10">
        <v>0.2</v>
      </c>
      <c r="AB73" s="10">
        <v>0.6</v>
      </c>
      <c r="AC73" s="10"/>
      <c r="AD73" s="10"/>
      <c r="AE73" s="10">
        <v>0.2</v>
      </c>
      <c r="AF73" s="10"/>
      <c r="AG73" s="10"/>
      <c r="AH73" s="10"/>
      <c r="AI73" s="10"/>
      <c r="AJ73" s="10"/>
      <c r="AK73" s="41">
        <f t="shared" ref="AK73:AK87" si="3">SUM(Z73:AI73)</f>
        <v>1</v>
      </c>
      <c r="AM73" s="10"/>
      <c r="AN73" s="10">
        <v>1</v>
      </c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1</v>
      </c>
      <c r="BB73" s="10">
        <v>0.8</v>
      </c>
      <c r="BC73" s="10">
        <v>0.2</v>
      </c>
      <c r="BD73" s="10"/>
      <c r="BE73" s="10"/>
      <c r="BF73" s="10"/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 t="s">
        <v>60</v>
      </c>
      <c r="O74" s="50"/>
      <c r="P74" s="35"/>
      <c r="Q74" s="35"/>
      <c r="R74" s="35"/>
      <c r="S74" s="35"/>
      <c r="T74" s="35"/>
      <c r="U74" s="35"/>
      <c r="V74" s="35"/>
      <c r="W74" s="35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D75" s="31" t="s">
        <v>60</v>
      </c>
      <c r="P75" s="35"/>
      <c r="Q75" s="35"/>
      <c r="R75" s="35"/>
      <c r="S75" s="35"/>
      <c r="T75" s="35"/>
      <c r="U75" s="35"/>
      <c r="V75" s="35"/>
      <c r="W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A76" s="4" t="s">
        <v>347</v>
      </c>
      <c r="B76" s="4" t="str">
        <f t="shared" si="6"/>
        <v>[blank]</v>
      </c>
      <c r="D76" s="31" t="s">
        <v>60</v>
      </c>
      <c r="P76" s="35"/>
      <c r="Q76" s="35"/>
      <c r="R76" s="35"/>
      <c r="S76" s="35"/>
      <c r="T76" s="35"/>
      <c r="U76" s="35"/>
      <c r="V76" s="35"/>
      <c r="W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D77" s="31"/>
      <c r="P77" s="35"/>
      <c r="Q77" s="35"/>
      <c r="R77" s="35"/>
      <c r="S77" s="35"/>
      <c r="T77" s="35"/>
      <c r="U77" s="35"/>
      <c r="V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62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30510428.780999999</v>
      </c>
      <c r="R89" s="37">
        <f t="shared" si="8"/>
        <v>34652225.142321877</v>
      </c>
      <c r="S89" s="37">
        <f t="shared" si="8"/>
        <v>35499039.433977008</v>
      </c>
      <c r="T89" s="37">
        <f t="shared" si="8"/>
        <v>36546489.877752036</v>
      </c>
      <c r="U89" s="37">
        <f t="shared" si="8"/>
        <v>37814969.175557077</v>
      </c>
      <c r="V89" s="37">
        <f t="shared" si="8"/>
        <v>36434911.643230163</v>
      </c>
      <c r="X89" s="37">
        <f t="shared" si="7"/>
        <v>180947635.27283818</v>
      </c>
    </row>
    <row r="90" spans="1:61">
      <c r="AA90" s="94"/>
    </row>
    <row r="91" spans="1:61">
      <c r="B91" s="5" t="s">
        <v>76</v>
      </c>
      <c r="AA91" s="94"/>
    </row>
    <row r="92" spans="1:61" s="1" customFormat="1">
      <c r="A92" s="4"/>
      <c r="B92" s="2" t="s">
        <v>77</v>
      </c>
    </row>
    <row r="94" spans="1:61">
      <c r="H94" s="190" t="s">
        <v>52</v>
      </c>
      <c r="I94" s="190"/>
      <c r="J94" s="190"/>
      <c r="K94" s="190"/>
      <c r="L94" s="190"/>
      <c r="M94" s="190" t="s">
        <v>53</v>
      </c>
      <c r="N94" s="190"/>
      <c r="O94" s="190"/>
      <c r="P94" s="190"/>
      <c r="Q94" s="190"/>
      <c r="R94" s="190" t="s">
        <v>54</v>
      </c>
      <c r="S94" s="190"/>
      <c r="T94" s="190"/>
      <c r="U94" s="190"/>
      <c r="V94" s="190"/>
      <c r="X94" s="38"/>
    </row>
    <row r="95" spans="1:61">
      <c r="B95" s="42" t="s">
        <v>79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63</v>
      </c>
    </row>
    <row r="96" spans="1:61">
      <c r="B96" s="5" t="s">
        <v>46</v>
      </c>
      <c r="D96" s="29" t="s">
        <v>55</v>
      </c>
      <c r="H96" s="16" t="s">
        <v>12</v>
      </c>
      <c r="I96" s="16" t="s">
        <v>12</v>
      </c>
      <c r="J96" s="16" t="s">
        <v>12</v>
      </c>
      <c r="K96" s="16" t="s">
        <v>12</v>
      </c>
      <c r="L96" s="16" t="s">
        <v>12</v>
      </c>
      <c r="M96" s="16" t="s">
        <v>12</v>
      </c>
      <c r="N96" s="16" t="s">
        <v>12</v>
      </c>
      <c r="O96" s="16" t="s">
        <v>12</v>
      </c>
      <c r="P96" s="16" t="s">
        <v>13</v>
      </c>
      <c r="Q96" s="16" t="s">
        <v>13</v>
      </c>
      <c r="R96" s="16" t="s">
        <v>13</v>
      </c>
      <c r="S96" s="16" t="s">
        <v>13</v>
      </c>
      <c r="T96" s="16" t="s">
        <v>13</v>
      </c>
      <c r="U96" s="16" t="s">
        <v>13</v>
      </c>
      <c r="V96" s="16" t="s">
        <v>13</v>
      </c>
      <c r="X96" s="34" t="s">
        <v>13</v>
      </c>
    </row>
    <row r="97" spans="2:24">
      <c r="B97" s="4" t="str">
        <f>IF(B10&lt;&gt;"",B10,"[blank]")</f>
        <v>Residential connections</v>
      </c>
      <c r="D97" s="31" t="s">
        <v>60</v>
      </c>
      <c r="O97" s="35"/>
      <c r="P97" s="35">
        <f>$D10*P73</f>
        <v>0</v>
      </c>
      <c r="Q97" s="35">
        <f t="shared" ref="Q97:V97" si="9">$D10*Q73</f>
        <v>1220417.15124</v>
      </c>
      <c r="R97" s="35">
        <f t="shared" si="9"/>
        <v>1386089.005692875</v>
      </c>
      <c r="S97" s="35">
        <f t="shared" si="9"/>
        <v>1419961.5773590803</v>
      </c>
      <c r="T97" s="35">
        <f t="shared" si="9"/>
        <v>1461859.5951100814</v>
      </c>
      <c r="U97" s="35">
        <f t="shared" si="9"/>
        <v>1512598.767022283</v>
      </c>
      <c r="V97" s="35">
        <f t="shared" si="9"/>
        <v>1457396.4657292066</v>
      </c>
      <c r="X97" s="40">
        <f>SUM(R97:V97)</f>
        <v>7237905.4109135261</v>
      </c>
    </row>
    <row r="98" spans="2:24">
      <c r="B98" s="4" t="str">
        <f t="shared" ref="B98:B111" si="10">IF(B11&lt;&gt;"",B11,"[blank]")</f>
        <v>[blank]</v>
      </c>
      <c r="D98" s="31" t="s">
        <v>60</v>
      </c>
      <c r="O98" s="50"/>
      <c r="P98" s="35">
        <f t="shared" ref="P98:V99" si="11">$D11*P74</f>
        <v>0</v>
      </c>
      <c r="Q98" s="35">
        <f t="shared" si="11"/>
        <v>0</v>
      </c>
      <c r="R98" s="35">
        <f t="shared" si="11"/>
        <v>0</v>
      </c>
      <c r="S98" s="35">
        <f t="shared" si="11"/>
        <v>0</v>
      </c>
      <c r="T98" s="35">
        <f t="shared" si="11"/>
        <v>0</v>
      </c>
      <c r="U98" s="35">
        <f t="shared" si="11"/>
        <v>0</v>
      </c>
      <c r="V98" s="35">
        <f t="shared" si="11"/>
        <v>0</v>
      </c>
      <c r="X98" s="40">
        <f t="shared" ref="X98:X111" si="12">SUM(R98:V98)</f>
        <v>0</v>
      </c>
    </row>
    <row r="99" spans="2:24">
      <c r="B99" s="4" t="str">
        <f t="shared" si="10"/>
        <v>[blank]</v>
      </c>
      <c r="D99" s="31" t="s">
        <v>60</v>
      </c>
      <c r="P99" s="35">
        <f t="shared" si="11"/>
        <v>0</v>
      </c>
      <c r="Q99" s="35">
        <f t="shared" ref="Q99:V99" si="13">$D12*Q75</f>
        <v>0</v>
      </c>
      <c r="R99" s="35">
        <f t="shared" si="13"/>
        <v>0</v>
      </c>
      <c r="S99" s="35">
        <f t="shared" si="13"/>
        <v>0</v>
      </c>
      <c r="T99" s="35">
        <f t="shared" si="13"/>
        <v>0</v>
      </c>
      <c r="U99" s="35">
        <f t="shared" si="13"/>
        <v>0</v>
      </c>
      <c r="V99" s="35">
        <f t="shared" si="13"/>
        <v>0</v>
      </c>
      <c r="X99" s="40">
        <f t="shared" si="12"/>
        <v>0</v>
      </c>
    </row>
    <row r="100" spans="2:24">
      <c r="B100" s="4" t="str">
        <f t="shared" si="10"/>
        <v>[blank]</v>
      </c>
      <c r="D100" s="31" t="s">
        <v>60</v>
      </c>
      <c r="P100" s="35">
        <f t="shared" ref="P100:V100" si="14">$D13*P76</f>
        <v>0</v>
      </c>
      <c r="Q100" s="35">
        <f t="shared" si="14"/>
        <v>0</v>
      </c>
      <c r="R100" s="35">
        <f t="shared" si="14"/>
        <v>0</v>
      </c>
      <c r="S100" s="35">
        <f t="shared" si="14"/>
        <v>0</v>
      </c>
      <c r="T100" s="35">
        <f t="shared" si="14"/>
        <v>0</v>
      </c>
      <c r="U100" s="35">
        <f t="shared" si="14"/>
        <v>0</v>
      </c>
      <c r="V100" s="35">
        <f t="shared" si="14"/>
        <v>0</v>
      </c>
      <c r="X100" s="40">
        <f t="shared" si="12"/>
        <v>0</v>
      </c>
    </row>
    <row r="101" spans="2:24">
      <c r="B101" s="4" t="str">
        <f t="shared" si="10"/>
        <v>[blank]</v>
      </c>
      <c r="D101" s="31"/>
      <c r="P101" s="35"/>
      <c r="Q101" s="35"/>
      <c r="R101" s="35"/>
      <c r="S101" s="35"/>
      <c r="T101" s="35"/>
      <c r="U101" s="35"/>
      <c r="V101" s="35"/>
      <c r="X101" s="40">
        <f t="shared" si="12"/>
        <v>0</v>
      </c>
    </row>
    <row r="102" spans="2:24">
      <c r="B102" s="4" t="str">
        <f t="shared" si="10"/>
        <v>[blank]</v>
      </c>
      <c r="X102" s="40">
        <f t="shared" si="12"/>
        <v>0</v>
      </c>
    </row>
    <row r="103" spans="2:24">
      <c r="B103" s="4" t="str">
        <f t="shared" si="10"/>
        <v>[blank]</v>
      </c>
      <c r="X103" s="40">
        <f t="shared" si="12"/>
        <v>0</v>
      </c>
    </row>
    <row r="104" spans="2:24">
      <c r="B104" s="4" t="str">
        <f t="shared" si="10"/>
        <v>[blank]</v>
      </c>
      <c r="X104" s="40">
        <f t="shared" si="12"/>
        <v>0</v>
      </c>
    </row>
    <row r="105" spans="2:24">
      <c r="B105" s="4" t="str">
        <f t="shared" si="10"/>
        <v>[blank]</v>
      </c>
      <c r="X105" s="40">
        <f t="shared" si="12"/>
        <v>0</v>
      </c>
    </row>
    <row r="106" spans="2:24">
      <c r="B106" s="4" t="str">
        <f t="shared" si="10"/>
        <v>[blank]</v>
      </c>
      <c r="X106" s="40">
        <f t="shared" si="12"/>
        <v>0</v>
      </c>
    </row>
    <row r="107" spans="2:24">
      <c r="B107" s="4" t="str">
        <f t="shared" si="10"/>
        <v>[blank]</v>
      </c>
      <c r="X107" s="40">
        <f t="shared" si="12"/>
        <v>0</v>
      </c>
    </row>
    <row r="108" spans="2:24">
      <c r="B108" s="4" t="str">
        <f t="shared" si="10"/>
        <v>[blank]</v>
      </c>
      <c r="X108" s="40">
        <f t="shared" si="12"/>
        <v>0</v>
      </c>
    </row>
    <row r="109" spans="2:24">
      <c r="B109" s="4" t="str">
        <f t="shared" si="10"/>
        <v>[blank]</v>
      </c>
      <c r="X109" s="40">
        <f t="shared" si="12"/>
        <v>0</v>
      </c>
    </row>
    <row r="110" spans="2:24">
      <c r="B110" s="4" t="str">
        <f t="shared" si="10"/>
        <v>[blank]</v>
      </c>
      <c r="X110" s="40">
        <f t="shared" si="12"/>
        <v>0</v>
      </c>
    </row>
    <row r="111" spans="2:24">
      <c r="B111" s="4" t="str">
        <f t="shared" si="10"/>
        <v>[blank]</v>
      </c>
      <c r="X111" s="40">
        <f t="shared" si="12"/>
        <v>0</v>
      </c>
    </row>
    <row r="113" spans="1:24" ht="12.75" thickBot="1">
      <c r="B113" s="5" t="s">
        <v>78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5">SUM(P97:P111)</f>
        <v>0</v>
      </c>
      <c r="Q113" s="37">
        <f t="shared" si="15"/>
        <v>1220417.15124</v>
      </c>
      <c r="R113" s="37">
        <f t="shared" si="15"/>
        <v>1386089.005692875</v>
      </c>
      <c r="S113" s="37">
        <f t="shared" si="15"/>
        <v>1419961.5773590803</v>
      </c>
      <c r="T113" s="37">
        <f t="shared" si="15"/>
        <v>1461859.5951100814</v>
      </c>
      <c r="U113" s="37">
        <f t="shared" si="15"/>
        <v>1512598.767022283</v>
      </c>
      <c r="V113" s="37">
        <f t="shared" si="15"/>
        <v>1457396.4657292066</v>
      </c>
      <c r="X113" s="37">
        <f t="shared" ref="X113" si="16">SUM(R113:V113)</f>
        <v>7237905.4109135261</v>
      </c>
    </row>
    <row r="115" spans="1:24" s="1" customFormat="1">
      <c r="A115" s="4"/>
      <c r="B115" s="2" t="s">
        <v>80</v>
      </c>
    </row>
    <row r="117" spans="1:24">
      <c r="H117" s="190" t="s">
        <v>52</v>
      </c>
      <c r="I117" s="190"/>
      <c r="J117" s="190"/>
      <c r="K117" s="190"/>
      <c r="L117" s="190"/>
      <c r="M117" s="190" t="s">
        <v>53</v>
      </c>
      <c r="N117" s="190"/>
      <c r="O117" s="190"/>
      <c r="P117" s="190"/>
      <c r="Q117" s="190"/>
      <c r="R117" s="190" t="s">
        <v>54</v>
      </c>
      <c r="S117" s="190"/>
      <c r="T117" s="190"/>
      <c r="U117" s="190"/>
      <c r="V117" s="190"/>
      <c r="X117" s="38"/>
    </row>
    <row r="118" spans="1:24">
      <c r="B118" s="43" t="s">
        <v>81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63</v>
      </c>
    </row>
    <row r="119" spans="1:24">
      <c r="B119" s="5" t="s">
        <v>46</v>
      </c>
      <c r="D119" s="29" t="s">
        <v>55</v>
      </c>
      <c r="H119" s="16" t="s">
        <v>12</v>
      </c>
      <c r="I119" s="16" t="s">
        <v>12</v>
      </c>
      <c r="J119" s="16" t="s">
        <v>12</v>
      </c>
      <c r="K119" s="16" t="s">
        <v>12</v>
      </c>
      <c r="L119" s="16" t="s">
        <v>12</v>
      </c>
      <c r="M119" s="16" t="s">
        <v>12</v>
      </c>
      <c r="N119" s="16" t="s">
        <v>12</v>
      </c>
      <c r="O119" s="16" t="s">
        <v>12</v>
      </c>
      <c r="P119" s="16" t="s">
        <v>13</v>
      </c>
      <c r="Q119" s="16" t="s">
        <v>13</v>
      </c>
      <c r="R119" s="16" t="s">
        <v>13</v>
      </c>
      <c r="S119" s="16" t="s">
        <v>13</v>
      </c>
      <c r="T119" s="16" t="s">
        <v>13</v>
      </c>
      <c r="U119" s="16" t="s">
        <v>13</v>
      </c>
      <c r="V119" s="16" t="s">
        <v>13</v>
      </c>
      <c r="X119" s="34" t="s">
        <v>13</v>
      </c>
    </row>
    <row r="120" spans="1:24">
      <c r="B120" s="4" t="str">
        <f>IF(B10&lt;&gt;"",B10,"[blank]")</f>
        <v>Residential connections</v>
      </c>
      <c r="D120" s="31" t="s">
        <v>60</v>
      </c>
      <c r="O120" s="35"/>
      <c r="P120" s="35">
        <f>$E10*P73</f>
        <v>0</v>
      </c>
      <c r="Q120" s="35">
        <f t="shared" ref="Q120:V120" si="17">$E10*Q73</f>
        <v>23187925.87356</v>
      </c>
      <c r="R120" s="35">
        <f t="shared" si="17"/>
        <v>26335691.108164627</v>
      </c>
      <c r="S120" s="35">
        <f t="shared" si="17"/>
        <v>26979269.969822526</v>
      </c>
      <c r="T120" s="35">
        <f t="shared" si="17"/>
        <v>27775332.307091549</v>
      </c>
      <c r="U120" s="35">
        <f t="shared" si="17"/>
        <v>28739376.573423378</v>
      </c>
      <c r="V120" s="35">
        <f t="shared" si="17"/>
        <v>27690532.848854925</v>
      </c>
      <c r="X120" s="40">
        <f>SUM(R120:V120)</f>
        <v>137520202.80735701</v>
      </c>
    </row>
    <row r="121" spans="1:24">
      <c r="B121" s="4" t="str">
        <f t="shared" ref="B121:B134" si="18">IF(B11&lt;&gt;"",B11,"[blank]")</f>
        <v>[blank]</v>
      </c>
      <c r="D121" s="31" t="s">
        <v>60</v>
      </c>
      <c r="O121" s="50"/>
      <c r="P121" s="35">
        <f t="shared" ref="P121:V122" si="19">$E11*P74</f>
        <v>0</v>
      </c>
      <c r="Q121" s="35">
        <f t="shared" si="19"/>
        <v>0</v>
      </c>
      <c r="R121" s="35">
        <f t="shared" si="19"/>
        <v>0</v>
      </c>
      <c r="S121" s="35">
        <f t="shared" si="19"/>
        <v>0</v>
      </c>
      <c r="T121" s="35">
        <f t="shared" si="19"/>
        <v>0</v>
      </c>
      <c r="U121" s="35">
        <f t="shared" si="19"/>
        <v>0</v>
      </c>
      <c r="V121" s="35">
        <f t="shared" si="19"/>
        <v>0</v>
      </c>
      <c r="X121" s="40">
        <f t="shared" ref="X121:X134" si="20">SUM(R121:V121)</f>
        <v>0</v>
      </c>
    </row>
    <row r="122" spans="1:24">
      <c r="B122" s="4" t="str">
        <f t="shared" si="18"/>
        <v>[blank]</v>
      </c>
      <c r="D122" s="31" t="s">
        <v>60</v>
      </c>
      <c r="P122" s="35">
        <f t="shared" si="19"/>
        <v>0</v>
      </c>
      <c r="Q122" s="35">
        <f t="shared" ref="Q122:V122" si="21">$E12*Q75</f>
        <v>0</v>
      </c>
      <c r="R122" s="35">
        <f t="shared" si="21"/>
        <v>0</v>
      </c>
      <c r="S122" s="35">
        <f t="shared" si="21"/>
        <v>0</v>
      </c>
      <c r="T122" s="35">
        <f t="shared" si="21"/>
        <v>0</v>
      </c>
      <c r="U122" s="35">
        <f t="shared" si="21"/>
        <v>0</v>
      </c>
      <c r="V122" s="35">
        <f t="shared" si="21"/>
        <v>0</v>
      </c>
      <c r="X122" s="40">
        <f t="shared" si="20"/>
        <v>0</v>
      </c>
    </row>
    <row r="123" spans="1:24">
      <c r="B123" s="4" t="str">
        <f t="shared" si="18"/>
        <v>[blank]</v>
      </c>
      <c r="D123" s="31" t="s">
        <v>60</v>
      </c>
      <c r="P123" s="35">
        <f t="shared" ref="P123:V123" si="22">$E13*P76</f>
        <v>0</v>
      </c>
      <c r="Q123" s="35">
        <f t="shared" si="22"/>
        <v>0</v>
      </c>
      <c r="R123" s="35">
        <f t="shared" si="22"/>
        <v>0</v>
      </c>
      <c r="S123" s="35">
        <f t="shared" si="22"/>
        <v>0</v>
      </c>
      <c r="T123" s="35">
        <f t="shared" si="22"/>
        <v>0</v>
      </c>
      <c r="U123" s="35">
        <f t="shared" si="22"/>
        <v>0</v>
      </c>
      <c r="V123" s="35">
        <f t="shared" si="22"/>
        <v>0</v>
      </c>
      <c r="X123" s="40">
        <f t="shared" si="20"/>
        <v>0</v>
      </c>
    </row>
    <row r="124" spans="1:24">
      <c r="B124" s="4" t="str">
        <f t="shared" si="18"/>
        <v>[blank]</v>
      </c>
      <c r="D124" s="31"/>
      <c r="P124" s="35"/>
      <c r="Q124" s="35"/>
      <c r="R124" s="35"/>
      <c r="S124" s="35"/>
      <c r="T124" s="35"/>
      <c r="U124" s="35"/>
      <c r="V124" s="35"/>
      <c r="X124" s="40">
        <f t="shared" si="20"/>
        <v>0</v>
      </c>
    </row>
    <row r="125" spans="1:24">
      <c r="B125" s="4" t="str">
        <f t="shared" si="18"/>
        <v>[blank]</v>
      </c>
      <c r="X125" s="40">
        <f t="shared" si="20"/>
        <v>0</v>
      </c>
    </row>
    <row r="126" spans="1:24">
      <c r="B126" s="4" t="str">
        <f t="shared" si="18"/>
        <v>[blank]</v>
      </c>
      <c r="X126" s="40">
        <f t="shared" si="20"/>
        <v>0</v>
      </c>
    </row>
    <row r="127" spans="1:24">
      <c r="B127" s="4" t="str">
        <f t="shared" si="18"/>
        <v>[blank]</v>
      </c>
      <c r="X127" s="40">
        <f t="shared" si="20"/>
        <v>0</v>
      </c>
    </row>
    <row r="128" spans="1:24">
      <c r="B128" s="4" t="str">
        <f t="shared" si="18"/>
        <v>[blank]</v>
      </c>
      <c r="X128" s="40">
        <f t="shared" si="20"/>
        <v>0</v>
      </c>
    </row>
    <row r="129" spans="1:24">
      <c r="B129" s="4" t="str">
        <f t="shared" si="18"/>
        <v>[blank]</v>
      </c>
      <c r="X129" s="40">
        <f t="shared" si="20"/>
        <v>0</v>
      </c>
    </row>
    <row r="130" spans="1:24">
      <c r="B130" s="4" t="str">
        <f t="shared" si="18"/>
        <v>[blank]</v>
      </c>
      <c r="X130" s="40">
        <f t="shared" si="20"/>
        <v>0</v>
      </c>
    </row>
    <row r="131" spans="1:24">
      <c r="B131" s="4" t="str">
        <f t="shared" si="18"/>
        <v>[blank]</v>
      </c>
      <c r="X131" s="40">
        <f t="shared" si="20"/>
        <v>0</v>
      </c>
    </row>
    <row r="132" spans="1:24">
      <c r="B132" s="4" t="str">
        <f t="shared" si="18"/>
        <v>[blank]</v>
      </c>
      <c r="X132" s="40">
        <f t="shared" si="20"/>
        <v>0</v>
      </c>
    </row>
    <row r="133" spans="1:24">
      <c r="B133" s="4" t="str">
        <f t="shared" si="18"/>
        <v>[blank]</v>
      </c>
      <c r="X133" s="40">
        <f t="shared" si="20"/>
        <v>0</v>
      </c>
    </row>
    <row r="134" spans="1:24">
      <c r="B134" s="4" t="str">
        <f t="shared" si="18"/>
        <v>[blank]</v>
      </c>
      <c r="X134" s="40">
        <f t="shared" si="20"/>
        <v>0</v>
      </c>
    </row>
    <row r="136" spans="1:24" ht="12.75" thickBot="1">
      <c r="B136" s="5" t="s">
        <v>82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3">SUM(P120:P134)</f>
        <v>0</v>
      </c>
      <c r="Q136" s="37">
        <f t="shared" si="23"/>
        <v>23187925.87356</v>
      </c>
      <c r="R136" s="37">
        <f t="shared" si="23"/>
        <v>26335691.108164627</v>
      </c>
      <c r="S136" s="37">
        <f t="shared" si="23"/>
        <v>26979269.969822526</v>
      </c>
      <c r="T136" s="37">
        <f t="shared" si="23"/>
        <v>27775332.307091549</v>
      </c>
      <c r="U136" s="37">
        <f t="shared" si="23"/>
        <v>28739376.573423378</v>
      </c>
      <c r="V136" s="37">
        <f t="shared" si="23"/>
        <v>27690532.848854925</v>
      </c>
      <c r="X136" s="37">
        <f t="shared" ref="X136" si="24">SUM(R136:V136)</f>
        <v>137520202.80735701</v>
      </c>
    </row>
    <row r="138" spans="1:24" s="1" customFormat="1">
      <c r="A138" s="4"/>
      <c r="B138" s="2" t="s">
        <v>83</v>
      </c>
    </row>
    <row r="140" spans="1:24">
      <c r="H140" s="190" t="s">
        <v>52</v>
      </c>
      <c r="I140" s="190"/>
      <c r="J140" s="190"/>
      <c r="K140" s="190"/>
      <c r="L140" s="190"/>
      <c r="M140" s="190" t="s">
        <v>53</v>
      </c>
      <c r="N140" s="190"/>
      <c r="O140" s="190"/>
      <c r="P140" s="190"/>
      <c r="Q140" s="190"/>
      <c r="R140" s="190" t="s">
        <v>54</v>
      </c>
      <c r="S140" s="190"/>
      <c r="T140" s="190"/>
      <c r="U140" s="190"/>
      <c r="V140" s="190"/>
      <c r="X140" s="38"/>
    </row>
    <row r="141" spans="1:24">
      <c r="B141" s="43" t="s">
        <v>84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63</v>
      </c>
    </row>
    <row r="142" spans="1:24">
      <c r="B142" s="5" t="s">
        <v>46</v>
      </c>
      <c r="D142" s="29" t="s">
        <v>55</v>
      </c>
      <c r="H142" s="16" t="s">
        <v>12</v>
      </c>
      <c r="I142" s="16" t="s">
        <v>12</v>
      </c>
      <c r="J142" s="16" t="s">
        <v>12</v>
      </c>
      <c r="K142" s="16" t="s">
        <v>12</v>
      </c>
      <c r="L142" s="16" t="s">
        <v>12</v>
      </c>
      <c r="M142" s="16" t="s">
        <v>12</v>
      </c>
      <c r="N142" s="16" t="s">
        <v>12</v>
      </c>
      <c r="O142" s="16" t="s">
        <v>12</v>
      </c>
      <c r="P142" s="16" t="s">
        <v>13</v>
      </c>
      <c r="Q142" s="16" t="s">
        <v>13</v>
      </c>
      <c r="R142" s="16" t="s">
        <v>13</v>
      </c>
      <c r="S142" s="16" t="s">
        <v>13</v>
      </c>
      <c r="T142" s="16" t="s">
        <v>13</v>
      </c>
      <c r="U142" s="16" t="s">
        <v>13</v>
      </c>
      <c r="V142" s="16" t="s">
        <v>13</v>
      </c>
      <c r="X142" s="34" t="s">
        <v>13</v>
      </c>
    </row>
    <row r="143" spans="1:24">
      <c r="B143" s="4" t="str">
        <f>IF(B10&lt;&gt;"",B10,"[blank]")</f>
        <v>Residential connections</v>
      </c>
      <c r="D143" s="31" t="s">
        <v>60</v>
      </c>
      <c r="O143" s="35"/>
      <c r="P143" s="35">
        <f>P97+P120</f>
        <v>0</v>
      </c>
      <c r="Q143" s="35">
        <f t="shared" ref="Q143:V143" si="25">Q97+Q120</f>
        <v>24408343.024799999</v>
      </c>
      <c r="R143" s="35">
        <f t="shared" si="25"/>
        <v>27721780.1138575</v>
      </c>
      <c r="S143" s="35">
        <f t="shared" si="25"/>
        <v>28399231.547181606</v>
      </c>
      <c r="T143" s="35">
        <f t="shared" si="25"/>
        <v>29237191.90220163</v>
      </c>
      <c r="U143" s="35">
        <f t="shared" si="25"/>
        <v>30251975.34044566</v>
      </c>
      <c r="V143" s="35">
        <f t="shared" si="25"/>
        <v>29147929.314584132</v>
      </c>
      <c r="X143" s="40">
        <f>SUM(R143:V143)</f>
        <v>144758108.21827054</v>
      </c>
    </row>
    <row r="144" spans="1:24">
      <c r="B144" s="4" t="str">
        <f t="shared" ref="B144:B157" si="26">IF(B11&lt;&gt;"",B11,"[blank]")</f>
        <v>[blank]</v>
      </c>
      <c r="D144" s="31" t="s">
        <v>60</v>
      </c>
      <c r="O144" s="50"/>
      <c r="P144" s="35">
        <f t="shared" ref="P144:V145" si="27">P98+P121</f>
        <v>0</v>
      </c>
      <c r="Q144" s="35">
        <f t="shared" si="27"/>
        <v>0</v>
      </c>
      <c r="R144" s="35">
        <f t="shared" si="27"/>
        <v>0</v>
      </c>
      <c r="S144" s="35">
        <f t="shared" si="27"/>
        <v>0</v>
      </c>
      <c r="T144" s="35">
        <f t="shared" si="27"/>
        <v>0</v>
      </c>
      <c r="U144" s="35">
        <f t="shared" si="27"/>
        <v>0</v>
      </c>
      <c r="V144" s="35">
        <f t="shared" si="27"/>
        <v>0</v>
      </c>
      <c r="X144" s="40">
        <f t="shared" ref="X144:X157" si="28">SUM(R144:V144)</f>
        <v>0</v>
      </c>
    </row>
    <row r="145" spans="2:24">
      <c r="B145" s="4" t="str">
        <f t="shared" si="26"/>
        <v>[blank]</v>
      </c>
      <c r="D145" s="31" t="s">
        <v>60</v>
      </c>
      <c r="P145" s="35">
        <f t="shared" si="27"/>
        <v>0</v>
      </c>
      <c r="Q145" s="35">
        <f t="shared" ref="Q145:V145" si="29">Q99+Q122</f>
        <v>0</v>
      </c>
      <c r="R145" s="35">
        <f t="shared" si="29"/>
        <v>0</v>
      </c>
      <c r="S145" s="35">
        <f t="shared" si="29"/>
        <v>0</v>
      </c>
      <c r="T145" s="35">
        <f t="shared" si="29"/>
        <v>0</v>
      </c>
      <c r="U145" s="35">
        <f t="shared" si="29"/>
        <v>0</v>
      </c>
      <c r="V145" s="35">
        <f t="shared" si="29"/>
        <v>0</v>
      </c>
      <c r="X145" s="40">
        <f t="shared" si="28"/>
        <v>0</v>
      </c>
    </row>
    <row r="146" spans="2:24">
      <c r="B146" s="4" t="str">
        <f t="shared" si="26"/>
        <v>[blank]</v>
      </c>
      <c r="D146" s="31" t="s">
        <v>60</v>
      </c>
      <c r="P146" s="35">
        <f t="shared" ref="P146:V146" si="30">P100+P123</f>
        <v>0</v>
      </c>
      <c r="Q146" s="35">
        <f t="shared" si="30"/>
        <v>0</v>
      </c>
      <c r="R146" s="35">
        <f t="shared" si="30"/>
        <v>0</v>
      </c>
      <c r="S146" s="35">
        <f t="shared" si="30"/>
        <v>0</v>
      </c>
      <c r="T146" s="35">
        <f t="shared" si="30"/>
        <v>0</v>
      </c>
      <c r="U146" s="35">
        <f t="shared" si="30"/>
        <v>0</v>
      </c>
      <c r="V146" s="35">
        <f t="shared" si="30"/>
        <v>0</v>
      </c>
      <c r="X146" s="40">
        <f t="shared" si="28"/>
        <v>0</v>
      </c>
    </row>
    <row r="147" spans="2:24">
      <c r="B147" s="4" t="str">
        <f t="shared" si="26"/>
        <v>[blank]</v>
      </c>
      <c r="D147" s="31"/>
      <c r="P147" s="35"/>
      <c r="Q147" s="35"/>
      <c r="R147" s="35"/>
      <c r="S147" s="35"/>
      <c r="T147" s="35"/>
      <c r="U147" s="35"/>
      <c r="V147" s="35"/>
      <c r="X147" s="40">
        <f t="shared" si="28"/>
        <v>0</v>
      </c>
    </row>
    <row r="148" spans="2:24">
      <c r="B148" s="4" t="str">
        <f t="shared" si="26"/>
        <v>[blank]</v>
      </c>
      <c r="X148" s="40">
        <f t="shared" si="28"/>
        <v>0</v>
      </c>
    </row>
    <row r="149" spans="2:24">
      <c r="B149" s="4" t="str">
        <f t="shared" si="26"/>
        <v>[blank]</v>
      </c>
      <c r="X149" s="40">
        <f t="shared" si="28"/>
        <v>0</v>
      </c>
    </row>
    <row r="150" spans="2:24">
      <c r="B150" s="4" t="str">
        <f t="shared" si="26"/>
        <v>[blank]</v>
      </c>
      <c r="X150" s="40">
        <f t="shared" si="28"/>
        <v>0</v>
      </c>
    </row>
    <row r="151" spans="2:24">
      <c r="B151" s="4" t="str">
        <f t="shared" si="26"/>
        <v>[blank]</v>
      </c>
      <c r="X151" s="40">
        <f t="shared" si="28"/>
        <v>0</v>
      </c>
    </row>
    <row r="152" spans="2:24">
      <c r="B152" s="4" t="str">
        <f t="shared" si="26"/>
        <v>[blank]</v>
      </c>
      <c r="X152" s="40">
        <f t="shared" si="28"/>
        <v>0</v>
      </c>
    </row>
    <row r="153" spans="2:24">
      <c r="B153" s="4" t="str">
        <f t="shared" si="26"/>
        <v>[blank]</v>
      </c>
      <c r="X153" s="40">
        <f t="shared" si="28"/>
        <v>0</v>
      </c>
    </row>
    <row r="154" spans="2:24">
      <c r="B154" s="4" t="str">
        <f t="shared" si="26"/>
        <v>[blank]</v>
      </c>
      <c r="X154" s="40">
        <f t="shared" si="28"/>
        <v>0</v>
      </c>
    </row>
    <row r="155" spans="2:24">
      <c r="B155" s="4" t="str">
        <f t="shared" si="26"/>
        <v>[blank]</v>
      </c>
      <c r="X155" s="40">
        <f t="shared" si="28"/>
        <v>0</v>
      </c>
    </row>
    <row r="156" spans="2:24">
      <c r="B156" s="4" t="str">
        <f t="shared" si="26"/>
        <v>[blank]</v>
      </c>
      <c r="X156" s="40">
        <f t="shared" si="28"/>
        <v>0</v>
      </c>
    </row>
    <row r="157" spans="2:24">
      <c r="B157" s="4" t="str">
        <f t="shared" si="26"/>
        <v>[blank]</v>
      </c>
      <c r="X157" s="40">
        <f t="shared" si="28"/>
        <v>0</v>
      </c>
    </row>
    <row r="159" spans="2:24" ht="12.75" thickBot="1">
      <c r="B159" s="5" t="s">
        <v>85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31">SUM(Q143:Q157)</f>
        <v>24408343.024799999</v>
      </c>
      <c r="R159" s="37">
        <f t="shared" si="31"/>
        <v>27721780.1138575</v>
      </c>
      <c r="S159" s="37">
        <f t="shared" si="31"/>
        <v>28399231.547181606</v>
      </c>
      <c r="T159" s="37">
        <f t="shared" si="31"/>
        <v>29237191.90220163</v>
      </c>
      <c r="U159" s="37">
        <f t="shared" si="31"/>
        <v>30251975.34044566</v>
      </c>
      <c r="V159" s="37">
        <f t="shared" si="31"/>
        <v>29147929.314584132</v>
      </c>
      <c r="X159" s="37">
        <f t="shared" ref="X159" si="32">SUM(R159:V159)</f>
        <v>144758108.21827054</v>
      </c>
    </row>
    <row r="161" spans="1:24" s="1" customFormat="1">
      <c r="A161" s="4"/>
      <c r="B161" s="2" t="s">
        <v>86</v>
      </c>
    </row>
    <row r="163" spans="1:24">
      <c r="H163" s="190" t="s">
        <v>52</v>
      </c>
      <c r="I163" s="190"/>
      <c r="J163" s="190"/>
      <c r="K163" s="190"/>
      <c r="L163" s="190"/>
      <c r="M163" s="190" t="s">
        <v>53</v>
      </c>
      <c r="N163" s="190"/>
      <c r="O163" s="190"/>
      <c r="P163" s="190"/>
      <c r="Q163" s="190"/>
      <c r="R163" s="190" t="s">
        <v>54</v>
      </c>
      <c r="S163" s="190"/>
      <c r="T163" s="190"/>
      <c r="U163" s="190"/>
      <c r="V163" s="190"/>
      <c r="X163" s="38"/>
    </row>
    <row r="164" spans="1:24">
      <c r="B164" s="44" t="s">
        <v>50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63</v>
      </c>
    </row>
    <row r="165" spans="1:24">
      <c r="B165" s="5" t="s">
        <v>46</v>
      </c>
      <c r="D165" s="29" t="s">
        <v>55</v>
      </c>
      <c r="H165" s="16" t="s">
        <v>12</v>
      </c>
      <c r="I165" s="16" t="s">
        <v>12</v>
      </c>
      <c r="J165" s="16" t="s">
        <v>12</v>
      </c>
      <c r="K165" s="16" t="s">
        <v>12</v>
      </c>
      <c r="L165" s="16" t="s">
        <v>12</v>
      </c>
      <c r="M165" s="16" t="s">
        <v>12</v>
      </c>
      <c r="N165" s="16" t="s">
        <v>12</v>
      </c>
      <c r="O165" s="16" t="s">
        <v>12</v>
      </c>
      <c r="P165" s="16" t="s">
        <v>13</v>
      </c>
      <c r="Q165" s="16" t="s">
        <v>13</v>
      </c>
      <c r="R165" s="16" t="s">
        <v>13</v>
      </c>
      <c r="S165" s="16" t="s">
        <v>13</v>
      </c>
      <c r="T165" s="16" t="s">
        <v>13</v>
      </c>
      <c r="U165" s="16" t="s">
        <v>13</v>
      </c>
      <c r="V165" s="16" t="s">
        <v>13</v>
      </c>
      <c r="X165" s="34" t="s">
        <v>13</v>
      </c>
    </row>
    <row r="166" spans="1:24">
      <c r="B166" s="4" t="str">
        <f>IF(B10&lt;&gt;"",B10,"[blank]")</f>
        <v>Residential connections</v>
      </c>
      <c r="D166" s="31" t="s">
        <v>60</v>
      </c>
      <c r="O166" s="35"/>
      <c r="P166" s="35">
        <f>$G10*P73</f>
        <v>0</v>
      </c>
      <c r="Q166" s="35">
        <f t="shared" ref="Q166:V166" si="33">$G10*Q73</f>
        <v>6102085.7561999988</v>
      </c>
      <c r="R166" s="35">
        <f t="shared" si="33"/>
        <v>6930445.0284643741</v>
      </c>
      <c r="S166" s="35">
        <f t="shared" si="33"/>
        <v>7099807.8867953997</v>
      </c>
      <c r="T166" s="35">
        <f t="shared" si="33"/>
        <v>7309297.9755504057</v>
      </c>
      <c r="U166" s="35">
        <f t="shared" si="33"/>
        <v>7562993.8351114141</v>
      </c>
      <c r="V166" s="35">
        <f t="shared" si="33"/>
        <v>7286982.3286460312</v>
      </c>
      <c r="X166" s="40">
        <f>SUM(R166:V166)</f>
        <v>36189527.054567628</v>
      </c>
    </row>
    <row r="167" spans="1:24">
      <c r="B167" s="4" t="str">
        <f t="shared" ref="B167:B180" si="34">IF(B11&lt;&gt;"",B11,"[blank]")</f>
        <v>[blank]</v>
      </c>
      <c r="D167" s="31" t="s">
        <v>60</v>
      </c>
      <c r="O167" s="50"/>
      <c r="P167" s="35">
        <f t="shared" ref="P167:V168" si="35">$G11*P74</f>
        <v>0</v>
      </c>
      <c r="Q167" s="35">
        <f t="shared" si="35"/>
        <v>0</v>
      </c>
      <c r="R167" s="35">
        <f t="shared" si="35"/>
        <v>0</v>
      </c>
      <c r="S167" s="35">
        <f t="shared" si="35"/>
        <v>0</v>
      </c>
      <c r="T167" s="35">
        <f t="shared" si="35"/>
        <v>0</v>
      </c>
      <c r="U167" s="35">
        <f t="shared" si="35"/>
        <v>0</v>
      </c>
      <c r="V167" s="35">
        <f t="shared" si="35"/>
        <v>0</v>
      </c>
      <c r="X167" s="40">
        <f t="shared" ref="X167:X180" si="36">SUM(R167:V167)</f>
        <v>0</v>
      </c>
    </row>
    <row r="168" spans="1:24">
      <c r="B168" s="4" t="str">
        <f t="shared" si="34"/>
        <v>[blank]</v>
      </c>
      <c r="D168" s="31" t="s">
        <v>60</v>
      </c>
      <c r="P168" s="35">
        <f t="shared" si="35"/>
        <v>0</v>
      </c>
      <c r="Q168" s="35">
        <f t="shared" ref="Q168:V168" si="37">$G12*Q75</f>
        <v>0</v>
      </c>
      <c r="R168" s="35">
        <f t="shared" si="37"/>
        <v>0</v>
      </c>
      <c r="S168" s="35">
        <f t="shared" si="37"/>
        <v>0</v>
      </c>
      <c r="T168" s="35">
        <f t="shared" si="37"/>
        <v>0</v>
      </c>
      <c r="U168" s="35">
        <f t="shared" si="37"/>
        <v>0</v>
      </c>
      <c r="V168" s="35">
        <f t="shared" si="37"/>
        <v>0</v>
      </c>
      <c r="X168" s="40">
        <f t="shared" si="36"/>
        <v>0</v>
      </c>
    </row>
    <row r="169" spans="1:24">
      <c r="B169" s="4" t="str">
        <f t="shared" si="34"/>
        <v>[blank]</v>
      </c>
      <c r="D169" s="31" t="s">
        <v>60</v>
      </c>
      <c r="P169" s="35">
        <f t="shared" ref="P169:V169" si="38">$G13*P76</f>
        <v>0</v>
      </c>
      <c r="Q169" s="35">
        <f t="shared" si="38"/>
        <v>0</v>
      </c>
      <c r="R169" s="35">
        <f t="shared" si="38"/>
        <v>0</v>
      </c>
      <c r="S169" s="35">
        <f t="shared" si="38"/>
        <v>0</v>
      </c>
      <c r="T169" s="35">
        <f t="shared" si="38"/>
        <v>0</v>
      </c>
      <c r="U169" s="35">
        <f t="shared" si="38"/>
        <v>0</v>
      </c>
      <c r="V169" s="35">
        <f t="shared" si="38"/>
        <v>0</v>
      </c>
      <c r="X169" s="40">
        <f t="shared" si="36"/>
        <v>0</v>
      </c>
    </row>
    <row r="170" spans="1:24">
      <c r="B170" s="4" t="str">
        <f t="shared" si="34"/>
        <v>[blank]</v>
      </c>
      <c r="D170" s="31"/>
      <c r="P170" s="35"/>
      <c r="Q170" s="35"/>
      <c r="R170" s="35"/>
      <c r="S170" s="35"/>
      <c r="T170" s="35"/>
      <c r="U170" s="35"/>
      <c r="V170" s="35"/>
      <c r="X170" s="40">
        <f t="shared" si="36"/>
        <v>0</v>
      </c>
    </row>
    <row r="171" spans="1:24">
      <c r="B171" s="4" t="str">
        <f t="shared" si="34"/>
        <v>[blank]</v>
      </c>
      <c r="X171" s="40">
        <f t="shared" si="36"/>
        <v>0</v>
      </c>
    </row>
    <row r="172" spans="1:24">
      <c r="B172" s="4" t="str">
        <f t="shared" si="34"/>
        <v>[blank]</v>
      </c>
      <c r="X172" s="40">
        <f t="shared" si="36"/>
        <v>0</v>
      </c>
    </row>
    <row r="173" spans="1:24">
      <c r="B173" s="4" t="str">
        <f t="shared" si="34"/>
        <v>[blank]</v>
      </c>
      <c r="X173" s="40">
        <f t="shared" si="36"/>
        <v>0</v>
      </c>
    </row>
    <row r="174" spans="1:24">
      <c r="B174" s="4" t="str">
        <f t="shared" si="34"/>
        <v>[blank]</v>
      </c>
      <c r="X174" s="40">
        <f t="shared" si="36"/>
        <v>0</v>
      </c>
    </row>
    <row r="175" spans="1:24">
      <c r="B175" s="4" t="str">
        <f t="shared" si="34"/>
        <v>[blank]</v>
      </c>
      <c r="X175" s="40">
        <f t="shared" si="36"/>
        <v>0</v>
      </c>
    </row>
    <row r="176" spans="1:24">
      <c r="B176" s="4" t="str">
        <f t="shared" si="34"/>
        <v>[blank]</v>
      </c>
      <c r="X176" s="40">
        <f t="shared" si="36"/>
        <v>0</v>
      </c>
    </row>
    <row r="177" spans="1:24">
      <c r="B177" s="4" t="str">
        <f t="shared" si="34"/>
        <v>[blank]</v>
      </c>
      <c r="X177" s="40">
        <f t="shared" si="36"/>
        <v>0</v>
      </c>
    </row>
    <row r="178" spans="1:24">
      <c r="B178" s="4" t="str">
        <f t="shared" si="34"/>
        <v>[blank]</v>
      </c>
      <c r="X178" s="40">
        <f t="shared" si="36"/>
        <v>0</v>
      </c>
    </row>
    <row r="179" spans="1:24">
      <c r="B179" s="4" t="str">
        <f t="shared" si="34"/>
        <v>[blank]</v>
      </c>
      <c r="X179" s="40">
        <f t="shared" si="36"/>
        <v>0</v>
      </c>
    </row>
    <row r="180" spans="1:24">
      <c r="B180" s="4" t="str">
        <f t="shared" si="34"/>
        <v>[blank]</v>
      </c>
      <c r="X180" s="40">
        <f t="shared" si="36"/>
        <v>0</v>
      </c>
    </row>
    <row r="182" spans="1:24" ht="12.75" thickBot="1">
      <c r="B182" s="5" t="s">
        <v>87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39">SUM(Q166:Q180)</f>
        <v>6102085.7561999988</v>
      </c>
      <c r="R182" s="37">
        <f t="shared" si="39"/>
        <v>6930445.0284643741</v>
      </c>
      <c r="S182" s="37">
        <f t="shared" si="39"/>
        <v>7099807.8867953997</v>
      </c>
      <c r="T182" s="37">
        <f t="shared" si="39"/>
        <v>7309297.9755504057</v>
      </c>
      <c r="U182" s="37">
        <f t="shared" si="39"/>
        <v>7562993.8351114141</v>
      </c>
      <c r="V182" s="37">
        <f t="shared" si="39"/>
        <v>7286982.3286460312</v>
      </c>
      <c r="X182" s="37">
        <f t="shared" ref="X182" si="40">SUM(R182:V182)</f>
        <v>36189527.054567628</v>
      </c>
    </row>
    <row r="184" spans="1:24" s="1" customFormat="1">
      <c r="A184" s="2">
        <v>6</v>
      </c>
      <c r="B184" s="2" t="s">
        <v>89</v>
      </c>
    </row>
    <row r="186" spans="1:24">
      <c r="H186" s="190" t="s">
        <v>52</v>
      </c>
      <c r="I186" s="190"/>
      <c r="J186" s="190"/>
      <c r="K186" s="190"/>
      <c r="L186" s="190"/>
      <c r="M186" s="190" t="s">
        <v>53</v>
      </c>
      <c r="N186" s="190"/>
      <c r="O186" s="190"/>
      <c r="P186" s="190"/>
      <c r="Q186" s="190"/>
      <c r="R186" s="190" t="s">
        <v>54</v>
      </c>
      <c r="S186" s="190"/>
      <c r="T186" s="190"/>
      <c r="U186" s="190"/>
      <c r="V186" s="190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63</v>
      </c>
    </row>
    <row r="188" spans="1:24">
      <c r="B188" s="5" t="s">
        <v>46</v>
      </c>
      <c r="D188" s="29" t="s">
        <v>55</v>
      </c>
      <c r="H188" s="16" t="s">
        <v>12</v>
      </c>
      <c r="I188" s="16" t="s">
        <v>12</v>
      </c>
      <c r="J188" s="16" t="s">
        <v>12</v>
      </c>
      <c r="K188" s="16" t="s">
        <v>12</v>
      </c>
      <c r="L188" s="16" t="s">
        <v>12</v>
      </c>
      <c r="M188" s="16" t="s">
        <v>12</v>
      </c>
      <c r="N188" s="16" t="s">
        <v>12</v>
      </c>
      <c r="O188" s="16" t="s">
        <v>12</v>
      </c>
      <c r="P188" s="16" t="s">
        <v>13</v>
      </c>
      <c r="Q188" s="16" t="s">
        <v>13</v>
      </c>
      <c r="R188" s="16" t="s">
        <v>13</v>
      </c>
      <c r="S188" s="16" t="s">
        <v>13</v>
      </c>
      <c r="T188" s="16" t="s">
        <v>13</v>
      </c>
      <c r="U188" s="16" t="s">
        <v>13</v>
      </c>
      <c r="V188" s="16" t="s">
        <v>13</v>
      </c>
      <c r="X188" s="34" t="s">
        <v>13</v>
      </c>
    </row>
    <row r="189" spans="1:24">
      <c r="B189" s="4" t="str">
        <f>IF(B10&lt;&gt;"",B10,"[blank]")</f>
        <v>Residential connections</v>
      </c>
      <c r="D189" s="31" t="s">
        <v>60</v>
      </c>
      <c r="O189" s="35"/>
      <c r="P189" s="35">
        <f>P73*P$208</f>
        <v>0</v>
      </c>
      <c r="Q189" s="35">
        <f t="shared" ref="Q189:V189" si="41">Q73*Q$208</f>
        <v>2283452.2685394003</v>
      </c>
      <c r="R189" s="35">
        <f t="shared" si="41"/>
        <v>2500879.1307334253</v>
      </c>
      <c r="S189" s="35">
        <f t="shared" si="41"/>
        <v>2707266.6604745085</v>
      </c>
      <c r="T189" s="35">
        <f t="shared" si="41"/>
        <v>2829672.5990350358</v>
      </c>
      <c r="U189" s="35">
        <f t="shared" si="41"/>
        <v>3090076.0214972897</v>
      </c>
      <c r="V189" s="35">
        <f t="shared" si="41"/>
        <v>3074836.703798194</v>
      </c>
      <c r="X189" s="40">
        <f>SUM(R189:V189)</f>
        <v>14202731.115538452</v>
      </c>
    </row>
    <row r="190" spans="1:24">
      <c r="B190" s="4" t="str">
        <f t="shared" ref="B190:B203" si="42">IF(B11&lt;&gt;"",B11,"[blank]")</f>
        <v>[blank]</v>
      </c>
      <c r="D190" s="31" t="s">
        <v>60</v>
      </c>
      <c r="O190" s="50"/>
      <c r="P190" s="35">
        <f t="shared" ref="P190:V191" si="43">P74*P$208</f>
        <v>0</v>
      </c>
      <c r="Q190" s="35">
        <f t="shared" si="43"/>
        <v>0</v>
      </c>
      <c r="R190" s="35">
        <f t="shared" si="43"/>
        <v>0</v>
      </c>
      <c r="S190" s="35">
        <f t="shared" si="43"/>
        <v>0</v>
      </c>
      <c r="T190" s="35">
        <f t="shared" si="43"/>
        <v>0</v>
      </c>
      <c r="U190" s="35">
        <f t="shared" si="43"/>
        <v>0</v>
      </c>
      <c r="V190" s="35">
        <f t="shared" si="43"/>
        <v>0</v>
      </c>
      <c r="X190" s="40">
        <f t="shared" ref="X190:X203" si="44">SUM(R190:V190)</f>
        <v>0</v>
      </c>
    </row>
    <row r="191" spans="1:24">
      <c r="B191" s="4" t="str">
        <f t="shared" si="42"/>
        <v>[blank]</v>
      </c>
      <c r="D191" s="31" t="s">
        <v>60</v>
      </c>
      <c r="P191" s="35">
        <f t="shared" si="43"/>
        <v>0</v>
      </c>
      <c r="Q191" s="35">
        <f t="shared" ref="Q191:V191" si="45">Q75*Q$208</f>
        <v>0</v>
      </c>
      <c r="R191" s="35">
        <f t="shared" si="45"/>
        <v>0</v>
      </c>
      <c r="S191" s="35">
        <f t="shared" si="45"/>
        <v>0</v>
      </c>
      <c r="T191" s="35">
        <f t="shared" si="45"/>
        <v>0</v>
      </c>
      <c r="U191" s="35">
        <f t="shared" si="45"/>
        <v>0</v>
      </c>
      <c r="V191" s="35">
        <f t="shared" si="45"/>
        <v>0</v>
      </c>
      <c r="X191" s="40">
        <f t="shared" si="44"/>
        <v>0</v>
      </c>
    </row>
    <row r="192" spans="1:24">
      <c r="B192" s="4" t="str">
        <f t="shared" si="42"/>
        <v>[blank]</v>
      </c>
      <c r="D192" s="31" t="s">
        <v>60</v>
      </c>
      <c r="P192" s="35">
        <f t="shared" ref="P192:V192" si="46">P76*P$208</f>
        <v>0</v>
      </c>
      <c r="Q192" s="35">
        <f t="shared" si="46"/>
        <v>0</v>
      </c>
      <c r="R192" s="35">
        <f t="shared" si="46"/>
        <v>0</v>
      </c>
      <c r="S192" s="35">
        <f t="shared" si="46"/>
        <v>0</v>
      </c>
      <c r="T192" s="35">
        <f t="shared" si="46"/>
        <v>0</v>
      </c>
      <c r="U192" s="35">
        <f t="shared" si="46"/>
        <v>0</v>
      </c>
      <c r="V192" s="35">
        <f t="shared" si="46"/>
        <v>0</v>
      </c>
      <c r="X192" s="40">
        <f t="shared" si="44"/>
        <v>0</v>
      </c>
    </row>
    <row r="193" spans="2:24">
      <c r="B193" s="4" t="str">
        <f t="shared" si="42"/>
        <v>[blank]</v>
      </c>
      <c r="D193" s="31"/>
      <c r="P193" s="35"/>
      <c r="Q193" s="35"/>
      <c r="R193" s="35"/>
      <c r="S193" s="35"/>
      <c r="T193" s="35"/>
      <c r="U193" s="35"/>
      <c r="V193" s="35"/>
      <c r="X193" s="40">
        <f t="shared" si="44"/>
        <v>0</v>
      </c>
    </row>
    <row r="194" spans="2:24">
      <c r="B194" s="4" t="str">
        <f t="shared" si="42"/>
        <v>[blank]</v>
      </c>
      <c r="X194" s="40">
        <f t="shared" si="44"/>
        <v>0</v>
      </c>
    </row>
    <row r="195" spans="2:24">
      <c r="B195" s="4" t="str">
        <f t="shared" si="42"/>
        <v>[blank]</v>
      </c>
      <c r="X195" s="40">
        <f t="shared" si="44"/>
        <v>0</v>
      </c>
    </row>
    <row r="196" spans="2:24">
      <c r="B196" s="4" t="str">
        <f t="shared" si="42"/>
        <v>[blank]</v>
      </c>
      <c r="X196" s="40">
        <f t="shared" si="44"/>
        <v>0</v>
      </c>
    </row>
    <row r="197" spans="2:24">
      <c r="B197" s="4" t="str">
        <f t="shared" si="42"/>
        <v>[blank]</v>
      </c>
      <c r="X197" s="40">
        <f t="shared" si="44"/>
        <v>0</v>
      </c>
    </row>
    <row r="198" spans="2:24">
      <c r="B198" s="4" t="str">
        <f t="shared" si="42"/>
        <v>[blank]</v>
      </c>
      <c r="X198" s="40">
        <f t="shared" si="44"/>
        <v>0</v>
      </c>
    </row>
    <row r="199" spans="2:24">
      <c r="B199" s="4" t="str">
        <f t="shared" si="42"/>
        <v>[blank]</v>
      </c>
      <c r="X199" s="40">
        <f t="shared" si="44"/>
        <v>0</v>
      </c>
    </row>
    <row r="200" spans="2:24">
      <c r="B200" s="4" t="str">
        <f t="shared" si="42"/>
        <v>[blank]</v>
      </c>
      <c r="X200" s="40">
        <f t="shared" si="44"/>
        <v>0</v>
      </c>
    </row>
    <row r="201" spans="2:24">
      <c r="B201" s="4" t="str">
        <f t="shared" si="42"/>
        <v>[blank]</v>
      </c>
      <c r="X201" s="40">
        <f t="shared" si="44"/>
        <v>0</v>
      </c>
    </row>
    <row r="202" spans="2:24">
      <c r="B202" s="4" t="str">
        <f t="shared" si="42"/>
        <v>[blank]</v>
      </c>
      <c r="X202" s="40">
        <f t="shared" si="44"/>
        <v>0</v>
      </c>
    </row>
    <row r="203" spans="2:24">
      <c r="B203" s="4" t="str">
        <f t="shared" si="42"/>
        <v>[blank]</v>
      </c>
      <c r="X203" s="40">
        <f t="shared" si="44"/>
        <v>0</v>
      </c>
    </row>
    <row r="205" spans="2:24" ht="12.75" thickBot="1">
      <c r="B205" s="5" t="s">
        <v>88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47">SUM(Q189:Q203)</f>
        <v>2283452.2685394003</v>
      </c>
      <c r="R205" s="37">
        <f t="shared" si="47"/>
        <v>2500879.1307334253</v>
      </c>
      <c r="S205" s="37">
        <f t="shared" si="47"/>
        <v>2707266.6604745085</v>
      </c>
      <c r="T205" s="37">
        <f t="shared" si="47"/>
        <v>2829672.5990350358</v>
      </c>
      <c r="U205" s="37">
        <f t="shared" si="47"/>
        <v>3090076.0214972897</v>
      </c>
      <c r="V205" s="37">
        <f t="shared" si="47"/>
        <v>3074836.703798194</v>
      </c>
      <c r="X205" s="37">
        <f t="shared" ref="X205" si="48">SUM(R205:V205)</f>
        <v>14202731.115538452</v>
      </c>
    </row>
    <row r="207" spans="2:24">
      <c r="B207" s="4" t="s">
        <v>92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49">Q89</f>
        <v>30510428.780999999</v>
      </c>
      <c r="R207" s="45">
        <f t="shared" si="49"/>
        <v>34652225.142321877</v>
      </c>
      <c r="S207" s="45">
        <f t="shared" si="49"/>
        <v>35499039.433977008</v>
      </c>
      <c r="T207" s="45">
        <f t="shared" si="49"/>
        <v>36546489.877752036</v>
      </c>
      <c r="U207" s="45">
        <f t="shared" si="49"/>
        <v>37814969.175557077</v>
      </c>
      <c r="V207" s="45">
        <f t="shared" si="49"/>
        <v>36434911.643230163</v>
      </c>
      <c r="W207" s="45"/>
      <c r="X207" s="40">
        <f t="shared" si="49"/>
        <v>180947635.27283818</v>
      </c>
    </row>
    <row r="208" spans="2:24">
      <c r="B208" s="4" t="s">
        <v>90</v>
      </c>
      <c r="H208" s="21" t="str">
        <f>IFERROR(H212/H207,"")</f>
        <v/>
      </c>
      <c r="I208" s="21" t="str">
        <f t="shared" ref="I208:O208" si="50">IFERROR(I212/I207,"")</f>
        <v/>
      </c>
      <c r="J208" s="21" t="str">
        <f t="shared" si="50"/>
        <v/>
      </c>
      <c r="K208" s="21" t="str">
        <f t="shared" si="50"/>
        <v/>
      </c>
      <c r="L208" s="21" t="str">
        <f t="shared" si="50"/>
        <v/>
      </c>
      <c r="M208" s="21" t="str">
        <f t="shared" si="50"/>
        <v/>
      </c>
      <c r="N208" s="21" t="str">
        <f t="shared" si="50"/>
        <v/>
      </c>
      <c r="O208" s="21" t="str">
        <f t="shared" si="50"/>
        <v/>
      </c>
      <c r="P208" s="21">
        <f>'General assumptions'!S65</f>
        <v>0</v>
      </c>
      <c r="Q208" s="21">
        <f>'General assumptions'!T65</f>
        <v>7.4841697077734692E-2</v>
      </c>
      <c r="R208" s="21">
        <f>'General assumptions'!U65</f>
        <v>7.2170809247081261E-2</v>
      </c>
      <c r="S208" s="21">
        <f>'General assumptions'!V65</f>
        <v>7.6263096231367788E-2</v>
      </c>
      <c r="T208" s="21">
        <f>'General assumptions'!W65</f>
        <v>7.7426658716070601E-2</v>
      </c>
      <c r="U208" s="21">
        <f>'General assumptions'!X65</f>
        <v>8.1715682674538839E-2</v>
      </c>
      <c r="V208" s="21">
        <f>'General assumptions'!Y65</f>
        <v>8.4392593946897035E-2</v>
      </c>
      <c r="W208" s="21"/>
      <c r="X208" s="75">
        <f>X205/X207</f>
        <v>7.8490835727823435E-2</v>
      </c>
    </row>
    <row r="210" spans="1:24" ht="12.75" thickBot="1">
      <c r="B210" s="5" t="s">
        <v>91</v>
      </c>
      <c r="H210" s="37">
        <f t="shared" ref="H210:N210" si="51">IF(H188="forecast",H207*(1+H208),H207+H212)</f>
        <v>0</v>
      </c>
      <c r="I210" s="37">
        <f t="shared" si="51"/>
        <v>0</v>
      </c>
      <c r="J210" s="37">
        <f t="shared" si="51"/>
        <v>0</v>
      </c>
      <c r="K210" s="37">
        <f t="shared" si="51"/>
        <v>0</v>
      </c>
      <c r="L210" s="37">
        <f t="shared" si="51"/>
        <v>0</v>
      </c>
      <c r="M210" s="37">
        <f t="shared" si="51"/>
        <v>0</v>
      </c>
      <c r="N210" s="37">
        <f t="shared" si="51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52">IF(Q188="forecast",Q207*(1+Q208),Q207+Q212)</f>
        <v>32793881.049539402</v>
      </c>
      <c r="R210" s="37">
        <f t="shared" si="52"/>
        <v>37153104.2730553</v>
      </c>
      <c r="S210" s="37">
        <f t="shared" si="52"/>
        <v>38206306.094451517</v>
      </c>
      <c r="T210" s="37">
        <f t="shared" si="52"/>
        <v>39376162.476787068</v>
      </c>
      <c r="U210" s="37">
        <f t="shared" si="52"/>
        <v>40905045.197054371</v>
      </c>
      <c r="V210" s="37">
        <f t="shared" si="52"/>
        <v>39509748.34702836</v>
      </c>
      <c r="X210" s="37">
        <f t="shared" ref="X210" si="53">IF(X188="forecast",X207*(1+X208),X207+X212)</f>
        <v>195150366.38837659</v>
      </c>
    </row>
    <row r="212" spans="1:24">
      <c r="B212" s="4" t="s">
        <v>18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54">Q210-Q207</f>
        <v>2283452.2685394026</v>
      </c>
      <c r="R212" s="45">
        <f t="shared" si="54"/>
        <v>2500879.1307334229</v>
      </c>
      <c r="S212" s="45">
        <f t="shared" si="54"/>
        <v>2707266.660474509</v>
      </c>
      <c r="T212" s="45">
        <f t="shared" si="54"/>
        <v>2829672.5990350321</v>
      </c>
      <c r="U212" s="45">
        <f t="shared" si="54"/>
        <v>3090076.0214972943</v>
      </c>
      <c r="V212" s="45">
        <f t="shared" si="54"/>
        <v>3074836.7037981972</v>
      </c>
      <c r="X212" s="40">
        <f t="shared" ref="X212" si="55">X210-X207</f>
        <v>14202731.115538418</v>
      </c>
    </row>
    <row r="214" spans="1:24" s="1" customFormat="1">
      <c r="A214" s="2">
        <v>7</v>
      </c>
      <c r="B214" s="2" t="s">
        <v>74</v>
      </c>
    </row>
    <row r="216" spans="1:24">
      <c r="H216" s="190" t="s">
        <v>52</v>
      </c>
      <c r="I216" s="190"/>
      <c r="J216" s="190"/>
      <c r="K216" s="190"/>
      <c r="L216" s="190"/>
      <c r="M216" s="190" t="s">
        <v>53</v>
      </c>
      <c r="N216" s="190"/>
      <c r="O216" s="190"/>
      <c r="P216" s="190"/>
      <c r="Q216" s="190"/>
      <c r="R216" s="190" t="s">
        <v>54</v>
      </c>
      <c r="S216" s="190"/>
      <c r="T216" s="190"/>
      <c r="U216" s="190"/>
      <c r="V216" s="190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63</v>
      </c>
    </row>
    <row r="218" spans="1:24">
      <c r="D218" s="29" t="s">
        <v>55</v>
      </c>
      <c r="H218" s="16" t="s">
        <v>12</v>
      </c>
      <c r="I218" s="16" t="s">
        <v>12</v>
      </c>
      <c r="J218" s="16" t="s">
        <v>12</v>
      </c>
      <c r="K218" s="16" t="s">
        <v>12</v>
      </c>
      <c r="L218" s="16" t="s">
        <v>12</v>
      </c>
      <c r="M218" s="16" t="s">
        <v>12</v>
      </c>
      <c r="N218" s="16" t="s">
        <v>12</v>
      </c>
      <c r="O218" s="16" t="s">
        <v>12</v>
      </c>
      <c r="P218" s="16" t="s">
        <v>13</v>
      </c>
      <c r="Q218" s="16" t="s">
        <v>13</v>
      </c>
      <c r="R218" s="16" t="s">
        <v>13</v>
      </c>
      <c r="S218" s="16" t="s">
        <v>13</v>
      </c>
      <c r="T218" s="16" t="s">
        <v>13</v>
      </c>
      <c r="U218" s="16" t="s">
        <v>13</v>
      </c>
      <c r="V218" s="16" t="s">
        <v>13</v>
      </c>
      <c r="X218" s="34" t="s">
        <v>13</v>
      </c>
    </row>
    <row r="219" spans="1:24">
      <c r="B219" s="5" t="s">
        <v>94</v>
      </c>
      <c r="D219" s="31" t="s">
        <v>105</v>
      </c>
      <c r="H219" s="4" t="str">
        <f t="shared" ref="H219:O219" si="56">IFERROR(-H238/H210,"")</f>
        <v/>
      </c>
      <c r="I219" s="4" t="str">
        <f t="shared" si="56"/>
        <v/>
      </c>
      <c r="J219" s="4" t="str">
        <f t="shared" si="56"/>
        <v/>
      </c>
      <c r="K219" s="4" t="str">
        <f t="shared" si="56"/>
        <v/>
      </c>
      <c r="L219" s="4" t="str">
        <f t="shared" si="56"/>
        <v/>
      </c>
      <c r="M219" s="4" t="str">
        <f t="shared" si="56"/>
        <v/>
      </c>
      <c r="N219" s="4" t="str">
        <f t="shared" si="56"/>
        <v/>
      </c>
      <c r="O219" s="4" t="str">
        <f t="shared" si="56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46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Residential connections</v>
      </c>
      <c r="D222" s="31" t="s">
        <v>60</v>
      </c>
      <c r="P222" s="45">
        <f>(-P73*(1+P$208))*P$219</f>
        <v>0</v>
      </c>
      <c r="Q222" s="45">
        <f t="shared" ref="Q222:V222" si="57">(-Q73*(1+Q$208))*Q$219</f>
        <v>0</v>
      </c>
      <c r="R222" s="45">
        <f t="shared" si="57"/>
        <v>0</v>
      </c>
      <c r="S222" s="45">
        <f t="shared" si="57"/>
        <v>0</v>
      </c>
      <c r="T222" s="45">
        <f t="shared" si="57"/>
        <v>0</v>
      </c>
      <c r="U222" s="45">
        <f t="shared" si="57"/>
        <v>0</v>
      </c>
      <c r="V222" s="45">
        <f t="shared" si="57"/>
        <v>0</v>
      </c>
      <c r="X222" s="40">
        <f t="shared" ref="X222" si="58">SUM(R222:V222)</f>
        <v>0</v>
      </c>
    </row>
    <row r="223" spans="1:24">
      <c r="B223" s="4" t="str">
        <f t="shared" ref="B223:B236" si="59">IF(B11&lt;&gt;"",B11,"[blank]")</f>
        <v>[blank]</v>
      </c>
      <c r="D223" s="31" t="s">
        <v>60</v>
      </c>
      <c r="P223" s="45">
        <f t="shared" ref="P223:V225" si="60">(-P74*(1+P$208))*P$219</f>
        <v>0</v>
      </c>
      <c r="Q223" s="45">
        <f t="shared" si="60"/>
        <v>0</v>
      </c>
      <c r="R223" s="45">
        <f t="shared" si="60"/>
        <v>0</v>
      </c>
      <c r="S223" s="45">
        <f t="shared" si="60"/>
        <v>0</v>
      </c>
      <c r="T223" s="45">
        <f t="shared" si="60"/>
        <v>0</v>
      </c>
      <c r="U223" s="45">
        <f t="shared" si="60"/>
        <v>0</v>
      </c>
      <c r="V223" s="45">
        <f t="shared" si="60"/>
        <v>0</v>
      </c>
      <c r="X223" s="40"/>
    </row>
    <row r="224" spans="1:24">
      <c r="B224" s="4" t="str">
        <f t="shared" si="59"/>
        <v>[blank]</v>
      </c>
      <c r="D224" s="31" t="s">
        <v>60</v>
      </c>
      <c r="P224" s="45">
        <f t="shared" si="60"/>
        <v>0</v>
      </c>
      <c r="Q224" s="45">
        <f t="shared" si="60"/>
        <v>0</v>
      </c>
      <c r="R224" s="45">
        <f t="shared" si="60"/>
        <v>0</v>
      </c>
      <c r="S224" s="45">
        <f t="shared" si="60"/>
        <v>0</v>
      </c>
      <c r="T224" s="45">
        <f t="shared" si="60"/>
        <v>0</v>
      </c>
      <c r="U224" s="45">
        <f t="shared" si="60"/>
        <v>0</v>
      </c>
      <c r="V224" s="45">
        <f t="shared" si="60"/>
        <v>0</v>
      </c>
      <c r="X224" s="40"/>
    </row>
    <row r="225" spans="1:24">
      <c r="B225" s="4" t="str">
        <f t="shared" si="59"/>
        <v>[blank]</v>
      </c>
      <c r="D225" s="31" t="s">
        <v>60</v>
      </c>
      <c r="P225" s="45">
        <f t="shared" si="60"/>
        <v>0</v>
      </c>
      <c r="Q225" s="45">
        <f t="shared" si="60"/>
        <v>0</v>
      </c>
      <c r="R225" s="45">
        <f t="shared" si="60"/>
        <v>0</v>
      </c>
      <c r="S225" s="45">
        <f t="shared" si="60"/>
        <v>0</v>
      </c>
      <c r="T225" s="45">
        <f t="shared" si="60"/>
        <v>0</v>
      </c>
      <c r="U225" s="45">
        <f t="shared" si="60"/>
        <v>0</v>
      </c>
      <c r="V225" s="45">
        <f t="shared" si="60"/>
        <v>0</v>
      </c>
      <c r="X225" s="40"/>
    </row>
    <row r="226" spans="1:24">
      <c r="B226" s="4" t="str">
        <f t="shared" si="59"/>
        <v>[blank]</v>
      </c>
      <c r="D226" s="31"/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59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59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59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59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59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59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59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59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59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59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93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61">-P219*P210</f>
        <v>0</v>
      </c>
      <c r="Q238" s="37">
        <f t="shared" si="61"/>
        <v>0</v>
      </c>
      <c r="R238" s="37">
        <f t="shared" si="61"/>
        <v>0</v>
      </c>
      <c r="S238" s="37">
        <f t="shared" si="61"/>
        <v>0</v>
      </c>
      <c r="T238" s="37">
        <f t="shared" si="61"/>
        <v>0</v>
      </c>
      <c r="U238" s="37">
        <f t="shared" si="61"/>
        <v>0</v>
      </c>
      <c r="V238" s="37">
        <f t="shared" si="61"/>
        <v>0</v>
      </c>
      <c r="X238" s="37">
        <f t="shared" ref="X238" si="62">SUM(R238:V238)</f>
        <v>0</v>
      </c>
    </row>
    <row r="240" spans="1:24" s="1" customFormat="1">
      <c r="A240" s="2">
        <v>8</v>
      </c>
      <c r="B240" s="2" t="s">
        <v>75</v>
      </c>
    </row>
    <row r="242" spans="1:24">
      <c r="H242" s="190" t="s">
        <v>52</v>
      </c>
      <c r="I242" s="190"/>
      <c r="J242" s="190"/>
      <c r="K242" s="190"/>
      <c r="L242" s="190"/>
      <c r="M242" s="190" t="s">
        <v>53</v>
      </c>
      <c r="N242" s="190"/>
      <c r="O242" s="190"/>
      <c r="P242" s="190"/>
      <c r="Q242" s="190"/>
      <c r="R242" s="190" t="s">
        <v>54</v>
      </c>
      <c r="S242" s="190"/>
      <c r="T242" s="190"/>
      <c r="U242" s="190"/>
      <c r="V242" s="190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63</v>
      </c>
    </row>
    <row r="244" spans="1:24">
      <c r="D244" s="29" t="s">
        <v>55</v>
      </c>
      <c r="H244" s="16" t="s">
        <v>12</v>
      </c>
      <c r="I244" s="16" t="s">
        <v>12</v>
      </c>
      <c r="J244" s="16" t="s">
        <v>12</v>
      </c>
      <c r="K244" s="16" t="s">
        <v>12</v>
      </c>
      <c r="L244" s="16" t="s">
        <v>12</v>
      </c>
      <c r="M244" s="16" t="s">
        <v>12</v>
      </c>
      <c r="N244" s="16" t="s">
        <v>12</v>
      </c>
      <c r="O244" s="16" t="s">
        <v>12</v>
      </c>
      <c r="P244" s="16" t="s">
        <v>13</v>
      </c>
      <c r="Q244" s="16" t="s">
        <v>13</v>
      </c>
      <c r="R244" s="16" t="s">
        <v>13</v>
      </c>
      <c r="S244" s="16" t="s">
        <v>13</v>
      </c>
      <c r="T244" s="16" t="s">
        <v>13</v>
      </c>
      <c r="U244" s="16" t="s">
        <v>13</v>
      </c>
      <c r="V244" s="16" t="s">
        <v>13</v>
      </c>
      <c r="X244" s="34" t="s">
        <v>13</v>
      </c>
    </row>
    <row r="245" spans="1:24">
      <c r="B245" s="38" t="s">
        <v>96</v>
      </c>
      <c r="D245" s="31"/>
      <c r="X245" s="40"/>
    </row>
    <row r="246" spans="1:24">
      <c r="B246" s="47" t="s">
        <v>97</v>
      </c>
      <c r="D246" s="31" t="s">
        <v>60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63">SUM(R246:V246)</f>
        <v>0</v>
      </c>
    </row>
    <row r="247" spans="1:24">
      <c r="B247" s="47" t="s">
        <v>98</v>
      </c>
      <c r="D247" s="31" t="s">
        <v>60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63"/>
        <v>0</v>
      </c>
    </row>
    <row r="248" spans="1:24">
      <c r="B248" s="47" t="s">
        <v>99</v>
      </c>
      <c r="D248" s="31" t="s">
        <v>60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63"/>
        <v>0</v>
      </c>
    </row>
    <row r="249" spans="1:24">
      <c r="B249" s="47" t="s">
        <v>100</v>
      </c>
      <c r="D249" s="31" t="s">
        <v>60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63"/>
        <v>0</v>
      </c>
    </row>
    <row r="250" spans="1:24">
      <c r="B250" s="47" t="s">
        <v>101</v>
      </c>
      <c r="D250" s="31" t="s">
        <v>60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63"/>
        <v>0</v>
      </c>
    </row>
    <row r="252" spans="1:24" ht="12.75" thickBot="1">
      <c r="B252" s="5" t="s">
        <v>102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64">SUM(Q246:Q250)</f>
        <v>0</v>
      </c>
      <c r="R252" s="49">
        <f t="shared" si="64"/>
        <v>0</v>
      </c>
      <c r="S252" s="49">
        <f t="shared" si="64"/>
        <v>0</v>
      </c>
      <c r="T252" s="49">
        <f t="shared" si="64"/>
        <v>0</v>
      </c>
      <c r="U252" s="49">
        <f t="shared" si="64"/>
        <v>0</v>
      </c>
      <c r="V252" s="49">
        <f t="shared" si="64"/>
        <v>0</v>
      </c>
      <c r="X252" s="37">
        <f t="shared" si="63"/>
        <v>0</v>
      </c>
    </row>
    <row r="254" spans="1:24" s="1" customFormat="1">
      <c r="A254" s="2">
        <v>9</v>
      </c>
      <c r="B254" s="2" t="s">
        <v>103</v>
      </c>
    </row>
    <row r="256" spans="1:24">
      <c r="H256" s="190" t="s">
        <v>52</v>
      </c>
      <c r="I256" s="190"/>
      <c r="J256" s="190"/>
      <c r="K256" s="190"/>
      <c r="L256" s="190"/>
      <c r="M256" s="190" t="s">
        <v>53</v>
      </c>
      <c r="N256" s="190"/>
      <c r="O256" s="190"/>
      <c r="P256" s="190"/>
      <c r="Q256" s="190"/>
      <c r="R256" s="190" t="s">
        <v>54</v>
      </c>
      <c r="S256" s="190"/>
      <c r="T256" s="190"/>
      <c r="U256" s="190"/>
      <c r="V256" s="190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63</v>
      </c>
    </row>
    <row r="258" spans="1:24">
      <c r="D258" s="29" t="s">
        <v>55</v>
      </c>
      <c r="H258" s="16" t="s">
        <v>12</v>
      </c>
      <c r="I258" s="16" t="s">
        <v>12</v>
      </c>
      <c r="J258" s="16" t="s">
        <v>12</v>
      </c>
      <c r="K258" s="16" t="s">
        <v>12</v>
      </c>
      <c r="L258" s="16" t="s">
        <v>12</v>
      </c>
      <c r="M258" s="16" t="s">
        <v>12</v>
      </c>
      <c r="N258" s="16" t="s">
        <v>12</v>
      </c>
      <c r="O258" s="16" t="s">
        <v>12</v>
      </c>
      <c r="P258" s="16" t="s">
        <v>13</v>
      </c>
      <c r="Q258" s="16" t="s">
        <v>13</v>
      </c>
      <c r="R258" s="16" t="s">
        <v>13</v>
      </c>
      <c r="S258" s="16" t="s">
        <v>13</v>
      </c>
      <c r="T258" s="16" t="s">
        <v>13</v>
      </c>
      <c r="U258" s="16" t="s">
        <v>13</v>
      </c>
      <c r="V258" s="16" t="s">
        <v>13</v>
      </c>
      <c r="X258" s="34" t="s">
        <v>13</v>
      </c>
    </row>
    <row r="259" spans="1:24">
      <c r="B259" s="4" t="s">
        <v>104</v>
      </c>
      <c r="D259" s="31" t="s">
        <v>60</v>
      </c>
      <c r="H259" s="45">
        <f t="shared" ref="H259:V259" si="65">H210</f>
        <v>0</v>
      </c>
      <c r="I259" s="45">
        <f t="shared" si="65"/>
        <v>0</v>
      </c>
      <c r="J259" s="45">
        <f t="shared" si="65"/>
        <v>0</v>
      </c>
      <c r="K259" s="45">
        <f t="shared" si="65"/>
        <v>0</v>
      </c>
      <c r="L259" s="45">
        <f t="shared" si="65"/>
        <v>0</v>
      </c>
      <c r="M259" s="45">
        <f t="shared" si="65"/>
        <v>0</v>
      </c>
      <c r="N259" s="45">
        <f t="shared" si="65"/>
        <v>0</v>
      </c>
      <c r="O259" s="45">
        <f t="shared" si="65"/>
        <v>0</v>
      </c>
      <c r="P259" s="45">
        <f t="shared" si="65"/>
        <v>0</v>
      </c>
      <c r="Q259" s="45">
        <f t="shared" si="65"/>
        <v>32793881.049539402</v>
      </c>
      <c r="R259" s="45">
        <f t="shared" si="65"/>
        <v>37153104.2730553</v>
      </c>
      <c r="S259" s="45">
        <f t="shared" si="65"/>
        <v>38206306.094451517</v>
      </c>
      <c r="T259" s="45">
        <f t="shared" si="65"/>
        <v>39376162.476787068</v>
      </c>
      <c r="U259" s="45">
        <f t="shared" si="65"/>
        <v>40905045.197054371</v>
      </c>
      <c r="V259" s="45">
        <f t="shared" si="65"/>
        <v>39509748.34702836</v>
      </c>
      <c r="X259" s="40">
        <f t="shared" ref="X259:X261" si="66">SUM(R259:V259)</f>
        <v>195150366.38837665</v>
      </c>
    </row>
    <row r="260" spans="1:24">
      <c r="B260" s="4" t="s">
        <v>74</v>
      </c>
      <c r="D260" s="31" t="s">
        <v>60</v>
      </c>
      <c r="H260" s="45">
        <f>H238</f>
        <v>0</v>
      </c>
      <c r="I260" s="45">
        <f t="shared" ref="I260:V260" si="67">I238</f>
        <v>0</v>
      </c>
      <c r="J260" s="45">
        <f t="shared" si="67"/>
        <v>0</v>
      </c>
      <c r="K260" s="45">
        <f t="shared" si="67"/>
        <v>0</v>
      </c>
      <c r="L260" s="45">
        <f t="shared" si="67"/>
        <v>0</v>
      </c>
      <c r="M260" s="45">
        <f t="shared" si="67"/>
        <v>0</v>
      </c>
      <c r="N260" s="45">
        <f t="shared" si="67"/>
        <v>0</v>
      </c>
      <c r="O260" s="45">
        <f t="shared" si="67"/>
        <v>0</v>
      </c>
      <c r="P260" s="45">
        <f t="shared" si="67"/>
        <v>0</v>
      </c>
      <c r="Q260" s="45">
        <f t="shared" si="67"/>
        <v>0</v>
      </c>
      <c r="R260" s="45">
        <f t="shared" si="67"/>
        <v>0</v>
      </c>
      <c r="S260" s="45">
        <f t="shared" si="67"/>
        <v>0</v>
      </c>
      <c r="T260" s="45">
        <f t="shared" si="67"/>
        <v>0</v>
      </c>
      <c r="U260" s="45">
        <f t="shared" si="67"/>
        <v>0</v>
      </c>
      <c r="V260" s="45">
        <f t="shared" si="67"/>
        <v>0</v>
      </c>
      <c r="X260" s="40">
        <f t="shared" si="66"/>
        <v>0</v>
      </c>
    </row>
    <row r="261" spans="1:24">
      <c r="B261" s="4" t="s">
        <v>75</v>
      </c>
      <c r="D261" s="31" t="s">
        <v>60</v>
      </c>
      <c r="H261" s="45">
        <f>H252</f>
        <v>0</v>
      </c>
      <c r="I261" s="45">
        <f t="shared" ref="I261:V261" si="68">I252</f>
        <v>0</v>
      </c>
      <c r="J261" s="45">
        <f t="shared" si="68"/>
        <v>0</v>
      </c>
      <c r="K261" s="45">
        <f t="shared" si="68"/>
        <v>0</v>
      </c>
      <c r="L261" s="45">
        <f t="shared" si="68"/>
        <v>0</v>
      </c>
      <c r="M261" s="45">
        <f t="shared" si="68"/>
        <v>0</v>
      </c>
      <c r="N261" s="45">
        <f t="shared" si="68"/>
        <v>0</v>
      </c>
      <c r="O261" s="45">
        <f t="shared" si="68"/>
        <v>0</v>
      </c>
      <c r="P261" s="45">
        <f t="shared" si="68"/>
        <v>0</v>
      </c>
      <c r="Q261" s="45">
        <f t="shared" si="68"/>
        <v>0</v>
      </c>
      <c r="R261" s="45">
        <f t="shared" si="68"/>
        <v>0</v>
      </c>
      <c r="S261" s="45">
        <f t="shared" si="68"/>
        <v>0</v>
      </c>
      <c r="T261" s="45">
        <f t="shared" si="68"/>
        <v>0</v>
      </c>
      <c r="U261" s="45">
        <f t="shared" si="68"/>
        <v>0</v>
      </c>
      <c r="V261" s="45">
        <f t="shared" si="68"/>
        <v>0</v>
      </c>
      <c r="X261" s="40">
        <f t="shared" si="66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103</v>
      </c>
      <c r="D263" s="31" t="s">
        <v>60</v>
      </c>
      <c r="H263" s="37">
        <f>SUM(H259:H261)</f>
        <v>0</v>
      </c>
      <c r="I263" s="37">
        <f t="shared" ref="I263:V263" si="69">SUM(I259:I261)</f>
        <v>0</v>
      </c>
      <c r="J263" s="37">
        <f t="shared" si="69"/>
        <v>0</v>
      </c>
      <c r="K263" s="37">
        <f t="shared" si="69"/>
        <v>0</v>
      </c>
      <c r="L263" s="37">
        <f t="shared" si="69"/>
        <v>0</v>
      </c>
      <c r="M263" s="37">
        <f t="shared" si="69"/>
        <v>0</v>
      </c>
      <c r="N263" s="37">
        <f t="shared" si="69"/>
        <v>0</v>
      </c>
      <c r="O263" s="37">
        <f t="shared" si="69"/>
        <v>0</v>
      </c>
      <c r="P263" s="37">
        <f t="shared" si="69"/>
        <v>0</v>
      </c>
      <c r="Q263" s="37">
        <f t="shared" si="69"/>
        <v>32793881.049539402</v>
      </c>
      <c r="R263" s="37">
        <f t="shared" si="69"/>
        <v>37153104.2730553</v>
      </c>
      <c r="S263" s="37">
        <f t="shared" si="69"/>
        <v>38206306.094451517</v>
      </c>
      <c r="T263" s="37">
        <f t="shared" si="69"/>
        <v>39376162.476787068</v>
      </c>
      <c r="U263" s="37">
        <f t="shared" si="69"/>
        <v>40905045.197054371</v>
      </c>
      <c r="V263" s="37">
        <f t="shared" si="69"/>
        <v>39509748.34702836</v>
      </c>
      <c r="X263" s="37">
        <f t="shared" ref="X263" si="70">SUM(R263:V263)</f>
        <v>195150366.38837665</v>
      </c>
    </row>
    <row r="264" spans="1:24">
      <c r="D264" s="31"/>
    </row>
    <row r="266" spans="1:24" s="66" customFormat="1">
      <c r="A266" s="65">
        <v>10</v>
      </c>
      <c r="B266" s="65" t="s">
        <v>121</v>
      </c>
    </row>
    <row r="268" spans="1:24">
      <c r="B268" s="69" t="s">
        <v>120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331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31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31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31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31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71">IFERROR(SUMPRODUCT($Z$73:$Z$87,Q$73:Q$87)/SUM(Q$73:Q$87)*Q$89,0)</f>
        <v>0</v>
      </c>
      <c r="R276" s="57">
        <f t="shared" si="71"/>
        <v>0</v>
      </c>
      <c r="S276" s="57">
        <f t="shared" si="71"/>
        <v>0</v>
      </c>
      <c r="T276" s="57">
        <f t="shared" si="71"/>
        <v>0</v>
      </c>
      <c r="U276" s="57">
        <f t="shared" si="71"/>
        <v>0</v>
      </c>
      <c r="V276" s="62">
        <f t="shared" si="71"/>
        <v>0</v>
      </c>
      <c r="Y276" s="75"/>
      <c r="Z276" s="75"/>
      <c r="AA276" s="75"/>
      <c r="AB276" s="75"/>
      <c r="AC276" s="75"/>
      <c r="AD276" s="75"/>
      <c r="AE276" s="75"/>
    </row>
    <row r="277" spans="6:31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72">IFERROR(SUMPRODUCT($AA$73:$AA$87,Q$73:Q$87)/SUM(Q$73:Q$87)*Q$89,0)</f>
        <v>6102085.7562000006</v>
      </c>
      <c r="R277" s="57">
        <f t="shared" si="72"/>
        <v>6930445.028464376</v>
      </c>
      <c r="S277" s="57">
        <f t="shared" si="72"/>
        <v>7099807.8867954016</v>
      </c>
      <c r="T277" s="57">
        <f t="shared" si="72"/>
        <v>7309297.9755504075</v>
      </c>
      <c r="U277" s="57">
        <f t="shared" si="72"/>
        <v>7562993.8351114159</v>
      </c>
      <c r="V277" s="62">
        <f t="shared" si="72"/>
        <v>7286982.3286460331</v>
      </c>
      <c r="Y277" s="75"/>
      <c r="Z277" s="75"/>
      <c r="AA277" s="75"/>
      <c r="AB277" s="75"/>
      <c r="AC277" s="75"/>
      <c r="AD277" s="75"/>
      <c r="AE277" s="75"/>
    </row>
    <row r="278" spans="6:31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73">IFERROR(SUMPRODUCT($AB$73:$AB$87,Q$73:Q$87)/SUM(Q$73:Q$87)*Q$89,0)</f>
        <v>18306257.268599998</v>
      </c>
      <c r="R278" s="57">
        <f t="shared" si="73"/>
        <v>20791335.085393127</v>
      </c>
      <c r="S278" s="57">
        <f t="shared" si="73"/>
        <v>21299423.660386205</v>
      </c>
      <c r="T278" s="57">
        <f t="shared" si="73"/>
        <v>21927893.926651221</v>
      </c>
      <c r="U278" s="57">
        <f t="shared" si="73"/>
        <v>22688981.505334247</v>
      </c>
      <c r="V278" s="62">
        <f t="shared" si="73"/>
        <v>21860946.985938098</v>
      </c>
      <c r="Y278" s="75"/>
      <c r="Z278" s="75"/>
      <c r="AA278" s="75"/>
      <c r="AB278" s="75"/>
      <c r="AC278" s="75"/>
      <c r="AD278" s="75"/>
      <c r="AE278" s="75"/>
    </row>
    <row r="279" spans="6:31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74">IFERROR(SUMPRODUCT($AC$73:$AC$87,Q$73:Q$87)/SUM(Q$73:Q$87)*Q$89,0)</f>
        <v>0</v>
      </c>
      <c r="R279" s="57">
        <f t="shared" si="74"/>
        <v>0</v>
      </c>
      <c r="S279" s="57">
        <f t="shared" si="74"/>
        <v>0</v>
      </c>
      <c r="T279" s="57">
        <f t="shared" si="74"/>
        <v>0</v>
      </c>
      <c r="U279" s="57">
        <f t="shared" si="74"/>
        <v>0</v>
      </c>
      <c r="V279" s="62">
        <f t="shared" si="74"/>
        <v>0</v>
      </c>
      <c r="Y279" s="75"/>
      <c r="Z279" s="75"/>
      <c r="AA279" s="75"/>
      <c r="AB279" s="75"/>
      <c r="AC279" s="75"/>
      <c r="AD279" s="75"/>
      <c r="AE279" s="75"/>
    </row>
    <row r="280" spans="6:31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75">IFERROR(SUMPRODUCT($AD$73:$AD$87,Q$73:Q$87)/SUM(Q$73:Q$87)*Q$89,0)</f>
        <v>0</v>
      </c>
      <c r="R280" s="57">
        <f t="shared" si="75"/>
        <v>0</v>
      </c>
      <c r="S280" s="57">
        <f t="shared" si="75"/>
        <v>0</v>
      </c>
      <c r="T280" s="57">
        <f t="shared" si="75"/>
        <v>0</v>
      </c>
      <c r="U280" s="57">
        <f t="shared" si="75"/>
        <v>0</v>
      </c>
      <c r="V280" s="62">
        <f t="shared" si="75"/>
        <v>0</v>
      </c>
      <c r="Y280" s="75"/>
      <c r="Z280" s="75"/>
      <c r="AA280" s="75"/>
      <c r="AB280" s="75"/>
      <c r="AC280" s="75"/>
      <c r="AD280" s="75"/>
      <c r="AE280" s="75"/>
    </row>
    <row r="281" spans="6:31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76">IFERROR(SUMPRODUCT($AE$73:$AE$87,Q$73:Q$87)/SUM(Q$73:Q$87)*Q$89,0)</f>
        <v>6102085.7562000006</v>
      </c>
      <c r="R281" s="57">
        <f t="shared" si="76"/>
        <v>6930445.028464376</v>
      </c>
      <c r="S281" s="57">
        <f t="shared" si="76"/>
        <v>7099807.8867954016</v>
      </c>
      <c r="T281" s="57">
        <f t="shared" si="76"/>
        <v>7309297.9755504075</v>
      </c>
      <c r="U281" s="57">
        <f t="shared" si="76"/>
        <v>7562993.8351114159</v>
      </c>
      <c r="V281" s="62">
        <f t="shared" si="76"/>
        <v>7286982.3286460331</v>
      </c>
      <c r="Y281" s="75"/>
      <c r="Z281" s="75"/>
      <c r="AA281" s="75"/>
      <c r="AB281" s="75"/>
      <c r="AC281" s="75"/>
      <c r="AD281" s="75"/>
      <c r="AE281" s="75"/>
    </row>
    <row r="282" spans="6:31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77">IFERROR(SUMPRODUCT($AF$73:$AF$87,Q$73:Q$87)/SUM(Q$73:Q$87)*Q$89,0)</f>
        <v>0</v>
      </c>
      <c r="R282" s="57">
        <f t="shared" si="77"/>
        <v>0</v>
      </c>
      <c r="S282" s="57">
        <f t="shared" si="77"/>
        <v>0</v>
      </c>
      <c r="T282" s="57">
        <f t="shared" si="77"/>
        <v>0</v>
      </c>
      <c r="U282" s="57">
        <f t="shared" si="77"/>
        <v>0</v>
      </c>
      <c r="V282" s="62">
        <f t="shared" si="77"/>
        <v>0</v>
      </c>
      <c r="Y282" s="75"/>
      <c r="Z282" s="75"/>
      <c r="AA282" s="75"/>
      <c r="AB282" s="75"/>
      <c r="AC282" s="75"/>
      <c r="AD282" s="75"/>
      <c r="AE282" s="75"/>
    </row>
    <row r="283" spans="6:31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78">IFERROR(SUMPRODUCT($AG$73:$AG$87,Q$73:Q$87)/SUM(Q$73:Q$87)*Q$89,0)</f>
        <v>0</v>
      </c>
      <c r="R283" s="57">
        <f t="shared" si="78"/>
        <v>0</v>
      </c>
      <c r="S283" s="57">
        <f t="shared" si="78"/>
        <v>0</v>
      </c>
      <c r="T283" s="57">
        <f t="shared" si="78"/>
        <v>0</v>
      </c>
      <c r="U283" s="57">
        <f t="shared" si="78"/>
        <v>0</v>
      </c>
      <c r="V283" s="62">
        <f t="shared" si="78"/>
        <v>0</v>
      </c>
      <c r="Y283" s="75"/>
      <c r="Z283" s="75"/>
      <c r="AA283" s="75"/>
      <c r="AB283" s="75"/>
      <c r="AC283" s="75"/>
      <c r="AD283" s="75"/>
      <c r="AE283" s="75"/>
    </row>
    <row r="284" spans="6:31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79">IFERROR(SUMPRODUCT($AH$73:$AH$87,Q$73:Q$87)/SUM(Q$73:Q$87)*Q$89,0)</f>
        <v>0</v>
      </c>
      <c r="R284" s="57">
        <f t="shared" si="79"/>
        <v>0</v>
      </c>
      <c r="S284" s="57">
        <f t="shared" si="79"/>
        <v>0</v>
      </c>
      <c r="T284" s="57">
        <f t="shared" si="79"/>
        <v>0</v>
      </c>
      <c r="U284" s="57">
        <f t="shared" si="79"/>
        <v>0</v>
      </c>
      <c r="V284" s="62">
        <f t="shared" si="79"/>
        <v>0</v>
      </c>
      <c r="Y284" s="75"/>
      <c r="Z284" s="75"/>
      <c r="AA284" s="75"/>
      <c r="AB284" s="75"/>
      <c r="AC284" s="75"/>
      <c r="AD284" s="75"/>
      <c r="AE284" s="75"/>
    </row>
    <row r="285" spans="6:31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80">IFERROR(SUMPRODUCT($AI$73:$AI$87,Q$73:Q$87)/SUM(Q$73:Q$87)*Q$89,0)</f>
        <v>0</v>
      </c>
      <c r="R285" s="57">
        <f t="shared" si="80"/>
        <v>0</v>
      </c>
      <c r="S285" s="57">
        <f t="shared" si="80"/>
        <v>0</v>
      </c>
      <c r="T285" s="57">
        <f t="shared" si="80"/>
        <v>0</v>
      </c>
      <c r="U285" s="57">
        <f t="shared" si="80"/>
        <v>0</v>
      </c>
      <c r="V285" s="62">
        <f t="shared" si="80"/>
        <v>0</v>
      </c>
      <c r="Y285" s="75"/>
      <c r="Z285" s="75"/>
      <c r="AA285" s="75"/>
      <c r="AB285" s="75"/>
      <c r="AC285" s="75"/>
      <c r="AD285" s="75"/>
      <c r="AE285" s="75"/>
    </row>
    <row r="286" spans="6:31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81">IFERROR(SUMPRODUCT($AJ$73:$AJ$87,Q$73:Q$87)/SUM(Q$73:Q$87)*Q$89,0)</f>
        <v>0</v>
      </c>
      <c r="R286" s="57">
        <f t="shared" si="81"/>
        <v>0</v>
      </c>
      <c r="S286" s="57">
        <f t="shared" si="81"/>
        <v>0</v>
      </c>
      <c r="T286" s="57">
        <f t="shared" si="81"/>
        <v>0</v>
      </c>
      <c r="U286" s="57">
        <f t="shared" si="81"/>
        <v>0</v>
      </c>
      <c r="V286" s="62">
        <f t="shared" si="81"/>
        <v>0</v>
      </c>
      <c r="Y286" s="75"/>
      <c r="Z286" s="75"/>
      <c r="AA286" s="75"/>
      <c r="AB286" s="75"/>
      <c r="AC286" s="75"/>
      <c r="AD286" s="75"/>
      <c r="AE286" s="75"/>
    </row>
    <row r="287" spans="6:31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  <c r="Y287" s="75"/>
      <c r="Z287" s="75"/>
      <c r="AA287" s="75"/>
      <c r="AB287" s="75"/>
      <c r="AC287" s="75"/>
      <c r="AD287" s="75"/>
      <c r="AE287" s="75"/>
    </row>
    <row r="288" spans="6:31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82">SUM(Q276:Q286)</f>
        <v>30510428.780999999</v>
      </c>
      <c r="R288" s="37">
        <f t="shared" si="82"/>
        <v>34652225.142321877</v>
      </c>
      <c r="S288" s="37">
        <f t="shared" si="82"/>
        <v>35499039.433977008</v>
      </c>
      <c r="T288" s="37">
        <f t="shared" si="82"/>
        <v>36546489.877752036</v>
      </c>
      <c r="U288" s="37">
        <f t="shared" si="82"/>
        <v>37814969.175557077</v>
      </c>
      <c r="V288" s="64">
        <f t="shared" si="82"/>
        <v>36434911.643230163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288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83">P276*(1+P$208)</f>
        <v>0</v>
      </c>
      <c r="Q297" s="57">
        <f t="shared" si="83"/>
        <v>0</v>
      </c>
      <c r="R297" s="57">
        <f t="shared" si="83"/>
        <v>0</v>
      </c>
      <c r="S297" s="57">
        <f t="shared" si="83"/>
        <v>0</v>
      </c>
      <c r="T297" s="57">
        <f t="shared" si="83"/>
        <v>0</v>
      </c>
      <c r="U297" s="57">
        <f t="shared" si="83"/>
        <v>0</v>
      </c>
      <c r="V297" s="62">
        <f t="shared" si="83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83"/>
        <v>0</v>
      </c>
      <c r="Q298" s="57">
        <f t="shared" si="83"/>
        <v>6558776.209907881</v>
      </c>
      <c r="R298" s="57">
        <f t="shared" si="83"/>
        <v>7430620.8546110606</v>
      </c>
      <c r="S298" s="57">
        <f t="shared" si="83"/>
        <v>7641261.2188903028</v>
      </c>
      <c r="T298" s="57">
        <f t="shared" si="83"/>
        <v>7875232.4953574147</v>
      </c>
      <c r="U298" s="57">
        <f t="shared" si="83"/>
        <v>8181009.0394108742</v>
      </c>
      <c r="V298" s="62">
        <f t="shared" si="83"/>
        <v>7901949.6694056718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83"/>
        <v>0</v>
      </c>
      <c r="Q299" s="57">
        <f t="shared" si="83"/>
        <v>19676328.629723642</v>
      </c>
      <c r="R299" s="57">
        <f t="shared" si="83"/>
        <v>22291862.563833181</v>
      </c>
      <c r="S299" s="57">
        <f t="shared" si="83"/>
        <v>22923783.656670909</v>
      </c>
      <c r="T299" s="57">
        <f t="shared" si="83"/>
        <v>23625697.486072242</v>
      </c>
      <c r="U299" s="57">
        <f t="shared" si="83"/>
        <v>24543027.118232623</v>
      </c>
      <c r="V299" s="62">
        <f t="shared" si="83"/>
        <v>23705849.008217014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83"/>
        <v>0</v>
      </c>
      <c r="Q300" s="57">
        <f t="shared" si="83"/>
        <v>0</v>
      </c>
      <c r="R300" s="57">
        <f t="shared" si="83"/>
        <v>0</v>
      </c>
      <c r="S300" s="57">
        <f t="shared" si="83"/>
        <v>0</v>
      </c>
      <c r="T300" s="57">
        <f t="shared" si="83"/>
        <v>0</v>
      </c>
      <c r="U300" s="57">
        <f t="shared" si="83"/>
        <v>0</v>
      </c>
      <c r="V300" s="62">
        <f t="shared" si="83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83"/>
        <v>0</v>
      </c>
      <c r="Q301" s="57">
        <f t="shared" si="83"/>
        <v>0</v>
      </c>
      <c r="R301" s="57">
        <f t="shared" si="83"/>
        <v>0</v>
      </c>
      <c r="S301" s="57">
        <f t="shared" si="83"/>
        <v>0</v>
      </c>
      <c r="T301" s="57">
        <f t="shared" si="83"/>
        <v>0</v>
      </c>
      <c r="U301" s="57">
        <f t="shared" si="83"/>
        <v>0</v>
      </c>
      <c r="V301" s="62">
        <f t="shared" si="83"/>
        <v>0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83"/>
        <v>0</v>
      </c>
      <c r="Q302" s="57">
        <f t="shared" si="83"/>
        <v>6558776.209907881</v>
      </c>
      <c r="R302" s="57">
        <f t="shared" si="83"/>
        <v>7430620.8546110606</v>
      </c>
      <c r="S302" s="57">
        <f t="shared" si="83"/>
        <v>7641261.2188903028</v>
      </c>
      <c r="T302" s="57">
        <f t="shared" si="83"/>
        <v>7875232.4953574147</v>
      </c>
      <c r="U302" s="57">
        <f t="shared" si="83"/>
        <v>8181009.0394108742</v>
      </c>
      <c r="V302" s="62">
        <f t="shared" si="83"/>
        <v>7901949.6694056718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83"/>
        <v>0</v>
      </c>
      <c r="Q303" s="57">
        <f t="shared" si="83"/>
        <v>0</v>
      </c>
      <c r="R303" s="57">
        <f t="shared" si="83"/>
        <v>0</v>
      </c>
      <c r="S303" s="57">
        <f t="shared" si="83"/>
        <v>0</v>
      </c>
      <c r="T303" s="57">
        <f t="shared" si="83"/>
        <v>0</v>
      </c>
      <c r="U303" s="57">
        <f t="shared" si="83"/>
        <v>0</v>
      </c>
      <c r="V303" s="62">
        <f t="shared" si="83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83"/>
        <v>0</v>
      </c>
      <c r="Q304" s="57">
        <f t="shared" si="83"/>
        <v>0</v>
      </c>
      <c r="R304" s="57">
        <f t="shared" si="83"/>
        <v>0</v>
      </c>
      <c r="S304" s="57">
        <f t="shared" si="83"/>
        <v>0</v>
      </c>
      <c r="T304" s="57">
        <f t="shared" si="83"/>
        <v>0</v>
      </c>
      <c r="U304" s="57">
        <f t="shared" si="83"/>
        <v>0</v>
      </c>
      <c r="V304" s="62">
        <f t="shared" si="83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83"/>
        <v>0</v>
      </c>
      <c r="Q305" s="57">
        <f t="shared" si="83"/>
        <v>0</v>
      </c>
      <c r="R305" s="57">
        <f t="shared" si="83"/>
        <v>0</v>
      </c>
      <c r="S305" s="57">
        <f t="shared" si="83"/>
        <v>0</v>
      </c>
      <c r="T305" s="57">
        <f t="shared" si="83"/>
        <v>0</v>
      </c>
      <c r="U305" s="57">
        <f t="shared" si="83"/>
        <v>0</v>
      </c>
      <c r="V305" s="62">
        <f t="shared" si="83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83"/>
        <v>0</v>
      </c>
      <c r="Q306" s="57">
        <f t="shared" si="83"/>
        <v>0</v>
      </c>
      <c r="R306" s="57">
        <f t="shared" si="83"/>
        <v>0</v>
      </c>
      <c r="S306" s="57">
        <f t="shared" si="83"/>
        <v>0</v>
      </c>
      <c r="T306" s="57">
        <f t="shared" si="83"/>
        <v>0</v>
      </c>
      <c r="U306" s="57">
        <f t="shared" si="83"/>
        <v>0</v>
      </c>
      <c r="V306" s="62">
        <f t="shared" si="83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83"/>
        <v>0</v>
      </c>
      <c r="Q307" s="57">
        <f t="shared" si="83"/>
        <v>0</v>
      </c>
      <c r="R307" s="57">
        <f t="shared" si="83"/>
        <v>0</v>
      </c>
      <c r="S307" s="57">
        <f t="shared" si="83"/>
        <v>0</v>
      </c>
      <c r="T307" s="57">
        <f t="shared" si="83"/>
        <v>0</v>
      </c>
      <c r="U307" s="57">
        <f t="shared" si="83"/>
        <v>0</v>
      </c>
      <c r="V307" s="62">
        <f t="shared" si="83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84">SUM(Q297:Q307)</f>
        <v>32793881.049539406</v>
      </c>
      <c r="R309" s="37">
        <f t="shared" si="84"/>
        <v>37153104.2730553</v>
      </c>
      <c r="S309" s="37">
        <f t="shared" si="84"/>
        <v>38206306.094451517</v>
      </c>
      <c r="T309" s="37">
        <f t="shared" si="84"/>
        <v>39376162.476787075</v>
      </c>
      <c r="U309" s="37">
        <f t="shared" si="84"/>
        <v>40905045.197054371</v>
      </c>
      <c r="V309" s="64">
        <f t="shared" si="84"/>
        <v>39509748.34702836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289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85">P297*(1-P$219)</f>
        <v>0</v>
      </c>
      <c r="Q318" s="57">
        <f t="shared" si="85"/>
        <v>0</v>
      </c>
      <c r="R318" s="57">
        <f t="shared" si="85"/>
        <v>0</v>
      </c>
      <c r="S318" s="57">
        <f t="shared" si="85"/>
        <v>0</v>
      </c>
      <c r="T318" s="57">
        <f t="shared" si="85"/>
        <v>0</v>
      </c>
      <c r="U318" s="57">
        <f t="shared" si="85"/>
        <v>0</v>
      </c>
      <c r="V318" s="62">
        <f t="shared" si="85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85"/>
        <v>0</v>
      </c>
      <c r="Q319" s="57">
        <f t="shared" si="85"/>
        <v>6558776.209907881</v>
      </c>
      <c r="R319" s="57">
        <f t="shared" si="85"/>
        <v>7430620.8546110606</v>
      </c>
      <c r="S319" s="57">
        <f t="shared" si="85"/>
        <v>7641261.2188903028</v>
      </c>
      <c r="T319" s="57">
        <f t="shared" si="85"/>
        <v>7875232.4953574147</v>
      </c>
      <c r="U319" s="57">
        <f t="shared" si="85"/>
        <v>8181009.0394108742</v>
      </c>
      <c r="V319" s="62">
        <f t="shared" si="85"/>
        <v>7901949.6694056718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85"/>
        <v>0</v>
      </c>
      <c r="Q320" s="57">
        <f t="shared" si="85"/>
        <v>19676328.629723642</v>
      </c>
      <c r="R320" s="57">
        <f t="shared" si="85"/>
        <v>22291862.563833181</v>
      </c>
      <c r="S320" s="57">
        <f t="shared" si="85"/>
        <v>22923783.656670909</v>
      </c>
      <c r="T320" s="57">
        <f t="shared" si="85"/>
        <v>23625697.486072242</v>
      </c>
      <c r="U320" s="57">
        <f t="shared" si="85"/>
        <v>24543027.118232623</v>
      </c>
      <c r="V320" s="62">
        <f t="shared" si="85"/>
        <v>23705849.008217014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85"/>
        <v>0</v>
      </c>
      <c r="Q321" s="57">
        <f t="shared" si="85"/>
        <v>0</v>
      </c>
      <c r="R321" s="57">
        <f t="shared" si="85"/>
        <v>0</v>
      </c>
      <c r="S321" s="57">
        <f t="shared" si="85"/>
        <v>0</v>
      </c>
      <c r="T321" s="57">
        <f t="shared" si="85"/>
        <v>0</v>
      </c>
      <c r="U321" s="57">
        <f t="shared" si="85"/>
        <v>0</v>
      </c>
      <c r="V321" s="62">
        <f t="shared" si="85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85"/>
        <v>0</v>
      </c>
      <c r="Q322" s="57">
        <f t="shared" si="85"/>
        <v>0</v>
      </c>
      <c r="R322" s="57">
        <f t="shared" si="85"/>
        <v>0</v>
      </c>
      <c r="S322" s="57">
        <f t="shared" si="85"/>
        <v>0</v>
      </c>
      <c r="T322" s="57">
        <f t="shared" si="85"/>
        <v>0</v>
      </c>
      <c r="U322" s="57">
        <f t="shared" si="85"/>
        <v>0</v>
      </c>
      <c r="V322" s="62">
        <f t="shared" si="85"/>
        <v>0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85"/>
        <v>0</v>
      </c>
      <c r="Q323" s="57">
        <f t="shared" si="85"/>
        <v>6558776.209907881</v>
      </c>
      <c r="R323" s="57">
        <f t="shared" si="85"/>
        <v>7430620.8546110606</v>
      </c>
      <c r="S323" s="57">
        <f t="shared" si="85"/>
        <v>7641261.2188903028</v>
      </c>
      <c r="T323" s="57">
        <f t="shared" si="85"/>
        <v>7875232.4953574147</v>
      </c>
      <c r="U323" s="57">
        <f t="shared" si="85"/>
        <v>8181009.0394108742</v>
      </c>
      <c r="V323" s="62">
        <f t="shared" si="85"/>
        <v>7901949.6694056718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85"/>
        <v>0</v>
      </c>
      <c r="Q324" s="57">
        <f t="shared" si="85"/>
        <v>0</v>
      </c>
      <c r="R324" s="57">
        <f t="shared" si="85"/>
        <v>0</v>
      </c>
      <c r="S324" s="57">
        <f t="shared" si="85"/>
        <v>0</v>
      </c>
      <c r="T324" s="57">
        <f t="shared" si="85"/>
        <v>0</v>
      </c>
      <c r="U324" s="57">
        <f t="shared" si="85"/>
        <v>0</v>
      </c>
      <c r="V324" s="62">
        <f t="shared" si="85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85"/>
        <v>0</v>
      </c>
      <c r="Q325" s="57">
        <f t="shared" si="85"/>
        <v>0</v>
      </c>
      <c r="R325" s="57">
        <f t="shared" si="85"/>
        <v>0</v>
      </c>
      <c r="S325" s="57">
        <f t="shared" si="85"/>
        <v>0</v>
      </c>
      <c r="T325" s="57">
        <f t="shared" si="85"/>
        <v>0</v>
      </c>
      <c r="U325" s="57">
        <f t="shared" si="85"/>
        <v>0</v>
      </c>
      <c r="V325" s="62">
        <f t="shared" si="85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85"/>
        <v>0</v>
      </c>
      <c r="Q326" s="57">
        <f t="shared" si="85"/>
        <v>0</v>
      </c>
      <c r="R326" s="57">
        <f t="shared" si="85"/>
        <v>0</v>
      </c>
      <c r="S326" s="57">
        <f t="shared" si="85"/>
        <v>0</v>
      </c>
      <c r="T326" s="57">
        <f t="shared" si="85"/>
        <v>0</v>
      </c>
      <c r="U326" s="57">
        <f t="shared" si="85"/>
        <v>0</v>
      </c>
      <c r="V326" s="62">
        <f t="shared" si="85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85"/>
        <v>0</v>
      </c>
      <c r="Q327" s="57">
        <f t="shared" si="85"/>
        <v>0</v>
      </c>
      <c r="R327" s="57">
        <f t="shared" si="85"/>
        <v>0</v>
      </c>
      <c r="S327" s="57">
        <f t="shared" si="85"/>
        <v>0</v>
      </c>
      <c r="T327" s="57">
        <f t="shared" si="85"/>
        <v>0</v>
      </c>
      <c r="U327" s="57">
        <f t="shared" si="85"/>
        <v>0</v>
      </c>
      <c r="V327" s="62">
        <f t="shared" si="85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85"/>
        <v>0</v>
      </c>
      <c r="Q328" s="57">
        <f t="shared" si="85"/>
        <v>0</v>
      </c>
      <c r="R328" s="57">
        <f t="shared" si="85"/>
        <v>0</v>
      </c>
      <c r="S328" s="57">
        <f t="shared" si="85"/>
        <v>0</v>
      </c>
      <c r="T328" s="57">
        <f t="shared" si="85"/>
        <v>0</v>
      </c>
      <c r="U328" s="57">
        <f t="shared" si="85"/>
        <v>0</v>
      </c>
      <c r="V328" s="62">
        <f t="shared" si="85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86">SUM(Q318:Q328)</f>
        <v>32793881.049539406</v>
      </c>
      <c r="R330" s="37">
        <f t="shared" si="86"/>
        <v>37153104.2730553</v>
      </c>
      <c r="S330" s="37">
        <f t="shared" si="86"/>
        <v>38206306.094451517</v>
      </c>
      <c r="T330" s="37">
        <f t="shared" si="86"/>
        <v>39376162.476787075</v>
      </c>
      <c r="U330" s="37">
        <f t="shared" si="86"/>
        <v>40905045.197054371</v>
      </c>
      <c r="V330" s="64">
        <f t="shared" si="86"/>
        <v>39509748.34702836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290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87">Q297*Q$219</f>
        <v>0</v>
      </c>
      <c r="R339" s="57">
        <f t="shared" si="87"/>
        <v>0</v>
      </c>
      <c r="S339" s="57">
        <f t="shared" si="87"/>
        <v>0</v>
      </c>
      <c r="T339" s="57">
        <f t="shared" si="87"/>
        <v>0</v>
      </c>
      <c r="U339" s="57">
        <f t="shared" si="87"/>
        <v>0</v>
      </c>
      <c r="V339" s="62">
        <f t="shared" si="87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88">P298*P$219</f>
        <v>0</v>
      </c>
      <c r="Q340" s="57">
        <f t="shared" si="87"/>
        <v>0</v>
      </c>
      <c r="R340" s="57">
        <f t="shared" si="87"/>
        <v>0</v>
      </c>
      <c r="S340" s="57">
        <f t="shared" si="87"/>
        <v>0</v>
      </c>
      <c r="T340" s="57">
        <f t="shared" si="87"/>
        <v>0</v>
      </c>
      <c r="U340" s="57">
        <f t="shared" si="87"/>
        <v>0</v>
      </c>
      <c r="V340" s="62">
        <f t="shared" si="87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88"/>
        <v>0</v>
      </c>
      <c r="Q341" s="57">
        <f t="shared" si="87"/>
        <v>0</v>
      </c>
      <c r="R341" s="57">
        <f t="shared" si="87"/>
        <v>0</v>
      </c>
      <c r="S341" s="57">
        <f t="shared" si="87"/>
        <v>0</v>
      </c>
      <c r="T341" s="57">
        <f t="shared" si="87"/>
        <v>0</v>
      </c>
      <c r="U341" s="57">
        <f t="shared" si="87"/>
        <v>0</v>
      </c>
      <c r="V341" s="62">
        <f t="shared" si="87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88"/>
        <v>0</v>
      </c>
      <c r="Q342" s="57">
        <f t="shared" si="87"/>
        <v>0</v>
      </c>
      <c r="R342" s="57">
        <f t="shared" si="87"/>
        <v>0</v>
      </c>
      <c r="S342" s="57">
        <f t="shared" si="87"/>
        <v>0</v>
      </c>
      <c r="T342" s="57">
        <f t="shared" si="87"/>
        <v>0</v>
      </c>
      <c r="U342" s="57">
        <f t="shared" si="87"/>
        <v>0</v>
      </c>
      <c r="V342" s="62">
        <f t="shared" si="87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88"/>
        <v>0</v>
      </c>
      <c r="Q343" s="57">
        <f t="shared" si="87"/>
        <v>0</v>
      </c>
      <c r="R343" s="57">
        <f t="shared" si="87"/>
        <v>0</v>
      </c>
      <c r="S343" s="57">
        <f t="shared" si="87"/>
        <v>0</v>
      </c>
      <c r="T343" s="57">
        <f t="shared" si="87"/>
        <v>0</v>
      </c>
      <c r="U343" s="57">
        <f t="shared" si="87"/>
        <v>0</v>
      </c>
      <c r="V343" s="62">
        <f t="shared" si="87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88"/>
        <v>0</v>
      </c>
      <c r="Q344" s="57">
        <f t="shared" si="87"/>
        <v>0</v>
      </c>
      <c r="R344" s="57">
        <f t="shared" si="87"/>
        <v>0</v>
      </c>
      <c r="S344" s="57">
        <f t="shared" si="87"/>
        <v>0</v>
      </c>
      <c r="T344" s="57">
        <f t="shared" si="87"/>
        <v>0</v>
      </c>
      <c r="U344" s="57">
        <f t="shared" si="87"/>
        <v>0</v>
      </c>
      <c r="V344" s="62">
        <f t="shared" si="87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88"/>
        <v>0</v>
      </c>
      <c r="Q345" s="57">
        <f t="shared" si="87"/>
        <v>0</v>
      </c>
      <c r="R345" s="57">
        <f t="shared" si="87"/>
        <v>0</v>
      </c>
      <c r="S345" s="57">
        <f t="shared" si="87"/>
        <v>0</v>
      </c>
      <c r="T345" s="57">
        <f t="shared" si="87"/>
        <v>0</v>
      </c>
      <c r="U345" s="57">
        <f t="shared" si="87"/>
        <v>0</v>
      </c>
      <c r="V345" s="62">
        <f t="shared" si="87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88"/>
        <v>0</v>
      </c>
      <c r="Q346" s="57">
        <f t="shared" si="87"/>
        <v>0</v>
      </c>
      <c r="R346" s="57">
        <f t="shared" si="87"/>
        <v>0</v>
      </c>
      <c r="S346" s="57">
        <f t="shared" si="87"/>
        <v>0</v>
      </c>
      <c r="T346" s="57">
        <f t="shared" si="87"/>
        <v>0</v>
      </c>
      <c r="U346" s="57">
        <f t="shared" si="87"/>
        <v>0</v>
      </c>
      <c r="V346" s="62">
        <f t="shared" si="87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88"/>
        <v>0</v>
      </c>
      <c r="Q347" s="57">
        <f t="shared" si="87"/>
        <v>0</v>
      </c>
      <c r="R347" s="57">
        <f t="shared" si="87"/>
        <v>0</v>
      </c>
      <c r="S347" s="57">
        <f t="shared" si="87"/>
        <v>0</v>
      </c>
      <c r="T347" s="57">
        <f t="shared" si="87"/>
        <v>0</v>
      </c>
      <c r="U347" s="57">
        <f t="shared" si="87"/>
        <v>0</v>
      </c>
      <c r="V347" s="62">
        <f t="shared" si="87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88"/>
        <v>0</v>
      </c>
      <c r="Q348" s="57">
        <f t="shared" si="87"/>
        <v>0</v>
      </c>
      <c r="R348" s="57">
        <f t="shared" si="87"/>
        <v>0</v>
      </c>
      <c r="S348" s="57">
        <f t="shared" si="87"/>
        <v>0</v>
      </c>
      <c r="T348" s="57">
        <f t="shared" si="87"/>
        <v>0</v>
      </c>
      <c r="U348" s="57">
        <f t="shared" si="87"/>
        <v>0</v>
      </c>
      <c r="V348" s="62">
        <f t="shared" si="87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88"/>
        <v>0</v>
      </c>
      <c r="Q349" s="57">
        <f t="shared" si="87"/>
        <v>0</v>
      </c>
      <c r="R349" s="57">
        <f t="shared" si="87"/>
        <v>0</v>
      </c>
      <c r="S349" s="57">
        <f t="shared" si="87"/>
        <v>0</v>
      </c>
      <c r="T349" s="57">
        <f t="shared" si="87"/>
        <v>0</v>
      </c>
      <c r="U349" s="57">
        <f t="shared" si="87"/>
        <v>0</v>
      </c>
      <c r="V349" s="62">
        <f t="shared" si="87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89">SUM(Q339:Q349)</f>
        <v>0</v>
      </c>
      <c r="R351" s="37">
        <f t="shared" si="89"/>
        <v>0</v>
      </c>
      <c r="S351" s="37">
        <f t="shared" si="89"/>
        <v>0</v>
      </c>
      <c r="T351" s="37">
        <f t="shared" si="89"/>
        <v>0</v>
      </c>
      <c r="U351" s="37">
        <f t="shared" si="89"/>
        <v>0</v>
      </c>
      <c r="V351" s="64">
        <f t="shared" si="89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288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90">IFERROR(SUMPRODUCT($AM$73:$AM$87,Q$73:Q$87)/SUM(Q$73:Q$87)*Q$89,0)</f>
        <v>0</v>
      </c>
      <c r="R362" s="57">
        <f t="shared" si="90"/>
        <v>0</v>
      </c>
      <c r="S362" s="57">
        <f t="shared" si="90"/>
        <v>0</v>
      </c>
      <c r="T362" s="57">
        <f t="shared" si="90"/>
        <v>0</v>
      </c>
      <c r="U362" s="57">
        <f t="shared" si="90"/>
        <v>0</v>
      </c>
      <c r="V362" s="62">
        <f t="shared" si="90"/>
        <v>0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91">IFERROR(SUMPRODUCT($AN$73:$AN$87,Q$73:Q$87)/SUM(Q$73:Q$87)*Q$89,0)</f>
        <v>30510428.780999999</v>
      </c>
      <c r="R363" s="57">
        <f t="shared" si="91"/>
        <v>34652225.142321877</v>
      </c>
      <c r="S363" s="57">
        <f t="shared" si="91"/>
        <v>35499039.433977008</v>
      </c>
      <c r="T363" s="57">
        <f t="shared" si="91"/>
        <v>36546489.877752036</v>
      </c>
      <c r="U363" s="57">
        <f t="shared" si="91"/>
        <v>37814969.175557077</v>
      </c>
      <c r="V363" s="62">
        <f t="shared" si="91"/>
        <v>36434911.643230163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92">IFERROR(SUMPRODUCT($AO$73:$AO$87,Q$73:Q$87)/SUM(Q$73:Q$87)*Q$89,0)</f>
        <v>0</v>
      </c>
      <c r="R364" s="57">
        <f t="shared" si="92"/>
        <v>0</v>
      </c>
      <c r="S364" s="57">
        <f t="shared" si="92"/>
        <v>0</v>
      </c>
      <c r="T364" s="57">
        <f t="shared" si="92"/>
        <v>0</v>
      </c>
      <c r="U364" s="57">
        <f t="shared" si="92"/>
        <v>0</v>
      </c>
      <c r="V364" s="62">
        <f t="shared" si="92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93">IFERROR(SUMPRODUCT($AP$73:$AP$87,Q$73:Q$87)/SUM(Q$73:Q$87)*Q$89,0)</f>
        <v>0</v>
      </c>
      <c r="R365" s="57">
        <f t="shared" si="93"/>
        <v>0</v>
      </c>
      <c r="S365" s="57">
        <f t="shared" si="93"/>
        <v>0</v>
      </c>
      <c r="T365" s="57">
        <f t="shared" si="93"/>
        <v>0</v>
      </c>
      <c r="U365" s="57">
        <f t="shared" si="93"/>
        <v>0</v>
      </c>
      <c r="V365" s="62">
        <f t="shared" si="93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94">IFERROR(SUMPRODUCT($AQ$73:$AQ$87,Q$73:Q$87)/SUM(Q$73:Q$87)*Q$89,0)</f>
        <v>0</v>
      </c>
      <c r="R366" s="57">
        <f t="shared" si="94"/>
        <v>0</v>
      </c>
      <c r="S366" s="57">
        <f t="shared" si="94"/>
        <v>0</v>
      </c>
      <c r="T366" s="57">
        <f t="shared" si="94"/>
        <v>0</v>
      </c>
      <c r="U366" s="57">
        <f t="shared" si="94"/>
        <v>0</v>
      </c>
      <c r="V366" s="62">
        <f t="shared" si="94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95">IFERROR(SUMPRODUCT($AR$73:$AR$87,Q$73:Q$87)/SUM(Q$73:Q$87)*Q$89,0)</f>
        <v>0</v>
      </c>
      <c r="R367" s="57">
        <f t="shared" si="95"/>
        <v>0</v>
      </c>
      <c r="S367" s="57">
        <f t="shared" si="95"/>
        <v>0</v>
      </c>
      <c r="T367" s="57">
        <f t="shared" si="95"/>
        <v>0</v>
      </c>
      <c r="U367" s="57">
        <f t="shared" si="95"/>
        <v>0</v>
      </c>
      <c r="V367" s="62">
        <f t="shared" si="95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96">IFERROR(SUMPRODUCT($AS$73:$AS$87,Q$73:Q$87)/SUM(Q$73:Q$87)*Q$89,0)</f>
        <v>0</v>
      </c>
      <c r="R368" s="57">
        <f t="shared" si="96"/>
        <v>0</v>
      </c>
      <c r="S368" s="57">
        <f t="shared" si="96"/>
        <v>0</v>
      </c>
      <c r="T368" s="57">
        <f t="shared" si="96"/>
        <v>0</v>
      </c>
      <c r="U368" s="57">
        <f t="shared" si="96"/>
        <v>0</v>
      </c>
      <c r="V368" s="62">
        <f t="shared" si="96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97">IFERROR(SUMPRODUCT($AT$73:$AT$87,Q$73:Q$87)/SUM(Q$73:Q$87)*Q$89,0)</f>
        <v>0</v>
      </c>
      <c r="R369" s="57">
        <f t="shared" si="97"/>
        <v>0</v>
      </c>
      <c r="S369" s="57">
        <f t="shared" si="97"/>
        <v>0</v>
      </c>
      <c r="T369" s="57">
        <f t="shared" si="97"/>
        <v>0</v>
      </c>
      <c r="U369" s="57">
        <f t="shared" si="97"/>
        <v>0</v>
      </c>
      <c r="V369" s="62">
        <f t="shared" si="97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98">IFERROR(SUMPRODUCT($AU$73:$AU$87,Q$73:Q$87)/SUM(Q$73:Q$87)*Q$89,0)</f>
        <v>0</v>
      </c>
      <c r="R370" s="57">
        <f t="shared" si="98"/>
        <v>0</v>
      </c>
      <c r="S370" s="57">
        <f t="shared" si="98"/>
        <v>0</v>
      </c>
      <c r="T370" s="57">
        <f t="shared" si="98"/>
        <v>0</v>
      </c>
      <c r="U370" s="57">
        <f t="shared" si="98"/>
        <v>0</v>
      </c>
      <c r="V370" s="62">
        <f t="shared" si="98"/>
        <v>0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99">IFERROR(SUMPRODUCT($AV$73:$AV$87,Q$73:Q$87)/SUM(Q$73:Q$87)*Q$89,0)</f>
        <v>0</v>
      </c>
      <c r="R371" s="57">
        <f t="shared" si="99"/>
        <v>0</v>
      </c>
      <c r="S371" s="57">
        <f t="shared" si="99"/>
        <v>0</v>
      </c>
      <c r="T371" s="57">
        <f t="shared" si="99"/>
        <v>0</v>
      </c>
      <c r="U371" s="57">
        <f t="shared" si="99"/>
        <v>0</v>
      </c>
      <c r="V371" s="62">
        <f t="shared" si="99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100">IFERROR(SUMPRODUCT($AW$73:$AW$87,Q$73:Q$87)/SUM(Q$73:Q$87)*Q$89,0)</f>
        <v>0</v>
      </c>
      <c r="R372" s="57">
        <f t="shared" si="100"/>
        <v>0</v>
      </c>
      <c r="S372" s="57">
        <f t="shared" si="100"/>
        <v>0</v>
      </c>
      <c r="T372" s="57">
        <f t="shared" si="100"/>
        <v>0</v>
      </c>
      <c r="U372" s="57">
        <f t="shared" si="100"/>
        <v>0</v>
      </c>
      <c r="V372" s="62">
        <f t="shared" si="100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101">Q238</f>
        <v>0</v>
      </c>
      <c r="R373" s="57">
        <f t="shared" si="101"/>
        <v>0</v>
      </c>
      <c r="S373" s="57">
        <f t="shared" si="101"/>
        <v>0</v>
      </c>
      <c r="T373" s="57">
        <f t="shared" si="101"/>
        <v>0</v>
      </c>
      <c r="U373" s="57">
        <f t="shared" si="101"/>
        <v>0</v>
      </c>
      <c r="V373" s="62">
        <f t="shared" si="101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102">Q252</f>
        <v>0</v>
      </c>
      <c r="R374" s="57">
        <f t="shared" si="102"/>
        <v>0</v>
      </c>
      <c r="S374" s="57">
        <f t="shared" si="102"/>
        <v>0</v>
      </c>
      <c r="T374" s="57">
        <f t="shared" si="102"/>
        <v>0</v>
      </c>
      <c r="U374" s="57">
        <f t="shared" si="102"/>
        <v>0</v>
      </c>
      <c r="V374" s="62">
        <f t="shared" si="102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>SUM(Q362:Q372)*'General assumptions'!T47</f>
        <v>2283452.2685394003</v>
      </c>
      <c r="R375" s="57">
        <f>SUM(R362:R372)*'General assumptions'!U47</f>
        <v>2500879.1307334253</v>
      </c>
      <c r="S375" s="57">
        <f>SUM(S362:S372)*'General assumptions'!V47</f>
        <v>2707266.6604745085</v>
      </c>
      <c r="T375" s="57">
        <f>SUM(T362:T372)*'General assumptions'!W47</f>
        <v>2829672.5990350358</v>
      </c>
      <c r="U375" s="57">
        <f>SUM(U362:U372)*'General assumptions'!X47</f>
        <v>3090076.0214972897</v>
      </c>
      <c r="V375" s="62">
        <f>SUM(V362:V372)*'General assumptions'!Y47</f>
        <v>3074836.703798194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03">SUM(P362:P375)</f>
        <v>0</v>
      </c>
      <c r="Q377" s="37">
        <f t="shared" si="103"/>
        <v>32793881.049539398</v>
      </c>
      <c r="R377" s="37">
        <f t="shared" si="103"/>
        <v>37153104.2730553</v>
      </c>
      <c r="S377" s="37">
        <f t="shared" si="103"/>
        <v>38206306.094451517</v>
      </c>
      <c r="T377" s="37">
        <f t="shared" si="103"/>
        <v>39376162.476787075</v>
      </c>
      <c r="U377" s="37">
        <f t="shared" si="103"/>
        <v>40905045.197054364</v>
      </c>
      <c r="V377" s="64">
        <f t="shared" si="103"/>
        <v>39509748.34702836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288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4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4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4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4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104">IFERROR(SUMPRODUCT($BB$73:$BB$87,Q$73:Q$87)/SUM(Q$73:Q$87)*Q$89*(1+Q$208),0)</f>
        <v>26235104.839631524</v>
      </c>
      <c r="R388" s="57">
        <f t="shared" si="104"/>
        <v>29722483.418444242</v>
      </c>
      <c r="S388" s="57">
        <f t="shared" si="104"/>
        <v>30565044.875561211</v>
      </c>
      <c r="T388" s="57">
        <f t="shared" si="104"/>
        <v>31500929.981429659</v>
      </c>
      <c r="U388" s="57">
        <f t="shared" si="104"/>
        <v>32724036.157643497</v>
      </c>
      <c r="V388" s="62">
        <f t="shared" si="104"/>
        <v>31607798.677622687</v>
      </c>
      <c r="X388" s="45"/>
    </row>
    <row r="389" spans="1:24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105">IFERROR(SUMPRODUCT($BC$73:$BC$87,Q$73:Q$87)/SUM(Q$73:Q$87)*Q$89*(1+Q$208),0)</f>
        <v>6558776.209907881</v>
      </c>
      <c r="R389" s="57">
        <f t="shared" si="105"/>
        <v>7430620.8546110606</v>
      </c>
      <c r="S389" s="57">
        <f t="shared" si="105"/>
        <v>7641261.2188903028</v>
      </c>
      <c r="T389" s="57">
        <f t="shared" si="105"/>
        <v>7875232.4953574147</v>
      </c>
      <c r="U389" s="57">
        <f t="shared" si="105"/>
        <v>8181009.0394108742</v>
      </c>
      <c r="V389" s="62">
        <f t="shared" si="105"/>
        <v>7901949.6694056718</v>
      </c>
      <c r="X389" s="45"/>
    </row>
    <row r="390" spans="1:24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106">IFERROR(SUMPRODUCT($BD$73:$BD$87,Q$73:Q$87)/SUM(Q$73:Q$87)*Q$89*(1+Q$208),0)</f>
        <v>0</v>
      </c>
      <c r="R390" s="57">
        <f t="shared" si="106"/>
        <v>0</v>
      </c>
      <c r="S390" s="57">
        <f t="shared" si="106"/>
        <v>0</v>
      </c>
      <c r="T390" s="57">
        <f t="shared" si="106"/>
        <v>0</v>
      </c>
      <c r="U390" s="57">
        <f t="shared" si="106"/>
        <v>0</v>
      </c>
      <c r="V390" s="62">
        <f t="shared" si="106"/>
        <v>0</v>
      </c>
      <c r="X390" s="45"/>
    </row>
    <row r="391" spans="1:24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07">IFERROR(SUMPRODUCT($BE$73:$BE$87,Q$73:Q$87)/SUM(Q$73:Q$87)*Q$89*(1+Q$208),0)</f>
        <v>0</v>
      </c>
      <c r="R391" s="57">
        <f t="shared" si="107"/>
        <v>0</v>
      </c>
      <c r="S391" s="57">
        <f t="shared" si="107"/>
        <v>0</v>
      </c>
      <c r="T391" s="57">
        <f t="shared" si="107"/>
        <v>0</v>
      </c>
      <c r="U391" s="57">
        <f t="shared" si="107"/>
        <v>0</v>
      </c>
      <c r="V391" s="62">
        <f t="shared" si="107"/>
        <v>0</v>
      </c>
      <c r="X391" s="45"/>
    </row>
    <row r="392" spans="1:24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08">IFERROR(SUMPRODUCT($BF$73:$BF$87,Q$73:Q$87)/SUM(Q$73:Q$87)*Q$89*(1+Q$208),0)</f>
        <v>0</v>
      </c>
      <c r="R392" s="57">
        <f t="shared" si="108"/>
        <v>0</v>
      </c>
      <c r="S392" s="57">
        <f t="shared" si="108"/>
        <v>0</v>
      </c>
      <c r="T392" s="57">
        <f t="shared" si="108"/>
        <v>0</v>
      </c>
      <c r="U392" s="57">
        <f t="shared" si="108"/>
        <v>0</v>
      </c>
      <c r="V392" s="62">
        <f t="shared" si="108"/>
        <v>0</v>
      </c>
      <c r="X392" s="45"/>
    </row>
    <row r="393" spans="1:24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9">IFERROR(SUMPRODUCT($BG$73:$BG$87,Q$73:Q$87)/SUM(Q$73:Q$87)*Q$89*(1+Q$208),0)</f>
        <v>0</v>
      </c>
      <c r="R393" s="57">
        <f t="shared" si="109"/>
        <v>0</v>
      </c>
      <c r="S393" s="57">
        <f t="shared" si="109"/>
        <v>0</v>
      </c>
      <c r="T393" s="57">
        <f t="shared" si="109"/>
        <v>0</v>
      </c>
      <c r="U393" s="57">
        <f t="shared" si="109"/>
        <v>0</v>
      </c>
      <c r="V393" s="62">
        <f t="shared" si="109"/>
        <v>0</v>
      </c>
      <c r="X393" s="45"/>
    </row>
    <row r="394" spans="1:24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10">IFERROR(SUMPRODUCT($BH$73:$BH$87,Q$73:Q$87)/SUM(Q$73:Q$87)*Q$89*(1+Q$208),0)</f>
        <v>0</v>
      </c>
      <c r="R394" s="57">
        <f t="shared" si="110"/>
        <v>0</v>
      </c>
      <c r="S394" s="57">
        <f t="shared" si="110"/>
        <v>0</v>
      </c>
      <c r="T394" s="57">
        <f t="shared" si="110"/>
        <v>0</v>
      </c>
      <c r="U394" s="57">
        <f t="shared" si="110"/>
        <v>0</v>
      </c>
      <c r="V394" s="62">
        <f t="shared" si="110"/>
        <v>0</v>
      </c>
      <c r="X394" s="45"/>
    </row>
    <row r="395" spans="1:24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  <c r="X395" s="45"/>
    </row>
    <row r="396" spans="1:24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11">SUM(P388:P394)</f>
        <v>0</v>
      </c>
      <c r="Q396" s="37">
        <f t="shared" si="111"/>
        <v>32793881.049539406</v>
      </c>
      <c r="R396" s="37">
        <f t="shared" si="111"/>
        <v>37153104.2730553</v>
      </c>
      <c r="S396" s="37">
        <f t="shared" si="111"/>
        <v>38206306.094451517</v>
      </c>
      <c r="T396" s="37">
        <f t="shared" si="111"/>
        <v>39376162.476787075</v>
      </c>
      <c r="U396" s="37">
        <f t="shared" si="111"/>
        <v>40905045.197054371</v>
      </c>
      <c r="V396" s="64">
        <f t="shared" si="111"/>
        <v>39509748.34702836</v>
      </c>
      <c r="X396" s="40"/>
    </row>
    <row r="397" spans="1:24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4" s="66" customFormat="1">
      <c r="A399" s="65"/>
      <c r="B399" s="65" t="s">
        <v>42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F0"/>
  </sheetPr>
  <dimension ref="A1:BI399"/>
  <sheetViews>
    <sheetView topLeftCell="D40" workbookViewId="0">
      <selection activeCell="R73" sqref="R73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24" s="3" customFormat="1">
      <c r="A1" s="2" t="s">
        <v>2</v>
      </c>
    </row>
    <row r="2" spans="1:24" s="1" customFormat="1">
      <c r="A2" s="3" t="s">
        <v>207</v>
      </c>
    </row>
    <row r="3" spans="1:24" s="1" customFormat="1">
      <c r="A3" s="3" t="s">
        <v>95</v>
      </c>
    </row>
    <row r="4" spans="1:24" s="1" customFormat="1">
      <c r="A4" s="22" t="s">
        <v>43</v>
      </c>
    </row>
    <row r="6" spans="1:24" s="1" customFormat="1">
      <c r="A6" s="2">
        <v>2</v>
      </c>
      <c r="B6" s="2" t="s">
        <v>45</v>
      </c>
    </row>
    <row r="8" spans="1:24">
      <c r="P8" s="95"/>
      <c r="Q8" s="95"/>
      <c r="R8" s="95"/>
      <c r="S8" s="79"/>
      <c r="T8" s="79"/>
    </row>
    <row r="9" spans="1:24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  <c r="H9" s="94"/>
      <c r="I9" s="94"/>
      <c r="J9" s="94"/>
      <c r="K9" s="94"/>
      <c r="L9" s="94"/>
      <c r="O9" s="94"/>
      <c r="P9" s="95"/>
      <c r="Q9" s="95"/>
      <c r="R9" s="95"/>
      <c r="S9" s="94"/>
      <c r="T9" s="94"/>
      <c r="U9" s="94"/>
      <c r="V9" s="94"/>
      <c r="W9" s="94"/>
      <c r="X9" s="94"/>
    </row>
    <row r="10" spans="1:24">
      <c r="B10" s="8" t="s">
        <v>365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  <c r="H10" s="94"/>
      <c r="I10" s="94"/>
      <c r="J10" s="94"/>
      <c r="K10" s="94"/>
      <c r="L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4">
      <c r="B11" s="8"/>
      <c r="D11" s="10"/>
      <c r="E11" s="10"/>
      <c r="F11" s="26"/>
      <c r="G11" s="26"/>
      <c r="H11" s="94"/>
      <c r="I11" s="94"/>
      <c r="J11" s="94"/>
      <c r="K11" s="94"/>
      <c r="L11" s="94"/>
      <c r="O11" s="94"/>
      <c r="P11" s="95"/>
      <c r="Q11" s="95"/>
      <c r="R11" s="95"/>
      <c r="S11" s="94"/>
      <c r="T11" s="94"/>
      <c r="U11" s="94"/>
      <c r="V11" s="94"/>
      <c r="W11" s="94"/>
      <c r="X11" s="94"/>
    </row>
    <row r="12" spans="1:24">
      <c r="B12" s="8"/>
      <c r="D12" s="10"/>
      <c r="E12" s="10"/>
      <c r="F12" s="26"/>
      <c r="G12" s="26"/>
      <c r="H12" s="94"/>
      <c r="I12" s="94"/>
      <c r="J12" s="94"/>
      <c r="K12" s="94"/>
      <c r="L12" s="94"/>
      <c r="O12" s="94"/>
      <c r="P12" s="94"/>
      <c r="Q12" s="94"/>
      <c r="R12" s="94"/>
      <c r="S12" s="94"/>
      <c r="T12" s="94"/>
      <c r="U12" s="94"/>
      <c r="V12" s="94"/>
      <c r="W12" s="94"/>
      <c r="X12" s="94"/>
    </row>
    <row r="13" spans="1:24">
      <c r="B13" s="8"/>
      <c r="D13" s="10"/>
      <c r="E13" s="10"/>
      <c r="F13" s="26"/>
      <c r="G13" s="26"/>
      <c r="H13" s="94"/>
      <c r="I13" s="94"/>
      <c r="J13" s="94"/>
      <c r="K13" s="94"/>
      <c r="L13" s="94"/>
      <c r="O13" s="94"/>
      <c r="P13" s="94"/>
      <c r="Q13" s="94"/>
      <c r="R13" s="94"/>
      <c r="S13" s="94"/>
    </row>
    <row r="14" spans="1:24">
      <c r="B14" s="8"/>
      <c r="D14" s="10"/>
      <c r="E14" s="10"/>
      <c r="F14" s="26"/>
      <c r="G14" s="26"/>
    </row>
    <row r="15" spans="1:24">
      <c r="B15" s="8"/>
      <c r="D15" s="10"/>
      <c r="E15" s="10"/>
      <c r="F15" s="27"/>
      <c r="G15" s="27"/>
    </row>
    <row r="16" spans="1:24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51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90" t="s">
        <v>52</v>
      </c>
      <c r="I28" s="190"/>
      <c r="J28" s="190"/>
      <c r="K28" s="190"/>
      <c r="L28" s="190"/>
      <c r="M28" s="190" t="s">
        <v>53</v>
      </c>
      <c r="N28" s="190"/>
      <c r="O28" s="190"/>
      <c r="P28" s="190"/>
      <c r="Q28" s="190"/>
      <c r="R28" s="190" t="s">
        <v>54</v>
      </c>
      <c r="S28" s="190"/>
      <c r="T28" s="190"/>
      <c r="U28" s="190"/>
      <c r="V28" s="190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>IF(B10&lt;&gt;"",B10,"[blank]")</f>
        <v>I&amp;C connections</v>
      </c>
      <c r="D31" s="31" t="s">
        <v>193</v>
      </c>
      <c r="E31" s="31"/>
      <c r="P31" s="33">
        <f>'AMP inputs'!F57*'General assumptions'!$S$21</f>
        <v>18162.873360342459</v>
      </c>
      <c r="Q31" s="67">
        <f>$P31*($D10*'General assumptions'!T$35+$E10*'General assumptions'!T$36+$G10*'General assumptions'!T$42)</f>
        <v>18154.601501823385</v>
      </c>
      <c r="R31" s="67">
        <f>$P31*($D10*'General assumptions'!U$35+$E10*'General assumptions'!U$36+$G10*'General assumptions'!U$42)</f>
        <v>18261.625009928175</v>
      </c>
      <c r="S31" s="67">
        <f>$P31*($D10*'General assumptions'!V$35+$E10*'General assumptions'!V$36+$G10*'General assumptions'!V$42)</f>
        <v>18396.09742468964</v>
      </c>
      <c r="T31" s="67">
        <f>$P31*($D10*'General assumptions'!W$35+$E10*'General assumptions'!W$36+$G10*'General assumptions'!W$42)</f>
        <v>18569.704633879384</v>
      </c>
      <c r="U31" s="67">
        <f>$P31*($D10*'General assumptions'!X$35+$E10*'General assumptions'!X$36+$G10*'General assumptions'!X$42)</f>
        <v>18798.828844297019</v>
      </c>
      <c r="V31" s="67">
        <f>$P31*($D10*'General assumptions'!Y$35+$E10*'General assumptions'!Y$36+$G10*'General assumptions'!Y$42)</f>
        <v>19047.931906416983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P32" s="77"/>
      <c r="Q32" s="67"/>
      <c r="R32" s="67"/>
      <c r="S32" s="67"/>
      <c r="T32" s="67"/>
      <c r="U32" s="67"/>
      <c r="V32" s="67"/>
      <c r="W32" s="94"/>
      <c r="X32" s="20"/>
    </row>
    <row r="33" spans="1:24">
      <c r="B33" s="4" t="str">
        <f t="shared" si="0"/>
        <v>[blank]</v>
      </c>
      <c r="D33" s="31"/>
      <c r="P33" s="77"/>
      <c r="Q33" s="67"/>
      <c r="R33" s="67"/>
      <c r="S33" s="67"/>
      <c r="T33" s="67"/>
      <c r="U33" s="67"/>
      <c r="V33" s="67"/>
      <c r="W33" s="94"/>
      <c r="X33" s="20"/>
    </row>
    <row r="34" spans="1:24">
      <c r="B34" s="4" t="str">
        <f t="shared" si="0"/>
        <v>[blank]</v>
      </c>
      <c r="D34" s="31"/>
      <c r="P34" s="77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  <c r="P35" s="77"/>
      <c r="Q35" s="67"/>
      <c r="R35" s="67"/>
      <c r="S35" s="67"/>
      <c r="T35" s="67"/>
      <c r="U35" s="67"/>
      <c r="V35" s="67"/>
      <c r="X35" s="20"/>
    </row>
    <row r="36" spans="1:24">
      <c r="B36" s="4" t="str">
        <f t="shared" si="0"/>
        <v>[blank]</v>
      </c>
      <c r="D36" s="31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7" spans="1:24" s="1" customFormat="1">
      <c r="A47" s="2">
        <v>4</v>
      </c>
      <c r="B47" s="2" t="s">
        <v>56</v>
      </c>
    </row>
    <row r="49" spans="2:24">
      <c r="H49" s="190" t="s">
        <v>52</v>
      </c>
      <c r="I49" s="190"/>
      <c r="J49" s="190"/>
      <c r="K49" s="190"/>
      <c r="L49" s="190"/>
      <c r="M49" s="190" t="s">
        <v>53</v>
      </c>
      <c r="N49" s="190"/>
      <c r="O49" s="190"/>
      <c r="P49" s="190"/>
      <c r="Q49" s="190"/>
      <c r="R49" s="190" t="s">
        <v>54</v>
      </c>
      <c r="S49" s="190"/>
      <c r="T49" s="190"/>
      <c r="U49" s="190"/>
      <c r="V49" s="190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46</v>
      </c>
      <c r="D51" s="29" t="s">
        <v>55</v>
      </c>
      <c r="H51" s="16" t="s">
        <v>12</v>
      </c>
      <c r="I51" s="16" t="s">
        <v>12</v>
      </c>
      <c r="J51" s="16" t="s">
        <v>12</v>
      </c>
      <c r="K51" s="16" t="s">
        <v>12</v>
      </c>
      <c r="L51" s="16" t="s">
        <v>12</v>
      </c>
      <c r="M51" s="16" t="s">
        <v>12</v>
      </c>
      <c r="N51" s="16" t="s">
        <v>12</v>
      </c>
      <c r="O51" s="16" t="s">
        <v>12</v>
      </c>
      <c r="P51" s="16" t="s">
        <v>13</v>
      </c>
      <c r="Q51" s="16" t="s">
        <v>13</v>
      </c>
      <c r="R51" s="16" t="s">
        <v>13</v>
      </c>
      <c r="S51" s="16" t="s">
        <v>13</v>
      </c>
      <c r="T51" s="16" t="s">
        <v>13</v>
      </c>
      <c r="U51" s="16" t="s">
        <v>13</v>
      </c>
      <c r="V51" s="16" t="s">
        <v>13</v>
      </c>
    </row>
    <row r="52" spans="2:24">
      <c r="B52" s="4" t="str">
        <f>IF(B10&lt;&gt;"",B10,"[blank]")</f>
        <v>I&amp;C connections</v>
      </c>
      <c r="D52" s="31" t="s">
        <v>209</v>
      </c>
      <c r="P52" s="77"/>
      <c r="Q52" s="33">
        <f>'AMP inputs'!N57</f>
        <v>252</v>
      </c>
      <c r="R52" s="33">
        <f>'AMP inputs'!O57</f>
        <v>269.5954391687568</v>
      </c>
      <c r="S52" s="33">
        <f>'AMP inputs'!P57</f>
        <v>274.47105646549471</v>
      </c>
      <c r="T52" s="33">
        <f>'AMP inputs'!Q57</f>
        <v>279.02090215228623</v>
      </c>
      <c r="U52" s="33">
        <f>'AMP inputs'!R57</f>
        <v>284.12590917412342</v>
      </c>
      <c r="V52" s="33">
        <f>'AMP inputs'!S57</f>
        <v>274.17745848206289</v>
      </c>
      <c r="W52" s="94"/>
      <c r="X52" s="20"/>
    </row>
    <row r="53" spans="2:24">
      <c r="B53" s="4" t="str">
        <f t="shared" ref="B53:B66" si="1">IF(B11&lt;&gt;"",B11,"[blank]")</f>
        <v>[blank]</v>
      </c>
      <c r="D53" s="31" t="s">
        <v>209</v>
      </c>
      <c r="P53" s="77"/>
      <c r="Q53" s="77"/>
      <c r="R53" s="77"/>
      <c r="S53" s="77"/>
      <c r="T53" s="77"/>
      <c r="U53" s="77"/>
      <c r="V53" s="77"/>
      <c r="X53" s="20"/>
    </row>
    <row r="54" spans="2:24">
      <c r="B54" s="4" t="str">
        <f t="shared" si="1"/>
        <v>[blank]</v>
      </c>
      <c r="D54" s="31"/>
      <c r="P54" s="77"/>
      <c r="Q54" s="77"/>
      <c r="R54" s="77"/>
      <c r="S54" s="77"/>
      <c r="T54" s="77"/>
      <c r="U54" s="77"/>
      <c r="V54" s="77"/>
      <c r="X54" s="20"/>
    </row>
    <row r="55" spans="2:24">
      <c r="B55" s="4" t="str">
        <f t="shared" si="1"/>
        <v>[blank]</v>
      </c>
      <c r="D55" s="31"/>
      <c r="P55" s="77"/>
      <c r="Q55" s="77"/>
      <c r="R55" s="77"/>
      <c r="S55" s="77"/>
      <c r="T55" s="77"/>
      <c r="U55" s="77"/>
      <c r="V55" s="77"/>
      <c r="X55" s="20"/>
    </row>
    <row r="56" spans="2:24">
      <c r="B56" s="4" t="str">
        <f t="shared" si="1"/>
        <v>[blank]</v>
      </c>
      <c r="D56" s="31"/>
      <c r="P56" s="77"/>
      <c r="Q56" s="77"/>
      <c r="R56" s="77"/>
      <c r="S56" s="77"/>
      <c r="T56" s="77"/>
      <c r="U56" s="77"/>
      <c r="V56" s="77"/>
      <c r="X56" s="20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61</v>
      </c>
    </row>
    <row r="69" spans="1:61">
      <c r="Z69" s="5" t="s">
        <v>73</v>
      </c>
      <c r="AM69" s="5" t="s">
        <v>110</v>
      </c>
      <c r="BB69" s="5" t="s">
        <v>133</v>
      </c>
    </row>
    <row r="70" spans="1:61">
      <c r="H70" s="190" t="s">
        <v>52</v>
      </c>
      <c r="I70" s="190"/>
      <c r="J70" s="190"/>
      <c r="K70" s="190"/>
      <c r="L70" s="190"/>
      <c r="M70" s="190" t="s">
        <v>53</v>
      </c>
      <c r="N70" s="190"/>
      <c r="O70" s="190"/>
      <c r="P70" s="190"/>
      <c r="Q70" s="190"/>
      <c r="R70" s="190" t="s">
        <v>54</v>
      </c>
      <c r="S70" s="190"/>
      <c r="T70" s="190"/>
      <c r="U70" s="190"/>
      <c r="V70" s="190"/>
      <c r="X70" s="38"/>
      <c r="Z70" s="39" t="s">
        <v>69</v>
      </c>
      <c r="AA70" s="39" t="s">
        <v>70</v>
      </c>
      <c r="AB70" s="39" t="s">
        <v>71</v>
      </c>
      <c r="AC70" s="39" t="s">
        <v>72</v>
      </c>
      <c r="AD70" s="39" t="s">
        <v>64</v>
      </c>
      <c r="AE70" s="39" t="s">
        <v>65</v>
      </c>
      <c r="AF70" s="39" t="s">
        <v>66</v>
      </c>
      <c r="AG70" s="39" t="s">
        <v>107</v>
      </c>
      <c r="AH70" s="39" t="s">
        <v>67</v>
      </c>
      <c r="AI70" s="39" t="s">
        <v>68</v>
      </c>
      <c r="AJ70" s="39" t="s">
        <v>108</v>
      </c>
      <c r="AM70" s="39" t="s">
        <v>111</v>
      </c>
      <c r="AN70" s="39" t="s">
        <v>112</v>
      </c>
      <c r="AO70" s="39" t="s">
        <v>113</v>
      </c>
      <c r="AP70" s="39" t="s">
        <v>114</v>
      </c>
      <c r="AQ70" s="39" t="s">
        <v>115</v>
      </c>
      <c r="AR70" s="39" t="s">
        <v>36</v>
      </c>
      <c r="AS70" s="39" t="s">
        <v>116</v>
      </c>
      <c r="AT70" s="39" t="s">
        <v>35</v>
      </c>
      <c r="AU70" s="39" t="s">
        <v>117</v>
      </c>
      <c r="AV70" s="39" t="s">
        <v>118</v>
      </c>
      <c r="AW70" s="39" t="s">
        <v>119</v>
      </c>
      <c r="AX70" s="39" t="s">
        <v>74</v>
      </c>
      <c r="AY70" s="39" t="s">
        <v>75</v>
      </c>
      <c r="BB70" s="39" t="s">
        <v>134</v>
      </c>
      <c r="BC70" s="39" t="s">
        <v>135</v>
      </c>
      <c r="BD70" s="39" t="s">
        <v>136</v>
      </c>
      <c r="BE70" s="39" t="s">
        <v>107</v>
      </c>
      <c r="BF70" s="39" t="s">
        <v>137</v>
      </c>
      <c r="BG70" s="39" t="s">
        <v>138</v>
      </c>
      <c r="BH70" s="39" t="s">
        <v>108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63</v>
      </c>
    </row>
    <row r="72" spans="1:61">
      <c r="B72" s="5" t="s">
        <v>46</v>
      </c>
      <c r="D72" s="29" t="s">
        <v>55</v>
      </c>
      <c r="H72" s="16" t="s">
        <v>12</v>
      </c>
      <c r="I72" s="16" t="s">
        <v>12</v>
      </c>
      <c r="J72" s="16" t="s">
        <v>12</v>
      </c>
      <c r="K72" s="16" t="s">
        <v>12</v>
      </c>
      <c r="L72" s="16" t="s">
        <v>12</v>
      </c>
      <c r="M72" s="16" t="s">
        <v>12</v>
      </c>
      <c r="N72" s="16" t="s">
        <v>12</v>
      </c>
      <c r="O72" s="16" t="s">
        <v>12</v>
      </c>
      <c r="P72" s="16" t="s">
        <v>13</v>
      </c>
      <c r="Q72" s="16" t="s">
        <v>13</v>
      </c>
      <c r="R72" s="16" t="s">
        <v>13</v>
      </c>
      <c r="S72" s="16" t="s">
        <v>13</v>
      </c>
      <c r="T72" s="16" t="s">
        <v>13</v>
      </c>
      <c r="U72" s="16" t="s">
        <v>13</v>
      </c>
      <c r="V72" s="16" t="s">
        <v>13</v>
      </c>
      <c r="X72" s="34" t="s">
        <v>13</v>
      </c>
    </row>
    <row r="73" spans="1:61">
      <c r="B73" s="4" t="str">
        <f>IF(B10&lt;&gt;"",B10,"[blank]")</f>
        <v>I&amp;C connections</v>
      </c>
      <c r="D73" s="31" t="s">
        <v>60</v>
      </c>
      <c r="O73" s="35"/>
      <c r="P73" s="35"/>
      <c r="Q73" s="175">
        <v>3716964.523</v>
      </c>
      <c r="R73" s="35">
        <f t="shared" ref="R73:V73" si="2">R31*R52</f>
        <v>4923250.8144867392</v>
      </c>
      <c r="S73" s="35">
        <f t="shared" si="2"/>
        <v>5049196.2949967319</v>
      </c>
      <c r="T73" s="35">
        <f t="shared" si="2"/>
        <v>5181335.7396465158</v>
      </c>
      <c r="U73" s="35">
        <f t="shared" si="2"/>
        <v>5341234.336794626</v>
      </c>
      <c r="V73" s="35">
        <f t="shared" si="2"/>
        <v>5222513.5594408037</v>
      </c>
      <c r="W73" s="35"/>
      <c r="X73" s="40">
        <f>SUM(R73:V73)</f>
        <v>25717530.745365415</v>
      </c>
      <c r="Z73" s="10"/>
      <c r="AA73" s="10">
        <v>0.3</v>
      </c>
      <c r="AB73" s="10">
        <v>0.45</v>
      </c>
      <c r="AC73" s="10"/>
      <c r="AD73" s="10"/>
      <c r="AE73" s="10">
        <v>0.25</v>
      </c>
      <c r="AF73" s="10"/>
      <c r="AG73" s="10"/>
      <c r="AH73" s="10"/>
      <c r="AI73" s="10"/>
      <c r="AJ73" s="10"/>
      <c r="AK73" s="41">
        <f t="shared" ref="AK73:AK87" si="3">SUM(Z73:AI73)</f>
        <v>1</v>
      </c>
      <c r="AM73" s="10"/>
      <c r="AN73" s="10"/>
      <c r="AO73" s="10">
        <v>1</v>
      </c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1</v>
      </c>
      <c r="BB73" s="10">
        <v>0.75</v>
      </c>
      <c r="BC73" s="10"/>
      <c r="BD73" s="10">
        <v>0.25</v>
      </c>
      <c r="BE73" s="10"/>
      <c r="BF73" s="10"/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 t="s">
        <v>60</v>
      </c>
      <c r="O74" s="50"/>
      <c r="P74" s="35"/>
      <c r="Q74" s="35"/>
      <c r="R74" s="35"/>
      <c r="S74" s="35"/>
      <c r="T74" s="35"/>
      <c r="U74" s="35"/>
      <c r="V74" s="35"/>
      <c r="W74" s="35"/>
      <c r="X74" s="4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D75" s="31" t="s">
        <v>60</v>
      </c>
      <c r="P75" s="35"/>
      <c r="Q75" s="35"/>
      <c r="R75" s="35"/>
      <c r="S75" s="35"/>
      <c r="T75" s="35"/>
      <c r="U75" s="35"/>
      <c r="V75" s="35"/>
      <c r="W75" s="35"/>
      <c r="X75" s="4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D76" s="31" t="s">
        <v>60</v>
      </c>
      <c r="P76" s="35"/>
      <c r="Q76" s="35"/>
      <c r="R76" s="35"/>
      <c r="S76" s="35"/>
      <c r="T76" s="35"/>
      <c r="U76" s="35"/>
      <c r="V76" s="35"/>
      <c r="W76" s="35"/>
      <c r="X76" s="4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D77" s="31"/>
      <c r="P77" s="35"/>
      <c r="Q77" s="35"/>
      <c r="R77" s="35"/>
      <c r="S77" s="35"/>
      <c r="T77" s="35"/>
      <c r="U77" s="35"/>
      <c r="V77" s="35"/>
      <c r="X77" s="4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76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62</v>
      </c>
      <c r="H89" s="36"/>
      <c r="I89" s="36"/>
      <c r="J89" s="36"/>
      <c r="K89" s="36"/>
      <c r="L89" s="36"/>
      <c r="M89" s="36"/>
      <c r="N89" s="36"/>
      <c r="O89" s="36"/>
      <c r="P89" s="37"/>
      <c r="Q89" s="37">
        <f t="shared" ref="Q89:V89" si="7">SUM(Q73:Q87)</f>
        <v>3716964.523</v>
      </c>
      <c r="R89" s="37">
        <f t="shared" si="7"/>
        <v>4923250.8144867392</v>
      </c>
      <c r="S89" s="37">
        <f t="shared" si="7"/>
        <v>5049196.2949967319</v>
      </c>
      <c r="T89" s="37">
        <f t="shared" si="7"/>
        <v>5181335.7396465158</v>
      </c>
      <c r="U89" s="37">
        <f t="shared" si="7"/>
        <v>5341234.336794626</v>
      </c>
      <c r="V89" s="37">
        <f t="shared" si="7"/>
        <v>5222513.5594408037</v>
      </c>
      <c r="X89" s="37">
        <f t="shared" ref="X89" si="8">SUM(R89:V89)</f>
        <v>25717530.745365415</v>
      </c>
    </row>
    <row r="91" spans="1:61">
      <c r="B91" s="5" t="s">
        <v>76</v>
      </c>
      <c r="X91" s="98"/>
    </row>
    <row r="92" spans="1:61" s="1" customFormat="1">
      <c r="A92" s="4"/>
      <c r="B92" s="2" t="s">
        <v>77</v>
      </c>
    </row>
    <row r="94" spans="1:61">
      <c r="H94" s="190" t="s">
        <v>52</v>
      </c>
      <c r="I94" s="190"/>
      <c r="J94" s="190"/>
      <c r="K94" s="190"/>
      <c r="L94" s="190"/>
      <c r="M94" s="190" t="s">
        <v>53</v>
      </c>
      <c r="N94" s="190"/>
      <c r="O94" s="190"/>
      <c r="P94" s="190"/>
      <c r="Q94" s="190"/>
      <c r="R94" s="190" t="s">
        <v>54</v>
      </c>
      <c r="S94" s="190"/>
      <c r="T94" s="190"/>
      <c r="U94" s="190"/>
      <c r="V94" s="190"/>
      <c r="X94" s="38"/>
    </row>
    <row r="95" spans="1:61">
      <c r="B95" s="42" t="s">
        <v>79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63</v>
      </c>
    </row>
    <row r="96" spans="1:61">
      <c r="B96" s="5" t="s">
        <v>46</v>
      </c>
      <c r="D96" s="29" t="s">
        <v>55</v>
      </c>
      <c r="H96" s="16" t="s">
        <v>12</v>
      </c>
      <c r="I96" s="16" t="s">
        <v>12</v>
      </c>
      <c r="J96" s="16" t="s">
        <v>12</v>
      </c>
      <c r="K96" s="16" t="s">
        <v>12</v>
      </c>
      <c r="L96" s="16" t="s">
        <v>12</v>
      </c>
      <c r="M96" s="16" t="s">
        <v>12</v>
      </c>
      <c r="N96" s="16" t="s">
        <v>12</v>
      </c>
      <c r="O96" s="16" t="s">
        <v>12</v>
      </c>
      <c r="P96" s="16" t="s">
        <v>13</v>
      </c>
      <c r="Q96" s="16" t="s">
        <v>13</v>
      </c>
      <c r="R96" s="16" t="s">
        <v>13</v>
      </c>
      <c r="S96" s="16" t="s">
        <v>13</v>
      </c>
      <c r="T96" s="16" t="s">
        <v>13</v>
      </c>
      <c r="U96" s="16" t="s">
        <v>13</v>
      </c>
      <c r="V96" s="16" t="s">
        <v>13</v>
      </c>
      <c r="X96" s="34" t="s">
        <v>13</v>
      </c>
    </row>
    <row r="97" spans="2:24">
      <c r="B97" s="4" t="str">
        <f>IF(B10&lt;&gt;"",B10,"[blank]")</f>
        <v>I&amp;C connections</v>
      </c>
      <c r="D97" s="31" t="s">
        <v>60</v>
      </c>
      <c r="O97" s="35"/>
      <c r="P97" s="35"/>
      <c r="Q97" s="35">
        <f t="shared" ref="Q97:V97" si="9">$D10*Q73</f>
        <v>148678.58092000001</v>
      </c>
      <c r="R97" s="35">
        <f t="shared" si="9"/>
        <v>196930.03257946958</v>
      </c>
      <c r="S97" s="35">
        <f t="shared" si="9"/>
        <v>201967.85179986927</v>
      </c>
      <c r="T97" s="35">
        <f t="shared" si="9"/>
        <v>207253.42958586063</v>
      </c>
      <c r="U97" s="35">
        <f t="shared" si="9"/>
        <v>213649.37347178505</v>
      </c>
      <c r="V97" s="35">
        <f t="shared" si="9"/>
        <v>208900.54237763214</v>
      </c>
      <c r="X97" s="40">
        <f>SUM(R97:V97)</f>
        <v>1028701.2298146167</v>
      </c>
    </row>
    <row r="98" spans="2:24">
      <c r="B98" s="4" t="str">
        <f t="shared" ref="B98:B111" si="10">IF(B11&lt;&gt;"",B11,"[blank]")</f>
        <v>[blank]</v>
      </c>
      <c r="D98" s="31" t="s">
        <v>60</v>
      </c>
      <c r="O98" s="50"/>
      <c r="P98" s="35"/>
      <c r="Q98" s="35">
        <f t="shared" ref="Q98:V100" si="11">$D11*Q74</f>
        <v>0</v>
      </c>
      <c r="R98" s="35">
        <f t="shared" si="11"/>
        <v>0</v>
      </c>
      <c r="S98" s="35">
        <f t="shared" si="11"/>
        <v>0</v>
      </c>
      <c r="T98" s="35">
        <f t="shared" si="11"/>
        <v>0</v>
      </c>
      <c r="U98" s="35">
        <f t="shared" si="11"/>
        <v>0</v>
      </c>
      <c r="V98" s="35">
        <f t="shared" si="11"/>
        <v>0</v>
      </c>
      <c r="X98" s="40">
        <f t="shared" ref="X98:X100" si="12">SUM(R98:V98)</f>
        <v>0</v>
      </c>
    </row>
    <row r="99" spans="2:24">
      <c r="B99" s="4" t="str">
        <f t="shared" si="10"/>
        <v>[blank]</v>
      </c>
      <c r="D99" s="31" t="s">
        <v>60</v>
      </c>
      <c r="P99" s="35"/>
      <c r="Q99" s="35">
        <f t="shared" si="11"/>
        <v>0</v>
      </c>
      <c r="R99" s="35">
        <f t="shared" si="11"/>
        <v>0</v>
      </c>
      <c r="S99" s="35">
        <f t="shared" si="11"/>
        <v>0</v>
      </c>
      <c r="T99" s="35">
        <f t="shared" si="11"/>
        <v>0</v>
      </c>
      <c r="U99" s="35">
        <f t="shared" si="11"/>
        <v>0</v>
      </c>
      <c r="V99" s="35">
        <f t="shared" si="11"/>
        <v>0</v>
      </c>
      <c r="X99" s="40">
        <f t="shared" si="12"/>
        <v>0</v>
      </c>
    </row>
    <row r="100" spans="2:24">
      <c r="B100" s="4" t="str">
        <f t="shared" si="10"/>
        <v>[blank]</v>
      </c>
      <c r="D100" s="31" t="s">
        <v>60</v>
      </c>
      <c r="P100" s="35"/>
      <c r="Q100" s="35">
        <f t="shared" si="11"/>
        <v>0</v>
      </c>
      <c r="R100" s="35">
        <f t="shared" si="11"/>
        <v>0</v>
      </c>
      <c r="S100" s="35">
        <f t="shared" si="11"/>
        <v>0</v>
      </c>
      <c r="T100" s="35">
        <f t="shared" si="11"/>
        <v>0</v>
      </c>
      <c r="U100" s="35">
        <f t="shared" si="11"/>
        <v>0</v>
      </c>
      <c r="V100" s="35">
        <f t="shared" si="11"/>
        <v>0</v>
      </c>
      <c r="X100" s="40">
        <f t="shared" si="12"/>
        <v>0</v>
      </c>
    </row>
    <row r="101" spans="2:24">
      <c r="B101" s="4" t="str">
        <f t="shared" si="10"/>
        <v>[blank]</v>
      </c>
      <c r="D101" s="31"/>
      <c r="P101" s="35"/>
      <c r="Q101" s="35"/>
      <c r="R101" s="35"/>
      <c r="S101" s="35"/>
      <c r="T101" s="35"/>
      <c r="U101" s="35"/>
      <c r="V101" s="35"/>
      <c r="X101" s="40"/>
    </row>
    <row r="102" spans="2:24">
      <c r="B102" s="4" t="str">
        <f t="shared" si="10"/>
        <v>[blank]</v>
      </c>
      <c r="X102" s="40"/>
    </row>
    <row r="103" spans="2:24">
      <c r="B103" s="4" t="str">
        <f t="shared" si="10"/>
        <v>[blank]</v>
      </c>
      <c r="X103" s="40"/>
    </row>
    <row r="104" spans="2:24">
      <c r="B104" s="4" t="str">
        <f t="shared" si="10"/>
        <v>[blank]</v>
      </c>
      <c r="X104" s="40"/>
    </row>
    <row r="105" spans="2:24">
      <c r="B105" s="4" t="str">
        <f t="shared" si="10"/>
        <v>[blank]</v>
      </c>
      <c r="X105" s="40"/>
    </row>
    <row r="106" spans="2:24">
      <c r="B106" s="4" t="str">
        <f t="shared" si="10"/>
        <v>[blank]</v>
      </c>
      <c r="X106" s="40"/>
    </row>
    <row r="107" spans="2:24">
      <c r="B107" s="4" t="str">
        <f t="shared" si="10"/>
        <v>[blank]</v>
      </c>
      <c r="X107" s="40"/>
    </row>
    <row r="108" spans="2:24">
      <c r="B108" s="4" t="str">
        <f t="shared" si="10"/>
        <v>[blank]</v>
      </c>
      <c r="X108" s="40"/>
    </row>
    <row r="109" spans="2:24">
      <c r="B109" s="4" t="str">
        <f t="shared" si="10"/>
        <v>[blank]</v>
      </c>
      <c r="X109" s="40"/>
    </row>
    <row r="110" spans="2:24">
      <c r="B110" s="4" t="str">
        <f t="shared" si="10"/>
        <v>[blank]</v>
      </c>
      <c r="X110" s="40"/>
    </row>
    <row r="111" spans="2:24">
      <c r="B111" s="4" t="str">
        <f t="shared" si="10"/>
        <v>[blank]</v>
      </c>
      <c r="X111" s="40"/>
    </row>
    <row r="113" spans="1:24" ht="12.75" thickBot="1">
      <c r="B113" s="5" t="s">
        <v>78</v>
      </c>
      <c r="H113" s="36"/>
      <c r="I113" s="36"/>
      <c r="J113" s="36"/>
      <c r="K113" s="36"/>
      <c r="L113" s="36"/>
      <c r="M113" s="36"/>
      <c r="N113" s="36"/>
      <c r="O113" s="36"/>
      <c r="P113" s="37"/>
      <c r="Q113" s="37">
        <f t="shared" ref="Q113:V113" si="13">SUM(Q97:Q111)</f>
        <v>148678.58092000001</v>
      </c>
      <c r="R113" s="37">
        <f t="shared" si="13"/>
        <v>196930.03257946958</v>
      </c>
      <c r="S113" s="37">
        <f t="shared" si="13"/>
        <v>201967.85179986927</v>
      </c>
      <c r="T113" s="37">
        <f t="shared" si="13"/>
        <v>207253.42958586063</v>
      </c>
      <c r="U113" s="37">
        <f t="shared" si="13"/>
        <v>213649.37347178505</v>
      </c>
      <c r="V113" s="37">
        <f t="shared" si="13"/>
        <v>208900.54237763214</v>
      </c>
      <c r="X113" s="37">
        <f t="shared" ref="X113" si="14">SUM(R113:V113)</f>
        <v>1028701.2298146167</v>
      </c>
    </row>
    <row r="115" spans="1:24" s="1" customFormat="1">
      <c r="A115" s="4"/>
      <c r="B115" s="2" t="s">
        <v>80</v>
      </c>
    </row>
    <row r="117" spans="1:24">
      <c r="H117" s="190" t="s">
        <v>52</v>
      </c>
      <c r="I117" s="190"/>
      <c r="J117" s="190"/>
      <c r="K117" s="190"/>
      <c r="L117" s="190"/>
      <c r="M117" s="190" t="s">
        <v>53</v>
      </c>
      <c r="N117" s="190"/>
      <c r="O117" s="190"/>
      <c r="P117" s="190"/>
      <c r="Q117" s="190"/>
      <c r="R117" s="190" t="s">
        <v>54</v>
      </c>
      <c r="S117" s="190"/>
      <c r="T117" s="190"/>
      <c r="U117" s="190"/>
      <c r="V117" s="190"/>
      <c r="X117" s="38"/>
    </row>
    <row r="118" spans="1:24">
      <c r="B118" s="43" t="s">
        <v>81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63</v>
      </c>
    </row>
    <row r="119" spans="1:24">
      <c r="B119" s="5" t="s">
        <v>46</v>
      </c>
      <c r="D119" s="29" t="s">
        <v>55</v>
      </c>
      <c r="H119" s="16" t="s">
        <v>12</v>
      </c>
      <c r="I119" s="16" t="s">
        <v>12</v>
      </c>
      <c r="J119" s="16" t="s">
        <v>12</v>
      </c>
      <c r="K119" s="16" t="s">
        <v>12</v>
      </c>
      <c r="L119" s="16" t="s">
        <v>12</v>
      </c>
      <c r="M119" s="16" t="s">
        <v>12</v>
      </c>
      <c r="N119" s="16" t="s">
        <v>12</v>
      </c>
      <c r="O119" s="16" t="s">
        <v>12</v>
      </c>
      <c r="P119" s="16" t="s">
        <v>13</v>
      </c>
      <c r="Q119" s="16" t="s">
        <v>13</v>
      </c>
      <c r="R119" s="16" t="s">
        <v>13</v>
      </c>
      <c r="S119" s="16" t="s">
        <v>13</v>
      </c>
      <c r="T119" s="16" t="s">
        <v>13</v>
      </c>
      <c r="U119" s="16" t="s">
        <v>13</v>
      </c>
      <c r="V119" s="16" t="s">
        <v>13</v>
      </c>
      <c r="X119" s="34" t="s">
        <v>13</v>
      </c>
    </row>
    <row r="120" spans="1:24">
      <c r="B120" s="4" t="str">
        <f>IF(B10&lt;&gt;"",B10,"[blank]")</f>
        <v>I&amp;C connections</v>
      </c>
      <c r="D120" s="31" t="s">
        <v>60</v>
      </c>
      <c r="O120" s="35"/>
      <c r="P120" s="35"/>
      <c r="Q120" s="35">
        <f t="shared" ref="Q120:V120" si="15">$E10*Q73</f>
        <v>2824893.0374799999</v>
      </c>
      <c r="R120" s="35">
        <f t="shared" si="15"/>
        <v>3741670.6190099218</v>
      </c>
      <c r="S120" s="35">
        <f t="shared" si="15"/>
        <v>3837389.1841975162</v>
      </c>
      <c r="T120" s="35">
        <f t="shared" si="15"/>
        <v>3937815.1621313519</v>
      </c>
      <c r="U120" s="35">
        <f t="shared" si="15"/>
        <v>4059338.0959639158</v>
      </c>
      <c r="V120" s="35">
        <f t="shared" si="15"/>
        <v>3969110.305175011</v>
      </c>
      <c r="X120" s="40">
        <f>SUM(R120:V120)</f>
        <v>19545323.366477717</v>
      </c>
    </row>
    <row r="121" spans="1:24">
      <c r="B121" s="4" t="str">
        <f t="shared" ref="B121:B134" si="16">IF(B11&lt;&gt;"",B11,"[blank]")</f>
        <v>[blank]</v>
      </c>
      <c r="D121" s="31" t="s">
        <v>60</v>
      </c>
      <c r="O121" s="50"/>
      <c r="P121" s="35"/>
      <c r="Q121" s="35">
        <f t="shared" ref="Q121:V123" si="17">$E11*Q74</f>
        <v>0</v>
      </c>
      <c r="R121" s="35">
        <f t="shared" si="17"/>
        <v>0</v>
      </c>
      <c r="S121" s="35">
        <f t="shared" si="17"/>
        <v>0</v>
      </c>
      <c r="T121" s="35">
        <f t="shared" si="17"/>
        <v>0</v>
      </c>
      <c r="U121" s="35">
        <f t="shared" si="17"/>
        <v>0</v>
      </c>
      <c r="V121" s="35">
        <f t="shared" si="17"/>
        <v>0</v>
      </c>
      <c r="X121" s="40">
        <f t="shared" ref="X121:X123" si="18">SUM(R121:V121)</f>
        <v>0</v>
      </c>
    </row>
    <row r="122" spans="1:24">
      <c r="B122" s="4" t="str">
        <f t="shared" si="16"/>
        <v>[blank]</v>
      </c>
      <c r="D122" s="31" t="s">
        <v>60</v>
      </c>
      <c r="P122" s="35"/>
      <c r="Q122" s="35">
        <f t="shared" si="17"/>
        <v>0</v>
      </c>
      <c r="R122" s="35">
        <f t="shared" si="17"/>
        <v>0</v>
      </c>
      <c r="S122" s="35">
        <f t="shared" si="17"/>
        <v>0</v>
      </c>
      <c r="T122" s="35">
        <f t="shared" si="17"/>
        <v>0</v>
      </c>
      <c r="U122" s="35">
        <f t="shared" si="17"/>
        <v>0</v>
      </c>
      <c r="V122" s="35">
        <f t="shared" si="17"/>
        <v>0</v>
      </c>
      <c r="X122" s="40">
        <f t="shared" si="18"/>
        <v>0</v>
      </c>
    </row>
    <row r="123" spans="1:24">
      <c r="B123" s="4" t="str">
        <f t="shared" si="16"/>
        <v>[blank]</v>
      </c>
      <c r="D123" s="31" t="s">
        <v>60</v>
      </c>
      <c r="P123" s="35"/>
      <c r="Q123" s="35">
        <f t="shared" si="17"/>
        <v>0</v>
      </c>
      <c r="R123" s="35">
        <f t="shared" si="17"/>
        <v>0</v>
      </c>
      <c r="S123" s="35">
        <f t="shared" si="17"/>
        <v>0</v>
      </c>
      <c r="T123" s="35">
        <f t="shared" si="17"/>
        <v>0</v>
      </c>
      <c r="U123" s="35">
        <f t="shared" si="17"/>
        <v>0</v>
      </c>
      <c r="V123" s="35">
        <f t="shared" si="17"/>
        <v>0</v>
      </c>
      <c r="X123" s="40">
        <f t="shared" si="18"/>
        <v>0</v>
      </c>
    </row>
    <row r="124" spans="1:24">
      <c r="B124" s="4" t="str">
        <f t="shared" si="16"/>
        <v>[blank]</v>
      </c>
      <c r="D124" s="31"/>
      <c r="P124" s="35"/>
      <c r="Q124" s="35"/>
      <c r="R124" s="35"/>
      <c r="S124" s="35"/>
      <c r="T124" s="35"/>
      <c r="U124" s="35"/>
      <c r="V124" s="35"/>
      <c r="X124" s="40"/>
    </row>
    <row r="125" spans="1:24">
      <c r="B125" s="4" t="str">
        <f t="shared" si="16"/>
        <v>[blank]</v>
      </c>
      <c r="X125" s="40"/>
    </row>
    <row r="126" spans="1:24">
      <c r="B126" s="4" t="str">
        <f t="shared" si="16"/>
        <v>[blank]</v>
      </c>
      <c r="X126" s="40"/>
    </row>
    <row r="127" spans="1:24">
      <c r="B127" s="4" t="str">
        <f t="shared" si="16"/>
        <v>[blank]</v>
      </c>
      <c r="X127" s="40"/>
    </row>
    <row r="128" spans="1:24">
      <c r="B128" s="4" t="str">
        <f t="shared" si="16"/>
        <v>[blank]</v>
      </c>
      <c r="X128" s="40"/>
    </row>
    <row r="129" spans="1:24">
      <c r="B129" s="4" t="str">
        <f t="shared" si="16"/>
        <v>[blank]</v>
      </c>
      <c r="X129" s="40"/>
    </row>
    <row r="130" spans="1:24">
      <c r="B130" s="4" t="str">
        <f t="shared" si="16"/>
        <v>[blank]</v>
      </c>
      <c r="X130" s="40"/>
    </row>
    <row r="131" spans="1:24">
      <c r="B131" s="4" t="str">
        <f t="shared" si="16"/>
        <v>[blank]</v>
      </c>
      <c r="X131" s="40"/>
    </row>
    <row r="132" spans="1:24">
      <c r="B132" s="4" t="str">
        <f t="shared" si="16"/>
        <v>[blank]</v>
      </c>
      <c r="X132" s="40"/>
    </row>
    <row r="133" spans="1:24">
      <c r="B133" s="4" t="str">
        <f t="shared" si="16"/>
        <v>[blank]</v>
      </c>
      <c r="X133" s="40"/>
    </row>
    <row r="134" spans="1:24">
      <c r="B134" s="4" t="str">
        <f t="shared" si="16"/>
        <v>[blank]</v>
      </c>
      <c r="X134" s="40"/>
    </row>
    <row r="136" spans="1:24" ht="12.75" thickBot="1">
      <c r="B136" s="5" t="s">
        <v>82</v>
      </c>
      <c r="H136" s="36"/>
      <c r="I136" s="36"/>
      <c r="J136" s="36"/>
      <c r="K136" s="36"/>
      <c r="L136" s="36"/>
      <c r="M136" s="36"/>
      <c r="N136" s="36"/>
      <c r="O136" s="36"/>
      <c r="P136" s="37"/>
      <c r="Q136" s="37">
        <f t="shared" ref="Q136:V136" si="19">SUM(Q120:Q134)</f>
        <v>2824893.0374799999</v>
      </c>
      <c r="R136" s="37">
        <f t="shared" si="19"/>
        <v>3741670.6190099218</v>
      </c>
      <c r="S136" s="37">
        <f t="shared" si="19"/>
        <v>3837389.1841975162</v>
      </c>
      <c r="T136" s="37">
        <f t="shared" si="19"/>
        <v>3937815.1621313519</v>
      </c>
      <c r="U136" s="37">
        <f t="shared" si="19"/>
        <v>4059338.0959639158</v>
      </c>
      <c r="V136" s="37">
        <f t="shared" si="19"/>
        <v>3969110.305175011</v>
      </c>
      <c r="X136" s="37">
        <f t="shared" ref="X136" si="20">SUM(R136:V136)</f>
        <v>19545323.366477717</v>
      </c>
    </row>
    <row r="138" spans="1:24" s="1" customFormat="1">
      <c r="A138" s="4"/>
      <c r="B138" s="2" t="s">
        <v>83</v>
      </c>
    </row>
    <row r="140" spans="1:24">
      <c r="H140" s="190" t="s">
        <v>52</v>
      </c>
      <c r="I140" s="190"/>
      <c r="J140" s="190"/>
      <c r="K140" s="190"/>
      <c r="L140" s="190"/>
      <c r="M140" s="190" t="s">
        <v>53</v>
      </c>
      <c r="N140" s="190"/>
      <c r="O140" s="190"/>
      <c r="P140" s="190"/>
      <c r="Q140" s="190"/>
      <c r="R140" s="190" t="s">
        <v>54</v>
      </c>
      <c r="S140" s="190"/>
      <c r="T140" s="190"/>
      <c r="U140" s="190"/>
      <c r="V140" s="190"/>
      <c r="X140" s="38"/>
    </row>
    <row r="141" spans="1:24">
      <c r="B141" s="43" t="s">
        <v>84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63</v>
      </c>
    </row>
    <row r="142" spans="1:24">
      <c r="B142" s="5" t="s">
        <v>46</v>
      </c>
      <c r="D142" s="29" t="s">
        <v>55</v>
      </c>
      <c r="H142" s="16" t="s">
        <v>12</v>
      </c>
      <c r="I142" s="16" t="s">
        <v>12</v>
      </c>
      <c r="J142" s="16" t="s">
        <v>12</v>
      </c>
      <c r="K142" s="16" t="s">
        <v>12</v>
      </c>
      <c r="L142" s="16" t="s">
        <v>12</v>
      </c>
      <c r="M142" s="16" t="s">
        <v>12</v>
      </c>
      <c r="N142" s="16" t="s">
        <v>12</v>
      </c>
      <c r="O142" s="16" t="s">
        <v>12</v>
      </c>
      <c r="P142" s="16" t="s">
        <v>13</v>
      </c>
      <c r="Q142" s="16" t="s">
        <v>13</v>
      </c>
      <c r="R142" s="16" t="s">
        <v>13</v>
      </c>
      <c r="S142" s="16" t="s">
        <v>13</v>
      </c>
      <c r="T142" s="16" t="s">
        <v>13</v>
      </c>
      <c r="U142" s="16" t="s">
        <v>13</v>
      </c>
      <c r="V142" s="16" t="s">
        <v>13</v>
      </c>
      <c r="X142" s="34" t="s">
        <v>13</v>
      </c>
    </row>
    <row r="143" spans="1:24">
      <c r="B143" s="4" t="str">
        <f>IF(B10&lt;&gt;"",B10,"[blank]")</f>
        <v>I&amp;C connections</v>
      </c>
      <c r="D143" s="31" t="s">
        <v>60</v>
      </c>
      <c r="O143" s="35"/>
      <c r="P143" s="35"/>
      <c r="Q143" s="35">
        <f t="shared" ref="Q143:V143" si="21">Q97+Q120</f>
        <v>2973571.6184</v>
      </c>
      <c r="R143" s="35">
        <f t="shared" si="21"/>
        <v>3938600.6515893913</v>
      </c>
      <c r="S143" s="35">
        <f t="shared" si="21"/>
        <v>4039357.0359973856</v>
      </c>
      <c r="T143" s="35">
        <f t="shared" si="21"/>
        <v>4145068.5917172125</v>
      </c>
      <c r="U143" s="35">
        <f t="shared" si="21"/>
        <v>4272987.4694357011</v>
      </c>
      <c r="V143" s="35">
        <f t="shared" si="21"/>
        <v>4178010.8475526432</v>
      </c>
      <c r="X143" s="40">
        <f>SUM(R143:V143)</f>
        <v>20574024.596292336</v>
      </c>
    </row>
    <row r="144" spans="1:24">
      <c r="B144" s="4" t="str">
        <f t="shared" ref="B144:B157" si="22">IF(B11&lt;&gt;"",B11,"[blank]")</f>
        <v>[blank]</v>
      </c>
      <c r="D144" s="31" t="s">
        <v>60</v>
      </c>
      <c r="O144" s="50"/>
      <c r="P144" s="35"/>
      <c r="Q144" s="35">
        <f t="shared" ref="Q144:V146" si="23">Q98+Q121</f>
        <v>0</v>
      </c>
      <c r="R144" s="35">
        <f t="shared" si="23"/>
        <v>0</v>
      </c>
      <c r="S144" s="35">
        <f t="shared" si="23"/>
        <v>0</v>
      </c>
      <c r="T144" s="35">
        <f t="shared" si="23"/>
        <v>0</v>
      </c>
      <c r="U144" s="35">
        <f t="shared" si="23"/>
        <v>0</v>
      </c>
      <c r="V144" s="35">
        <f t="shared" si="23"/>
        <v>0</v>
      </c>
      <c r="X144" s="40">
        <f t="shared" ref="X144:X146" si="24">SUM(R144:V144)</f>
        <v>0</v>
      </c>
    </row>
    <row r="145" spans="2:24">
      <c r="B145" s="4" t="str">
        <f t="shared" si="22"/>
        <v>[blank]</v>
      </c>
      <c r="D145" s="31" t="s">
        <v>60</v>
      </c>
      <c r="P145" s="35"/>
      <c r="Q145" s="35">
        <f t="shared" si="23"/>
        <v>0</v>
      </c>
      <c r="R145" s="35">
        <f t="shared" si="23"/>
        <v>0</v>
      </c>
      <c r="S145" s="35">
        <f t="shared" si="23"/>
        <v>0</v>
      </c>
      <c r="T145" s="35">
        <f t="shared" si="23"/>
        <v>0</v>
      </c>
      <c r="U145" s="35">
        <f t="shared" si="23"/>
        <v>0</v>
      </c>
      <c r="V145" s="35">
        <f t="shared" si="23"/>
        <v>0</v>
      </c>
      <c r="X145" s="40">
        <f t="shared" si="24"/>
        <v>0</v>
      </c>
    </row>
    <row r="146" spans="2:24">
      <c r="B146" s="4" t="str">
        <f t="shared" si="22"/>
        <v>[blank]</v>
      </c>
      <c r="D146" s="31" t="s">
        <v>60</v>
      </c>
      <c r="P146" s="35"/>
      <c r="Q146" s="35">
        <f t="shared" si="23"/>
        <v>0</v>
      </c>
      <c r="R146" s="35">
        <f t="shared" si="23"/>
        <v>0</v>
      </c>
      <c r="S146" s="35">
        <f t="shared" si="23"/>
        <v>0</v>
      </c>
      <c r="T146" s="35">
        <f t="shared" si="23"/>
        <v>0</v>
      </c>
      <c r="U146" s="35">
        <f t="shared" si="23"/>
        <v>0</v>
      </c>
      <c r="V146" s="35">
        <f t="shared" si="23"/>
        <v>0</v>
      </c>
      <c r="X146" s="40">
        <f t="shared" si="24"/>
        <v>0</v>
      </c>
    </row>
    <row r="147" spans="2:24">
      <c r="B147" s="4" t="str">
        <f t="shared" si="22"/>
        <v>[blank]</v>
      </c>
      <c r="D147" s="31"/>
      <c r="P147" s="35"/>
      <c r="Q147" s="35"/>
      <c r="R147" s="35"/>
      <c r="S147" s="35"/>
      <c r="T147" s="35"/>
      <c r="U147" s="35"/>
      <c r="V147" s="35"/>
      <c r="X147" s="40"/>
    </row>
    <row r="148" spans="2:24">
      <c r="B148" s="4" t="str">
        <f t="shared" si="22"/>
        <v>[blank]</v>
      </c>
      <c r="X148" s="40"/>
    </row>
    <row r="149" spans="2:24">
      <c r="B149" s="4" t="str">
        <f t="shared" si="22"/>
        <v>[blank]</v>
      </c>
      <c r="X149" s="40"/>
    </row>
    <row r="150" spans="2:24">
      <c r="B150" s="4" t="str">
        <f t="shared" si="22"/>
        <v>[blank]</v>
      </c>
      <c r="X150" s="40"/>
    </row>
    <row r="151" spans="2:24">
      <c r="B151" s="4" t="str">
        <f t="shared" si="22"/>
        <v>[blank]</v>
      </c>
      <c r="X151" s="40"/>
    </row>
    <row r="152" spans="2:24">
      <c r="B152" s="4" t="str">
        <f t="shared" si="22"/>
        <v>[blank]</v>
      </c>
      <c r="X152" s="40"/>
    </row>
    <row r="153" spans="2:24">
      <c r="B153" s="4" t="str">
        <f t="shared" si="22"/>
        <v>[blank]</v>
      </c>
      <c r="X153" s="40"/>
    </row>
    <row r="154" spans="2:24">
      <c r="B154" s="4" t="str">
        <f t="shared" si="22"/>
        <v>[blank]</v>
      </c>
      <c r="X154" s="40"/>
    </row>
    <row r="155" spans="2:24">
      <c r="B155" s="4" t="str">
        <f t="shared" si="22"/>
        <v>[blank]</v>
      </c>
      <c r="X155" s="40"/>
    </row>
    <row r="156" spans="2:24">
      <c r="B156" s="4" t="str">
        <f t="shared" si="22"/>
        <v>[blank]</v>
      </c>
      <c r="X156" s="40"/>
    </row>
    <row r="157" spans="2:24">
      <c r="B157" s="4" t="str">
        <f t="shared" si="22"/>
        <v>[blank]</v>
      </c>
      <c r="X157" s="40"/>
    </row>
    <row r="159" spans="2:24" ht="12.75" thickBot="1">
      <c r="B159" s="5" t="s">
        <v>85</v>
      </c>
      <c r="H159" s="36"/>
      <c r="I159" s="36"/>
      <c r="J159" s="36"/>
      <c r="K159" s="36"/>
      <c r="L159" s="36"/>
      <c r="M159" s="36"/>
      <c r="N159" s="36"/>
      <c r="O159" s="36"/>
      <c r="P159" s="37"/>
      <c r="Q159" s="37">
        <f t="shared" ref="Q159:V159" si="25">SUM(Q143:Q157)</f>
        <v>2973571.6184</v>
      </c>
      <c r="R159" s="37">
        <f t="shared" si="25"/>
        <v>3938600.6515893913</v>
      </c>
      <c r="S159" s="37">
        <f t="shared" si="25"/>
        <v>4039357.0359973856</v>
      </c>
      <c r="T159" s="37">
        <f t="shared" si="25"/>
        <v>4145068.5917172125</v>
      </c>
      <c r="U159" s="37">
        <f t="shared" si="25"/>
        <v>4272987.4694357011</v>
      </c>
      <c r="V159" s="37">
        <f t="shared" si="25"/>
        <v>4178010.8475526432</v>
      </c>
      <c r="X159" s="37">
        <f t="shared" ref="X159" si="26">SUM(R159:V159)</f>
        <v>20574024.596292336</v>
      </c>
    </row>
    <row r="161" spans="1:24" s="1" customFormat="1">
      <c r="A161" s="4"/>
      <c r="B161" s="2" t="s">
        <v>86</v>
      </c>
    </row>
    <row r="163" spans="1:24">
      <c r="H163" s="190" t="s">
        <v>52</v>
      </c>
      <c r="I163" s="190"/>
      <c r="J163" s="190"/>
      <c r="K163" s="190"/>
      <c r="L163" s="190"/>
      <c r="M163" s="190" t="s">
        <v>53</v>
      </c>
      <c r="N163" s="190"/>
      <c r="O163" s="190"/>
      <c r="P163" s="190"/>
      <c r="Q163" s="190"/>
      <c r="R163" s="190" t="s">
        <v>54</v>
      </c>
      <c r="S163" s="190"/>
      <c r="T163" s="190"/>
      <c r="U163" s="190"/>
      <c r="V163" s="190"/>
      <c r="X163" s="38"/>
    </row>
    <row r="164" spans="1:24">
      <c r="B164" s="44" t="s">
        <v>50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63</v>
      </c>
    </row>
    <row r="165" spans="1:24">
      <c r="B165" s="5" t="s">
        <v>46</v>
      </c>
      <c r="D165" s="29" t="s">
        <v>55</v>
      </c>
      <c r="H165" s="16" t="s">
        <v>12</v>
      </c>
      <c r="I165" s="16" t="s">
        <v>12</v>
      </c>
      <c r="J165" s="16" t="s">
        <v>12</v>
      </c>
      <c r="K165" s="16" t="s">
        <v>12</v>
      </c>
      <c r="L165" s="16" t="s">
        <v>12</v>
      </c>
      <c r="M165" s="16" t="s">
        <v>12</v>
      </c>
      <c r="N165" s="16" t="s">
        <v>12</v>
      </c>
      <c r="O165" s="16" t="s">
        <v>12</v>
      </c>
      <c r="P165" s="16" t="s">
        <v>13</v>
      </c>
      <c r="Q165" s="16" t="s">
        <v>13</v>
      </c>
      <c r="R165" s="16" t="s">
        <v>13</v>
      </c>
      <c r="S165" s="16" t="s">
        <v>13</v>
      </c>
      <c r="T165" s="16" t="s">
        <v>13</v>
      </c>
      <c r="U165" s="16" t="s">
        <v>13</v>
      </c>
      <c r="V165" s="16" t="s">
        <v>13</v>
      </c>
      <c r="X165" s="34" t="s">
        <v>13</v>
      </c>
    </row>
    <row r="166" spans="1:24">
      <c r="B166" s="4" t="str">
        <f>IF(B10&lt;&gt;"",B10,"[blank]")</f>
        <v>I&amp;C connections</v>
      </c>
      <c r="D166" s="31" t="s">
        <v>60</v>
      </c>
      <c r="O166" s="35"/>
      <c r="P166" s="35"/>
      <c r="Q166" s="35">
        <f t="shared" ref="Q166:V166" si="27">$G10*Q73</f>
        <v>743392.90459999989</v>
      </c>
      <c r="R166" s="35">
        <f t="shared" si="27"/>
        <v>984650.16289734759</v>
      </c>
      <c r="S166" s="35">
        <f t="shared" si="27"/>
        <v>1009839.2589993462</v>
      </c>
      <c r="T166" s="35">
        <f t="shared" si="27"/>
        <v>1036267.1479293029</v>
      </c>
      <c r="U166" s="35">
        <f t="shared" si="27"/>
        <v>1068246.8673589251</v>
      </c>
      <c r="V166" s="35">
        <f t="shared" si="27"/>
        <v>1044502.7118881606</v>
      </c>
      <c r="X166" s="40">
        <f>SUM(R166:V166)</f>
        <v>5143506.149073082</v>
      </c>
    </row>
    <row r="167" spans="1:24">
      <c r="B167" s="4" t="str">
        <f t="shared" ref="B167:B180" si="28">IF(B11&lt;&gt;"",B11,"[blank]")</f>
        <v>[blank]</v>
      </c>
      <c r="D167" s="31" t="s">
        <v>60</v>
      </c>
      <c r="O167" s="50"/>
      <c r="P167" s="35"/>
      <c r="Q167" s="35">
        <f t="shared" ref="Q167:V169" si="29">$G11*Q74</f>
        <v>0</v>
      </c>
      <c r="R167" s="35">
        <f t="shared" si="29"/>
        <v>0</v>
      </c>
      <c r="S167" s="35">
        <f t="shared" si="29"/>
        <v>0</v>
      </c>
      <c r="T167" s="35">
        <f t="shared" si="29"/>
        <v>0</v>
      </c>
      <c r="U167" s="35">
        <f t="shared" si="29"/>
        <v>0</v>
      </c>
      <c r="V167" s="35">
        <f t="shared" si="29"/>
        <v>0</v>
      </c>
      <c r="X167" s="40">
        <f t="shared" ref="X167:X169" si="30">SUM(R167:V167)</f>
        <v>0</v>
      </c>
    </row>
    <row r="168" spans="1:24">
      <c r="B168" s="4" t="str">
        <f t="shared" si="28"/>
        <v>[blank]</v>
      </c>
      <c r="D168" s="31" t="s">
        <v>60</v>
      </c>
      <c r="P168" s="35"/>
      <c r="Q168" s="35">
        <f t="shared" si="29"/>
        <v>0</v>
      </c>
      <c r="R168" s="35">
        <f t="shared" si="29"/>
        <v>0</v>
      </c>
      <c r="S168" s="35">
        <f t="shared" si="29"/>
        <v>0</v>
      </c>
      <c r="T168" s="35">
        <f t="shared" si="29"/>
        <v>0</v>
      </c>
      <c r="U168" s="35">
        <f t="shared" si="29"/>
        <v>0</v>
      </c>
      <c r="V168" s="35">
        <f t="shared" si="29"/>
        <v>0</v>
      </c>
      <c r="X168" s="40">
        <f t="shared" si="30"/>
        <v>0</v>
      </c>
    </row>
    <row r="169" spans="1:24">
      <c r="B169" s="4" t="str">
        <f t="shared" si="28"/>
        <v>[blank]</v>
      </c>
      <c r="D169" s="31" t="s">
        <v>60</v>
      </c>
      <c r="P169" s="35"/>
      <c r="Q169" s="35">
        <f t="shared" si="29"/>
        <v>0</v>
      </c>
      <c r="R169" s="35">
        <f t="shared" si="29"/>
        <v>0</v>
      </c>
      <c r="S169" s="35">
        <f t="shared" si="29"/>
        <v>0</v>
      </c>
      <c r="T169" s="35">
        <f t="shared" si="29"/>
        <v>0</v>
      </c>
      <c r="U169" s="35">
        <f t="shared" si="29"/>
        <v>0</v>
      </c>
      <c r="V169" s="35">
        <f t="shared" si="29"/>
        <v>0</v>
      </c>
      <c r="X169" s="40">
        <f t="shared" si="30"/>
        <v>0</v>
      </c>
    </row>
    <row r="170" spans="1:24">
      <c r="B170" s="4" t="str">
        <f t="shared" si="28"/>
        <v>[blank]</v>
      </c>
      <c r="D170" s="31"/>
      <c r="P170" s="35"/>
      <c r="Q170" s="35"/>
      <c r="R170" s="35"/>
      <c r="S170" s="35"/>
      <c r="T170" s="35"/>
      <c r="U170" s="35"/>
      <c r="V170" s="35"/>
      <c r="X170" s="40"/>
    </row>
    <row r="171" spans="1:24">
      <c r="B171" s="4" t="str">
        <f t="shared" si="28"/>
        <v>[blank]</v>
      </c>
      <c r="X171" s="40"/>
    </row>
    <row r="172" spans="1:24">
      <c r="B172" s="4" t="str">
        <f t="shared" si="28"/>
        <v>[blank]</v>
      </c>
      <c r="X172" s="40"/>
    </row>
    <row r="173" spans="1:24">
      <c r="B173" s="4" t="str">
        <f t="shared" si="28"/>
        <v>[blank]</v>
      </c>
      <c r="X173" s="40"/>
    </row>
    <row r="174" spans="1:24">
      <c r="B174" s="4" t="str">
        <f t="shared" si="28"/>
        <v>[blank]</v>
      </c>
      <c r="X174" s="40"/>
    </row>
    <row r="175" spans="1:24">
      <c r="B175" s="4" t="str">
        <f t="shared" si="28"/>
        <v>[blank]</v>
      </c>
      <c r="X175" s="40"/>
    </row>
    <row r="176" spans="1:24">
      <c r="B176" s="4" t="str">
        <f t="shared" si="28"/>
        <v>[blank]</v>
      </c>
      <c r="X176" s="40"/>
    </row>
    <row r="177" spans="1:24">
      <c r="B177" s="4" t="str">
        <f t="shared" si="28"/>
        <v>[blank]</v>
      </c>
      <c r="X177" s="40"/>
    </row>
    <row r="178" spans="1:24">
      <c r="B178" s="4" t="str">
        <f t="shared" si="28"/>
        <v>[blank]</v>
      </c>
      <c r="X178" s="40"/>
    </row>
    <row r="179" spans="1:24">
      <c r="B179" s="4" t="str">
        <f t="shared" si="28"/>
        <v>[blank]</v>
      </c>
      <c r="X179" s="40"/>
    </row>
    <row r="180" spans="1:24">
      <c r="B180" s="4" t="str">
        <f t="shared" si="28"/>
        <v>[blank]</v>
      </c>
      <c r="X180" s="40"/>
    </row>
    <row r="182" spans="1:24" ht="12.75" thickBot="1">
      <c r="B182" s="5" t="s">
        <v>87</v>
      </c>
      <c r="H182" s="36"/>
      <c r="I182" s="36"/>
      <c r="J182" s="36"/>
      <c r="K182" s="36"/>
      <c r="L182" s="36"/>
      <c r="M182" s="36"/>
      <c r="N182" s="36"/>
      <c r="O182" s="36"/>
      <c r="P182" s="37"/>
      <c r="Q182" s="37">
        <f t="shared" ref="Q182:V182" si="31">SUM(Q166:Q180)</f>
        <v>743392.90459999989</v>
      </c>
      <c r="R182" s="37">
        <f t="shared" si="31"/>
        <v>984650.16289734759</v>
      </c>
      <c r="S182" s="37">
        <f t="shared" si="31"/>
        <v>1009839.2589993462</v>
      </c>
      <c r="T182" s="37">
        <f t="shared" si="31"/>
        <v>1036267.1479293029</v>
      </c>
      <c r="U182" s="37">
        <f t="shared" si="31"/>
        <v>1068246.8673589251</v>
      </c>
      <c r="V182" s="37">
        <f t="shared" si="31"/>
        <v>1044502.7118881606</v>
      </c>
      <c r="X182" s="37">
        <f t="shared" ref="X182" si="32">SUM(R182:V182)</f>
        <v>5143506.149073082</v>
      </c>
    </row>
    <row r="184" spans="1:24" s="1" customFormat="1">
      <c r="A184" s="2">
        <v>6</v>
      </c>
      <c r="B184" s="2" t="s">
        <v>89</v>
      </c>
    </row>
    <row r="186" spans="1:24">
      <c r="H186" s="190" t="s">
        <v>52</v>
      </c>
      <c r="I186" s="190"/>
      <c r="J186" s="190"/>
      <c r="K186" s="190"/>
      <c r="L186" s="190"/>
      <c r="M186" s="190" t="s">
        <v>53</v>
      </c>
      <c r="N186" s="190"/>
      <c r="O186" s="190"/>
      <c r="P186" s="190"/>
      <c r="Q186" s="190"/>
      <c r="R186" s="190" t="s">
        <v>54</v>
      </c>
      <c r="S186" s="190"/>
      <c r="T186" s="190"/>
      <c r="U186" s="190"/>
      <c r="V186" s="190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63</v>
      </c>
    </row>
    <row r="188" spans="1:24">
      <c r="B188" s="5" t="s">
        <v>46</v>
      </c>
      <c r="D188" s="29" t="s">
        <v>55</v>
      </c>
      <c r="H188" s="16" t="s">
        <v>12</v>
      </c>
      <c r="I188" s="16" t="s">
        <v>12</v>
      </c>
      <c r="J188" s="16" t="s">
        <v>12</v>
      </c>
      <c r="K188" s="16" t="s">
        <v>12</v>
      </c>
      <c r="L188" s="16" t="s">
        <v>12</v>
      </c>
      <c r="M188" s="16" t="s">
        <v>12</v>
      </c>
      <c r="N188" s="16" t="s">
        <v>12</v>
      </c>
      <c r="O188" s="16" t="s">
        <v>12</v>
      </c>
      <c r="P188" s="16" t="s">
        <v>13</v>
      </c>
      <c r="Q188" s="16" t="s">
        <v>13</v>
      </c>
      <c r="R188" s="16" t="s">
        <v>13</v>
      </c>
      <c r="S188" s="16" t="s">
        <v>13</v>
      </c>
      <c r="T188" s="16" t="s">
        <v>13</v>
      </c>
      <c r="U188" s="16" t="s">
        <v>13</v>
      </c>
      <c r="V188" s="16" t="s">
        <v>13</v>
      </c>
      <c r="X188" s="34" t="s">
        <v>13</v>
      </c>
    </row>
    <row r="189" spans="1:24">
      <c r="B189" s="4" t="str">
        <f>IF(B10&lt;&gt;"",B10,"[blank]")</f>
        <v>I&amp;C connections</v>
      </c>
      <c r="D189" s="31" t="s">
        <v>60</v>
      </c>
      <c r="O189" s="35"/>
      <c r="P189" s="35"/>
      <c r="Q189" s="35">
        <f t="shared" ref="Q189:V189" si="33">Q73*Q$208</f>
        <v>278183.93287905265</v>
      </c>
      <c r="R189" s="35">
        <f t="shared" si="33"/>
        <v>355314.99540785991</v>
      </c>
      <c r="S189" s="35">
        <f t="shared" si="33"/>
        <v>385067.34293640149</v>
      </c>
      <c r="T189" s="35">
        <f t="shared" si="33"/>
        <v>401173.51400699001</v>
      </c>
      <c r="U189" s="35">
        <f t="shared" si="33"/>
        <v>436462.61015586054</v>
      </c>
      <c r="V189" s="35">
        <f t="shared" si="33"/>
        <v>440741.46620405169</v>
      </c>
      <c r="X189" s="40">
        <f>SUM(R189:V189)</f>
        <v>2018759.9287111636</v>
      </c>
    </row>
    <row r="190" spans="1:24">
      <c r="B190" s="4" t="str">
        <f t="shared" ref="B190:B203" si="34">IF(B11&lt;&gt;"",B11,"[blank]")</f>
        <v>[blank]</v>
      </c>
      <c r="D190" s="31" t="s">
        <v>60</v>
      </c>
      <c r="O190" s="50"/>
      <c r="P190" s="35"/>
      <c r="Q190" s="35">
        <f t="shared" ref="Q190:V192" si="35">Q74*Q$208</f>
        <v>0</v>
      </c>
      <c r="R190" s="35">
        <f t="shared" si="35"/>
        <v>0</v>
      </c>
      <c r="S190" s="35">
        <f t="shared" si="35"/>
        <v>0</v>
      </c>
      <c r="T190" s="35">
        <f t="shared" si="35"/>
        <v>0</v>
      </c>
      <c r="U190" s="35">
        <f t="shared" si="35"/>
        <v>0</v>
      </c>
      <c r="V190" s="35">
        <f t="shared" si="35"/>
        <v>0</v>
      </c>
      <c r="X190" s="40">
        <f t="shared" ref="X190:X192" si="36">SUM(R190:V190)</f>
        <v>0</v>
      </c>
    </row>
    <row r="191" spans="1:24">
      <c r="B191" s="4" t="str">
        <f t="shared" si="34"/>
        <v>[blank]</v>
      </c>
      <c r="D191" s="31" t="s">
        <v>60</v>
      </c>
      <c r="P191" s="35"/>
      <c r="Q191" s="35">
        <f t="shared" si="35"/>
        <v>0</v>
      </c>
      <c r="R191" s="35">
        <f t="shared" si="35"/>
        <v>0</v>
      </c>
      <c r="S191" s="35">
        <f t="shared" si="35"/>
        <v>0</v>
      </c>
      <c r="T191" s="35">
        <f t="shared" si="35"/>
        <v>0</v>
      </c>
      <c r="U191" s="35">
        <f t="shared" si="35"/>
        <v>0</v>
      </c>
      <c r="V191" s="35">
        <f t="shared" si="35"/>
        <v>0</v>
      </c>
      <c r="X191" s="40">
        <f t="shared" si="36"/>
        <v>0</v>
      </c>
    </row>
    <row r="192" spans="1:24">
      <c r="B192" s="4" t="str">
        <f t="shared" si="34"/>
        <v>[blank]</v>
      </c>
      <c r="D192" s="31" t="s">
        <v>60</v>
      </c>
      <c r="P192" s="35"/>
      <c r="Q192" s="35">
        <f t="shared" si="35"/>
        <v>0</v>
      </c>
      <c r="R192" s="35">
        <f t="shared" si="35"/>
        <v>0</v>
      </c>
      <c r="S192" s="35">
        <f t="shared" si="35"/>
        <v>0</v>
      </c>
      <c r="T192" s="35">
        <f t="shared" si="35"/>
        <v>0</v>
      </c>
      <c r="U192" s="35">
        <f t="shared" si="35"/>
        <v>0</v>
      </c>
      <c r="V192" s="35">
        <f t="shared" si="35"/>
        <v>0</v>
      </c>
      <c r="X192" s="40">
        <f t="shared" si="36"/>
        <v>0</v>
      </c>
    </row>
    <row r="193" spans="2:24">
      <c r="B193" s="4" t="str">
        <f t="shared" si="34"/>
        <v>[blank]</v>
      </c>
      <c r="D193" s="31" t="s">
        <v>60</v>
      </c>
      <c r="P193" s="35"/>
      <c r="Q193" s="35"/>
      <c r="R193" s="35"/>
      <c r="S193" s="35"/>
      <c r="T193" s="35"/>
      <c r="U193" s="35"/>
      <c r="V193" s="35"/>
      <c r="X193" s="40"/>
    </row>
    <row r="194" spans="2:24">
      <c r="B194" s="4" t="str">
        <f t="shared" si="34"/>
        <v>[blank]</v>
      </c>
      <c r="X194" s="40"/>
    </row>
    <row r="195" spans="2:24">
      <c r="B195" s="4" t="str">
        <f t="shared" si="34"/>
        <v>[blank]</v>
      </c>
      <c r="X195" s="40"/>
    </row>
    <row r="196" spans="2:24">
      <c r="B196" s="4" t="str">
        <f t="shared" si="34"/>
        <v>[blank]</v>
      </c>
      <c r="X196" s="40"/>
    </row>
    <row r="197" spans="2:24">
      <c r="B197" s="4" t="str">
        <f t="shared" si="34"/>
        <v>[blank]</v>
      </c>
      <c r="X197" s="40"/>
    </row>
    <row r="198" spans="2:24">
      <c r="B198" s="4" t="str">
        <f t="shared" si="34"/>
        <v>[blank]</v>
      </c>
      <c r="X198" s="40"/>
    </row>
    <row r="199" spans="2:24">
      <c r="B199" s="4" t="str">
        <f t="shared" si="34"/>
        <v>[blank]</v>
      </c>
      <c r="X199" s="40"/>
    </row>
    <row r="200" spans="2:24">
      <c r="B200" s="4" t="str">
        <f t="shared" si="34"/>
        <v>[blank]</v>
      </c>
      <c r="X200" s="40"/>
    </row>
    <row r="201" spans="2:24">
      <c r="B201" s="4" t="str">
        <f t="shared" si="34"/>
        <v>[blank]</v>
      </c>
      <c r="X201" s="40"/>
    </row>
    <row r="202" spans="2:24">
      <c r="B202" s="4" t="str">
        <f t="shared" si="34"/>
        <v>[blank]</v>
      </c>
      <c r="X202" s="40"/>
    </row>
    <row r="203" spans="2:24">
      <c r="B203" s="4" t="str">
        <f t="shared" si="34"/>
        <v>[blank]</v>
      </c>
      <c r="X203" s="40"/>
    </row>
    <row r="205" spans="2:24" ht="12.75" thickBot="1">
      <c r="B205" s="5" t="s">
        <v>88</v>
      </c>
      <c r="H205" s="36"/>
      <c r="I205" s="36"/>
      <c r="J205" s="36"/>
      <c r="K205" s="36"/>
      <c r="L205" s="36"/>
      <c r="M205" s="36"/>
      <c r="N205" s="36"/>
      <c r="O205" s="36"/>
      <c r="P205" s="37"/>
      <c r="Q205" s="37">
        <f t="shared" ref="Q205:V205" si="37">SUM(Q189:Q203)</f>
        <v>278183.93287905265</v>
      </c>
      <c r="R205" s="37">
        <f t="shared" si="37"/>
        <v>355314.99540785991</v>
      </c>
      <c r="S205" s="37">
        <f t="shared" si="37"/>
        <v>385067.34293640149</v>
      </c>
      <c r="T205" s="37">
        <f t="shared" si="37"/>
        <v>401173.51400699001</v>
      </c>
      <c r="U205" s="37">
        <f t="shared" si="37"/>
        <v>436462.61015586054</v>
      </c>
      <c r="V205" s="37">
        <f t="shared" si="37"/>
        <v>440741.46620405169</v>
      </c>
      <c r="X205" s="37">
        <f t="shared" ref="X205" si="38">SUM(R205:V205)</f>
        <v>2018759.9287111636</v>
      </c>
    </row>
    <row r="207" spans="2:24">
      <c r="B207" s="4" t="s">
        <v>92</v>
      </c>
      <c r="H207" s="7"/>
      <c r="I207" s="7"/>
      <c r="J207" s="7"/>
      <c r="K207" s="7"/>
      <c r="L207" s="7"/>
      <c r="M207" s="7"/>
      <c r="N207" s="7"/>
      <c r="O207" s="7"/>
      <c r="P207" s="45"/>
      <c r="Q207" s="45">
        <f t="shared" ref="Q207:X207" si="39">Q89</f>
        <v>3716964.523</v>
      </c>
      <c r="R207" s="45">
        <f t="shared" si="39"/>
        <v>4923250.8144867392</v>
      </c>
      <c r="S207" s="45">
        <f t="shared" si="39"/>
        <v>5049196.2949967319</v>
      </c>
      <c r="T207" s="45">
        <f t="shared" si="39"/>
        <v>5181335.7396465158</v>
      </c>
      <c r="U207" s="45">
        <f t="shared" si="39"/>
        <v>5341234.336794626</v>
      </c>
      <c r="V207" s="45">
        <f t="shared" si="39"/>
        <v>5222513.5594408037</v>
      </c>
      <c r="W207" s="45"/>
      <c r="X207" s="40">
        <f t="shared" si="39"/>
        <v>25717530.745365415</v>
      </c>
    </row>
    <row r="208" spans="2:24">
      <c r="B208" s="4" t="s">
        <v>90</v>
      </c>
      <c r="H208" s="21" t="str">
        <f>IFERROR(H212/H207,"")</f>
        <v/>
      </c>
      <c r="I208" s="21" t="str">
        <f t="shared" ref="I208:O208" si="40">IFERROR(I212/I207,"")</f>
        <v/>
      </c>
      <c r="J208" s="21" t="str">
        <f t="shared" si="40"/>
        <v/>
      </c>
      <c r="K208" s="21" t="str">
        <f t="shared" si="40"/>
        <v/>
      </c>
      <c r="L208" s="21" t="str">
        <f t="shared" si="40"/>
        <v/>
      </c>
      <c r="M208" s="21" t="str">
        <f t="shared" si="40"/>
        <v/>
      </c>
      <c r="N208" s="21" t="str">
        <f t="shared" si="40"/>
        <v/>
      </c>
      <c r="O208" s="21" t="str">
        <f t="shared" si="40"/>
        <v/>
      </c>
      <c r="P208" s="21"/>
      <c r="Q208" s="21">
        <f>'General assumptions'!T66</f>
        <v>7.4841697077734692E-2</v>
      </c>
      <c r="R208" s="21">
        <f>'General assumptions'!U66</f>
        <v>7.2170809247081261E-2</v>
      </c>
      <c r="S208" s="21">
        <f>'General assumptions'!V66</f>
        <v>7.6263096231367788E-2</v>
      </c>
      <c r="T208" s="21">
        <f>'General assumptions'!W66</f>
        <v>7.7426658716070601E-2</v>
      </c>
      <c r="U208" s="21">
        <f>'General assumptions'!X66</f>
        <v>8.1715682674538839E-2</v>
      </c>
      <c r="V208" s="21">
        <f>'General assumptions'!Y66</f>
        <v>8.4392593946897035E-2</v>
      </c>
      <c r="W208" s="21"/>
      <c r="X208" s="75">
        <f>X205/X207</f>
        <v>7.8497424527234849E-2</v>
      </c>
    </row>
    <row r="210" spans="1:24" ht="12.75" thickBot="1">
      <c r="B210" s="5" t="s">
        <v>91</v>
      </c>
      <c r="H210" s="37">
        <f t="shared" ref="H210:N210" si="41">IF(H188="forecast",H207*(1+H208),H207+H212)</f>
        <v>0</v>
      </c>
      <c r="I210" s="37">
        <f t="shared" si="41"/>
        <v>0</v>
      </c>
      <c r="J210" s="37">
        <f t="shared" si="41"/>
        <v>0</v>
      </c>
      <c r="K210" s="37">
        <f t="shared" si="41"/>
        <v>0</v>
      </c>
      <c r="L210" s="37">
        <f t="shared" si="41"/>
        <v>0</v>
      </c>
      <c r="M210" s="37">
        <f t="shared" si="41"/>
        <v>0</v>
      </c>
      <c r="N210" s="37">
        <f t="shared" si="41"/>
        <v>0</v>
      </c>
      <c r="O210" s="37">
        <f>IF(O188="forecast",O207*(1+O208),O207+O212)</f>
        <v>0</v>
      </c>
      <c r="P210" s="37"/>
      <c r="Q210" s="37">
        <f t="shared" ref="Q210:V210" si="42">IF(Q188="forecast",Q207*(1+Q208),Q207+Q212)</f>
        <v>3995148.4558790531</v>
      </c>
      <c r="R210" s="37">
        <f t="shared" si="42"/>
        <v>5278565.809894599</v>
      </c>
      <c r="S210" s="37">
        <f t="shared" si="42"/>
        <v>5434263.6379331332</v>
      </c>
      <c r="T210" s="37">
        <f t="shared" si="42"/>
        <v>5582509.2536535058</v>
      </c>
      <c r="U210" s="37">
        <f t="shared" si="42"/>
        <v>5777696.9469504869</v>
      </c>
      <c r="V210" s="37">
        <f t="shared" si="42"/>
        <v>5663255.0256448556</v>
      </c>
      <c r="X210" s="37">
        <f t="shared" ref="X210" si="43">IF(X188="forecast",X207*(1+X208),X207+X212)</f>
        <v>27736290.674076576</v>
      </c>
    </row>
    <row r="212" spans="1:24">
      <c r="B212" s="4" t="s">
        <v>18</v>
      </c>
      <c r="H212" s="7"/>
      <c r="I212" s="7"/>
      <c r="J212" s="7"/>
      <c r="K212" s="7"/>
      <c r="L212" s="7"/>
      <c r="M212" s="7"/>
      <c r="N212" s="7"/>
      <c r="O212" s="7"/>
      <c r="P212" s="45"/>
      <c r="Q212" s="45">
        <f t="shared" ref="Q212:V212" si="44">Q210-Q207</f>
        <v>278183.93287905306</v>
      </c>
      <c r="R212" s="45">
        <f t="shared" si="44"/>
        <v>355314.99540785979</v>
      </c>
      <c r="S212" s="45">
        <f t="shared" si="44"/>
        <v>385067.34293640126</v>
      </c>
      <c r="T212" s="45">
        <f t="shared" si="44"/>
        <v>401173.51400699001</v>
      </c>
      <c r="U212" s="45">
        <f t="shared" si="44"/>
        <v>436462.61015586089</v>
      </c>
      <c r="V212" s="45">
        <f t="shared" si="44"/>
        <v>440741.46620405186</v>
      </c>
      <c r="X212" s="40">
        <f t="shared" ref="X212" si="45">X210-X207</f>
        <v>2018759.928711161</v>
      </c>
    </row>
    <row r="214" spans="1:24" s="1" customFormat="1">
      <c r="A214" s="2">
        <v>7</v>
      </c>
      <c r="B214" s="2" t="s">
        <v>74</v>
      </c>
    </row>
    <row r="216" spans="1:24">
      <c r="H216" s="190" t="s">
        <v>52</v>
      </c>
      <c r="I216" s="190"/>
      <c r="J216" s="190"/>
      <c r="K216" s="190"/>
      <c r="L216" s="190"/>
      <c r="M216" s="190" t="s">
        <v>53</v>
      </c>
      <c r="N216" s="190"/>
      <c r="O216" s="190"/>
      <c r="P216" s="190"/>
      <c r="Q216" s="190"/>
      <c r="R216" s="190" t="s">
        <v>54</v>
      </c>
      <c r="S216" s="190"/>
      <c r="T216" s="190"/>
      <c r="U216" s="190"/>
      <c r="V216" s="190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63</v>
      </c>
    </row>
    <row r="218" spans="1:24">
      <c r="D218" s="29" t="s">
        <v>55</v>
      </c>
      <c r="H218" s="16" t="s">
        <v>12</v>
      </c>
      <c r="I218" s="16" t="s">
        <v>12</v>
      </c>
      <c r="J218" s="16" t="s">
        <v>12</v>
      </c>
      <c r="K218" s="16" t="s">
        <v>12</v>
      </c>
      <c r="L218" s="16" t="s">
        <v>12</v>
      </c>
      <c r="M218" s="16" t="s">
        <v>12</v>
      </c>
      <c r="N218" s="16" t="s">
        <v>12</v>
      </c>
      <c r="O218" s="16" t="s">
        <v>12</v>
      </c>
      <c r="P218" s="16" t="s">
        <v>13</v>
      </c>
      <c r="Q218" s="16" t="s">
        <v>13</v>
      </c>
      <c r="R218" s="16" t="s">
        <v>13</v>
      </c>
      <c r="S218" s="16" t="s">
        <v>13</v>
      </c>
      <c r="T218" s="16" t="s">
        <v>13</v>
      </c>
      <c r="U218" s="16" t="s">
        <v>13</v>
      </c>
      <c r="V218" s="16" t="s">
        <v>13</v>
      </c>
      <c r="X218" s="34" t="s">
        <v>13</v>
      </c>
    </row>
    <row r="219" spans="1:24">
      <c r="B219" s="5" t="s">
        <v>94</v>
      </c>
      <c r="D219" s="31" t="s">
        <v>105</v>
      </c>
      <c r="H219" s="4" t="str">
        <f t="shared" ref="H219:O219" si="46">IFERROR(-H238/H210,"")</f>
        <v/>
      </c>
      <c r="I219" s="4" t="str">
        <f t="shared" si="46"/>
        <v/>
      </c>
      <c r="J219" s="4" t="str">
        <f t="shared" si="46"/>
        <v/>
      </c>
      <c r="K219" s="4" t="str">
        <f t="shared" si="46"/>
        <v/>
      </c>
      <c r="L219" s="4" t="str">
        <f t="shared" si="46"/>
        <v/>
      </c>
      <c r="M219" s="4" t="str">
        <f t="shared" si="46"/>
        <v/>
      </c>
      <c r="N219" s="4" t="str">
        <f t="shared" si="46"/>
        <v/>
      </c>
      <c r="O219" s="4" t="str">
        <f t="shared" si="46"/>
        <v/>
      </c>
      <c r="P219" s="46"/>
      <c r="Q219" s="10">
        <v>0.25</v>
      </c>
      <c r="R219" s="10">
        <v>0.25</v>
      </c>
      <c r="S219" s="10">
        <v>0.25</v>
      </c>
      <c r="T219" s="10">
        <v>0.25</v>
      </c>
      <c r="U219" s="10">
        <v>0.25</v>
      </c>
      <c r="V219" s="10">
        <v>0.25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46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I&amp;C connections</v>
      </c>
      <c r="D222" s="31" t="s">
        <v>60</v>
      </c>
      <c r="P222" s="45"/>
      <c r="Q222" s="45">
        <f t="shared" ref="Q222:V222" si="47">(-Q73*(1+Q$208))*Q$219</f>
        <v>-998787.11396976328</v>
      </c>
      <c r="R222" s="45">
        <f t="shared" si="47"/>
        <v>-1319641.4524736498</v>
      </c>
      <c r="S222" s="45">
        <f t="shared" si="47"/>
        <v>-1358565.9094832833</v>
      </c>
      <c r="T222" s="45">
        <f t="shared" si="47"/>
        <v>-1395627.3134133765</v>
      </c>
      <c r="U222" s="45">
        <f t="shared" si="47"/>
        <v>-1444424.2367376217</v>
      </c>
      <c r="V222" s="45">
        <f t="shared" si="47"/>
        <v>-1415813.7564112139</v>
      </c>
      <c r="X222" s="40">
        <f t="shared" ref="X222:X225" si="48">SUM(R222:V222)</f>
        <v>-6934072.6685191449</v>
      </c>
    </row>
    <row r="223" spans="1:24">
      <c r="B223" s="4" t="str">
        <f t="shared" ref="B223:B236" si="49">IF(B11&lt;&gt;"",B11,"[blank]")</f>
        <v>[blank]</v>
      </c>
      <c r="D223" s="31" t="s">
        <v>60</v>
      </c>
      <c r="P223" s="45"/>
      <c r="Q223" s="45">
        <f t="shared" ref="Q223:V225" si="50">(-Q74*(1+Q$208))*Q$219</f>
        <v>0</v>
      </c>
      <c r="R223" s="45">
        <f t="shared" si="50"/>
        <v>0</v>
      </c>
      <c r="S223" s="45">
        <f t="shared" si="50"/>
        <v>0</v>
      </c>
      <c r="T223" s="45">
        <f t="shared" si="50"/>
        <v>0</v>
      </c>
      <c r="U223" s="45">
        <f t="shared" si="50"/>
        <v>0</v>
      </c>
      <c r="V223" s="45">
        <f t="shared" si="50"/>
        <v>0</v>
      </c>
      <c r="X223" s="40">
        <f t="shared" si="48"/>
        <v>0</v>
      </c>
    </row>
    <row r="224" spans="1:24">
      <c r="B224" s="4" t="str">
        <f t="shared" si="49"/>
        <v>[blank]</v>
      </c>
      <c r="D224" s="31" t="s">
        <v>60</v>
      </c>
      <c r="P224" s="45"/>
      <c r="Q224" s="45">
        <f t="shared" si="50"/>
        <v>0</v>
      </c>
      <c r="R224" s="45">
        <f t="shared" si="50"/>
        <v>0</v>
      </c>
      <c r="S224" s="45">
        <f t="shared" si="50"/>
        <v>0</v>
      </c>
      <c r="T224" s="45">
        <f t="shared" si="50"/>
        <v>0</v>
      </c>
      <c r="U224" s="45">
        <f t="shared" si="50"/>
        <v>0</v>
      </c>
      <c r="V224" s="45">
        <f t="shared" si="50"/>
        <v>0</v>
      </c>
      <c r="X224" s="40">
        <f t="shared" si="48"/>
        <v>0</v>
      </c>
    </row>
    <row r="225" spans="1:24">
      <c r="B225" s="4" t="str">
        <f t="shared" si="49"/>
        <v>[blank]</v>
      </c>
      <c r="D225" s="31" t="s">
        <v>60</v>
      </c>
      <c r="P225" s="45"/>
      <c r="Q225" s="45">
        <f t="shared" si="50"/>
        <v>0</v>
      </c>
      <c r="R225" s="45">
        <f t="shared" si="50"/>
        <v>0</v>
      </c>
      <c r="S225" s="45">
        <f t="shared" si="50"/>
        <v>0</v>
      </c>
      <c r="T225" s="45">
        <f t="shared" si="50"/>
        <v>0</v>
      </c>
      <c r="U225" s="45">
        <f t="shared" si="50"/>
        <v>0</v>
      </c>
      <c r="V225" s="45">
        <f t="shared" si="50"/>
        <v>0</v>
      </c>
      <c r="X225" s="40">
        <f t="shared" si="48"/>
        <v>0</v>
      </c>
    </row>
    <row r="226" spans="1:24">
      <c r="B226" s="4" t="str">
        <f t="shared" si="49"/>
        <v>[blank]</v>
      </c>
      <c r="D226" s="31"/>
      <c r="P226" s="45"/>
      <c r="Q226" s="45"/>
      <c r="R226" s="45"/>
      <c r="S226" s="45"/>
      <c r="T226" s="45"/>
      <c r="U226" s="45"/>
      <c r="V226" s="45"/>
      <c r="X226" s="40"/>
    </row>
    <row r="227" spans="1:24">
      <c r="B227" s="4" t="str">
        <f t="shared" si="49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49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49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49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49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49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49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49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49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49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93</v>
      </c>
      <c r="H238" s="7"/>
      <c r="I238" s="7"/>
      <c r="J238" s="7"/>
      <c r="K238" s="7"/>
      <c r="L238" s="7"/>
      <c r="M238" s="7"/>
      <c r="N238" s="7"/>
      <c r="O238" s="7"/>
      <c r="P238" s="94"/>
      <c r="Q238" s="37">
        <f t="shared" ref="Q238:V238" si="51">-Q219*Q210</f>
        <v>-998787.11396976328</v>
      </c>
      <c r="R238" s="37">
        <f t="shared" si="51"/>
        <v>-1319641.4524736498</v>
      </c>
      <c r="S238" s="37">
        <f t="shared" si="51"/>
        <v>-1358565.9094832833</v>
      </c>
      <c r="T238" s="37">
        <f t="shared" si="51"/>
        <v>-1395627.3134133765</v>
      </c>
      <c r="U238" s="37">
        <f t="shared" si="51"/>
        <v>-1444424.2367376217</v>
      </c>
      <c r="V238" s="37">
        <f t="shared" si="51"/>
        <v>-1415813.7564112139</v>
      </c>
      <c r="X238" s="37">
        <f t="shared" ref="X238" si="52">SUM(R238:V238)</f>
        <v>-6934072.6685191449</v>
      </c>
    </row>
    <row r="240" spans="1:24" s="1" customFormat="1">
      <c r="A240" s="2">
        <v>8</v>
      </c>
      <c r="B240" s="2" t="s">
        <v>75</v>
      </c>
    </row>
    <row r="242" spans="1:24">
      <c r="H242" s="190" t="s">
        <v>52</v>
      </c>
      <c r="I242" s="190"/>
      <c r="J242" s="190"/>
      <c r="K242" s="190"/>
      <c r="L242" s="190"/>
      <c r="M242" s="190" t="s">
        <v>53</v>
      </c>
      <c r="N242" s="190"/>
      <c r="O242" s="190"/>
      <c r="P242" s="190"/>
      <c r="Q242" s="190"/>
      <c r="R242" s="190" t="s">
        <v>54</v>
      </c>
      <c r="S242" s="190"/>
      <c r="T242" s="190"/>
      <c r="U242" s="190"/>
      <c r="V242" s="190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63</v>
      </c>
    </row>
    <row r="244" spans="1:24">
      <c r="D244" s="29" t="s">
        <v>55</v>
      </c>
      <c r="H244" s="16" t="s">
        <v>12</v>
      </c>
      <c r="I244" s="16" t="s">
        <v>12</v>
      </c>
      <c r="J244" s="16" t="s">
        <v>12</v>
      </c>
      <c r="K244" s="16" t="s">
        <v>12</v>
      </c>
      <c r="L244" s="16" t="s">
        <v>12</v>
      </c>
      <c r="M244" s="16" t="s">
        <v>12</v>
      </c>
      <c r="N244" s="16" t="s">
        <v>12</v>
      </c>
      <c r="O244" s="16" t="s">
        <v>12</v>
      </c>
      <c r="P244" s="16" t="s">
        <v>13</v>
      </c>
      <c r="Q244" s="16" t="s">
        <v>13</v>
      </c>
      <c r="R244" s="16" t="s">
        <v>13</v>
      </c>
      <c r="S244" s="16" t="s">
        <v>13</v>
      </c>
      <c r="T244" s="16" t="s">
        <v>13</v>
      </c>
      <c r="U244" s="16" t="s">
        <v>13</v>
      </c>
      <c r="V244" s="16" t="s">
        <v>13</v>
      </c>
      <c r="X244" s="34" t="s">
        <v>13</v>
      </c>
    </row>
    <row r="245" spans="1:24">
      <c r="B245" s="38" t="s">
        <v>96</v>
      </c>
      <c r="D245" s="31"/>
      <c r="X245" s="40"/>
    </row>
    <row r="246" spans="1:24">
      <c r="B246" s="47" t="s">
        <v>97</v>
      </c>
      <c r="D246" s="31" t="s">
        <v>60</v>
      </c>
      <c r="P246" s="94"/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53">SUM(R246:V246)</f>
        <v>0</v>
      </c>
    </row>
    <row r="247" spans="1:24">
      <c r="B247" s="47" t="s">
        <v>98</v>
      </c>
      <c r="D247" s="31" t="s">
        <v>60</v>
      </c>
      <c r="P247" s="94"/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53"/>
        <v>0</v>
      </c>
    </row>
    <row r="248" spans="1:24">
      <c r="B248" s="47" t="s">
        <v>99</v>
      </c>
      <c r="D248" s="31" t="s">
        <v>60</v>
      </c>
      <c r="P248" s="94"/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53"/>
        <v>0</v>
      </c>
    </row>
    <row r="249" spans="1:24">
      <c r="B249" s="47" t="s">
        <v>100</v>
      </c>
      <c r="D249" s="31" t="s">
        <v>60</v>
      </c>
      <c r="P249" s="94"/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53"/>
        <v>0</v>
      </c>
    </row>
    <row r="250" spans="1:24">
      <c r="B250" s="47" t="s">
        <v>101</v>
      </c>
      <c r="D250" s="31" t="s">
        <v>60</v>
      </c>
      <c r="P250" s="94"/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53"/>
        <v>0</v>
      </c>
    </row>
    <row r="252" spans="1:24" ht="12.75" thickBot="1">
      <c r="B252" s="5" t="s">
        <v>102</v>
      </c>
      <c r="H252" s="48"/>
      <c r="I252" s="48"/>
      <c r="J252" s="48"/>
      <c r="K252" s="48"/>
      <c r="L252" s="48"/>
      <c r="M252" s="48"/>
      <c r="N252" s="48"/>
      <c r="O252" s="48"/>
      <c r="P252" s="94"/>
      <c r="Q252" s="49">
        <f t="shared" ref="Q252:V252" si="54">SUM(Q246:Q250)</f>
        <v>0</v>
      </c>
      <c r="R252" s="49">
        <f t="shared" si="54"/>
        <v>0</v>
      </c>
      <c r="S252" s="49">
        <f t="shared" si="54"/>
        <v>0</v>
      </c>
      <c r="T252" s="49">
        <f t="shared" si="54"/>
        <v>0</v>
      </c>
      <c r="U252" s="49">
        <f t="shared" si="54"/>
        <v>0</v>
      </c>
      <c r="V252" s="49">
        <f t="shared" si="54"/>
        <v>0</v>
      </c>
      <c r="X252" s="37">
        <f t="shared" si="53"/>
        <v>0</v>
      </c>
    </row>
    <row r="254" spans="1:24" s="1" customFormat="1">
      <c r="A254" s="2">
        <v>9</v>
      </c>
      <c r="B254" s="2" t="s">
        <v>103</v>
      </c>
    </row>
    <row r="256" spans="1:24">
      <c r="H256" s="190" t="s">
        <v>52</v>
      </c>
      <c r="I256" s="190"/>
      <c r="J256" s="190"/>
      <c r="K256" s="190"/>
      <c r="L256" s="190"/>
      <c r="M256" s="190" t="s">
        <v>53</v>
      </c>
      <c r="N256" s="190"/>
      <c r="O256" s="190"/>
      <c r="P256" s="190"/>
      <c r="Q256" s="190"/>
      <c r="R256" s="190" t="s">
        <v>54</v>
      </c>
      <c r="S256" s="190"/>
      <c r="T256" s="190"/>
      <c r="U256" s="190"/>
      <c r="V256" s="190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63</v>
      </c>
    </row>
    <row r="258" spans="1:24">
      <c r="D258" s="29" t="s">
        <v>55</v>
      </c>
      <c r="H258" s="16" t="s">
        <v>12</v>
      </c>
      <c r="I258" s="16" t="s">
        <v>12</v>
      </c>
      <c r="J258" s="16" t="s">
        <v>12</v>
      </c>
      <c r="K258" s="16" t="s">
        <v>12</v>
      </c>
      <c r="L258" s="16" t="s">
        <v>12</v>
      </c>
      <c r="M258" s="16" t="s">
        <v>12</v>
      </c>
      <c r="N258" s="16" t="s">
        <v>12</v>
      </c>
      <c r="O258" s="16" t="s">
        <v>12</v>
      </c>
      <c r="P258" s="16" t="s">
        <v>13</v>
      </c>
      <c r="Q258" s="16" t="s">
        <v>13</v>
      </c>
      <c r="R258" s="16" t="s">
        <v>13</v>
      </c>
      <c r="S258" s="16" t="s">
        <v>13</v>
      </c>
      <c r="T258" s="16" t="s">
        <v>13</v>
      </c>
      <c r="U258" s="16" t="s">
        <v>13</v>
      </c>
      <c r="V258" s="16" t="s">
        <v>13</v>
      </c>
      <c r="X258" s="34" t="s">
        <v>13</v>
      </c>
    </row>
    <row r="259" spans="1:24">
      <c r="B259" s="4" t="s">
        <v>104</v>
      </c>
      <c r="D259" s="31" t="s">
        <v>60</v>
      </c>
      <c r="H259" s="45">
        <f t="shared" ref="H259:V259" si="55">H210</f>
        <v>0</v>
      </c>
      <c r="I259" s="45">
        <f t="shared" si="55"/>
        <v>0</v>
      </c>
      <c r="J259" s="45">
        <f t="shared" si="55"/>
        <v>0</v>
      </c>
      <c r="K259" s="45">
        <f t="shared" si="55"/>
        <v>0</v>
      </c>
      <c r="L259" s="45">
        <f t="shared" si="55"/>
        <v>0</v>
      </c>
      <c r="M259" s="45">
        <f t="shared" si="55"/>
        <v>0</v>
      </c>
      <c r="N259" s="45">
        <f t="shared" si="55"/>
        <v>0</v>
      </c>
      <c r="O259" s="45">
        <f t="shared" si="55"/>
        <v>0</v>
      </c>
      <c r="P259" s="45"/>
      <c r="Q259" s="45">
        <f t="shared" si="55"/>
        <v>3995148.4558790531</v>
      </c>
      <c r="R259" s="45">
        <f t="shared" si="55"/>
        <v>5278565.809894599</v>
      </c>
      <c r="S259" s="45">
        <f t="shared" si="55"/>
        <v>5434263.6379331332</v>
      </c>
      <c r="T259" s="45">
        <f t="shared" si="55"/>
        <v>5582509.2536535058</v>
      </c>
      <c r="U259" s="45">
        <f t="shared" si="55"/>
        <v>5777696.9469504869</v>
      </c>
      <c r="V259" s="45">
        <f t="shared" si="55"/>
        <v>5663255.0256448556</v>
      </c>
      <c r="X259" s="40">
        <f t="shared" ref="X259:X261" si="56">SUM(R259:V259)</f>
        <v>27736290.67407658</v>
      </c>
    </row>
    <row r="260" spans="1:24">
      <c r="B260" s="4" t="s">
        <v>74</v>
      </c>
      <c r="D260" s="31" t="s">
        <v>60</v>
      </c>
      <c r="H260" s="45">
        <f>H238</f>
        <v>0</v>
      </c>
      <c r="I260" s="45">
        <f t="shared" ref="I260:V260" si="57">I238</f>
        <v>0</v>
      </c>
      <c r="J260" s="45">
        <f t="shared" si="57"/>
        <v>0</v>
      </c>
      <c r="K260" s="45">
        <f t="shared" si="57"/>
        <v>0</v>
      </c>
      <c r="L260" s="45">
        <f t="shared" si="57"/>
        <v>0</v>
      </c>
      <c r="M260" s="45">
        <f t="shared" si="57"/>
        <v>0</v>
      </c>
      <c r="N260" s="45">
        <f t="shared" si="57"/>
        <v>0</v>
      </c>
      <c r="O260" s="45">
        <f t="shared" si="57"/>
        <v>0</v>
      </c>
      <c r="P260" s="45"/>
      <c r="Q260" s="45">
        <f t="shared" si="57"/>
        <v>-998787.11396976328</v>
      </c>
      <c r="R260" s="45">
        <f t="shared" si="57"/>
        <v>-1319641.4524736498</v>
      </c>
      <c r="S260" s="45">
        <f t="shared" si="57"/>
        <v>-1358565.9094832833</v>
      </c>
      <c r="T260" s="45">
        <f t="shared" si="57"/>
        <v>-1395627.3134133765</v>
      </c>
      <c r="U260" s="45">
        <f t="shared" si="57"/>
        <v>-1444424.2367376217</v>
      </c>
      <c r="V260" s="45">
        <f t="shared" si="57"/>
        <v>-1415813.7564112139</v>
      </c>
      <c r="X260" s="40">
        <f t="shared" si="56"/>
        <v>-6934072.6685191449</v>
      </c>
    </row>
    <row r="261" spans="1:24">
      <c r="B261" s="4" t="s">
        <v>75</v>
      </c>
      <c r="D261" s="31" t="s">
        <v>60</v>
      </c>
      <c r="H261" s="45">
        <f>H252</f>
        <v>0</v>
      </c>
      <c r="I261" s="45">
        <f t="shared" ref="I261:V261" si="58">I252</f>
        <v>0</v>
      </c>
      <c r="J261" s="45">
        <f t="shared" si="58"/>
        <v>0</v>
      </c>
      <c r="K261" s="45">
        <f t="shared" si="58"/>
        <v>0</v>
      </c>
      <c r="L261" s="45">
        <f t="shared" si="58"/>
        <v>0</v>
      </c>
      <c r="M261" s="45">
        <f t="shared" si="58"/>
        <v>0</v>
      </c>
      <c r="N261" s="45">
        <f t="shared" si="58"/>
        <v>0</v>
      </c>
      <c r="O261" s="45">
        <f t="shared" si="58"/>
        <v>0</v>
      </c>
      <c r="P261" s="45"/>
      <c r="Q261" s="45">
        <f t="shared" si="58"/>
        <v>0</v>
      </c>
      <c r="R261" s="45">
        <f t="shared" si="58"/>
        <v>0</v>
      </c>
      <c r="S261" s="45">
        <f t="shared" si="58"/>
        <v>0</v>
      </c>
      <c r="T261" s="45">
        <f t="shared" si="58"/>
        <v>0</v>
      </c>
      <c r="U261" s="45">
        <f t="shared" si="58"/>
        <v>0</v>
      </c>
      <c r="V261" s="45">
        <f t="shared" si="58"/>
        <v>0</v>
      </c>
      <c r="X261" s="40">
        <f t="shared" si="56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103</v>
      </c>
      <c r="D263" s="31" t="s">
        <v>60</v>
      </c>
      <c r="H263" s="37">
        <f>SUM(H259:H261)</f>
        <v>0</v>
      </c>
      <c r="I263" s="37">
        <f t="shared" ref="I263:V263" si="59">SUM(I259:I261)</f>
        <v>0</v>
      </c>
      <c r="J263" s="37">
        <f t="shared" si="59"/>
        <v>0</v>
      </c>
      <c r="K263" s="37">
        <f t="shared" si="59"/>
        <v>0</v>
      </c>
      <c r="L263" s="37">
        <f t="shared" si="59"/>
        <v>0</v>
      </c>
      <c r="M263" s="37">
        <f t="shared" si="59"/>
        <v>0</v>
      </c>
      <c r="N263" s="37">
        <f t="shared" si="59"/>
        <v>0</v>
      </c>
      <c r="O263" s="37">
        <f t="shared" si="59"/>
        <v>0</v>
      </c>
      <c r="P263" s="37"/>
      <c r="Q263" s="37">
        <f t="shared" si="59"/>
        <v>2996361.3419092898</v>
      </c>
      <c r="R263" s="37">
        <f t="shared" si="59"/>
        <v>3958924.3574209493</v>
      </c>
      <c r="S263" s="37">
        <f t="shared" si="59"/>
        <v>4075697.7284498499</v>
      </c>
      <c r="T263" s="37">
        <f t="shared" si="59"/>
        <v>4186881.9402401294</v>
      </c>
      <c r="U263" s="37">
        <f t="shared" si="59"/>
        <v>4333272.7102128649</v>
      </c>
      <c r="V263" s="37">
        <f t="shared" si="59"/>
        <v>4247441.2692336421</v>
      </c>
      <c r="X263" s="37">
        <f t="shared" ref="X263" si="60">SUM(R263:V263)</f>
        <v>20802218.005557433</v>
      </c>
    </row>
    <row r="264" spans="1:24">
      <c r="D264" s="31"/>
    </row>
    <row r="266" spans="1:24" s="66" customFormat="1">
      <c r="A266" s="65">
        <v>10</v>
      </c>
      <c r="B266" s="65" t="s">
        <v>121</v>
      </c>
    </row>
    <row r="268" spans="1:24">
      <c r="B268" s="69" t="s">
        <v>120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332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4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4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4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4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/>
      <c r="Q276" s="57">
        <f t="shared" ref="Q276:V276" si="61">IFERROR(SUMPRODUCT($Z$73:$Z$87,Q$73:Q$87)/SUM(Q$73:Q$87)*Q$89,0)</f>
        <v>0</v>
      </c>
      <c r="R276" s="57">
        <f t="shared" si="61"/>
        <v>0</v>
      </c>
      <c r="S276" s="57">
        <f t="shared" si="61"/>
        <v>0</v>
      </c>
      <c r="T276" s="57">
        <f t="shared" si="61"/>
        <v>0</v>
      </c>
      <c r="U276" s="57">
        <f t="shared" si="61"/>
        <v>0</v>
      </c>
      <c r="V276" s="62">
        <f t="shared" si="61"/>
        <v>0</v>
      </c>
      <c r="X276" s="75"/>
    </row>
    <row r="277" spans="6:24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/>
      <c r="Q277" s="57">
        <f t="shared" ref="Q277:V277" si="62">IFERROR(SUMPRODUCT($AA$73:$AA$87,Q$73:Q$87)/SUM(Q$73:Q$87)*Q$89,0)</f>
        <v>1115089.3569</v>
      </c>
      <c r="R277" s="57">
        <f t="shared" si="62"/>
        <v>1476975.2443460217</v>
      </c>
      <c r="S277" s="57">
        <f t="shared" si="62"/>
        <v>1514758.8884990194</v>
      </c>
      <c r="T277" s="57">
        <f t="shared" si="62"/>
        <v>1554400.7218939548</v>
      </c>
      <c r="U277" s="57">
        <f t="shared" si="62"/>
        <v>1602370.3010383877</v>
      </c>
      <c r="V277" s="62">
        <f t="shared" si="62"/>
        <v>1566754.0678322411</v>
      </c>
      <c r="X277" s="75"/>
    </row>
    <row r="278" spans="6:24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/>
      <c r="Q278" s="57">
        <f t="shared" ref="Q278:V278" si="63">IFERROR(SUMPRODUCT($AB$73:$AB$87,Q$73:Q$87)/SUM(Q$73:Q$87)*Q$89,0)</f>
        <v>1672634.03535</v>
      </c>
      <c r="R278" s="57">
        <f t="shared" si="63"/>
        <v>2215462.8665190325</v>
      </c>
      <c r="S278" s="57">
        <f t="shared" si="63"/>
        <v>2272138.3327485295</v>
      </c>
      <c r="T278" s="57">
        <f t="shared" si="63"/>
        <v>2331601.0828409321</v>
      </c>
      <c r="U278" s="57">
        <f t="shared" si="63"/>
        <v>2403555.4515575818</v>
      </c>
      <c r="V278" s="62">
        <f t="shared" si="63"/>
        <v>2350131.1017483617</v>
      </c>
      <c r="X278" s="75"/>
    </row>
    <row r="279" spans="6:24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/>
      <c r="Q279" s="57">
        <f t="shared" ref="Q279:V279" si="64">IFERROR(SUMPRODUCT($AC$73:$AC$87,Q$73:Q$87)/SUM(Q$73:Q$87)*Q$89,0)</f>
        <v>0</v>
      </c>
      <c r="R279" s="57">
        <f t="shared" si="64"/>
        <v>0</v>
      </c>
      <c r="S279" s="57">
        <f t="shared" si="64"/>
        <v>0</v>
      </c>
      <c r="T279" s="57">
        <f t="shared" si="64"/>
        <v>0</v>
      </c>
      <c r="U279" s="57">
        <f t="shared" si="64"/>
        <v>0</v>
      </c>
      <c r="V279" s="62">
        <f t="shared" si="64"/>
        <v>0</v>
      </c>
      <c r="X279" s="75"/>
    </row>
    <row r="280" spans="6:24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/>
      <c r="Q280" s="57">
        <f t="shared" ref="Q280:V280" si="65">IFERROR(SUMPRODUCT($AD$73:$AD$87,Q$73:Q$87)/SUM(Q$73:Q$87)*Q$89,0)</f>
        <v>0</v>
      </c>
      <c r="R280" s="57">
        <f t="shared" si="65"/>
        <v>0</v>
      </c>
      <c r="S280" s="57">
        <f t="shared" si="65"/>
        <v>0</v>
      </c>
      <c r="T280" s="57">
        <f t="shared" si="65"/>
        <v>0</v>
      </c>
      <c r="U280" s="57">
        <f t="shared" si="65"/>
        <v>0</v>
      </c>
      <c r="V280" s="62">
        <f t="shared" si="65"/>
        <v>0</v>
      </c>
      <c r="X280" s="75"/>
    </row>
    <row r="281" spans="6:24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/>
      <c r="Q281" s="57">
        <f t="shared" ref="Q281:V281" si="66">IFERROR(SUMPRODUCT($AE$73:$AE$87,Q$73:Q$87)/SUM(Q$73:Q$87)*Q$89,0)</f>
        <v>929241.13075000001</v>
      </c>
      <c r="R281" s="57">
        <f t="shared" si="66"/>
        <v>1230812.7036216848</v>
      </c>
      <c r="S281" s="57">
        <f t="shared" si="66"/>
        <v>1262299.073749183</v>
      </c>
      <c r="T281" s="57">
        <f t="shared" si="66"/>
        <v>1295333.934911629</v>
      </c>
      <c r="U281" s="57">
        <f t="shared" si="66"/>
        <v>1335308.5841986565</v>
      </c>
      <c r="V281" s="62">
        <f t="shared" si="66"/>
        <v>1305628.3898602009</v>
      </c>
      <c r="X281" s="75"/>
    </row>
    <row r="282" spans="6:24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/>
      <c r="Q282" s="57">
        <f t="shared" ref="Q282:V282" si="67">IFERROR(SUMPRODUCT($AF$73:$AF$87,Q$73:Q$87)/SUM(Q$73:Q$87)*Q$89,0)</f>
        <v>0</v>
      </c>
      <c r="R282" s="57">
        <f t="shared" si="67"/>
        <v>0</v>
      </c>
      <c r="S282" s="57">
        <f t="shared" si="67"/>
        <v>0</v>
      </c>
      <c r="T282" s="57">
        <f t="shared" si="67"/>
        <v>0</v>
      </c>
      <c r="U282" s="57">
        <f t="shared" si="67"/>
        <v>0</v>
      </c>
      <c r="V282" s="62">
        <f t="shared" si="67"/>
        <v>0</v>
      </c>
      <c r="X282" s="75"/>
    </row>
    <row r="283" spans="6:24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/>
      <c r="Q283" s="57">
        <f t="shared" ref="Q283:V283" si="68">IFERROR(SUMPRODUCT($AG$73:$AG$87,Q$73:Q$87)/SUM(Q$73:Q$87)*Q$89,0)</f>
        <v>0</v>
      </c>
      <c r="R283" s="57">
        <f t="shared" si="68"/>
        <v>0</v>
      </c>
      <c r="S283" s="57">
        <f t="shared" si="68"/>
        <v>0</v>
      </c>
      <c r="T283" s="57">
        <f t="shared" si="68"/>
        <v>0</v>
      </c>
      <c r="U283" s="57">
        <f t="shared" si="68"/>
        <v>0</v>
      </c>
      <c r="V283" s="62">
        <f t="shared" si="68"/>
        <v>0</v>
      </c>
      <c r="X283" s="75"/>
    </row>
    <row r="284" spans="6:24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/>
      <c r="Q284" s="57">
        <f t="shared" ref="Q284:V284" si="69">IFERROR(SUMPRODUCT($AH$73:$AH$87,Q$73:Q$87)/SUM(Q$73:Q$87)*Q$89,0)</f>
        <v>0</v>
      </c>
      <c r="R284" s="57">
        <f t="shared" si="69"/>
        <v>0</v>
      </c>
      <c r="S284" s="57">
        <f t="shared" si="69"/>
        <v>0</v>
      </c>
      <c r="T284" s="57">
        <f t="shared" si="69"/>
        <v>0</v>
      </c>
      <c r="U284" s="57">
        <f t="shared" si="69"/>
        <v>0</v>
      </c>
      <c r="V284" s="62">
        <f t="shared" si="69"/>
        <v>0</v>
      </c>
      <c r="X284" s="75"/>
    </row>
    <row r="285" spans="6:24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/>
      <c r="Q285" s="57">
        <f t="shared" ref="Q285:V285" si="70">IFERROR(SUMPRODUCT($AI$73:$AI$87,Q$73:Q$87)/SUM(Q$73:Q$87)*Q$89,0)</f>
        <v>0</v>
      </c>
      <c r="R285" s="57">
        <f t="shared" si="70"/>
        <v>0</v>
      </c>
      <c r="S285" s="57">
        <f t="shared" si="70"/>
        <v>0</v>
      </c>
      <c r="T285" s="57">
        <f t="shared" si="70"/>
        <v>0</v>
      </c>
      <c r="U285" s="57">
        <f t="shared" si="70"/>
        <v>0</v>
      </c>
      <c r="V285" s="62">
        <f t="shared" si="70"/>
        <v>0</v>
      </c>
      <c r="X285" s="75"/>
    </row>
    <row r="286" spans="6:24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/>
      <c r="Q286" s="57">
        <f t="shared" ref="Q286:V286" si="71">IFERROR(SUMPRODUCT($AJ$73:$AJ$87,Q$73:Q$87)/SUM(Q$73:Q$87)*Q$89,0)</f>
        <v>0</v>
      </c>
      <c r="R286" s="57">
        <f t="shared" si="71"/>
        <v>0</v>
      </c>
      <c r="S286" s="57">
        <f t="shared" si="71"/>
        <v>0</v>
      </c>
      <c r="T286" s="57">
        <f t="shared" si="71"/>
        <v>0</v>
      </c>
      <c r="U286" s="57">
        <f t="shared" si="71"/>
        <v>0</v>
      </c>
      <c r="V286" s="62">
        <f t="shared" si="71"/>
        <v>0</v>
      </c>
      <c r="X286" s="75"/>
    </row>
    <row r="287" spans="6:24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  <c r="X287" s="75"/>
    </row>
    <row r="288" spans="6:24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7">
        <f t="shared" ref="Q288:V288" si="72">SUM(Q276:Q286)</f>
        <v>3716964.523</v>
      </c>
      <c r="R288" s="37">
        <f t="shared" si="72"/>
        <v>4923250.8144867392</v>
      </c>
      <c r="S288" s="37">
        <f t="shared" si="72"/>
        <v>5049196.2949967319</v>
      </c>
      <c r="T288" s="37">
        <f t="shared" si="72"/>
        <v>5181335.7396465158</v>
      </c>
      <c r="U288" s="37">
        <f t="shared" si="72"/>
        <v>5341234.336794626</v>
      </c>
      <c r="V288" s="64">
        <f t="shared" si="72"/>
        <v>5222513.5594408037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291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/>
      <c r="Q297" s="57">
        <f t="shared" ref="Q297:V307" si="73">Q276*(1+Q$208)</f>
        <v>0</v>
      </c>
      <c r="R297" s="57">
        <f t="shared" si="73"/>
        <v>0</v>
      </c>
      <c r="S297" s="57">
        <f t="shared" si="73"/>
        <v>0</v>
      </c>
      <c r="T297" s="57">
        <f t="shared" si="73"/>
        <v>0</v>
      </c>
      <c r="U297" s="57">
        <f t="shared" si="73"/>
        <v>0</v>
      </c>
      <c r="V297" s="62">
        <f t="shared" si="73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/>
      <c r="Q298" s="57">
        <f t="shared" si="73"/>
        <v>1198544.536763716</v>
      </c>
      <c r="R298" s="57">
        <f t="shared" si="73"/>
        <v>1583569.7429683795</v>
      </c>
      <c r="S298" s="57">
        <f t="shared" si="73"/>
        <v>1630279.0913799398</v>
      </c>
      <c r="T298" s="57">
        <f t="shared" si="73"/>
        <v>1674752.7760960518</v>
      </c>
      <c r="U298" s="57">
        <f t="shared" si="73"/>
        <v>1733309.084085146</v>
      </c>
      <c r="V298" s="62">
        <f t="shared" si="73"/>
        <v>1698976.5076934565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/>
      <c r="Q299" s="57">
        <f t="shared" si="73"/>
        <v>1797816.8051455738</v>
      </c>
      <c r="R299" s="57">
        <f t="shared" si="73"/>
        <v>2375354.6144525693</v>
      </c>
      <c r="S299" s="57">
        <f t="shared" si="73"/>
        <v>2445418.6370699098</v>
      </c>
      <c r="T299" s="57">
        <f t="shared" si="73"/>
        <v>2512129.1641440773</v>
      </c>
      <c r="U299" s="57">
        <f t="shared" si="73"/>
        <v>2599963.6261277189</v>
      </c>
      <c r="V299" s="62">
        <f t="shared" si="73"/>
        <v>2548464.7615401847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/>
      <c r="Q300" s="57">
        <f t="shared" si="73"/>
        <v>0</v>
      </c>
      <c r="R300" s="57">
        <f t="shared" si="73"/>
        <v>0</v>
      </c>
      <c r="S300" s="57">
        <f t="shared" si="73"/>
        <v>0</v>
      </c>
      <c r="T300" s="57">
        <f t="shared" si="73"/>
        <v>0</v>
      </c>
      <c r="U300" s="57">
        <f t="shared" si="73"/>
        <v>0</v>
      </c>
      <c r="V300" s="62">
        <f t="shared" si="73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/>
      <c r="Q301" s="57">
        <f t="shared" si="73"/>
        <v>0</v>
      </c>
      <c r="R301" s="57">
        <f t="shared" si="73"/>
        <v>0</v>
      </c>
      <c r="S301" s="57">
        <f t="shared" si="73"/>
        <v>0</v>
      </c>
      <c r="T301" s="57">
        <f t="shared" si="73"/>
        <v>0</v>
      </c>
      <c r="U301" s="57">
        <f t="shared" si="73"/>
        <v>0</v>
      </c>
      <c r="V301" s="62">
        <f t="shared" si="73"/>
        <v>0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/>
      <c r="Q302" s="57">
        <f t="shared" si="73"/>
        <v>998787.11396976328</v>
      </c>
      <c r="R302" s="57">
        <f t="shared" si="73"/>
        <v>1319641.4524736498</v>
      </c>
      <c r="S302" s="57">
        <f t="shared" si="73"/>
        <v>1358565.9094832833</v>
      </c>
      <c r="T302" s="57">
        <f t="shared" si="73"/>
        <v>1395627.3134133765</v>
      </c>
      <c r="U302" s="57">
        <f t="shared" si="73"/>
        <v>1444424.2367376217</v>
      </c>
      <c r="V302" s="62">
        <f t="shared" si="73"/>
        <v>1415813.7564112139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/>
      <c r="Q303" s="57">
        <f t="shared" si="73"/>
        <v>0</v>
      </c>
      <c r="R303" s="57">
        <f t="shared" si="73"/>
        <v>0</v>
      </c>
      <c r="S303" s="57">
        <f t="shared" si="73"/>
        <v>0</v>
      </c>
      <c r="T303" s="57">
        <f t="shared" si="73"/>
        <v>0</v>
      </c>
      <c r="U303" s="57">
        <f t="shared" si="73"/>
        <v>0</v>
      </c>
      <c r="V303" s="62">
        <f t="shared" si="73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/>
      <c r="Q304" s="57">
        <f t="shared" si="73"/>
        <v>0</v>
      </c>
      <c r="R304" s="57">
        <f t="shared" si="73"/>
        <v>0</v>
      </c>
      <c r="S304" s="57">
        <f t="shared" si="73"/>
        <v>0</v>
      </c>
      <c r="T304" s="57">
        <f t="shared" si="73"/>
        <v>0</v>
      </c>
      <c r="U304" s="57">
        <f t="shared" si="73"/>
        <v>0</v>
      </c>
      <c r="V304" s="62">
        <f t="shared" si="73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/>
      <c r="Q305" s="57">
        <f t="shared" si="73"/>
        <v>0</v>
      </c>
      <c r="R305" s="57">
        <f t="shared" si="73"/>
        <v>0</v>
      </c>
      <c r="S305" s="57">
        <f t="shared" si="73"/>
        <v>0</v>
      </c>
      <c r="T305" s="57">
        <f t="shared" si="73"/>
        <v>0</v>
      </c>
      <c r="U305" s="57">
        <f t="shared" si="73"/>
        <v>0</v>
      </c>
      <c r="V305" s="62">
        <f t="shared" si="73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/>
      <c r="Q306" s="57">
        <f t="shared" si="73"/>
        <v>0</v>
      </c>
      <c r="R306" s="57">
        <f t="shared" si="73"/>
        <v>0</v>
      </c>
      <c r="S306" s="57">
        <f t="shared" si="73"/>
        <v>0</v>
      </c>
      <c r="T306" s="57">
        <f t="shared" si="73"/>
        <v>0</v>
      </c>
      <c r="U306" s="57">
        <f t="shared" si="73"/>
        <v>0</v>
      </c>
      <c r="V306" s="62">
        <f t="shared" si="73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/>
      <c r="Q307" s="57">
        <f t="shared" si="73"/>
        <v>0</v>
      </c>
      <c r="R307" s="57">
        <f t="shared" si="73"/>
        <v>0</v>
      </c>
      <c r="S307" s="57">
        <f t="shared" si="73"/>
        <v>0</v>
      </c>
      <c r="T307" s="57">
        <f t="shared" si="73"/>
        <v>0</v>
      </c>
      <c r="U307" s="57">
        <f t="shared" si="73"/>
        <v>0</v>
      </c>
      <c r="V307" s="62">
        <f t="shared" si="73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7">
        <f t="shared" ref="Q309:V309" si="74">SUM(Q297:Q307)</f>
        <v>3995148.4558790531</v>
      </c>
      <c r="R309" s="37">
        <f t="shared" si="74"/>
        <v>5278565.809894599</v>
      </c>
      <c r="S309" s="37">
        <f t="shared" si="74"/>
        <v>5434263.6379331332</v>
      </c>
      <c r="T309" s="37">
        <f t="shared" si="74"/>
        <v>5582509.2536535058</v>
      </c>
      <c r="U309" s="37">
        <f t="shared" si="74"/>
        <v>5777696.9469504869</v>
      </c>
      <c r="V309" s="64">
        <f t="shared" si="74"/>
        <v>5663255.0256448556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292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/>
      <c r="Q318" s="57">
        <f t="shared" ref="Q318:V328" si="75">Q297*(1-Q$219)</f>
        <v>0</v>
      </c>
      <c r="R318" s="57">
        <f t="shared" si="75"/>
        <v>0</v>
      </c>
      <c r="S318" s="57">
        <f t="shared" si="75"/>
        <v>0</v>
      </c>
      <c r="T318" s="57">
        <f t="shared" si="75"/>
        <v>0</v>
      </c>
      <c r="U318" s="57">
        <f t="shared" si="75"/>
        <v>0</v>
      </c>
      <c r="V318" s="62">
        <f t="shared" si="75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/>
      <c r="Q319" s="57">
        <f t="shared" si="75"/>
        <v>898908.40257278702</v>
      </c>
      <c r="R319" s="57">
        <f t="shared" si="75"/>
        <v>1187677.3072262846</v>
      </c>
      <c r="S319" s="57">
        <f t="shared" si="75"/>
        <v>1222709.3185349549</v>
      </c>
      <c r="T319" s="57">
        <f t="shared" si="75"/>
        <v>1256064.5820720389</v>
      </c>
      <c r="U319" s="57">
        <f t="shared" si="75"/>
        <v>1299981.8130638595</v>
      </c>
      <c r="V319" s="62">
        <f t="shared" si="75"/>
        <v>1274232.3807700924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/>
      <c r="Q320" s="57">
        <f t="shared" si="75"/>
        <v>1348362.6038591804</v>
      </c>
      <c r="R320" s="57">
        <f t="shared" si="75"/>
        <v>1781515.9608394271</v>
      </c>
      <c r="S320" s="57">
        <f t="shared" si="75"/>
        <v>1834063.9778024324</v>
      </c>
      <c r="T320" s="57">
        <f t="shared" si="75"/>
        <v>1884096.873108058</v>
      </c>
      <c r="U320" s="57">
        <f t="shared" si="75"/>
        <v>1949972.7195957892</v>
      </c>
      <c r="V320" s="62">
        <f t="shared" si="75"/>
        <v>1911348.5711551385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/>
      <c r="Q321" s="57">
        <f t="shared" si="75"/>
        <v>0</v>
      </c>
      <c r="R321" s="57">
        <f t="shared" si="75"/>
        <v>0</v>
      </c>
      <c r="S321" s="57">
        <f t="shared" si="75"/>
        <v>0</v>
      </c>
      <c r="T321" s="57">
        <f t="shared" si="75"/>
        <v>0</v>
      </c>
      <c r="U321" s="57">
        <f t="shared" si="75"/>
        <v>0</v>
      </c>
      <c r="V321" s="62">
        <f t="shared" si="75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/>
      <c r="Q322" s="57">
        <f t="shared" si="75"/>
        <v>0</v>
      </c>
      <c r="R322" s="57">
        <f t="shared" si="75"/>
        <v>0</v>
      </c>
      <c r="S322" s="57">
        <f t="shared" si="75"/>
        <v>0</v>
      </c>
      <c r="T322" s="57">
        <f t="shared" si="75"/>
        <v>0</v>
      </c>
      <c r="U322" s="57">
        <f t="shared" si="75"/>
        <v>0</v>
      </c>
      <c r="V322" s="62">
        <f t="shared" si="75"/>
        <v>0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/>
      <c r="Q323" s="57">
        <f t="shared" si="75"/>
        <v>749090.33547732246</v>
      </c>
      <c r="R323" s="57">
        <f t="shared" si="75"/>
        <v>989731.08935523732</v>
      </c>
      <c r="S323" s="57">
        <f t="shared" si="75"/>
        <v>1018924.4321124625</v>
      </c>
      <c r="T323" s="57">
        <f t="shared" si="75"/>
        <v>1046720.4850600323</v>
      </c>
      <c r="U323" s="57">
        <f t="shared" si="75"/>
        <v>1083318.1775532162</v>
      </c>
      <c r="V323" s="62">
        <f t="shared" si="75"/>
        <v>1061860.3173084105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/>
      <c r="Q324" s="57">
        <f t="shared" si="75"/>
        <v>0</v>
      </c>
      <c r="R324" s="57">
        <f t="shared" si="75"/>
        <v>0</v>
      </c>
      <c r="S324" s="57">
        <f t="shared" si="75"/>
        <v>0</v>
      </c>
      <c r="T324" s="57">
        <f t="shared" si="75"/>
        <v>0</v>
      </c>
      <c r="U324" s="57">
        <f t="shared" si="75"/>
        <v>0</v>
      </c>
      <c r="V324" s="62">
        <f t="shared" si="75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/>
      <c r="Q325" s="57">
        <f t="shared" si="75"/>
        <v>0</v>
      </c>
      <c r="R325" s="57">
        <f t="shared" si="75"/>
        <v>0</v>
      </c>
      <c r="S325" s="57">
        <f t="shared" si="75"/>
        <v>0</v>
      </c>
      <c r="T325" s="57">
        <f t="shared" si="75"/>
        <v>0</v>
      </c>
      <c r="U325" s="57">
        <f t="shared" si="75"/>
        <v>0</v>
      </c>
      <c r="V325" s="62">
        <f t="shared" si="75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/>
      <c r="Q326" s="57">
        <f t="shared" si="75"/>
        <v>0</v>
      </c>
      <c r="R326" s="57">
        <f t="shared" si="75"/>
        <v>0</v>
      </c>
      <c r="S326" s="57">
        <f t="shared" si="75"/>
        <v>0</v>
      </c>
      <c r="T326" s="57">
        <f t="shared" si="75"/>
        <v>0</v>
      </c>
      <c r="U326" s="57">
        <f t="shared" si="75"/>
        <v>0</v>
      </c>
      <c r="V326" s="62">
        <f t="shared" si="75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/>
      <c r="Q327" s="57">
        <f t="shared" si="75"/>
        <v>0</v>
      </c>
      <c r="R327" s="57">
        <f t="shared" si="75"/>
        <v>0</v>
      </c>
      <c r="S327" s="57">
        <f t="shared" si="75"/>
        <v>0</v>
      </c>
      <c r="T327" s="57">
        <f t="shared" si="75"/>
        <v>0</v>
      </c>
      <c r="U327" s="57">
        <f t="shared" si="75"/>
        <v>0</v>
      </c>
      <c r="V327" s="62">
        <f t="shared" si="75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/>
      <c r="Q328" s="57">
        <f t="shared" si="75"/>
        <v>0</v>
      </c>
      <c r="R328" s="57">
        <f t="shared" si="75"/>
        <v>0</v>
      </c>
      <c r="S328" s="57">
        <f t="shared" si="75"/>
        <v>0</v>
      </c>
      <c r="T328" s="57">
        <f t="shared" si="75"/>
        <v>0</v>
      </c>
      <c r="U328" s="57">
        <f t="shared" si="75"/>
        <v>0</v>
      </c>
      <c r="V328" s="62">
        <f t="shared" si="75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7">
        <f t="shared" ref="Q330:V330" si="76">SUM(Q318:Q328)</f>
        <v>2996361.3419092898</v>
      </c>
      <c r="R330" s="37">
        <f t="shared" si="76"/>
        <v>3958924.3574209488</v>
      </c>
      <c r="S330" s="37">
        <f t="shared" si="76"/>
        <v>4075697.7284498499</v>
      </c>
      <c r="T330" s="37">
        <f t="shared" si="76"/>
        <v>4186881.9402401294</v>
      </c>
      <c r="U330" s="37">
        <f t="shared" si="76"/>
        <v>4333272.7102128649</v>
      </c>
      <c r="V330" s="64">
        <f t="shared" si="76"/>
        <v>4247441.2692336421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293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/>
      <c r="Q339" s="57">
        <f t="shared" ref="Q339:V349" si="77">Q297*Q$219</f>
        <v>0</v>
      </c>
      <c r="R339" s="57">
        <f t="shared" si="77"/>
        <v>0</v>
      </c>
      <c r="S339" s="57">
        <f t="shared" si="77"/>
        <v>0</v>
      </c>
      <c r="T339" s="57">
        <f t="shared" si="77"/>
        <v>0</v>
      </c>
      <c r="U339" s="57">
        <f t="shared" si="77"/>
        <v>0</v>
      </c>
      <c r="V339" s="62">
        <f t="shared" si="77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/>
      <c r="Q340" s="57">
        <f t="shared" si="77"/>
        <v>299636.13419092901</v>
      </c>
      <c r="R340" s="57">
        <f t="shared" si="77"/>
        <v>395892.43574209488</v>
      </c>
      <c r="S340" s="57">
        <f t="shared" si="77"/>
        <v>407569.77284498495</v>
      </c>
      <c r="T340" s="57">
        <f t="shared" si="77"/>
        <v>418688.19402401295</v>
      </c>
      <c r="U340" s="57">
        <f t="shared" si="77"/>
        <v>433327.27102128649</v>
      </c>
      <c r="V340" s="62">
        <f t="shared" si="77"/>
        <v>424744.12692336412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/>
      <c r="Q341" s="57">
        <f t="shared" si="77"/>
        <v>449454.20128639345</v>
      </c>
      <c r="R341" s="57">
        <f t="shared" si="77"/>
        <v>593838.65361314232</v>
      </c>
      <c r="S341" s="57">
        <f t="shared" si="77"/>
        <v>611354.65926747746</v>
      </c>
      <c r="T341" s="57">
        <f t="shared" si="77"/>
        <v>628032.29103601933</v>
      </c>
      <c r="U341" s="57">
        <f t="shared" si="77"/>
        <v>649990.90653192974</v>
      </c>
      <c r="V341" s="62">
        <f t="shared" si="77"/>
        <v>637116.19038504618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/>
      <c r="Q342" s="57">
        <f t="shared" si="77"/>
        <v>0</v>
      </c>
      <c r="R342" s="57">
        <f t="shared" si="77"/>
        <v>0</v>
      </c>
      <c r="S342" s="57">
        <f t="shared" si="77"/>
        <v>0</v>
      </c>
      <c r="T342" s="57">
        <f t="shared" si="77"/>
        <v>0</v>
      </c>
      <c r="U342" s="57">
        <f t="shared" si="77"/>
        <v>0</v>
      </c>
      <c r="V342" s="62">
        <f t="shared" si="77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/>
      <c r="Q343" s="57">
        <f t="shared" si="77"/>
        <v>0</v>
      </c>
      <c r="R343" s="57">
        <f t="shared" si="77"/>
        <v>0</v>
      </c>
      <c r="S343" s="57">
        <f t="shared" si="77"/>
        <v>0</v>
      </c>
      <c r="T343" s="57">
        <f t="shared" si="77"/>
        <v>0</v>
      </c>
      <c r="U343" s="57">
        <f t="shared" si="77"/>
        <v>0</v>
      </c>
      <c r="V343" s="62">
        <f t="shared" si="77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/>
      <c r="Q344" s="57">
        <f t="shared" si="77"/>
        <v>249696.77849244082</v>
      </c>
      <c r="R344" s="57">
        <f t="shared" si="77"/>
        <v>329910.36311841244</v>
      </c>
      <c r="S344" s="57">
        <f t="shared" si="77"/>
        <v>339641.47737082082</v>
      </c>
      <c r="T344" s="57">
        <f t="shared" si="77"/>
        <v>348906.82835334411</v>
      </c>
      <c r="U344" s="57">
        <f t="shared" si="77"/>
        <v>361106.05918440543</v>
      </c>
      <c r="V344" s="62">
        <f t="shared" si="77"/>
        <v>353953.43910280347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/>
      <c r="Q345" s="57">
        <f t="shared" si="77"/>
        <v>0</v>
      </c>
      <c r="R345" s="57">
        <f t="shared" si="77"/>
        <v>0</v>
      </c>
      <c r="S345" s="57">
        <f t="shared" si="77"/>
        <v>0</v>
      </c>
      <c r="T345" s="57">
        <f t="shared" si="77"/>
        <v>0</v>
      </c>
      <c r="U345" s="57">
        <f t="shared" si="77"/>
        <v>0</v>
      </c>
      <c r="V345" s="62">
        <f t="shared" si="77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/>
      <c r="Q346" s="57">
        <f t="shared" si="77"/>
        <v>0</v>
      </c>
      <c r="R346" s="57">
        <f t="shared" si="77"/>
        <v>0</v>
      </c>
      <c r="S346" s="57">
        <f t="shared" si="77"/>
        <v>0</v>
      </c>
      <c r="T346" s="57">
        <f t="shared" si="77"/>
        <v>0</v>
      </c>
      <c r="U346" s="57">
        <f t="shared" si="77"/>
        <v>0</v>
      </c>
      <c r="V346" s="62">
        <f t="shared" si="77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/>
      <c r="Q347" s="57">
        <f t="shared" si="77"/>
        <v>0</v>
      </c>
      <c r="R347" s="57">
        <f t="shared" si="77"/>
        <v>0</v>
      </c>
      <c r="S347" s="57">
        <f t="shared" si="77"/>
        <v>0</v>
      </c>
      <c r="T347" s="57">
        <f t="shared" si="77"/>
        <v>0</v>
      </c>
      <c r="U347" s="57">
        <f t="shared" si="77"/>
        <v>0</v>
      </c>
      <c r="V347" s="62">
        <f t="shared" si="77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/>
      <c r="Q348" s="57">
        <f t="shared" si="77"/>
        <v>0</v>
      </c>
      <c r="R348" s="57">
        <f t="shared" si="77"/>
        <v>0</v>
      </c>
      <c r="S348" s="57">
        <f t="shared" si="77"/>
        <v>0</v>
      </c>
      <c r="T348" s="57">
        <f t="shared" si="77"/>
        <v>0</v>
      </c>
      <c r="U348" s="57">
        <f t="shared" si="77"/>
        <v>0</v>
      </c>
      <c r="V348" s="62">
        <f t="shared" si="77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/>
      <c r="Q349" s="57">
        <f t="shared" si="77"/>
        <v>0</v>
      </c>
      <c r="R349" s="57">
        <f t="shared" si="77"/>
        <v>0</v>
      </c>
      <c r="S349" s="57">
        <f t="shared" si="77"/>
        <v>0</v>
      </c>
      <c r="T349" s="57">
        <f t="shared" si="77"/>
        <v>0</v>
      </c>
      <c r="U349" s="57">
        <f t="shared" si="77"/>
        <v>0</v>
      </c>
      <c r="V349" s="62">
        <f t="shared" si="77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57"/>
      <c r="Q351" s="37">
        <f t="shared" ref="Q351:V351" si="78">SUM(Q339:Q349)</f>
        <v>998787.11396976328</v>
      </c>
      <c r="R351" s="37">
        <f t="shared" si="78"/>
        <v>1319641.4524736498</v>
      </c>
      <c r="S351" s="37">
        <f t="shared" si="78"/>
        <v>1358565.9094832833</v>
      </c>
      <c r="T351" s="37">
        <f t="shared" si="78"/>
        <v>1395627.3134133765</v>
      </c>
      <c r="U351" s="37">
        <f t="shared" si="78"/>
        <v>1444424.2367376217</v>
      </c>
      <c r="V351" s="64">
        <f t="shared" si="78"/>
        <v>1415813.7564112139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291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/>
      <c r="Q362" s="57">
        <f t="shared" ref="Q362:V362" si="79">IFERROR(SUMPRODUCT($AM$73:$AM$87,Q$73:Q$87)/SUM(Q$73:Q$87)*Q$89,0)</f>
        <v>0</v>
      </c>
      <c r="R362" s="57">
        <f t="shared" si="79"/>
        <v>0</v>
      </c>
      <c r="S362" s="57">
        <f t="shared" si="79"/>
        <v>0</v>
      </c>
      <c r="T362" s="57">
        <f t="shared" si="79"/>
        <v>0</v>
      </c>
      <c r="U362" s="57">
        <f t="shared" si="79"/>
        <v>0</v>
      </c>
      <c r="V362" s="62">
        <f t="shared" si="79"/>
        <v>0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/>
      <c r="Q363" s="57">
        <f t="shared" ref="Q363:V363" si="80">IFERROR(SUMPRODUCT($AN$73:$AN$87,Q$73:Q$87)/SUM(Q$73:Q$87)*Q$89,0)</f>
        <v>0</v>
      </c>
      <c r="R363" s="57">
        <f t="shared" si="80"/>
        <v>0</v>
      </c>
      <c r="S363" s="57">
        <f t="shared" si="80"/>
        <v>0</v>
      </c>
      <c r="T363" s="57">
        <f t="shared" si="80"/>
        <v>0</v>
      </c>
      <c r="U363" s="57">
        <f t="shared" si="80"/>
        <v>0</v>
      </c>
      <c r="V363" s="62">
        <f t="shared" si="80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/>
      <c r="Q364" s="57">
        <f t="shared" ref="Q364:V364" si="81">IFERROR(SUMPRODUCT($AO$73:$AO$87,Q$73:Q$87)/SUM(Q$73:Q$87)*Q$89,0)</f>
        <v>3716964.523</v>
      </c>
      <c r="R364" s="57">
        <f t="shared" si="81"/>
        <v>4923250.8144867392</v>
      </c>
      <c r="S364" s="57">
        <f t="shared" si="81"/>
        <v>5049196.2949967319</v>
      </c>
      <c r="T364" s="57">
        <f t="shared" si="81"/>
        <v>5181335.7396465158</v>
      </c>
      <c r="U364" s="57">
        <f t="shared" si="81"/>
        <v>5341234.336794626</v>
      </c>
      <c r="V364" s="62">
        <f t="shared" si="81"/>
        <v>5222513.5594408037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/>
      <c r="Q365" s="57">
        <f t="shared" ref="Q365:V365" si="82">IFERROR(SUMPRODUCT($AP$73:$AP$87,Q$73:Q$87)/SUM(Q$73:Q$87)*Q$89,0)</f>
        <v>0</v>
      </c>
      <c r="R365" s="57">
        <f t="shared" si="82"/>
        <v>0</v>
      </c>
      <c r="S365" s="57">
        <f t="shared" si="82"/>
        <v>0</v>
      </c>
      <c r="T365" s="57">
        <f t="shared" si="82"/>
        <v>0</v>
      </c>
      <c r="U365" s="57">
        <f t="shared" si="82"/>
        <v>0</v>
      </c>
      <c r="V365" s="62">
        <f t="shared" si="82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/>
      <c r="Q366" s="57">
        <f t="shared" ref="Q366:V366" si="83">IFERROR(SUMPRODUCT($AQ$73:$AQ$87,Q$73:Q$87)/SUM(Q$73:Q$87)*Q$89,0)</f>
        <v>0</v>
      </c>
      <c r="R366" s="57">
        <f t="shared" si="83"/>
        <v>0</v>
      </c>
      <c r="S366" s="57">
        <f t="shared" si="83"/>
        <v>0</v>
      </c>
      <c r="T366" s="57">
        <f t="shared" si="83"/>
        <v>0</v>
      </c>
      <c r="U366" s="57">
        <f t="shared" si="83"/>
        <v>0</v>
      </c>
      <c r="V366" s="62">
        <f t="shared" si="83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/>
      <c r="Q367" s="57">
        <f t="shared" ref="Q367:V367" si="84">IFERROR(SUMPRODUCT($AR$73:$AR$87,Q$73:Q$87)/SUM(Q$73:Q$87)*Q$89,0)</f>
        <v>0</v>
      </c>
      <c r="R367" s="57">
        <f t="shared" si="84"/>
        <v>0</v>
      </c>
      <c r="S367" s="57">
        <f t="shared" si="84"/>
        <v>0</v>
      </c>
      <c r="T367" s="57">
        <f t="shared" si="84"/>
        <v>0</v>
      </c>
      <c r="U367" s="57">
        <f t="shared" si="84"/>
        <v>0</v>
      </c>
      <c r="V367" s="62">
        <f t="shared" si="84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/>
      <c r="Q368" s="57">
        <f t="shared" ref="Q368:V368" si="85">IFERROR(SUMPRODUCT($AS$73:$AS$87,Q$73:Q$87)/SUM(Q$73:Q$87)*Q$89,0)</f>
        <v>0</v>
      </c>
      <c r="R368" s="57">
        <f t="shared" si="85"/>
        <v>0</v>
      </c>
      <c r="S368" s="57">
        <f t="shared" si="85"/>
        <v>0</v>
      </c>
      <c r="T368" s="57">
        <f t="shared" si="85"/>
        <v>0</v>
      </c>
      <c r="U368" s="57">
        <f t="shared" si="85"/>
        <v>0</v>
      </c>
      <c r="V368" s="62">
        <f t="shared" si="85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/>
      <c r="Q369" s="57">
        <f t="shared" ref="Q369:V369" si="86">IFERROR(SUMPRODUCT($AT$73:$AT$87,Q$73:Q$87)/SUM(Q$73:Q$87)*Q$89,0)</f>
        <v>0</v>
      </c>
      <c r="R369" s="57">
        <f t="shared" si="86"/>
        <v>0</v>
      </c>
      <c r="S369" s="57">
        <f t="shared" si="86"/>
        <v>0</v>
      </c>
      <c r="T369" s="57">
        <f t="shared" si="86"/>
        <v>0</v>
      </c>
      <c r="U369" s="57">
        <f t="shared" si="86"/>
        <v>0</v>
      </c>
      <c r="V369" s="62">
        <f t="shared" si="86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/>
      <c r="Q370" s="57">
        <f t="shared" ref="Q370:V370" si="87">IFERROR(SUMPRODUCT($AU$73:$AU$87,Q$73:Q$87)/SUM(Q$73:Q$87)*Q$89,0)</f>
        <v>0</v>
      </c>
      <c r="R370" s="57">
        <f t="shared" si="87"/>
        <v>0</v>
      </c>
      <c r="S370" s="57">
        <f t="shared" si="87"/>
        <v>0</v>
      </c>
      <c r="T370" s="57">
        <f t="shared" si="87"/>
        <v>0</v>
      </c>
      <c r="U370" s="57">
        <f t="shared" si="87"/>
        <v>0</v>
      </c>
      <c r="V370" s="62">
        <f t="shared" si="87"/>
        <v>0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/>
      <c r="Q371" s="57">
        <f t="shared" ref="Q371:V371" si="88">IFERROR(SUMPRODUCT($AV$73:$AV$87,Q$73:Q$87)/SUM(Q$73:Q$87)*Q$89,0)</f>
        <v>0</v>
      </c>
      <c r="R371" s="57">
        <f t="shared" si="88"/>
        <v>0</v>
      </c>
      <c r="S371" s="57">
        <f t="shared" si="88"/>
        <v>0</v>
      </c>
      <c r="T371" s="57">
        <f t="shared" si="88"/>
        <v>0</v>
      </c>
      <c r="U371" s="57">
        <f t="shared" si="88"/>
        <v>0</v>
      </c>
      <c r="V371" s="62">
        <f t="shared" si="88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/>
      <c r="Q372" s="57">
        <f t="shared" ref="Q372:V372" si="89">IFERROR(SUMPRODUCT($AW$73:$AW$87,Q$73:Q$87)/SUM(Q$73:Q$87)*Q$89,0)</f>
        <v>0</v>
      </c>
      <c r="R372" s="57">
        <f t="shared" si="89"/>
        <v>0</v>
      </c>
      <c r="S372" s="57">
        <f t="shared" si="89"/>
        <v>0</v>
      </c>
      <c r="T372" s="57">
        <f t="shared" si="89"/>
        <v>0</v>
      </c>
      <c r="U372" s="57">
        <f t="shared" si="89"/>
        <v>0</v>
      </c>
      <c r="V372" s="62">
        <f t="shared" si="89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/>
      <c r="Q373" s="57">
        <f t="shared" ref="Q373:V373" si="90">Q238</f>
        <v>-998787.11396976328</v>
      </c>
      <c r="R373" s="57">
        <f t="shared" si="90"/>
        <v>-1319641.4524736498</v>
      </c>
      <c r="S373" s="57">
        <f t="shared" si="90"/>
        <v>-1358565.9094832833</v>
      </c>
      <c r="T373" s="57">
        <f t="shared" si="90"/>
        <v>-1395627.3134133765</v>
      </c>
      <c r="U373" s="57">
        <f t="shared" si="90"/>
        <v>-1444424.2367376217</v>
      </c>
      <c r="V373" s="62">
        <f t="shared" si="90"/>
        <v>-1415813.7564112139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/>
      <c r="Q374" s="57">
        <f t="shared" ref="Q374:V374" si="91">Q252</f>
        <v>0</v>
      </c>
      <c r="R374" s="57">
        <f t="shared" si="91"/>
        <v>0</v>
      </c>
      <c r="S374" s="57">
        <f t="shared" si="91"/>
        <v>0</v>
      </c>
      <c r="T374" s="57">
        <f t="shared" si="91"/>
        <v>0</v>
      </c>
      <c r="U374" s="57">
        <f t="shared" si="91"/>
        <v>0</v>
      </c>
      <c r="V374" s="62">
        <f t="shared" si="91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/>
      <c r="Q375" s="57">
        <f>SUM(Q362:Q372)*'General assumptions'!T47</f>
        <v>278183.93287905265</v>
      </c>
      <c r="R375" s="57">
        <f>SUM(R362:R372)*'General assumptions'!U47</f>
        <v>355314.99540785991</v>
      </c>
      <c r="S375" s="57">
        <f>SUM(S362:S372)*'General assumptions'!V47</f>
        <v>385067.34293640149</v>
      </c>
      <c r="T375" s="57">
        <f>SUM(T362:T372)*'General assumptions'!W47</f>
        <v>401173.51400699001</v>
      </c>
      <c r="U375" s="57">
        <f>SUM(U362:U372)*'General assumptions'!X47</f>
        <v>436462.61015586054</v>
      </c>
      <c r="V375" s="62">
        <f>SUM(V362:V372)*'General assumptions'!Y47</f>
        <v>440741.46620405169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7">
        <f t="shared" ref="Q377:V377" si="92">SUM(Q362:Q375)</f>
        <v>2996361.3419092894</v>
      </c>
      <c r="R377" s="37">
        <f t="shared" si="92"/>
        <v>3958924.3574209493</v>
      </c>
      <c r="S377" s="37">
        <f t="shared" si="92"/>
        <v>4075697.7284498503</v>
      </c>
      <c r="T377" s="37">
        <f t="shared" si="92"/>
        <v>4186881.9402401294</v>
      </c>
      <c r="U377" s="37">
        <f t="shared" si="92"/>
        <v>4333272.7102128649</v>
      </c>
      <c r="V377" s="64">
        <f t="shared" si="92"/>
        <v>4247441.2692336412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291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/>
      <c r="Q388" s="57">
        <f t="shared" ref="Q388:V388" si="93">IFERROR(SUMPRODUCT($BB$73:$BB$87,Q$73:Q$87)/SUM(Q$73:Q$87)*Q$89*(1+Q$208),0)</f>
        <v>2996361.3419092898</v>
      </c>
      <c r="R388" s="57">
        <f t="shared" si="93"/>
        <v>3958924.3574209493</v>
      </c>
      <c r="S388" s="57">
        <f t="shared" si="93"/>
        <v>4075697.7284498499</v>
      </c>
      <c r="T388" s="57">
        <f t="shared" si="93"/>
        <v>4186881.9402401289</v>
      </c>
      <c r="U388" s="57">
        <f t="shared" si="93"/>
        <v>4333272.7102128649</v>
      </c>
      <c r="V388" s="62">
        <f t="shared" si="93"/>
        <v>4247441.2692336421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/>
      <c r="Q389" s="57">
        <f t="shared" ref="Q389:V389" si="94">IFERROR(SUMPRODUCT($BC$73:$BC$87,Q$73:Q$87)/SUM(Q$73:Q$87)*Q$89*(1+Q$208),0)</f>
        <v>0</v>
      </c>
      <c r="R389" s="57">
        <f t="shared" si="94"/>
        <v>0</v>
      </c>
      <c r="S389" s="57">
        <f t="shared" si="94"/>
        <v>0</v>
      </c>
      <c r="T389" s="57">
        <f t="shared" si="94"/>
        <v>0</v>
      </c>
      <c r="U389" s="57">
        <f t="shared" si="94"/>
        <v>0</v>
      </c>
      <c r="V389" s="62">
        <f t="shared" si="94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/>
      <c r="Q390" s="57">
        <f t="shared" ref="Q390:V390" si="95">IFERROR(SUMPRODUCT($BD$73:$BD$87,Q$73:Q$87)/SUM(Q$73:Q$87)*Q$89*(1+Q$208),0)</f>
        <v>998787.11396976328</v>
      </c>
      <c r="R390" s="57">
        <f t="shared" si="95"/>
        <v>1319641.4524736498</v>
      </c>
      <c r="S390" s="57">
        <f t="shared" si="95"/>
        <v>1358565.9094832833</v>
      </c>
      <c r="T390" s="57">
        <f t="shared" si="95"/>
        <v>1395627.3134133765</v>
      </c>
      <c r="U390" s="57">
        <f t="shared" si="95"/>
        <v>1444424.2367376217</v>
      </c>
      <c r="V390" s="62">
        <f t="shared" si="95"/>
        <v>1415813.7564112139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/>
      <c r="Q391" s="57">
        <f t="shared" ref="Q391:V391" si="96">IFERROR(SUMPRODUCT($BE$73:$BE$87,Q$73:Q$87)/SUM(Q$73:Q$87)*Q$89*(1+Q$208),0)</f>
        <v>0</v>
      </c>
      <c r="R391" s="57">
        <f t="shared" si="96"/>
        <v>0</v>
      </c>
      <c r="S391" s="57">
        <f t="shared" si="96"/>
        <v>0</v>
      </c>
      <c r="T391" s="57">
        <f t="shared" si="96"/>
        <v>0</v>
      </c>
      <c r="U391" s="57">
        <f t="shared" si="96"/>
        <v>0</v>
      </c>
      <c r="V391" s="62">
        <f t="shared" si="96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/>
      <c r="Q392" s="57">
        <f t="shared" ref="Q392:V392" si="97">IFERROR(SUMPRODUCT($BF$73:$BF$87,Q$73:Q$87)/SUM(Q$73:Q$87)*Q$89*(1+Q$208),0)</f>
        <v>0</v>
      </c>
      <c r="R392" s="57">
        <f t="shared" si="97"/>
        <v>0</v>
      </c>
      <c r="S392" s="57">
        <f t="shared" si="97"/>
        <v>0</v>
      </c>
      <c r="T392" s="57">
        <f t="shared" si="97"/>
        <v>0</v>
      </c>
      <c r="U392" s="57">
        <f t="shared" si="97"/>
        <v>0</v>
      </c>
      <c r="V392" s="62">
        <f t="shared" si="97"/>
        <v>0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/>
      <c r="Q393" s="57">
        <f t="shared" ref="Q393:V393" si="98">IFERROR(SUMPRODUCT($BG$73:$BG$87,Q$73:Q$87)/SUM(Q$73:Q$87)*Q$89*(1+Q$208),0)</f>
        <v>0</v>
      </c>
      <c r="R393" s="57">
        <f t="shared" si="98"/>
        <v>0</v>
      </c>
      <c r="S393" s="57">
        <f t="shared" si="98"/>
        <v>0</v>
      </c>
      <c r="T393" s="57">
        <f t="shared" si="98"/>
        <v>0</v>
      </c>
      <c r="U393" s="57">
        <f t="shared" si="98"/>
        <v>0</v>
      </c>
      <c r="V393" s="62">
        <f t="shared" si="98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/>
      <c r="Q394" s="57">
        <f t="shared" ref="Q394:V394" si="99">IFERROR(SUMPRODUCT($BH$73:$BH$87,Q$73:Q$87)/SUM(Q$73:Q$87)*Q$89*(1+Q$208),0)</f>
        <v>0</v>
      </c>
      <c r="R394" s="57">
        <f t="shared" si="99"/>
        <v>0</v>
      </c>
      <c r="S394" s="57">
        <f t="shared" si="99"/>
        <v>0</v>
      </c>
      <c r="T394" s="57">
        <f t="shared" si="99"/>
        <v>0</v>
      </c>
      <c r="U394" s="57">
        <f t="shared" si="99"/>
        <v>0</v>
      </c>
      <c r="V394" s="62">
        <f t="shared" si="99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7">
        <f t="shared" ref="Q396:V396" si="100">SUM(Q388:Q394)</f>
        <v>3995148.4558790531</v>
      </c>
      <c r="R396" s="37">
        <f t="shared" si="100"/>
        <v>5278565.809894599</v>
      </c>
      <c r="S396" s="37">
        <f t="shared" si="100"/>
        <v>5434263.6379331332</v>
      </c>
      <c r="T396" s="37">
        <f t="shared" si="100"/>
        <v>5582509.2536535058</v>
      </c>
      <c r="U396" s="37">
        <f t="shared" si="100"/>
        <v>5777696.9469504869</v>
      </c>
      <c r="V396" s="64">
        <f t="shared" si="100"/>
        <v>5663255.0256448556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B0F0"/>
  </sheetPr>
  <dimension ref="A1:BI399"/>
  <sheetViews>
    <sheetView topLeftCell="D1" workbookViewId="0">
      <selection activeCell="W41" sqref="W41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9" s="3" customFormat="1">
      <c r="A1" s="2" t="s">
        <v>2</v>
      </c>
    </row>
    <row r="2" spans="1:19" s="1" customFormat="1">
      <c r="A2" s="3" t="s">
        <v>208</v>
      </c>
    </row>
    <row r="3" spans="1:19" s="1" customFormat="1">
      <c r="A3" s="3" t="s">
        <v>95</v>
      </c>
    </row>
    <row r="4" spans="1:19" s="1" customFormat="1">
      <c r="A4" s="22" t="s">
        <v>43</v>
      </c>
    </row>
    <row r="6" spans="1:19" s="1" customFormat="1">
      <c r="A6" s="2">
        <v>2</v>
      </c>
      <c r="B6" s="2" t="s">
        <v>45</v>
      </c>
    </row>
    <row r="7" spans="1:19">
      <c r="O7" s="94"/>
      <c r="P7" s="94"/>
      <c r="Q7" s="94"/>
      <c r="R7" s="94"/>
      <c r="S7" s="94"/>
    </row>
    <row r="8" spans="1:19">
      <c r="O8" s="94"/>
      <c r="P8" s="95"/>
      <c r="Q8" s="95"/>
      <c r="R8" s="95"/>
      <c r="S8" s="95"/>
    </row>
    <row r="9" spans="1:19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  <c r="I9" s="94"/>
      <c r="J9" s="94"/>
      <c r="K9" s="94"/>
      <c r="L9" s="94"/>
      <c r="O9" s="94"/>
      <c r="P9" s="94"/>
      <c r="Q9" s="94"/>
      <c r="R9" s="94"/>
      <c r="S9" s="94"/>
    </row>
    <row r="10" spans="1:19">
      <c r="B10" s="8" t="s">
        <v>210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  <c r="I10" s="94"/>
      <c r="J10" s="94"/>
      <c r="K10" s="94"/>
      <c r="L10" s="94"/>
    </row>
    <row r="11" spans="1:19">
      <c r="B11" s="8"/>
      <c r="D11" s="10"/>
      <c r="E11" s="10"/>
      <c r="F11" s="26"/>
      <c r="G11" s="26"/>
      <c r="I11" s="94"/>
      <c r="J11" s="94"/>
      <c r="K11" s="94"/>
      <c r="L11" s="94"/>
    </row>
    <row r="12" spans="1:19">
      <c r="B12" s="8"/>
      <c r="D12" s="10"/>
      <c r="E12" s="10"/>
      <c r="F12" s="26"/>
      <c r="G12" s="26"/>
      <c r="I12" s="94"/>
      <c r="J12" s="94"/>
      <c r="K12" s="94"/>
      <c r="L12" s="94"/>
    </row>
    <row r="13" spans="1:19">
      <c r="B13" s="8"/>
      <c r="D13" s="10"/>
      <c r="E13" s="10"/>
      <c r="F13" s="26"/>
      <c r="G13" s="26"/>
      <c r="I13" s="94"/>
      <c r="J13" s="94"/>
      <c r="K13" s="94"/>
      <c r="L13" s="94"/>
    </row>
    <row r="14" spans="1:19">
      <c r="B14" s="8"/>
      <c r="D14" s="10"/>
      <c r="E14" s="10"/>
      <c r="F14" s="26"/>
      <c r="G14" s="26"/>
    </row>
    <row r="15" spans="1:19">
      <c r="B15" s="8"/>
      <c r="D15" s="10"/>
      <c r="E15" s="10"/>
      <c r="F15" s="26"/>
      <c r="G15" s="26"/>
    </row>
    <row r="16" spans="1:19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203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87" t="s">
        <v>52</v>
      </c>
      <c r="I28" s="189"/>
      <c r="J28" s="189"/>
      <c r="K28" s="189"/>
      <c r="L28" s="188"/>
      <c r="M28" s="187" t="s">
        <v>53</v>
      </c>
      <c r="N28" s="189"/>
      <c r="O28" s="189"/>
      <c r="P28" s="189"/>
      <c r="Q28" s="188"/>
      <c r="R28" s="187" t="s">
        <v>54</v>
      </c>
      <c r="S28" s="189"/>
      <c r="T28" s="189"/>
      <c r="U28" s="189"/>
      <c r="V28" s="18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>IF(B10&lt;&gt;"",B10,"[blank]")</f>
        <v>Tariff D Connections</v>
      </c>
      <c r="D31" s="31" t="s">
        <v>60</v>
      </c>
      <c r="E31" s="31"/>
      <c r="P31" s="105"/>
      <c r="Q31" s="33">
        <f>'AMP inputs'!U58*'General assumptions'!$S$21</f>
        <v>1289883.8599514395</v>
      </c>
      <c r="R31" s="33">
        <f>'AMP inputs'!V58*'General assumptions'!$S$21</f>
        <v>1289883.8599514395</v>
      </c>
      <c r="S31" s="33">
        <f>'AMP inputs'!W58*'General assumptions'!$S$21</f>
        <v>1289883.8599514395</v>
      </c>
      <c r="T31" s="33">
        <f>'AMP inputs'!X58*'General assumptions'!$S$21</f>
        <v>1289883.8599514395</v>
      </c>
      <c r="U31" s="33">
        <f>'AMP inputs'!Y58*'General assumptions'!$S$21</f>
        <v>1289883.8599514395</v>
      </c>
      <c r="V31" s="33">
        <f>'AMP inputs'!Z58*'General assumptions'!$S$21</f>
        <v>1289883.8599514395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61</v>
      </c>
    </row>
    <row r="49" spans="2:61">
      <c r="Z49" s="5" t="s">
        <v>73</v>
      </c>
      <c r="AM49" s="5" t="s">
        <v>110</v>
      </c>
      <c r="BB49" s="5" t="s">
        <v>133</v>
      </c>
    </row>
    <row r="50" spans="2:61">
      <c r="H50" s="190" t="s">
        <v>52</v>
      </c>
      <c r="I50" s="190"/>
      <c r="J50" s="190"/>
      <c r="K50" s="190"/>
      <c r="L50" s="190"/>
      <c r="M50" s="190" t="s">
        <v>53</v>
      </c>
      <c r="N50" s="190"/>
      <c r="O50" s="190"/>
      <c r="P50" s="190"/>
      <c r="Q50" s="190"/>
      <c r="R50" s="190" t="s">
        <v>54</v>
      </c>
      <c r="S50" s="190"/>
      <c r="T50" s="190"/>
      <c r="U50" s="190"/>
      <c r="V50" s="190"/>
      <c r="X50" s="38"/>
      <c r="Z50" s="39" t="s">
        <v>69</v>
      </c>
      <c r="AA50" s="39" t="s">
        <v>70</v>
      </c>
      <c r="AB50" s="39" t="s">
        <v>71</v>
      </c>
      <c r="AC50" s="39" t="s">
        <v>72</v>
      </c>
      <c r="AD50" s="39" t="s">
        <v>64</v>
      </c>
      <c r="AE50" s="39" t="s">
        <v>65</v>
      </c>
      <c r="AF50" s="39" t="s">
        <v>66</v>
      </c>
      <c r="AG50" s="39" t="s">
        <v>107</v>
      </c>
      <c r="AH50" s="39" t="s">
        <v>67</v>
      </c>
      <c r="AI50" s="39" t="s">
        <v>68</v>
      </c>
      <c r="AJ50" s="39" t="s">
        <v>108</v>
      </c>
      <c r="AM50" s="39" t="s">
        <v>111</v>
      </c>
      <c r="AN50" s="39" t="s">
        <v>112</v>
      </c>
      <c r="AO50" s="39" t="s">
        <v>113</v>
      </c>
      <c r="AP50" s="39" t="s">
        <v>114</v>
      </c>
      <c r="AQ50" s="39" t="s">
        <v>115</v>
      </c>
      <c r="AR50" s="39" t="s">
        <v>36</v>
      </c>
      <c r="AS50" s="39" t="s">
        <v>116</v>
      </c>
      <c r="AT50" s="39" t="s">
        <v>35</v>
      </c>
      <c r="AU50" s="39" t="s">
        <v>117</v>
      </c>
      <c r="AV50" s="39" t="s">
        <v>118</v>
      </c>
      <c r="AW50" s="39" t="s">
        <v>119</v>
      </c>
      <c r="AX50" s="39" t="s">
        <v>74</v>
      </c>
      <c r="AY50" s="39" t="s">
        <v>75</v>
      </c>
      <c r="BB50" s="39" t="s">
        <v>134</v>
      </c>
      <c r="BC50" s="39" t="s">
        <v>135</v>
      </c>
      <c r="BD50" s="39" t="s">
        <v>136</v>
      </c>
      <c r="BE50" s="39" t="s">
        <v>107</v>
      </c>
      <c r="BF50" s="39" t="s">
        <v>137</v>
      </c>
      <c r="BG50" s="39" t="s">
        <v>138</v>
      </c>
      <c r="BH50" s="39" t="s">
        <v>108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63</v>
      </c>
    </row>
    <row r="52" spans="2:61">
      <c r="B52" s="5" t="s">
        <v>46</v>
      </c>
      <c r="D52" s="29" t="s">
        <v>55</v>
      </c>
      <c r="H52" s="16" t="s">
        <v>12</v>
      </c>
      <c r="I52" s="16" t="s">
        <v>12</v>
      </c>
      <c r="J52" s="16" t="s">
        <v>12</v>
      </c>
      <c r="K52" s="16" t="s">
        <v>12</v>
      </c>
      <c r="L52" s="16" t="s">
        <v>12</v>
      </c>
      <c r="M52" s="16" t="s">
        <v>12</v>
      </c>
      <c r="N52" s="16" t="s">
        <v>12</v>
      </c>
      <c r="O52" s="16" t="s">
        <v>12</v>
      </c>
      <c r="P52" s="16" t="s">
        <v>13</v>
      </c>
      <c r="Q52" s="16" t="s">
        <v>13</v>
      </c>
      <c r="R52" s="16" t="s">
        <v>13</v>
      </c>
      <c r="S52" s="16" t="s">
        <v>13</v>
      </c>
      <c r="T52" s="16" t="s">
        <v>13</v>
      </c>
      <c r="U52" s="16" t="s">
        <v>13</v>
      </c>
      <c r="V52" s="16" t="s">
        <v>13</v>
      </c>
      <c r="X52" s="34" t="s">
        <v>13</v>
      </c>
    </row>
    <row r="53" spans="2:61">
      <c r="B53" s="4" t="str">
        <f t="shared" ref="B53:B67" si="1">IF(B10&lt;&gt;"",B10,"[blank]")</f>
        <v>Tariff D Connections</v>
      </c>
      <c r="D53" s="31" t="s">
        <v>60</v>
      </c>
      <c r="O53" s="35"/>
      <c r="P53" s="35"/>
      <c r="Q53" s="175">
        <v>893512.473</v>
      </c>
      <c r="R53" s="35">
        <f>R31*($D10*'General assumptions'!U$35+$E10*'General assumptions'!U$36+$G10*'General assumptions'!U$42)</f>
        <v>1296896.966105795</v>
      </c>
      <c r="S53" s="35">
        <f>S31*($D10*'General assumptions'!V$35+$E10*'General assumptions'!V$36+$G10*'General assumptions'!V$42)</f>
        <v>1306446.8756365322</v>
      </c>
      <c r="T53" s="35">
        <f>T31*($D10*'General assumptions'!W$35+$E10*'General assumptions'!W$36+$G10*'General assumptions'!W$42)</f>
        <v>1318776.0447422315</v>
      </c>
      <c r="U53" s="35">
        <f>U31*($D10*'General assumptions'!X$35+$E10*'General assumptions'!X$36+$G10*'General assumptions'!X$42)</f>
        <v>1335047.8985991839</v>
      </c>
      <c r="V53" s="35">
        <f>V31*($D10*'General assumptions'!Y$35+$E10*'General assumptions'!Y$36+$G10*'General assumptions'!Y$42)</f>
        <v>1352738.6027580639</v>
      </c>
      <c r="W53" s="35"/>
      <c r="X53" s="40">
        <f>SUM(R53:V53)</f>
        <v>6609906.3878418067</v>
      </c>
      <c r="Z53" s="10"/>
      <c r="AA53" s="10">
        <v>0.75</v>
      </c>
      <c r="AB53" s="10">
        <v>0.05</v>
      </c>
      <c r="AC53" s="10"/>
      <c r="AD53" s="10"/>
      <c r="AE53" s="10">
        <v>0.2</v>
      </c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>
        <v>1</v>
      </c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41">
        <f t="shared" ref="AZ53:AZ67" si="3">SUM(AM53:AY53)</f>
        <v>1</v>
      </c>
      <c r="BB53" s="10">
        <v>0.8</v>
      </c>
      <c r="BC53" s="10"/>
      <c r="BD53" s="10">
        <v>0.2</v>
      </c>
      <c r="BE53" s="10"/>
      <c r="BF53" s="10"/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62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893512.473</v>
      </c>
      <c r="R69" s="37">
        <f t="shared" si="6"/>
        <v>1296896.966105795</v>
      </c>
      <c r="S69" s="37">
        <f t="shared" si="6"/>
        <v>1306446.8756365322</v>
      </c>
      <c r="T69" s="37">
        <f t="shared" si="6"/>
        <v>1318776.0447422315</v>
      </c>
      <c r="U69" s="37">
        <f t="shared" si="6"/>
        <v>1335047.8985991839</v>
      </c>
      <c r="V69" s="37">
        <f t="shared" si="6"/>
        <v>1352738.6027580639</v>
      </c>
      <c r="X69" s="37">
        <f t="shared" si="5"/>
        <v>6609906.3878418067</v>
      </c>
    </row>
    <row r="71" spans="1:61">
      <c r="B71" s="5" t="s">
        <v>76</v>
      </c>
    </row>
    <row r="72" spans="1:61" s="1" customFormat="1">
      <c r="A72" s="4"/>
      <c r="B72" s="2" t="s">
        <v>77</v>
      </c>
    </row>
    <row r="74" spans="1:61">
      <c r="H74" s="190" t="s">
        <v>52</v>
      </c>
      <c r="I74" s="190"/>
      <c r="J74" s="190"/>
      <c r="K74" s="190"/>
      <c r="L74" s="190"/>
      <c r="M74" s="190" t="s">
        <v>53</v>
      </c>
      <c r="N74" s="190"/>
      <c r="O74" s="190"/>
      <c r="P74" s="190"/>
      <c r="Q74" s="190"/>
      <c r="R74" s="190" t="s">
        <v>54</v>
      </c>
      <c r="S74" s="190"/>
      <c r="T74" s="190"/>
      <c r="U74" s="190"/>
      <c r="V74" s="190"/>
      <c r="X74" s="38"/>
    </row>
    <row r="75" spans="1:61">
      <c r="B75" s="42" t="s">
        <v>79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63</v>
      </c>
    </row>
    <row r="76" spans="1:61">
      <c r="B76" s="5" t="s">
        <v>46</v>
      </c>
      <c r="D76" s="29" t="s">
        <v>55</v>
      </c>
      <c r="H76" s="16" t="s">
        <v>12</v>
      </c>
      <c r="I76" s="16" t="s">
        <v>12</v>
      </c>
      <c r="J76" s="16" t="s">
        <v>12</v>
      </c>
      <c r="K76" s="16" t="s">
        <v>12</v>
      </c>
      <c r="L76" s="16" t="s">
        <v>12</v>
      </c>
      <c r="M76" s="16" t="s">
        <v>12</v>
      </c>
      <c r="N76" s="16" t="s">
        <v>12</v>
      </c>
      <c r="O76" s="16" t="s">
        <v>12</v>
      </c>
      <c r="P76" s="16" t="s">
        <v>13</v>
      </c>
      <c r="Q76" s="16" t="s">
        <v>13</v>
      </c>
      <c r="R76" s="16" t="s">
        <v>13</v>
      </c>
      <c r="S76" s="16" t="s">
        <v>13</v>
      </c>
      <c r="T76" s="16" t="s">
        <v>13</v>
      </c>
      <c r="U76" s="16" t="s">
        <v>13</v>
      </c>
      <c r="V76" s="16" t="s">
        <v>13</v>
      </c>
      <c r="X76" s="34" t="s">
        <v>13</v>
      </c>
    </row>
    <row r="77" spans="1:61">
      <c r="B77" s="4" t="str">
        <f t="shared" ref="B77:B91" si="7">IF(B10&lt;&gt;"",B10,"[blank]")</f>
        <v>Tariff D Connections</v>
      </c>
      <c r="D77" s="31" t="s">
        <v>60</v>
      </c>
      <c r="O77" s="35"/>
      <c r="P77" s="35">
        <f t="shared" ref="P77:V77" si="8">$D10*P53</f>
        <v>0</v>
      </c>
      <c r="Q77" s="35">
        <f t="shared" si="8"/>
        <v>35740.498919999998</v>
      </c>
      <c r="R77" s="35">
        <f t="shared" si="8"/>
        <v>51875.878644231801</v>
      </c>
      <c r="S77" s="35">
        <f t="shared" si="8"/>
        <v>52257.87502546129</v>
      </c>
      <c r="T77" s="35">
        <f t="shared" si="8"/>
        <v>52751.041789689261</v>
      </c>
      <c r="U77" s="35">
        <f t="shared" si="8"/>
        <v>53401.915943967353</v>
      </c>
      <c r="V77" s="35">
        <f t="shared" si="8"/>
        <v>54109.54411032256</v>
      </c>
      <c r="X77" s="40">
        <f>SUM(R77:V77)</f>
        <v>264396.25551367225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78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35740.498919999998</v>
      </c>
      <c r="R93" s="37">
        <f t="shared" si="10"/>
        <v>51875.878644231801</v>
      </c>
      <c r="S93" s="37">
        <f t="shared" si="10"/>
        <v>52257.87502546129</v>
      </c>
      <c r="T93" s="37">
        <f t="shared" si="10"/>
        <v>52751.041789689261</v>
      </c>
      <c r="U93" s="37">
        <f t="shared" si="10"/>
        <v>53401.915943967353</v>
      </c>
      <c r="V93" s="37">
        <f t="shared" si="10"/>
        <v>54109.54411032256</v>
      </c>
      <c r="X93" s="37">
        <f t="shared" ref="X93" si="11">SUM(R93:V93)</f>
        <v>264396.25551367225</v>
      </c>
    </row>
    <row r="95" spans="1:24" s="1" customFormat="1">
      <c r="A95" s="4"/>
      <c r="B95" s="2" t="s">
        <v>80</v>
      </c>
    </row>
    <row r="97" spans="2:24">
      <c r="H97" s="190" t="s">
        <v>52</v>
      </c>
      <c r="I97" s="190"/>
      <c r="J97" s="190"/>
      <c r="K97" s="190"/>
      <c r="L97" s="190"/>
      <c r="M97" s="190" t="s">
        <v>53</v>
      </c>
      <c r="N97" s="190"/>
      <c r="O97" s="190"/>
      <c r="P97" s="190"/>
      <c r="Q97" s="190"/>
      <c r="R97" s="190" t="s">
        <v>54</v>
      </c>
      <c r="S97" s="190"/>
      <c r="T97" s="190"/>
      <c r="U97" s="190"/>
      <c r="V97" s="190"/>
      <c r="X97" s="38"/>
    </row>
    <row r="98" spans="2:24">
      <c r="B98" s="43" t="s">
        <v>81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63</v>
      </c>
    </row>
    <row r="99" spans="2:24">
      <c r="B99" s="5" t="s">
        <v>46</v>
      </c>
      <c r="D99" s="29" t="s">
        <v>55</v>
      </c>
      <c r="H99" s="16" t="s">
        <v>12</v>
      </c>
      <c r="I99" s="16" t="s">
        <v>12</v>
      </c>
      <c r="J99" s="16" t="s">
        <v>12</v>
      </c>
      <c r="K99" s="16" t="s">
        <v>12</v>
      </c>
      <c r="L99" s="16" t="s">
        <v>12</v>
      </c>
      <c r="M99" s="16" t="s">
        <v>12</v>
      </c>
      <c r="N99" s="16" t="s">
        <v>12</v>
      </c>
      <c r="O99" s="16" t="s">
        <v>12</v>
      </c>
      <c r="P99" s="16" t="s">
        <v>13</v>
      </c>
      <c r="Q99" s="16" t="s">
        <v>13</v>
      </c>
      <c r="R99" s="16" t="s">
        <v>13</v>
      </c>
      <c r="S99" s="16" t="s">
        <v>13</v>
      </c>
      <c r="T99" s="16" t="s">
        <v>13</v>
      </c>
      <c r="U99" s="16" t="s">
        <v>13</v>
      </c>
      <c r="V99" s="16" t="s">
        <v>13</v>
      </c>
      <c r="X99" s="34" t="s">
        <v>13</v>
      </c>
    </row>
    <row r="100" spans="2:24">
      <c r="B100" s="4" t="str">
        <f t="shared" ref="B100:B114" si="12">IF(B10&lt;&gt;"",B10,"[blank]")</f>
        <v>Tariff D Connections</v>
      </c>
      <c r="D100" s="31" t="s">
        <v>60</v>
      </c>
      <c r="O100" s="35"/>
      <c r="P100" s="35">
        <f t="shared" ref="P100:V100" si="13">$E10*P53</f>
        <v>0</v>
      </c>
      <c r="Q100" s="35">
        <f t="shared" si="13"/>
        <v>679069.47947999998</v>
      </c>
      <c r="R100" s="35">
        <f t="shared" si="13"/>
        <v>985641.69424040418</v>
      </c>
      <c r="S100" s="35">
        <f t="shared" si="13"/>
        <v>992899.62548376445</v>
      </c>
      <c r="T100" s="35">
        <f t="shared" si="13"/>
        <v>1002269.794004096</v>
      </c>
      <c r="U100" s="35">
        <f t="shared" si="13"/>
        <v>1014636.4029353798</v>
      </c>
      <c r="V100" s="35">
        <f t="shared" si="13"/>
        <v>1028081.3380961287</v>
      </c>
      <c r="X100" s="40">
        <f>SUM(R100:V100)</f>
        <v>5023528.8547597723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82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679069.47947999998</v>
      </c>
      <c r="R116" s="37">
        <f t="shared" si="15"/>
        <v>985641.69424040418</v>
      </c>
      <c r="S116" s="37">
        <f t="shared" si="15"/>
        <v>992899.62548376445</v>
      </c>
      <c r="T116" s="37">
        <f t="shared" si="15"/>
        <v>1002269.794004096</v>
      </c>
      <c r="U116" s="37">
        <f t="shared" si="15"/>
        <v>1014636.4029353798</v>
      </c>
      <c r="V116" s="37">
        <f t="shared" si="15"/>
        <v>1028081.3380961287</v>
      </c>
      <c r="X116" s="37">
        <f t="shared" ref="X116" si="16">SUM(R116:V116)</f>
        <v>5023528.8547597723</v>
      </c>
    </row>
    <row r="118" spans="1:24" s="1" customFormat="1">
      <c r="A118" s="4"/>
      <c r="B118" s="2" t="s">
        <v>83</v>
      </c>
    </row>
    <row r="120" spans="1:24">
      <c r="H120" s="190" t="s">
        <v>52</v>
      </c>
      <c r="I120" s="190"/>
      <c r="J120" s="190"/>
      <c r="K120" s="190"/>
      <c r="L120" s="190"/>
      <c r="M120" s="190" t="s">
        <v>53</v>
      </c>
      <c r="N120" s="190"/>
      <c r="O120" s="190"/>
      <c r="P120" s="190"/>
      <c r="Q120" s="190"/>
      <c r="R120" s="190" t="s">
        <v>54</v>
      </c>
      <c r="S120" s="190"/>
      <c r="T120" s="190"/>
      <c r="U120" s="190"/>
      <c r="V120" s="190"/>
      <c r="X120" s="38"/>
    </row>
    <row r="121" spans="1:24">
      <c r="B121" s="43" t="s">
        <v>84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63</v>
      </c>
    </row>
    <row r="122" spans="1:24">
      <c r="B122" s="5" t="s">
        <v>46</v>
      </c>
      <c r="D122" s="29" t="s">
        <v>55</v>
      </c>
      <c r="H122" s="16" t="s">
        <v>12</v>
      </c>
      <c r="I122" s="16" t="s">
        <v>12</v>
      </c>
      <c r="J122" s="16" t="s">
        <v>12</v>
      </c>
      <c r="K122" s="16" t="s">
        <v>12</v>
      </c>
      <c r="L122" s="16" t="s">
        <v>12</v>
      </c>
      <c r="M122" s="16" t="s">
        <v>12</v>
      </c>
      <c r="N122" s="16" t="s">
        <v>12</v>
      </c>
      <c r="O122" s="16" t="s">
        <v>12</v>
      </c>
      <c r="P122" s="16" t="s">
        <v>13</v>
      </c>
      <c r="Q122" s="16" t="s">
        <v>13</v>
      </c>
      <c r="R122" s="16" t="s">
        <v>13</v>
      </c>
      <c r="S122" s="16" t="s">
        <v>13</v>
      </c>
      <c r="T122" s="16" t="s">
        <v>13</v>
      </c>
      <c r="U122" s="16" t="s">
        <v>13</v>
      </c>
      <c r="V122" s="16" t="s">
        <v>13</v>
      </c>
      <c r="X122" s="34" t="s">
        <v>13</v>
      </c>
    </row>
    <row r="123" spans="1:24">
      <c r="B123" s="4" t="str">
        <f t="shared" ref="B123:B137" si="17">IF(B10&lt;&gt;"",B10,"[blank]")</f>
        <v>Tariff D Connections</v>
      </c>
      <c r="D123" s="31" t="s">
        <v>60</v>
      </c>
      <c r="O123" s="35"/>
      <c r="P123" s="35">
        <f>P77+P100</f>
        <v>0</v>
      </c>
      <c r="Q123" s="35">
        <f t="shared" ref="Q123:V123" si="18">Q77+Q100</f>
        <v>714809.97840000002</v>
      </c>
      <c r="R123" s="35">
        <f t="shared" si="18"/>
        <v>1037517.572884636</v>
      </c>
      <c r="S123" s="35">
        <f t="shared" si="18"/>
        <v>1045157.5005092258</v>
      </c>
      <c r="T123" s="35">
        <f t="shared" si="18"/>
        <v>1055020.8357937853</v>
      </c>
      <c r="U123" s="35">
        <f t="shared" si="18"/>
        <v>1068038.3188793471</v>
      </c>
      <c r="V123" s="35">
        <f t="shared" si="18"/>
        <v>1082190.8822064511</v>
      </c>
      <c r="X123" s="40">
        <f>SUM(R123:V123)</f>
        <v>5287925.110273445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85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714809.97840000002</v>
      </c>
      <c r="R139" s="37">
        <f t="shared" si="20"/>
        <v>1037517.572884636</v>
      </c>
      <c r="S139" s="37">
        <f t="shared" si="20"/>
        <v>1045157.5005092258</v>
      </c>
      <c r="T139" s="37">
        <f t="shared" si="20"/>
        <v>1055020.8357937853</v>
      </c>
      <c r="U139" s="37">
        <f t="shared" si="20"/>
        <v>1068038.3188793471</v>
      </c>
      <c r="V139" s="37">
        <f t="shared" si="20"/>
        <v>1082190.8822064511</v>
      </c>
      <c r="X139" s="37">
        <f t="shared" ref="X139" si="21">SUM(R139:V139)</f>
        <v>5287925.110273445</v>
      </c>
    </row>
    <row r="141" spans="1:24" s="1" customFormat="1">
      <c r="A141" s="4"/>
      <c r="B141" s="2" t="s">
        <v>86</v>
      </c>
    </row>
    <row r="143" spans="1:24">
      <c r="H143" s="190" t="s">
        <v>52</v>
      </c>
      <c r="I143" s="190"/>
      <c r="J143" s="190"/>
      <c r="K143" s="190"/>
      <c r="L143" s="190"/>
      <c r="M143" s="190" t="s">
        <v>53</v>
      </c>
      <c r="N143" s="190"/>
      <c r="O143" s="190"/>
      <c r="P143" s="190"/>
      <c r="Q143" s="190"/>
      <c r="R143" s="190" t="s">
        <v>54</v>
      </c>
      <c r="S143" s="190"/>
      <c r="T143" s="190"/>
      <c r="U143" s="190"/>
      <c r="V143" s="190"/>
      <c r="X143" s="38"/>
    </row>
    <row r="144" spans="1:24">
      <c r="B144" s="44" t="s">
        <v>50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63</v>
      </c>
    </row>
    <row r="145" spans="2:24">
      <c r="B145" s="5" t="s">
        <v>46</v>
      </c>
      <c r="D145" s="29" t="s">
        <v>55</v>
      </c>
      <c r="H145" s="16" t="s">
        <v>12</v>
      </c>
      <c r="I145" s="16" t="s">
        <v>12</v>
      </c>
      <c r="J145" s="16" t="s">
        <v>12</v>
      </c>
      <c r="K145" s="16" t="s">
        <v>12</v>
      </c>
      <c r="L145" s="16" t="s">
        <v>12</v>
      </c>
      <c r="M145" s="16" t="s">
        <v>12</v>
      </c>
      <c r="N145" s="16" t="s">
        <v>12</v>
      </c>
      <c r="O145" s="16" t="s">
        <v>12</v>
      </c>
      <c r="P145" s="16" t="s">
        <v>13</v>
      </c>
      <c r="Q145" s="16" t="s">
        <v>13</v>
      </c>
      <c r="R145" s="16" t="s">
        <v>13</v>
      </c>
      <c r="S145" s="16" t="s">
        <v>13</v>
      </c>
      <c r="T145" s="16" t="s">
        <v>13</v>
      </c>
      <c r="U145" s="16" t="s">
        <v>13</v>
      </c>
      <c r="V145" s="16" t="s">
        <v>13</v>
      </c>
      <c r="X145" s="34" t="s">
        <v>13</v>
      </c>
    </row>
    <row r="146" spans="2:24">
      <c r="B146" s="4" t="str">
        <f t="shared" ref="B146:B160" si="22">IF(B10&lt;&gt;"",B10,"[blank]")</f>
        <v>Tariff D Connections</v>
      </c>
      <c r="D146" s="31" t="s">
        <v>60</v>
      </c>
      <c r="O146" s="35"/>
      <c r="P146" s="35">
        <f t="shared" ref="P146:V146" si="23">$G10*P53</f>
        <v>0</v>
      </c>
      <c r="Q146" s="35">
        <f t="shared" si="23"/>
        <v>178702.49459999995</v>
      </c>
      <c r="R146" s="35">
        <f t="shared" si="23"/>
        <v>259379.39322115894</v>
      </c>
      <c r="S146" s="35">
        <f t="shared" si="23"/>
        <v>261289.37512730638</v>
      </c>
      <c r="T146" s="35">
        <f t="shared" si="23"/>
        <v>263755.20894844626</v>
      </c>
      <c r="U146" s="35">
        <f t="shared" si="23"/>
        <v>267009.57971983671</v>
      </c>
      <c r="V146" s="35">
        <f t="shared" si="23"/>
        <v>270547.72055161273</v>
      </c>
      <c r="X146" s="40">
        <f>SUM(R146:V146)</f>
        <v>1321981.2775683613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87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178702.49459999995</v>
      </c>
      <c r="R162" s="37">
        <f t="shared" si="25"/>
        <v>259379.39322115894</v>
      </c>
      <c r="S162" s="37">
        <f t="shared" si="25"/>
        <v>261289.37512730638</v>
      </c>
      <c r="T162" s="37">
        <f t="shared" si="25"/>
        <v>263755.20894844626</v>
      </c>
      <c r="U162" s="37">
        <f t="shared" si="25"/>
        <v>267009.57971983671</v>
      </c>
      <c r="V162" s="37">
        <f t="shared" si="25"/>
        <v>270547.72055161273</v>
      </c>
      <c r="X162" s="37">
        <f t="shared" ref="X162" si="26">SUM(R162:V162)</f>
        <v>1321981.2775683613</v>
      </c>
    </row>
    <row r="164" spans="1:24" s="1" customFormat="1">
      <c r="A164" s="2">
        <v>5</v>
      </c>
      <c r="B164" s="2" t="s">
        <v>89</v>
      </c>
    </row>
    <row r="166" spans="1:24">
      <c r="H166" s="190" t="s">
        <v>52</v>
      </c>
      <c r="I166" s="190"/>
      <c r="J166" s="190"/>
      <c r="K166" s="190"/>
      <c r="L166" s="190"/>
      <c r="M166" s="190" t="s">
        <v>53</v>
      </c>
      <c r="N166" s="190"/>
      <c r="O166" s="190"/>
      <c r="P166" s="190"/>
      <c r="Q166" s="190"/>
      <c r="R166" s="190" t="s">
        <v>54</v>
      </c>
      <c r="S166" s="190"/>
      <c r="T166" s="190"/>
      <c r="U166" s="190"/>
      <c r="V166" s="190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63</v>
      </c>
    </row>
    <row r="168" spans="1:24">
      <c r="B168" s="5" t="s">
        <v>46</v>
      </c>
      <c r="D168" s="29" t="s">
        <v>55</v>
      </c>
      <c r="H168" s="16" t="s">
        <v>12</v>
      </c>
      <c r="I168" s="16" t="s">
        <v>12</v>
      </c>
      <c r="J168" s="16" t="s">
        <v>12</v>
      </c>
      <c r="K168" s="16" t="s">
        <v>12</v>
      </c>
      <c r="L168" s="16" t="s">
        <v>12</v>
      </c>
      <c r="M168" s="16" t="s">
        <v>12</v>
      </c>
      <c r="N168" s="16" t="s">
        <v>12</v>
      </c>
      <c r="O168" s="16" t="s">
        <v>12</v>
      </c>
      <c r="P168" s="16" t="s">
        <v>13</v>
      </c>
      <c r="Q168" s="16" t="s">
        <v>13</v>
      </c>
      <c r="R168" s="16" t="s">
        <v>13</v>
      </c>
      <c r="S168" s="16" t="s">
        <v>13</v>
      </c>
      <c r="T168" s="16" t="s">
        <v>13</v>
      </c>
      <c r="U168" s="16" t="s">
        <v>13</v>
      </c>
      <c r="V168" s="16" t="s">
        <v>13</v>
      </c>
      <c r="X168" s="34" t="s">
        <v>13</v>
      </c>
    </row>
    <row r="169" spans="1:24">
      <c r="B169" s="4" t="str">
        <f t="shared" ref="B169:B183" si="27">IF(B10&lt;&gt;"",B10,"[blank]")</f>
        <v>Tariff D Connections</v>
      </c>
      <c r="D169" s="31" t="s">
        <v>60</v>
      </c>
      <c r="O169" s="35"/>
      <c r="P169" s="35">
        <f>P53*P$188</f>
        <v>0</v>
      </c>
      <c r="Q169" s="35">
        <f t="shared" ref="Q169:V169" si="28">Q53*Q$188</f>
        <v>66871.989839443602</v>
      </c>
      <c r="R169" s="35">
        <f t="shared" si="28"/>
        <v>93598.103553939742</v>
      </c>
      <c r="S169" s="35">
        <f t="shared" si="28"/>
        <v>99633.683797838647</v>
      </c>
      <c r="T169" s="35">
        <f t="shared" si="28"/>
        <v>102108.42273918621</v>
      </c>
      <c r="U169" s="35">
        <f t="shared" si="28"/>
        <v>109094.35043724082</v>
      </c>
      <c r="V169" s="35">
        <f t="shared" si="28"/>
        <v>114161.11961885414</v>
      </c>
      <c r="X169" s="40">
        <f>SUM(R169:V169)</f>
        <v>518595.68014705949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88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66871.989839443602</v>
      </c>
      <c r="R185" s="37">
        <f t="shared" si="30"/>
        <v>93598.103553939742</v>
      </c>
      <c r="S185" s="37">
        <f t="shared" si="30"/>
        <v>99633.683797838647</v>
      </c>
      <c r="T185" s="37">
        <f t="shared" si="30"/>
        <v>102108.42273918621</v>
      </c>
      <c r="U185" s="37">
        <f t="shared" si="30"/>
        <v>109094.35043724082</v>
      </c>
      <c r="V185" s="37">
        <f t="shared" si="30"/>
        <v>114161.11961885414</v>
      </c>
      <c r="X185" s="37">
        <f t="shared" ref="X185" si="31">SUM(R185:V185)</f>
        <v>518595.68014705949</v>
      </c>
    </row>
    <row r="187" spans="2:24">
      <c r="B187" s="4" t="s">
        <v>92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893512.473</v>
      </c>
      <c r="R187" s="45">
        <f t="shared" si="32"/>
        <v>1296896.966105795</v>
      </c>
      <c r="S187" s="45">
        <f t="shared" si="32"/>
        <v>1306446.8756365322</v>
      </c>
      <c r="T187" s="45">
        <f t="shared" si="32"/>
        <v>1318776.0447422315</v>
      </c>
      <c r="U187" s="45">
        <f t="shared" si="32"/>
        <v>1335047.8985991839</v>
      </c>
      <c r="V187" s="45">
        <f t="shared" si="32"/>
        <v>1352738.6027580639</v>
      </c>
      <c r="W187" s="45"/>
      <c r="X187" s="40">
        <f t="shared" si="32"/>
        <v>6609906.3878418067</v>
      </c>
    </row>
    <row r="188" spans="2:24">
      <c r="B188" s="4" t="s">
        <v>90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assumptions'!S67</f>
        <v>0</v>
      </c>
      <c r="Q188" s="21">
        <f>'General assumptions'!T67</f>
        <v>7.4841697077734692E-2</v>
      </c>
      <c r="R188" s="21">
        <f>'General assumptions'!U67</f>
        <v>7.2170809247081261E-2</v>
      </c>
      <c r="S188" s="21">
        <f>'General assumptions'!V67</f>
        <v>7.6263096231367788E-2</v>
      </c>
      <c r="T188" s="21">
        <f>'General assumptions'!W67</f>
        <v>7.7426658716070601E-2</v>
      </c>
      <c r="U188" s="21">
        <f>'General assumptions'!X67</f>
        <v>8.1715682674538839E-2</v>
      </c>
      <c r="V188" s="21">
        <f>'General assumptions'!Y67</f>
        <v>8.4392593946897035E-2</v>
      </c>
      <c r="W188" s="21"/>
      <c r="X188" s="75">
        <f>X185/X187</f>
        <v>7.8457341105610659E-2</v>
      </c>
    </row>
    <row r="190" spans="2:24" ht="12.75" thickBot="1">
      <c r="B190" s="5" t="s">
        <v>91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5">IF(Q168="forecast",Q187*(1+Q188),Q187+Q192)</f>
        <v>960384.4628394437</v>
      </c>
      <c r="R190" s="37">
        <f t="shared" si="35"/>
        <v>1390495.0696597346</v>
      </c>
      <c r="S190" s="37">
        <f t="shared" si="35"/>
        <v>1406080.5594343708</v>
      </c>
      <c r="T190" s="37">
        <f t="shared" si="35"/>
        <v>1420884.4674814176</v>
      </c>
      <c r="U190" s="37">
        <f t="shared" si="35"/>
        <v>1444142.2490364248</v>
      </c>
      <c r="V190" s="37">
        <f t="shared" si="35"/>
        <v>1466899.722376918</v>
      </c>
      <c r="X190" s="37">
        <f t="shared" ref="X190" si="36">IF(X168="forecast",X187*(1+X188),X187+X192)</f>
        <v>7128502.067988866</v>
      </c>
    </row>
    <row r="192" spans="2:24">
      <c r="B192" s="4" t="s">
        <v>18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66871.989839443704</v>
      </c>
      <c r="R192" s="45">
        <f t="shared" si="37"/>
        <v>93598.103553939611</v>
      </c>
      <c r="S192" s="45">
        <f t="shared" si="37"/>
        <v>99633.683797838632</v>
      </c>
      <c r="T192" s="45">
        <f t="shared" si="37"/>
        <v>102108.42273918609</v>
      </c>
      <c r="U192" s="45">
        <f t="shared" si="37"/>
        <v>109094.35043724091</v>
      </c>
      <c r="V192" s="45">
        <f t="shared" si="37"/>
        <v>114161.11961885402</v>
      </c>
      <c r="X192" s="40">
        <f t="shared" ref="X192" si="38">X190-X187</f>
        <v>518595.68014705926</v>
      </c>
    </row>
    <row r="194" spans="1:24" s="1" customFormat="1">
      <c r="A194" s="2">
        <v>6</v>
      </c>
      <c r="B194" s="2" t="s">
        <v>74</v>
      </c>
    </row>
    <row r="196" spans="1:24">
      <c r="H196" s="190" t="s">
        <v>52</v>
      </c>
      <c r="I196" s="190"/>
      <c r="J196" s="190"/>
      <c r="K196" s="190"/>
      <c r="L196" s="190"/>
      <c r="M196" s="190" t="s">
        <v>53</v>
      </c>
      <c r="N196" s="190"/>
      <c r="O196" s="190"/>
      <c r="P196" s="190"/>
      <c r="Q196" s="190"/>
      <c r="R196" s="190" t="s">
        <v>54</v>
      </c>
      <c r="S196" s="190"/>
      <c r="T196" s="190"/>
      <c r="U196" s="190"/>
      <c r="V196" s="190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63</v>
      </c>
    </row>
    <row r="198" spans="1:24">
      <c r="D198" s="29" t="s">
        <v>55</v>
      </c>
      <c r="H198" s="16" t="s">
        <v>12</v>
      </c>
      <c r="I198" s="16" t="s">
        <v>12</v>
      </c>
      <c r="J198" s="16" t="s">
        <v>12</v>
      </c>
      <c r="K198" s="16" t="s">
        <v>12</v>
      </c>
      <c r="L198" s="16" t="s">
        <v>12</v>
      </c>
      <c r="M198" s="16" t="s">
        <v>12</v>
      </c>
      <c r="N198" s="16" t="s">
        <v>12</v>
      </c>
      <c r="O198" s="16" t="s">
        <v>12</v>
      </c>
      <c r="P198" s="16" t="s">
        <v>13</v>
      </c>
      <c r="Q198" s="16" t="s">
        <v>13</v>
      </c>
      <c r="R198" s="16" t="s">
        <v>13</v>
      </c>
      <c r="S198" s="16" t="s">
        <v>13</v>
      </c>
      <c r="T198" s="16" t="s">
        <v>13</v>
      </c>
      <c r="U198" s="16" t="s">
        <v>13</v>
      </c>
      <c r="V198" s="16" t="s">
        <v>13</v>
      </c>
      <c r="X198" s="34" t="s">
        <v>13</v>
      </c>
    </row>
    <row r="199" spans="1:24">
      <c r="B199" s="5" t="s">
        <v>94</v>
      </c>
      <c r="D199" s="31" t="s">
        <v>105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1</v>
      </c>
      <c r="Q199" s="10">
        <v>1</v>
      </c>
      <c r="R199" s="10">
        <v>1</v>
      </c>
      <c r="S199" s="10">
        <v>1</v>
      </c>
      <c r="T199" s="10">
        <v>1</v>
      </c>
      <c r="U199" s="10">
        <v>1</v>
      </c>
      <c r="V199" s="10">
        <v>1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46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Tariff D Connections</v>
      </c>
      <c r="D202" s="31" t="s">
        <v>60</v>
      </c>
      <c r="P202" s="45">
        <f>(-P53*(1+P$188))*P$199</f>
        <v>0</v>
      </c>
      <c r="Q202" s="45">
        <f t="shared" ref="Q202:V202" si="41">(-Q53*(1+Q$188))*Q$199</f>
        <v>-960384.4628394437</v>
      </c>
      <c r="R202" s="45">
        <f t="shared" si="41"/>
        <v>-1390495.0696597346</v>
      </c>
      <c r="S202" s="45">
        <f t="shared" si="41"/>
        <v>-1406080.5594343708</v>
      </c>
      <c r="T202" s="45">
        <f t="shared" si="41"/>
        <v>-1420884.4674814176</v>
      </c>
      <c r="U202" s="45">
        <f t="shared" si="41"/>
        <v>-1444142.2490364248</v>
      </c>
      <c r="V202" s="45">
        <f t="shared" si="41"/>
        <v>-1466899.722376918</v>
      </c>
      <c r="X202" s="40">
        <f t="shared" ref="X202" si="42">SUM(R202:V202)</f>
        <v>-7128502.0679888651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93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-960384.4628394437</v>
      </c>
      <c r="R218" s="37">
        <f t="shared" si="43"/>
        <v>-1390495.0696597346</v>
      </c>
      <c r="S218" s="37">
        <f t="shared" si="43"/>
        <v>-1406080.5594343708</v>
      </c>
      <c r="T218" s="37">
        <f t="shared" si="43"/>
        <v>-1420884.4674814176</v>
      </c>
      <c r="U218" s="37">
        <f t="shared" si="43"/>
        <v>-1444142.2490364248</v>
      </c>
      <c r="V218" s="37">
        <f t="shared" si="43"/>
        <v>-1466899.722376918</v>
      </c>
      <c r="X218" s="37">
        <f t="shared" ref="X218" si="44">SUM(R218:V218)</f>
        <v>-7128502.0679888651</v>
      </c>
    </row>
    <row r="220" spans="1:24" s="1" customFormat="1">
      <c r="A220" s="2">
        <v>7</v>
      </c>
      <c r="B220" s="2" t="s">
        <v>75</v>
      </c>
    </row>
    <row r="222" spans="1:24">
      <c r="H222" s="190" t="s">
        <v>52</v>
      </c>
      <c r="I222" s="190"/>
      <c r="J222" s="190"/>
      <c r="K222" s="190"/>
      <c r="L222" s="190"/>
      <c r="M222" s="190" t="s">
        <v>53</v>
      </c>
      <c r="N222" s="190"/>
      <c r="O222" s="190"/>
      <c r="P222" s="190"/>
      <c r="Q222" s="190"/>
      <c r="R222" s="190" t="s">
        <v>54</v>
      </c>
      <c r="S222" s="190"/>
      <c r="T222" s="190"/>
      <c r="U222" s="190"/>
      <c r="V222" s="190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63</v>
      </c>
    </row>
    <row r="224" spans="1:24">
      <c r="D224" s="29" t="s">
        <v>55</v>
      </c>
      <c r="H224" s="16" t="s">
        <v>12</v>
      </c>
      <c r="I224" s="16" t="s">
        <v>12</v>
      </c>
      <c r="J224" s="16" t="s">
        <v>12</v>
      </c>
      <c r="K224" s="16" t="s">
        <v>12</v>
      </c>
      <c r="L224" s="16" t="s">
        <v>12</v>
      </c>
      <c r="M224" s="16" t="s">
        <v>12</v>
      </c>
      <c r="N224" s="16" t="s">
        <v>12</v>
      </c>
      <c r="O224" s="16" t="s">
        <v>12</v>
      </c>
      <c r="P224" s="16" t="s">
        <v>13</v>
      </c>
      <c r="Q224" s="16" t="s">
        <v>13</v>
      </c>
      <c r="R224" s="16" t="s">
        <v>13</v>
      </c>
      <c r="S224" s="16" t="s">
        <v>13</v>
      </c>
      <c r="T224" s="16" t="s">
        <v>13</v>
      </c>
      <c r="U224" s="16" t="s">
        <v>13</v>
      </c>
      <c r="V224" s="16" t="s">
        <v>13</v>
      </c>
      <c r="X224" s="34" t="s">
        <v>13</v>
      </c>
    </row>
    <row r="225" spans="1:24">
      <c r="B225" s="38" t="s">
        <v>96</v>
      </c>
      <c r="D225" s="31"/>
      <c r="X225" s="40"/>
    </row>
    <row r="226" spans="1:24">
      <c r="B226" s="47" t="s">
        <v>97</v>
      </c>
      <c r="D226" s="31" t="s">
        <v>60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98</v>
      </c>
      <c r="D227" s="31" t="s">
        <v>60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99</v>
      </c>
      <c r="D228" s="31" t="s">
        <v>60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100</v>
      </c>
      <c r="D229" s="31" t="s">
        <v>60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101</v>
      </c>
      <c r="D230" s="31" t="s">
        <v>60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102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103</v>
      </c>
    </row>
    <row r="236" spans="1:24">
      <c r="H236" s="190" t="s">
        <v>52</v>
      </c>
      <c r="I236" s="190"/>
      <c r="J236" s="190"/>
      <c r="K236" s="190"/>
      <c r="L236" s="190"/>
      <c r="M236" s="190" t="s">
        <v>53</v>
      </c>
      <c r="N236" s="190"/>
      <c r="O236" s="190"/>
      <c r="P236" s="190"/>
      <c r="Q236" s="190"/>
      <c r="R236" s="190" t="s">
        <v>54</v>
      </c>
      <c r="S236" s="190"/>
      <c r="T236" s="190"/>
      <c r="U236" s="190"/>
      <c r="V236" s="190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63</v>
      </c>
    </row>
    <row r="238" spans="1:24">
      <c r="D238" s="29" t="s">
        <v>55</v>
      </c>
      <c r="H238" s="16" t="s">
        <v>12</v>
      </c>
      <c r="I238" s="16" t="s">
        <v>12</v>
      </c>
      <c r="J238" s="16" t="s">
        <v>12</v>
      </c>
      <c r="K238" s="16" t="s">
        <v>12</v>
      </c>
      <c r="L238" s="16" t="s">
        <v>12</v>
      </c>
      <c r="M238" s="16" t="s">
        <v>12</v>
      </c>
      <c r="N238" s="16" t="s">
        <v>12</v>
      </c>
      <c r="O238" s="16" t="s">
        <v>12</v>
      </c>
      <c r="P238" s="16" t="s">
        <v>13</v>
      </c>
      <c r="Q238" s="16" t="s">
        <v>13</v>
      </c>
      <c r="R238" s="16" t="s">
        <v>13</v>
      </c>
      <c r="S238" s="16" t="s">
        <v>13</v>
      </c>
      <c r="T238" s="16" t="s">
        <v>13</v>
      </c>
      <c r="U238" s="16" t="s">
        <v>13</v>
      </c>
      <c r="V238" s="16" t="s">
        <v>13</v>
      </c>
      <c r="X238" s="34" t="s">
        <v>13</v>
      </c>
    </row>
    <row r="239" spans="1:24">
      <c r="B239" s="4" t="s">
        <v>104</v>
      </c>
      <c r="D239" s="31" t="s">
        <v>60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960384.4628394437</v>
      </c>
      <c r="R239" s="45">
        <f t="shared" si="47"/>
        <v>1390495.0696597346</v>
      </c>
      <c r="S239" s="45">
        <f t="shared" si="47"/>
        <v>1406080.5594343708</v>
      </c>
      <c r="T239" s="45">
        <f t="shared" si="47"/>
        <v>1420884.4674814176</v>
      </c>
      <c r="U239" s="45">
        <f t="shared" si="47"/>
        <v>1444142.2490364248</v>
      </c>
      <c r="V239" s="45">
        <f t="shared" si="47"/>
        <v>1466899.722376918</v>
      </c>
      <c r="X239" s="40">
        <f t="shared" ref="X239:X241" si="48">SUM(R239:V239)</f>
        <v>7128502.0679888651</v>
      </c>
    </row>
    <row r="240" spans="1:24">
      <c r="B240" s="4" t="s">
        <v>74</v>
      </c>
      <c r="D240" s="31" t="s">
        <v>60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-960384.4628394437</v>
      </c>
      <c r="R240" s="45">
        <f t="shared" si="49"/>
        <v>-1390495.0696597346</v>
      </c>
      <c r="S240" s="45">
        <f t="shared" si="49"/>
        <v>-1406080.5594343708</v>
      </c>
      <c r="T240" s="45">
        <f t="shared" si="49"/>
        <v>-1420884.4674814176</v>
      </c>
      <c r="U240" s="45">
        <f t="shared" si="49"/>
        <v>-1444142.2490364248</v>
      </c>
      <c r="V240" s="45">
        <f t="shared" si="49"/>
        <v>-1466899.722376918</v>
      </c>
      <c r="X240" s="40">
        <f t="shared" si="48"/>
        <v>-7128502.0679888651</v>
      </c>
    </row>
    <row r="241" spans="1:24">
      <c r="B241" s="4" t="s">
        <v>75</v>
      </c>
      <c r="D241" s="31" t="s">
        <v>60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103</v>
      </c>
      <c r="D243" s="31" t="s">
        <v>60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0</v>
      </c>
      <c r="R243" s="37">
        <f t="shared" si="51"/>
        <v>0</v>
      </c>
      <c r="S243" s="37">
        <f t="shared" si="51"/>
        <v>0</v>
      </c>
      <c r="T243" s="37">
        <f t="shared" si="51"/>
        <v>0</v>
      </c>
      <c r="U243" s="37">
        <f t="shared" si="51"/>
        <v>0</v>
      </c>
      <c r="V243" s="37">
        <f t="shared" si="51"/>
        <v>0</v>
      </c>
      <c r="X243" s="37">
        <f t="shared" ref="X243" si="52">SUM(R243:V243)</f>
        <v>0</v>
      </c>
    </row>
    <row r="244" spans="1:24">
      <c r="D244" s="31"/>
    </row>
    <row r="246" spans="1:24" s="66" customFormat="1">
      <c r="A246" s="65">
        <v>9</v>
      </c>
      <c r="B246" s="65" t="s">
        <v>121</v>
      </c>
    </row>
    <row r="268" spans="2:22">
      <c r="B268" s="69" t="s">
        <v>120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333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3">IFERROR(SUMPRODUCT($Z$53:$Z$67,Q$53:Q$67)/SUM(Q$53:Q$67)*Q$69,0)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62">
        <f t="shared" si="53"/>
        <v>0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670134.35474999994</v>
      </c>
      <c r="R277" s="57">
        <f t="shared" si="54"/>
        <v>972672.72457934625</v>
      </c>
      <c r="S277" s="57">
        <f t="shared" si="54"/>
        <v>979835.15672739921</v>
      </c>
      <c r="T277" s="57">
        <f t="shared" si="54"/>
        <v>989082.03355667368</v>
      </c>
      <c r="U277" s="57">
        <f t="shared" si="54"/>
        <v>1001285.9239493879</v>
      </c>
      <c r="V277" s="62">
        <f t="shared" si="54"/>
        <v>1014553.952068548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44675.623650000001</v>
      </c>
      <c r="R278" s="57">
        <f t="shared" si="55"/>
        <v>64844.84830528975</v>
      </c>
      <c r="S278" s="57">
        <f t="shared" si="55"/>
        <v>65322.34378182661</v>
      </c>
      <c r="T278" s="57">
        <f t="shared" si="55"/>
        <v>65938.80223711158</v>
      </c>
      <c r="U278" s="57">
        <f t="shared" si="55"/>
        <v>66752.394929959191</v>
      </c>
      <c r="V278" s="62">
        <f t="shared" si="55"/>
        <v>67636.930137903197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0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178702.49460000001</v>
      </c>
      <c r="R281" s="57">
        <f t="shared" si="58"/>
        <v>259379.393221159</v>
      </c>
      <c r="S281" s="57">
        <f t="shared" si="58"/>
        <v>261289.37512730644</v>
      </c>
      <c r="T281" s="57">
        <f t="shared" si="58"/>
        <v>263755.20894844632</v>
      </c>
      <c r="U281" s="57">
        <f t="shared" si="58"/>
        <v>267009.57971983677</v>
      </c>
      <c r="V281" s="62">
        <f t="shared" si="58"/>
        <v>270547.72055161279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893512.47299999988</v>
      </c>
      <c r="R288" s="37">
        <f t="shared" si="64"/>
        <v>1296896.966105795</v>
      </c>
      <c r="S288" s="37">
        <f t="shared" si="64"/>
        <v>1306446.8756365322</v>
      </c>
      <c r="T288" s="37">
        <f t="shared" si="64"/>
        <v>1318776.0447422317</v>
      </c>
      <c r="U288" s="37">
        <f t="shared" si="64"/>
        <v>1335047.8985991839</v>
      </c>
      <c r="V288" s="64">
        <f t="shared" si="64"/>
        <v>1352738.6027580639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294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720288.34712958266</v>
      </c>
      <c r="R298" s="57">
        <f t="shared" si="65"/>
        <v>1042871.302244801</v>
      </c>
      <c r="S298" s="57">
        <f t="shared" si="65"/>
        <v>1054560.4195757781</v>
      </c>
      <c r="T298" s="57">
        <f t="shared" si="65"/>
        <v>1065663.3506110634</v>
      </c>
      <c r="U298" s="57">
        <f t="shared" si="65"/>
        <v>1083106.6867773186</v>
      </c>
      <c r="V298" s="62">
        <f t="shared" si="65"/>
        <v>1100174.7917826886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48019.223141972187</v>
      </c>
      <c r="R299" s="57">
        <f t="shared" si="65"/>
        <v>69524.753482986736</v>
      </c>
      <c r="S299" s="57">
        <f t="shared" si="65"/>
        <v>70304.027971718533</v>
      </c>
      <c r="T299" s="57">
        <f t="shared" si="65"/>
        <v>71044.223374070891</v>
      </c>
      <c r="U299" s="57">
        <f t="shared" si="65"/>
        <v>72207.112451821231</v>
      </c>
      <c r="V299" s="62">
        <f t="shared" si="65"/>
        <v>73344.986118845904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0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192076.89256788875</v>
      </c>
      <c r="R302" s="57">
        <f t="shared" si="65"/>
        <v>278099.01393194695</v>
      </c>
      <c r="S302" s="57">
        <f t="shared" si="65"/>
        <v>281216.11188687413</v>
      </c>
      <c r="T302" s="57">
        <f t="shared" si="65"/>
        <v>284176.89349628356</v>
      </c>
      <c r="U302" s="57">
        <f t="shared" si="65"/>
        <v>288828.44980728492</v>
      </c>
      <c r="V302" s="62">
        <f t="shared" si="65"/>
        <v>293379.94447538361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960384.46283944359</v>
      </c>
      <c r="R309" s="37">
        <f t="shared" si="66"/>
        <v>1390495.0696597346</v>
      </c>
      <c r="S309" s="37">
        <f t="shared" si="66"/>
        <v>1406080.5594343706</v>
      </c>
      <c r="T309" s="37">
        <f t="shared" si="66"/>
        <v>1420884.4674814178</v>
      </c>
      <c r="U309" s="37">
        <f t="shared" si="66"/>
        <v>1444142.2490364248</v>
      </c>
      <c r="V309" s="64">
        <f t="shared" si="66"/>
        <v>1466899.722376918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295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P297*(1-P$199)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0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0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0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0</v>
      </c>
      <c r="R330" s="37">
        <f t="shared" si="68"/>
        <v>0</v>
      </c>
      <c r="S330" s="37">
        <f t="shared" si="68"/>
        <v>0</v>
      </c>
      <c r="T330" s="37">
        <f t="shared" si="68"/>
        <v>0</v>
      </c>
      <c r="U330" s="37">
        <f t="shared" si="68"/>
        <v>0</v>
      </c>
      <c r="V330" s="64">
        <f t="shared" si="68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296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69">Q297*Q$199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P298*P$199</f>
        <v>0</v>
      </c>
      <c r="Q340" s="57">
        <f t="shared" si="69"/>
        <v>720288.34712958266</v>
      </c>
      <c r="R340" s="57">
        <f t="shared" si="69"/>
        <v>1042871.302244801</v>
      </c>
      <c r="S340" s="57">
        <f t="shared" si="69"/>
        <v>1054560.4195757781</v>
      </c>
      <c r="T340" s="57">
        <f t="shared" si="69"/>
        <v>1065663.3506110634</v>
      </c>
      <c r="U340" s="57">
        <f t="shared" si="69"/>
        <v>1083106.6867773186</v>
      </c>
      <c r="V340" s="62">
        <f t="shared" si="69"/>
        <v>1100174.7917826886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48019.223141972187</v>
      </c>
      <c r="R341" s="57">
        <f t="shared" si="69"/>
        <v>69524.753482986736</v>
      </c>
      <c r="S341" s="57">
        <f t="shared" si="69"/>
        <v>70304.027971718533</v>
      </c>
      <c r="T341" s="57">
        <f t="shared" si="69"/>
        <v>71044.223374070891</v>
      </c>
      <c r="U341" s="57">
        <f t="shared" si="69"/>
        <v>72207.112451821231</v>
      </c>
      <c r="V341" s="62">
        <f t="shared" si="69"/>
        <v>73344.986118845904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0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192076.89256788875</v>
      </c>
      <c r="R344" s="57">
        <f t="shared" si="69"/>
        <v>278099.01393194695</v>
      </c>
      <c r="S344" s="57">
        <f t="shared" si="69"/>
        <v>281216.11188687413</v>
      </c>
      <c r="T344" s="57">
        <f t="shared" si="69"/>
        <v>284176.89349628356</v>
      </c>
      <c r="U344" s="57">
        <f t="shared" si="69"/>
        <v>288828.44980728492</v>
      </c>
      <c r="V344" s="62">
        <f t="shared" si="69"/>
        <v>293379.94447538361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960384.46283944359</v>
      </c>
      <c r="R351" s="37">
        <f t="shared" si="71"/>
        <v>1390495.0696597346</v>
      </c>
      <c r="S351" s="37">
        <f t="shared" si="71"/>
        <v>1406080.5594343706</v>
      </c>
      <c r="T351" s="37">
        <f t="shared" si="71"/>
        <v>1420884.4674814178</v>
      </c>
      <c r="U351" s="37">
        <f t="shared" si="71"/>
        <v>1444142.2490364248</v>
      </c>
      <c r="V351" s="64">
        <f t="shared" si="71"/>
        <v>1466899.722376918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294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2">IFERROR(SUMPRODUCT($AM$53:$AM$67,Q$53:Q$67)/SUM(Q$53:Q$67)*Q$69,0)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3">IFERROR(SUMPRODUCT($AN$53:$AN$67,Q$53:Q$67)/SUM(Q$53:Q$67)*Q$69,0)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4">IFERROR(SUMPRODUCT($AO$53:$AO$67,Q$53:Q$67)/SUM(Q$53:Q$67)*Q$69,0)</f>
        <v>893512.473</v>
      </c>
      <c r="R364" s="57">
        <f t="shared" si="74"/>
        <v>1296896.966105795</v>
      </c>
      <c r="S364" s="57">
        <f t="shared" si="74"/>
        <v>1306446.8756365322</v>
      </c>
      <c r="T364" s="57">
        <f t="shared" si="74"/>
        <v>1318776.0447422315</v>
      </c>
      <c r="U364" s="57">
        <f t="shared" si="74"/>
        <v>1335047.8985991839</v>
      </c>
      <c r="V364" s="62">
        <f t="shared" si="74"/>
        <v>1352738.6027580639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5">IFERROR(SUMPRODUCT($AP$53:$AP$67,Q$53:Q$67)/SUM(Q$53:Q$67)*Q$69,0)</f>
        <v>0</v>
      </c>
      <c r="R365" s="57">
        <f t="shared" si="75"/>
        <v>0</v>
      </c>
      <c r="S365" s="57">
        <f t="shared" si="75"/>
        <v>0</v>
      </c>
      <c r="T365" s="57">
        <f t="shared" si="75"/>
        <v>0</v>
      </c>
      <c r="U365" s="57">
        <f t="shared" si="75"/>
        <v>0</v>
      </c>
      <c r="V365" s="62">
        <f t="shared" si="75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6">IFERROR(SUMPRODUCT($AQ$53:$AQ$67,Q$53:Q$67)/SUM(Q$53:Q$67)*Q$69,0)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77">IFERROR(SUMPRODUCT($AR$53:$AR$67,Q$53:Q$67)/SUM(Q$53:Q$67)*Q$69,0)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78">IFERROR(SUMPRODUCT($AS$53:$AS$67,Q$53:Q$67)/SUM(Q$53:Q$67)*Q$69,0)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79">IFERROR(SUMPRODUCT($AT$53:$AT$67,Q$53:Q$67)/SUM(Q$53:Q$67)*Q$69,0)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0">IFERROR(SUMPRODUCT($AU$53:$AU$67,Q$53:Q$67)/SUM(Q$53:Q$67)*Q$69,0)</f>
        <v>0</v>
      </c>
      <c r="R370" s="57">
        <f t="shared" si="80"/>
        <v>0</v>
      </c>
      <c r="S370" s="57">
        <f t="shared" si="80"/>
        <v>0</v>
      </c>
      <c r="T370" s="57">
        <f t="shared" si="80"/>
        <v>0</v>
      </c>
      <c r="U370" s="57">
        <f t="shared" si="80"/>
        <v>0</v>
      </c>
      <c r="V370" s="62">
        <f t="shared" si="80"/>
        <v>0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1">IFERROR(SUMPRODUCT($AV$53:$AV$67,Q$53:Q$67)/SUM(Q$53:Q$67)*Q$69,0)</f>
        <v>0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2">IFERROR(SUMPRODUCT($AW$53:$AW$67,Q$53:Q$67)/SUM(Q$53:Q$67)*Q$69,0)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3">Q218</f>
        <v>-960384.4628394437</v>
      </c>
      <c r="R373" s="57">
        <f t="shared" si="83"/>
        <v>-1390495.0696597346</v>
      </c>
      <c r="S373" s="57">
        <f t="shared" si="83"/>
        <v>-1406080.5594343708</v>
      </c>
      <c r="T373" s="57">
        <f t="shared" si="83"/>
        <v>-1420884.4674814176</v>
      </c>
      <c r="U373" s="57">
        <f t="shared" si="83"/>
        <v>-1444142.2490364248</v>
      </c>
      <c r="V373" s="62">
        <f t="shared" si="83"/>
        <v>-1466899.722376918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4">Q232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5">SUM(Q362:Q372)*Q188</f>
        <v>66871.989839443602</v>
      </c>
      <c r="R375" s="57">
        <f t="shared" si="85"/>
        <v>93598.103553939742</v>
      </c>
      <c r="S375" s="57">
        <f t="shared" si="85"/>
        <v>99633.683797838647</v>
      </c>
      <c r="T375" s="57">
        <f t="shared" si="85"/>
        <v>102108.42273918621</v>
      </c>
      <c r="U375" s="57">
        <f t="shared" si="85"/>
        <v>109094.35043724082</v>
      </c>
      <c r="V375" s="62">
        <f t="shared" si="85"/>
        <v>114161.11961885414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0</v>
      </c>
      <c r="R377" s="37">
        <f t="shared" si="86"/>
        <v>1.3096723705530167E-10</v>
      </c>
      <c r="S377" s="37">
        <f t="shared" si="86"/>
        <v>0</v>
      </c>
      <c r="T377" s="37">
        <f t="shared" si="86"/>
        <v>1.1641532182693481E-10</v>
      </c>
      <c r="U377" s="37">
        <f t="shared" si="86"/>
        <v>0</v>
      </c>
      <c r="V377" s="64">
        <f t="shared" si="86"/>
        <v>1.1641532182693481E-10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294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87">IFERROR(SUMPRODUCT($BB$53:$BB$67,Q$53:Q$67)/SUM(Q$53:Q$67)*Q$69*(1+Q$188),0)</f>
        <v>768307.57027155499</v>
      </c>
      <c r="R388" s="57">
        <f t="shared" si="87"/>
        <v>1112396.0557277878</v>
      </c>
      <c r="S388" s="57">
        <f t="shared" si="87"/>
        <v>1124864.4475474965</v>
      </c>
      <c r="T388" s="57">
        <f t="shared" si="87"/>
        <v>1136707.5739851343</v>
      </c>
      <c r="U388" s="57">
        <f t="shared" si="87"/>
        <v>1155313.7992291397</v>
      </c>
      <c r="V388" s="62">
        <f t="shared" si="87"/>
        <v>1173519.7779015345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88">IFERROR(SUMPRODUCT($BC$53:$BC$67,Q$53:Q$67)/SUM(Q$53:Q$67)*Q$69*(1+Q$188),0)</f>
        <v>0</v>
      </c>
      <c r="R389" s="57">
        <f t="shared" si="88"/>
        <v>0</v>
      </c>
      <c r="S389" s="57">
        <f t="shared" si="88"/>
        <v>0</v>
      </c>
      <c r="T389" s="57">
        <f t="shared" si="88"/>
        <v>0</v>
      </c>
      <c r="U389" s="57">
        <f t="shared" si="88"/>
        <v>0</v>
      </c>
      <c r="V389" s="62">
        <f t="shared" si="88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89">IFERROR(SUMPRODUCT($BD$53:$BD$67,Q$53:Q$67)/SUM(Q$53:Q$67)*Q$69*(1+Q$188),0)</f>
        <v>192076.89256788875</v>
      </c>
      <c r="R390" s="57">
        <f t="shared" si="89"/>
        <v>278099.01393194695</v>
      </c>
      <c r="S390" s="57">
        <f t="shared" si="89"/>
        <v>281216.11188687413</v>
      </c>
      <c r="T390" s="57">
        <f t="shared" si="89"/>
        <v>284176.89349628356</v>
      </c>
      <c r="U390" s="57">
        <f t="shared" si="89"/>
        <v>288828.44980728492</v>
      </c>
      <c r="V390" s="62">
        <f t="shared" si="89"/>
        <v>293379.94447538361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0">IFERROR(SUMPRODUCT($BE$53:$BE$67,Q$53:Q$67)/SUM(Q$53:Q$67)*Q$69*(1+Q$188),0)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62">
        <f t="shared" si="90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1">IFERROR(SUMPRODUCT($BF$53:$BF$67,Q$53:Q$67)/SUM(Q$53:Q$67)*Q$69*(1+Q$188),0)</f>
        <v>0</v>
      </c>
      <c r="R392" s="57">
        <f t="shared" si="91"/>
        <v>0</v>
      </c>
      <c r="S392" s="57">
        <f t="shared" si="91"/>
        <v>0</v>
      </c>
      <c r="T392" s="57">
        <f t="shared" si="91"/>
        <v>0</v>
      </c>
      <c r="U392" s="57">
        <f t="shared" si="91"/>
        <v>0</v>
      </c>
      <c r="V392" s="62">
        <f t="shared" si="91"/>
        <v>0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2">IFERROR(SUMPRODUCT($BG$53:$BG$67,Q$53:Q$67)/SUM(Q$53:Q$67)*Q$69*(1+Q$188),0)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62">
        <f t="shared" si="92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3">IFERROR(SUMPRODUCT($BH$53:$BH$67,Q$53:Q$67)/SUM(Q$53:Q$67)*Q$69*(1+Q$188),0)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62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960384.4628394437</v>
      </c>
      <c r="R396" s="37">
        <f t="shared" si="94"/>
        <v>1390495.0696597346</v>
      </c>
      <c r="S396" s="37">
        <f t="shared" si="94"/>
        <v>1406080.5594343706</v>
      </c>
      <c r="T396" s="37">
        <f t="shared" si="94"/>
        <v>1420884.4674814178</v>
      </c>
      <c r="U396" s="37">
        <f t="shared" si="94"/>
        <v>1444142.2490364246</v>
      </c>
      <c r="V396" s="64">
        <f t="shared" si="94"/>
        <v>1466899.722376918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48">
    <mergeCell ref="H28:L28"/>
    <mergeCell ref="M28:Q28"/>
    <mergeCell ref="R28:V28"/>
    <mergeCell ref="H50:L50"/>
    <mergeCell ref="M50:Q50"/>
    <mergeCell ref="R50:V50"/>
    <mergeCell ref="H74:L74"/>
    <mergeCell ref="M74:Q74"/>
    <mergeCell ref="R74:V74"/>
    <mergeCell ref="H97:L97"/>
    <mergeCell ref="M97:Q97"/>
    <mergeCell ref="R97:V97"/>
    <mergeCell ref="H120:L120"/>
    <mergeCell ref="M120:Q120"/>
    <mergeCell ref="R120:V120"/>
    <mergeCell ref="H143:L143"/>
    <mergeCell ref="M143:Q143"/>
    <mergeCell ref="R143:V143"/>
    <mergeCell ref="H166:L166"/>
    <mergeCell ref="M166:Q166"/>
    <mergeCell ref="R166:V166"/>
    <mergeCell ref="H196:L196"/>
    <mergeCell ref="M196:Q196"/>
    <mergeCell ref="R196:V196"/>
    <mergeCell ref="H222:L222"/>
    <mergeCell ref="M222:Q222"/>
    <mergeCell ref="R222:V222"/>
    <mergeCell ref="H236:L236"/>
    <mergeCell ref="M236:Q236"/>
    <mergeCell ref="R236:V23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36:L336"/>
    <mergeCell ref="M336:Q336"/>
    <mergeCell ref="R336:V336"/>
    <mergeCell ref="H359:L359"/>
    <mergeCell ref="M359:Q359"/>
    <mergeCell ref="R359:V359"/>
    <mergeCell ref="H385:L385"/>
    <mergeCell ref="M385:Q385"/>
    <mergeCell ref="R385:V385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B0F0"/>
  </sheetPr>
  <dimension ref="A1:BI399"/>
  <sheetViews>
    <sheetView topLeftCell="A325" workbookViewId="0">
      <selection activeCell="R339" sqref="Q339:R340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25" width="9.140625" style="4"/>
    <col min="26" max="26" width="14.28515625" style="4" customWidth="1"/>
    <col min="27" max="27" width="12.7109375" style="4" customWidth="1"/>
    <col min="28" max="16384" width="9.140625" style="4"/>
  </cols>
  <sheetData>
    <row r="1" spans="1:21" s="3" customFormat="1">
      <c r="A1" s="2" t="s">
        <v>2</v>
      </c>
    </row>
    <row r="2" spans="1:21" s="1" customFormat="1">
      <c r="A2" s="3" t="s">
        <v>211</v>
      </c>
    </row>
    <row r="3" spans="1:21" s="1" customFormat="1">
      <c r="A3" s="3" t="s">
        <v>95</v>
      </c>
    </row>
    <row r="4" spans="1:21" s="1" customFormat="1">
      <c r="A4" s="22" t="s">
        <v>43</v>
      </c>
    </row>
    <row r="6" spans="1:21" s="1" customFormat="1">
      <c r="A6" s="2">
        <v>2</v>
      </c>
      <c r="B6" s="2" t="s">
        <v>45</v>
      </c>
    </row>
    <row r="7" spans="1:21">
      <c r="O7" s="94"/>
      <c r="P7" s="94"/>
      <c r="Q7" s="94"/>
      <c r="R7" s="94"/>
      <c r="S7" s="94"/>
      <c r="T7" s="94"/>
      <c r="U7" s="94"/>
    </row>
    <row r="8" spans="1:21">
      <c r="O8" s="94"/>
      <c r="P8" s="95"/>
      <c r="Q8" s="95"/>
      <c r="R8" s="95"/>
      <c r="S8" s="95"/>
      <c r="T8" s="94"/>
      <c r="U8" s="94"/>
    </row>
    <row r="9" spans="1:21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  <c r="I9" s="94"/>
      <c r="J9" s="94"/>
      <c r="K9" s="94"/>
      <c r="L9" s="94"/>
      <c r="M9" s="94"/>
      <c r="O9" s="94"/>
      <c r="P9" s="94"/>
      <c r="Q9" s="94"/>
      <c r="R9" s="94"/>
      <c r="S9" s="94"/>
      <c r="T9" s="94"/>
      <c r="U9" s="94"/>
    </row>
    <row r="10" spans="1:21">
      <c r="B10" s="8" t="s">
        <v>212</v>
      </c>
      <c r="D10" s="10">
        <v>0.06</v>
      </c>
      <c r="E10" s="10">
        <v>0.54</v>
      </c>
      <c r="F10" s="26">
        <f>D10+E10</f>
        <v>0.60000000000000009</v>
      </c>
      <c r="G10" s="26">
        <f>1-F10</f>
        <v>0.39999999999999991</v>
      </c>
      <c r="I10" s="94"/>
      <c r="J10" s="94"/>
      <c r="K10" s="94"/>
      <c r="L10" s="94"/>
      <c r="M10" s="94"/>
      <c r="O10" s="94"/>
      <c r="P10" s="94"/>
      <c r="Q10" s="94"/>
      <c r="R10" s="94"/>
      <c r="S10" s="94"/>
      <c r="T10" s="94"/>
      <c r="U10" s="94"/>
    </row>
    <row r="11" spans="1:21">
      <c r="B11" s="8"/>
      <c r="D11" s="10"/>
      <c r="E11" s="10"/>
      <c r="F11" s="26"/>
      <c r="G11" s="26"/>
      <c r="I11" s="94"/>
      <c r="J11" s="94"/>
      <c r="K11" s="94"/>
      <c r="L11" s="94"/>
      <c r="M11" s="94"/>
      <c r="O11" s="94"/>
      <c r="P11" s="94"/>
      <c r="Q11" s="94"/>
      <c r="R11" s="94"/>
      <c r="S11" s="94"/>
      <c r="T11" s="94"/>
      <c r="U11" s="94"/>
    </row>
    <row r="12" spans="1:21">
      <c r="B12" s="8"/>
      <c r="D12" s="10"/>
      <c r="E12" s="10"/>
      <c r="F12" s="26"/>
      <c r="G12" s="26"/>
      <c r="I12" s="94"/>
      <c r="J12" s="94"/>
      <c r="K12" s="94"/>
      <c r="L12" s="94"/>
      <c r="M12" s="94"/>
      <c r="O12" s="94"/>
      <c r="P12" s="94"/>
      <c r="Q12" s="94"/>
      <c r="R12" s="94"/>
      <c r="S12" s="94"/>
      <c r="T12" s="94"/>
      <c r="U12" s="94"/>
    </row>
    <row r="13" spans="1:21">
      <c r="B13" s="8"/>
      <c r="D13" s="10"/>
      <c r="E13" s="10"/>
      <c r="F13" s="26"/>
      <c r="G13" s="26"/>
      <c r="I13" s="94"/>
      <c r="J13" s="94"/>
      <c r="K13" s="94"/>
      <c r="L13" s="94"/>
      <c r="M13" s="94"/>
      <c r="O13" s="94"/>
      <c r="P13" s="94"/>
      <c r="Q13" s="94"/>
      <c r="R13" s="94"/>
      <c r="S13" s="94"/>
      <c r="T13" s="94"/>
      <c r="U13" s="94"/>
    </row>
    <row r="14" spans="1:21">
      <c r="B14" s="8"/>
      <c r="D14" s="10"/>
      <c r="E14" s="10"/>
      <c r="F14" s="26"/>
      <c r="G14" s="26"/>
      <c r="I14" s="94"/>
      <c r="J14" s="94"/>
      <c r="K14" s="94"/>
      <c r="L14" s="94"/>
      <c r="M14" s="94"/>
    </row>
    <row r="15" spans="1:21">
      <c r="B15" s="8"/>
      <c r="D15" s="10"/>
      <c r="E15" s="10"/>
      <c r="F15" s="26"/>
      <c r="G15" s="26"/>
    </row>
    <row r="16" spans="1:21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203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87" t="s">
        <v>52</v>
      </c>
      <c r="I28" s="189"/>
      <c r="J28" s="189"/>
      <c r="K28" s="189"/>
      <c r="L28" s="188"/>
      <c r="M28" s="187" t="s">
        <v>53</v>
      </c>
      <c r="N28" s="189"/>
      <c r="O28" s="189"/>
      <c r="P28" s="189"/>
      <c r="Q28" s="188"/>
      <c r="R28" s="187" t="s">
        <v>54</v>
      </c>
      <c r="S28" s="189"/>
      <c r="T28" s="189"/>
      <c r="U28" s="189"/>
      <c r="V28" s="18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>IF(B10&lt;&gt;"",B10,"[blank]")</f>
        <v>Major alterations</v>
      </c>
      <c r="D31" s="31" t="s">
        <v>60</v>
      </c>
      <c r="E31" s="31"/>
      <c r="P31" s="77"/>
      <c r="Q31" s="33">
        <f>'AMP inputs'!U59*'General assumptions'!$S$21</f>
        <v>1181601.5321100773</v>
      </c>
      <c r="R31" s="33">
        <f>'AMP inputs'!V59*'General assumptions'!$S$21</f>
        <v>1181601.5321100773</v>
      </c>
      <c r="S31" s="33">
        <f>'AMP inputs'!W59*'General assumptions'!$S$21</f>
        <v>1181601.5321100773</v>
      </c>
      <c r="T31" s="33">
        <f>'AMP inputs'!X59*'General assumptions'!$S$21</f>
        <v>1181601.5321100773</v>
      </c>
      <c r="U31" s="33">
        <f>'AMP inputs'!Y59*'General assumptions'!$S$21</f>
        <v>1181601.5321100773</v>
      </c>
      <c r="V31" s="33">
        <f>'AMP inputs'!Z59*'General assumptions'!$S$21</f>
        <v>1181601.5321100773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61</v>
      </c>
    </row>
    <row r="49" spans="2:61">
      <c r="Z49" s="5" t="s">
        <v>73</v>
      </c>
      <c r="AM49" s="5" t="s">
        <v>110</v>
      </c>
      <c r="BB49" s="5" t="s">
        <v>133</v>
      </c>
    </row>
    <row r="50" spans="2:61">
      <c r="H50" s="190" t="s">
        <v>52</v>
      </c>
      <c r="I50" s="190"/>
      <c r="J50" s="190"/>
      <c r="K50" s="190"/>
      <c r="L50" s="190"/>
      <c r="M50" s="190" t="s">
        <v>53</v>
      </c>
      <c r="N50" s="190"/>
      <c r="O50" s="190"/>
      <c r="P50" s="190"/>
      <c r="Q50" s="190"/>
      <c r="R50" s="190" t="s">
        <v>54</v>
      </c>
      <c r="S50" s="190"/>
      <c r="T50" s="190"/>
      <c r="U50" s="190"/>
      <c r="V50" s="190"/>
      <c r="X50" s="38"/>
      <c r="Z50" s="39" t="s">
        <v>69</v>
      </c>
      <c r="AA50" s="39" t="s">
        <v>70</v>
      </c>
      <c r="AB50" s="39" t="s">
        <v>71</v>
      </c>
      <c r="AC50" s="39" t="s">
        <v>72</v>
      </c>
      <c r="AD50" s="39" t="s">
        <v>64</v>
      </c>
      <c r="AE50" s="39" t="s">
        <v>65</v>
      </c>
      <c r="AF50" s="39" t="s">
        <v>66</v>
      </c>
      <c r="AG50" s="39" t="s">
        <v>107</v>
      </c>
      <c r="AH50" s="39" t="s">
        <v>67</v>
      </c>
      <c r="AI50" s="39" t="s">
        <v>68</v>
      </c>
      <c r="AJ50" s="39" t="s">
        <v>108</v>
      </c>
      <c r="AM50" s="39" t="s">
        <v>111</v>
      </c>
      <c r="AN50" s="39" t="s">
        <v>112</v>
      </c>
      <c r="AO50" s="39" t="s">
        <v>113</v>
      </c>
      <c r="AP50" s="39" t="s">
        <v>114</v>
      </c>
      <c r="AQ50" s="39" t="s">
        <v>115</v>
      </c>
      <c r="AR50" s="39" t="s">
        <v>36</v>
      </c>
      <c r="AS50" s="39" t="s">
        <v>116</v>
      </c>
      <c r="AT50" s="39" t="s">
        <v>35</v>
      </c>
      <c r="AU50" s="39" t="s">
        <v>117</v>
      </c>
      <c r="AV50" s="39" t="s">
        <v>118</v>
      </c>
      <c r="AW50" s="39" t="s">
        <v>119</v>
      </c>
      <c r="AX50" s="39" t="s">
        <v>74</v>
      </c>
      <c r="AY50" s="39" t="s">
        <v>75</v>
      </c>
      <c r="BB50" s="39" t="s">
        <v>134</v>
      </c>
      <c r="BC50" s="39" t="s">
        <v>135</v>
      </c>
      <c r="BD50" s="39" t="s">
        <v>136</v>
      </c>
      <c r="BE50" s="39" t="s">
        <v>107</v>
      </c>
      <c r="BF50" s="39" t="s">
        <v>137</v>
      </c>
      <c r="BG50" s="39" t="s">
        <v>138</v>
      </c>
      <c r="BH50" s="39" t="s">
        <v>108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63</v>
      </c>
    </row>
    <row r="52" spans="2:61">
      <c r="B52" s="5" t="s">
        <v>46</v>
      </c>
      <c r="D52" s="29" t="s">
        <v>55</v>
      </c>
      <c r="H52" s="16" t="s">
        <v>12</v>
      </c>
      <c r="I52" s="16" t="s">
        <v>12</v>
      </c>
      <c r="J52" s="16" t="s">
        <v>12</v>
      </c>
      <c r="K52" s="16" t="s">
        <v>12</v>
      </c>
      <c r="L52" s="16" t="s">
        <v>12</v>
      </c>
      <c r="M52" s="16" t="s">
        <v>12</v>
      </c>
      <c r="N52" s="16" t="s">
        <v>12</v>
      </c>
      <c r="O52" s="16" t="s">
        <v>12</v>
      </c>
      <c r="P52" s="16" t="s">
        <v>13</v>
      </c>
      <c r="Q52" s="16" t="s">
        <v>13</v>
      </c>
      <c r="R52" s="16" t="s">
        <v>13</v>
      </c>
      <c r="S52" s="16" t="s">
        <v>13</v>
      </c>
      <c r="T52" s="16" t="s">
        <v>13</v>
      </c>
      <c r="U52" s="16" t="s">
        <v>13</v>
      </c>
      <c r="V52" s="16" t="s">
        <v>13</v>
      </c>
      <c r="X52" s="34" t="s">
        <v>13</v>
      </c>
    </row>
    <row r="53" spans="2:61">
      <c r="B53" s="4" t="str">
        <f t="shared" ref="B53:B67" si="1">IF(B10&lt;&gt;"",B10,"[blank]")</f>
        <v>Major alterations</v>
      </c>
      <c r="D53" s="31" t="s">
        <v>60</v>
      </c>
      <c r="O53" s="35"/>
      <c r="P53" s="35"/>
      <c r="Q53" s="175">
        <v>1634704.9739999997</v>
      </c>
      <c r="R53" s="35">
        <f>R31*($D10*'General assumptions'!U$35+$E10*'General assumptions'!U$36+$G10*'General assumptions'!U$42)</f>
        <v>1186571.369400962</v>
      </c>
      <c r="S53" s="35">
        <f>S31*($D10*'General assumptions'!V$35+$E10*'General assumptions'!V$36+$G10*'General assumptions'!V$42)</f>
        <v>1193133.5137330822</v>
      </c>
      <c r="T53" s="35">
        <f>T31*($D10*'General assumptions'!W$35+$E10*'General assumptions'!W$36+$G10*'General assumptions'!W$42)</f>
        <v>1201588.6896133644</v>
      </c>
      <c r="U53" s="35">
        <f>U31*($D10*'General assumptions'!X$35+$E10*'General assumptions'!X$36+$G10*'General assumptions'!X$42)</f>
        <v>1212711.869633341</v>
      </c>
      <c r="V53" s="35">
        <f>V31*($D10*'General assumptions'!Y$35+$E10*'General assumptions'!Y$36+$G10*'General assumptions'!Y$42)</f>
        <v>1224827.5812136193</v>
      </c>
      <c r="W53" s="35"/>
      <c r="X53" s="40">
        <f>SUM(R53:V53)</f>
        <v>6018833.0235943692</v>
      </c>
      <c r="Z53" s="10">
        <v>0.85</v>
      </c>
      <c r="AA53" s="10">
        <v>0.15</v>
      </c>
      <c r="AB53" s="10"/>
      <c r="AC53" s="10"/>
      <c r="AD53" s="10"/>
      <c r="AE53" s="10"/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>
        <v>1</v>
      </c>
      <c r="AV53" s="10"/>
      <c r="AW53" s="10"/>
      <c r="AX53" s="10"/>
      <c r="AY53" s="10"/>
      <c r="AZ53" s="41">
        <f t="shared" ref="AZ53:AZ67" si="3">SUM(AM53:AY53)</f>
        <v>1</v>
      </c>
      <c r="BB53" s="10">
        <v>1</v>
      </c>
      <c r="BC53" s="10"/>
      <c r="BD53" s="10"/>
      <c r="BE53" s="10"/>
      <c r="BF53" s="10"/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62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1634704.9739999997</v>
      </c>
      <c r="R69" s="37">
        <f t="shared" si="6"/>
        <v>1186571.369400962</v>
      </c>
      <c r="S69" s="37">
        <f t="shared" si="6"/>
        <v>1193133.5137330822</v>
      </c>
      <c r="T69" s="37">
        <f t="shared" si="6"/>
        <v>1201588.6896133644</v>
      </c>
      <c r="U69" s="37">
        <f t="shared" si="6"/>
        <v>1212711.869633341</v>
      </c>
      <c r="V69" s="37">
        <f t="shared" si="6"/>
        <v>1224827.5812136193</v>
      </c>
      <c r="X69" s="37">
        <f t="shared" si="5"/>
        <v>6018833.0235943692</v>
      </c>
    </row>
    <row r="71" spans="1:61">
      <c r="B71" s="5" t="s">
        <v>76</v>
      </c>
    </row>
    <row r="72" spans="1:61" s="1" customFormat="1">
      <c r="A72" s="4"/>
      <c r="B72" s="2" t="s">
        <v>77</v>
      </c>
    </row>
    <row r="74" spans="1:61">
      <c r="H74" s="190" t="s">
        <v>52</v>
      </c>
      <c r="I74" s="190"/>
      <c r="J74" s="190"/>
      <c r="K74" s="190"/>
      <c r="L74" s="190"/>
      <c r="M74" s="190" t="s">
        <v>53</v>
      </c>
      <c r="N74" s="190"/>
      <c r="O74" s="190"/>
      <c r="P74" s="190"/>
      <c r="Q74" s="190"/>
      <c r="R74" s="190" t="s">
        <v>54</v>
      </c>
      <c r="S74" s="190"/>
      <c r="T74" s="190"/>
      <c r="U74" s="190"/>
      <c r="V74" s="190"/>
      <c r="X74" s="38"/>
    </row>
    <row r="75" spans="1:61">
      <c r="B75" s="42" t="s">
        <v>79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63</v>
      </c>
    </row>
    <row r="76" spans="1:61">
      <c r="B76" s="5" t="s">
        <v>46</v>
      </c>
      <c r="D76" s="29" t="s">
        <v>55</v>
      </c>
      <c r="H76" s="16" t="s">
        <v>12</v>
      </c>
      <c r="I76" s="16" t="s">
        <v>12</v>
      </c>
      <c r="J76" s="16" t="s">
        <v>12</v>
      </c>
      <c r="K76" s="16" t="s">
        <v>12</v>
      </c>
      <c r="L76" s="16" t="s">
        <v>12</v>
      </c>
      <c r="M76" s="16" t="s">
        <v>12</v>
      </c>
      <c r="N76" s="16" t="s">
        <v>12</v>
      </c>
      <c r="O76" s="16" t="s">
        <v>12</v>
      </c>
      <c r="P76" s="16" t="s">
        <v>13</v>
      </c>
      <c r="Q76" s="16" t="s">
        <v>13</v>
      </c>
      <c r="R76" s="16" t="s">
        <v>13</v>
      </c>
      <c r="S76" s="16" t="s">
        <v>13</v>
      </c>
      <c r="T76" s="16" t="s">
        <v>13</v>
      </c>
      <c r="U76" s="16" t="s">
        <v>13</v>
      </c>
      <c r="V76" s="16" t="s">
        <v>13</v>
      </c>
      <c r="X76" s="34" t="s">
        <v>13</v>
      </c>
    </row>
    <row r="77" spans="1:61">
      <c r="B77" s="4" t="str">
        <f t="shared" ref="B77:B91" si="7">IF(B10&lt;&gt;"",B10,"[blank]")</f>
        <v>Major alterations</v>
      </c>
      <c r="D77" s="31" t="s">
        <v>60</v>
      </c>
      <c r="O77" s="35"/>
      <c r="P77" s="35">
        <f t="shared" ref="P77:V77" si="8">$D10*P53</f>
        <v>0</v>
      </c>
      <c r="Q77" s="35">
        <f t="shared" si="8"/>
        <v>98082.298439999984</v>
      </c>
      <c r="R77" s="35">
        <f t="shared" si="8"/>
        <v>71194.282164057717</v>
      </c>
      <c r="S77" s="35">
        <f t="shared" si="8"/>
        <v>71588.010823984936</v>
      </c>
      <c r="T77" s="35">
        <f t="shared" si="8"/>
        <v>72095.321376801861</v>
      </c>
      <c r="U77" s="35">
        <f t="shared" si="8"/>
        <v>72762.712178000453</v>
      </c>
      <c r="V77" s="35">
        <f t="shared" si="8"/>
        <v>73489.654872817162</v>
      </c>
      <c r="X77" s="40">
        <f>SUM(R77:V77)</f>
        <v>361129.98141566216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78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98082.298439999984</v>
      </c>
      <c r="R93" s="37">
        <f t="shared" si="10"/>
        <v>71194.282164057717</v>
      </c>
      <c r="S93" s="37">
        <f t="shared" si="10"/>
        <v>71588.010823984936</v>
      </c>
      <c r="T93" s="37">
        <f t="shared" si="10"/>
        <v>72095.321376801861</v>
      </c>
      <c r="U93" s="37">
        <f t="shared" si="10"/>
        <v>72762.712178000453</v>
      </c>
      <c r="V93" s="37">
        <f t="shared" si="10"/>
        <v>73489.654872817162</v>
      </c>
      <c r="X93" s="37">
        <f t="shared" ref="X93" si="11">SUM(R93:V93)</f>
        <v>361129.98141566216</v>
      </c>
    </row>
    <row r="95" spans="1:24" s="1" customFormat="1">
      <c r="A95" s="4"/>
      <c r="B95" s="2" t="s">
        <v>80</v>
      </c>
    </row>
    <row r="97" spans="2:24">
      <c r="H97" s="190" t="s">
        <v>52</v>
      </c>
      <c r="I97" s="190"/>
      <c r="J97" s="190"/>
      <c r="K97" s="190"/>
      <c r="L97" s="190"/>
      <c r="M97" s="190" t="s">
        <v>53</v>
      </c>
      <c r="N97" s="190"/>
      <c r="O97" s="190"/>
      <c r="P97" s="190"/>
      <c r="Q97" s="190"/>
      <c r="R97" s="190" t="s">
        <v>54</v>
      </c>
      <c r="S97" s="190"/>
      <c r="T97" s="190"/>
      <c r="U97" s="190"/>
      <c r="V97" s="190"/>
      <c r="X97" s="38"/>
    </row>
    <row r="98" spans="2:24">
      <c r="B98" s="43" t="s">
        <v>81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63</v>
      </c>
    </row>
    <row r="99" spans="2:24">
      <c r="B99" s="5" t="s">
        <v>46</v>
      </c>
      <c r="D99" s="29" t="s">
        <v>55</v>
      </c>
      <c r="H99" s="16" t="s">
        <v>12</v>
      </c>
      <c r="I99" s="16" t="s">
        <v>12</v>
      </c>
      <c r="J99" s="16" t="s">
        <v>12</v>
      </c>
      <c r="K99" s="16" t="s">
        <v>12</v>
      </c>
      <c r="L99" s="16" t="s">
        <v>12</v>
      </c>
      <c r="M99" s="16" t="s">
        <v>12</v>
      </c>
      <c r="N99" s="16" t="s">
        <v>12</v>
      </c>
      <c r="O99" s="16" t="s">
        <v>12</v>
      </c>
      <c r="P99" s="16" t="s">
        <v>13</v>
      </c>
      <c r="Q99" s="16" t="s">
        <v>13</v>
      </c>
      <c r="R99" s="16" t="s">
        <v>13</v>
      </c>
      <c r="S99" s="16" t="s">
        <v>13</v>
      </c>
      <c r="T99" s="16" t="s">
        <v>13</v>
      </c>
      <c r="U99" s="16" t="s">
        <v>13</v>
      </c>
      <c r="V99" s="16" t="s">
        <v>13</v>
      </c>
      <c r="X99" s="34" t="s">
        <v>13</v>
      </c>
    </row>
    <row r="100" spans="2:24">
      <c r="B100" s="4" t="str">
        <f t="shared" ref="B100:B114" si="12">IF(B10&lt;&gt;"",B10,"[blank]")</f>
        <v>Major alterations</v>
      </c>
      <c r="D100" s="31" t="s">
        <v>60</v>
      </c>
      <c r="O100" s="35"/>
      <c r="P100" s="35">
        <f t="shared" ref="P100:V100" si="13">$E10*P53</f>
        <v>0</v>
      </c>
      <c r="Q100" s="35">
        <f t="shared" si="13"/>
        <v>882740.68595999992</v>
      </c>
      <c r="R100" s="35">
        <f t="shared" si="13"/>
        <v>640748.53947651957</v>
      </c>
      <c r="S100" s="35">
        <f t="shared" si="13"/>
        <v>644292.09741586447</v>
      </c>
      <c r="T100" s="35">
        <f t="shared" si="13"/>
        <v>648857.89239121682</v>
      </c>
      <c r="U100" s="35">
        <f t="shared" si="13"/>
        <v>654864.40960200422</v>
      </c>
      <c r="V100" s="35">
        <f t="shared" si="13"/>
        <v>661406.89385535452</v>
      </c>
      <c r="X100" s="40">
        <f>SUM(R100:V100)</f>
        <v>3250169.8327409597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82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882740.68595999992</v>
      </c>
      <c r="R116" s="37">
        <f t="shared" si="15"/>
        <v>640748.53947651957</v>
      </c>
      <c r="S116" s="37">
        <f t="shared" si="15"/>
        <v>644292.09741586447</v>
      </c>
      <c r="T116" s="37">
        <f t="shared" si="15"/>
        <v>648857.89239121682</v>
      </c>
      <c r="U116" s="37">
        <f t="shared" si="15"/>
        <v>654864.40960200422</v>
      </c>
      <c r="V116" s="37">
        <f t="shared" si="15"/>
        <v>661406.89385535452</v>
      </c>
      <c r="X116" s="37">
        <f t="shared" ref="X116" si="16">SUM(R116:V116)</f>
        <v>3250169.8327409597</v>
      </c>
    </row>
    <row r="118" spans="1:24" s="1" customFormat="1">
      <c r="A118" s="4"/>
      <c r="B118" s="2" t="s">
        <v>83</v>
      </c>
    </row>
    <row r="120" spans="1:24">
      <c r="H120" s="190" t="s">
        <v>52</v>
      </c>
      <c r="I120" s="190"/>
      <c r="J120" s="190"/>
      <c r="K120" s="190"/>
      <c r="L120" s="190"/>
      <c r="M120" s="190" t="s">
        <v>53</v>
      </c>
      <c r="N120" s="190"/>
      <c r="O120" s="190"/>
      <c r="P120" s="190"/>
      <c r="Q120" s="190"/>
      <c r="R120" s="190" t="s">
        <v>54</v>
      </c>
      <c r="S120" s="190"/>
      <c r="T120" s="190"/>
      <c r="U120" s="190"/>
      <c r="V120" s="190"/>
      <c r="X120" s="38"/>
    </row>
    <row r="121" spans="1:24">
      <c r="B121" s="43" t="s">
        <v>84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63</v>
      </c>
    </row>
    <row r="122" spans="1:24">
      <c r="B122" s="5" t="s">
        <v>46</v>
      </c>
      <c r="D122" s="29" t="s">
        <v>55</v>
      </c>
      <c r="H122" s="16" t="s">
        <v>12</v>
      </c>
      <c r="I122" s="16" t="s">
        <v>12</v>
      </c>
      <c r="J122" s="16" t="s">
        <v>12</v>
      </c>
      <c r="K122" s="16" t="s">
        <v>12</v>
      </c>
      <c r="L122" s="16" t="s">
        <v>12</v>
      </c>
      <c r="M122" s="16" t="s">
        <v>12</v>
      </c>
      <c r="N122" s="16" t="s">
        <v>12</v>
      </c>
      <c r="O122" s="16" t="s">
        <v>12</v>
      </c>
      <c r="P122" s="16" t="s">
        <v>13</v>
      </c>
      <c r="Q122" s="16" t="s">
        <v>13</v>
      </c>
      <c r="R122" s="16" t="s">
        <v>13</v>
      </c>
      <c r="S122" s="16" t="s">
        <v>13</v>
      </c>
      <c r="T122" s="16" t="s">
        <v>13</v>
      </c>
      <c r="U122" s="16" t="s">
        <v>13</v>
      </c>
      <c r="V122" s="16" t="s">
        <v>13</v>
      </c>
      <c r="X122" s="34" t="s">
        <v>13</v>
      </c>
    </row>
    <row r="123" spans="1:24">
      <c r="B123" s="4" t="str">
        <f t="shared" ref="B123:B137" si="17">IF(B10&lt;&gt;"",B10,"[blank]")</f>
        <v>Major alterations</v>
      </c>
      <c r="D123" s="31" t="s">
        <v>60</v>
      </c>
      <c r="O123" s="35"/>
      <c r="P123" s="35">
        <f>P77+P100</f>
        <v>0</v>
      </c>
      <c r="Q123" s="35">
        <f t="shared" ref="Q123:V123" si="18">Q77+Q100</f>
        <v>980822.98439999996</v>
      </c>
      <c r="R123" s="35">
        <f t="shared" si="18"/>
        <v>711942.82164057728</v>
      </c>
      <c r="S123" s="35">
        <f t="shared" si="18"/>
        <v>715880.10823984945</v>
      </c>
      <c r="T123" s="35">
        <f t="shared" si="18"/>
        <v>720953.21376801864</v>
      </c>
      <c r="U123" s="35">
        <f t="shared" si="18"/>
        <v>727627.1217800047</v>
      </c>
      <c r="V123" s="35">
        <f t="shared" si="18"/>
        <v>734896.54872817174</v>
      </c>
      <c r="X123" s="40">
        <f>SUM(R123:V123)</f>
        <v>3611299.8141566222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85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980822.98439999996</v>
      </c>
      <c r="R139" s="37">
        <f t="shared" si="20"/>
        <v>711942.82164057728</v>
      </c>
      <c r="S139" s="37">
        <f t="shared" si="20"/>
        <v>715880.10823984945</v>
      </c>
      <c r="T139" s="37">
        <f t="shared" si="20"/>
        <v>720953.21376801864</v>
      </c>
      <c r="U139" s="37">
        <f t="shared" si="20"/>
        <v>727627.1217800047</v>
      </c>
      <c r="V139" s="37">
        <f t="shared" si="20"/>
        <v>734896.54872817174</v>
      </c>
      <c r="X139" s="37">
        <f t="shared" ref="X139" si="21">SUM(R139:V139)</f>
        <v>3611299.8141566222</v>
      </c>
    </row>
    <row r="141" spans="1:24" s="1" customFormat="1">
      <c r="A141" s="4"/>
      <c r="B141" s="2" t="s">
        <v>86</v>
      </c>
    </row>
    <row r="143" spans="1:24">
      <c r="H143" s="190" t="s">
        <v>52</v>
      </c>
      <c r="I143" s="190"/>
      <c r="J143" s="190"/>
      <c r="K143" s="190"/>
      <c r="L143" s="190"/>
      <c r="M143" s="190" t="s">
        <v>53</v>
      </c>
      <c r="N143" s="190"/>
      <c r="O143" s="190"/>
      <c r="P143" s="190"/>
      <c r="Q143" s="190"/>
      <c r="R143" s="190" t="s">
        <v>54</v>
      </c>
      <c r="S143" s="190"/>
      <c r="T143" s="190"/>
      <c r="U143" s="190"/>
      <c r="V143" s="190"/>
      <c r="X143" s="38"/>
    </row>
    <row r="144" spans="1:24">
      <c r="B144" s="44" t="s">
        <v>50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63</v>
      </c>
    </row>
    <row r="145" spans="2:24">
      <c r="B145" s="5" t="s">
        <v>46</v>
      </c>
      <c r="D145" s="29" t="s">
        <v>55</v>
      </c>
      <c r="H145" s="16" t="s">
        <v>12</v>
      </c>
      <c r="I145" s="16" t="s">
        <v>12</v>
      </c>
      <c r="J145" s="16" t="s">
        <v>12</v>
      </c>
      <c r="K145" s="16" t="s">
        <v>12</v>
      </c>
      <c r="L145" s="16" t="s">
        <v>12</v>
      </c>
      <c r="M145" s="16" t="s">
        <v>12</v>
      </c>
      <c r="N145" s="16" t="s">
        <v>12</v>
      </c>
      <c r="O145" s="16" t="s">
        <v>12</v>
      </c>
      <c r="P145" s="16" t="s">
        <v>13</v>
      </c>
      <c r="Q145" s="16" t="s">
        <v>13</v>
      </c>
      <c r="R145" s="16" t="s">
        <v>13</v>
      </c>
      <c r="S145" s="16" t="s">
        <v>13</v>
      </c>
      <c r="T145" s="16" t="s">
        <v>13</v>
      </c>
      <c r="U145" s="16" t="s">
        <v>13</v>
      </c>
      <c r="V145" s="16" t="s">
        <v>13</v>
      </c>
      <c r="X145" s="34" t="s">
        <v>13</v>
      </c>
    </row>
    <row r="146" spans="2:24">
      <c r="B146" s="4" t="str">
        <f t="shared" ref="B146:B160" si="22">IF(B10&lt;&gt;"",B10,"[blank]")</f>
        <v>Major alterations</v>
      </c>
      <c r="D146" s="31" t="s">
        <v>60</v>
      </c>
      <c r="O146" s="35"/>
      <c r="P146" s="35">
        <f t="shared" ref="P146:V146" si="23">$G10*P53</f>
        <v>0</v>
      </c>
      <c r="Q146" s="35">
        <f t="shared" si="23"/>
        <v>653881.98959999974</v>
      </c>
      <c r="R146" s="35">
        <f t="shared" si="23"/>
        <v>474628.54776038468</v>
      </c>
      <c r="S146" s="35">
        <f t="shared" si="23"/>
        <v>477253.40549323277</v>
      </c>
      <c r="T146" s="35">
        <f t="shared" si="23"/>
        <v>480635.47584534565</v>
      </c>
      <c r="U146" s="35">
        <f t="shared" si="23"/>
        <v>485084.74785333627</v>
      </c>
      <c r="V146" s="35">
        <f t="shared" si="23"/>
        <v>489931.03248544765</v>
      </c>
      <c r="X146" s="40">
        <f>SUM(R146:V146)</f>
        <v>2407533.2094377475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87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653881.98959999974</v>
      </c>
      <c r="R162" s="37">
        <f t="shared" si="25"/>
        <v>474628.54776038468</v>
      </c>
      <c r="S162" s="37">
        <f t="shared" si="25"/>
        <v>477253.40549323277</v>
      </c>
      <c r="T162" s="37">
        <f t="shared" si="25"/>
        <v>480635.47584534565</v>
      </c>
      <c r="U162" s="37">
        <f t="shared" si="25"/>
        <v>485084.74785333627</v>
      </c>
      <c r="V162" s="37">
        <f t="shared" si="25"/>
        <v>489931.03248544765</v>
      </c>
      <c r="X162" s="37">
        <f t="shared" ref="X162" si="26">SUM(R162:V162)</f>
        <v>2407533.2094377475</v>
      </c>
    </row>
    <row r="164" spans="1:24" s="1" customFormat="1">
      <c r="A164" s="2">
        <v>5</v>
      </c>
      <c r="B164" s="2" t="s">
        <v>89</v>
      </c>
    </row>
    <row r="166" spans="1:24">
      <c r="H166" s="190" t="s">
        <v>52</v>
      </c>
      <c r="I166" s="190"/>
      <c r="J166" s="190"/>
      <c r="K166" s="190"/>
      <c r="L166" s="190"/>
      <c r="M166" s="190" t="s">
        <v>53</v>
      </c>
      <c r="N166" s="190"/>
      <c r="O166" s="190"/>
      <c r="P166" s="190"/>
      <c r="Q166" s="190"/>
      <c r="R166" s="190" t="s">
        <v>54</v>
      </c>
      <c r="S166" s="190"/>
      <c r="T166" s="190"/>
      <c r="U166" s="190"/>
      <c r="V166" s="190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63</v>
      </c>
    </row>
    <row r="168" spans="1:24">
      <c r="B168" s="5" t="s">
        <v>46</v>
      </c>
      <c r="D168" s="29" t="s">
        <v>55</v>
      </c>
      <c r="H168" s="16" t="s">
        <v>12</v>
      </c>
      <c r="I168" s="16" t="s">
        <v>12</v>
      </c>
      <c r="J168" s="16" t="s">
        <v>12</v>
      </c>
      <c r="K168" s="16" t="s">
        <v>12</v>
      </c>
      <c r="L168" s="16" t="s">
        <v>12</v>
      </c>
      <c r="M168" s="16" t="s">
        <v>12</v>
      </c>
      <c r="N168" s="16" t="s">
        <v>12</v>
      </c>
      <c r="O168" s="16" t="s">
        <v>12</v>
      </c>
      <c r="P168" s="16" t="s">
        <v>13</v>
      </c>
      <c r="Q168" s="16" t="s">
        <v>13</v>
      </c>
      <c r="R168" s="16" t="s">
        <v>13</v>
      </c>
      <c r="S168" s="16" t="s">
        <v>13</v>
      </c>
      <c r="T168" s="16" t="s">
        <v>13</v>
      </c>
      <c r="U168" s="16" t="s">
        <v>13</v>
      </c>
      <c r="V168" s="16" t="s">
        <v>13</v>
      </c>
      <c r="X168" s="34" t="s">
        <v>13</v>
      </c>
    </row>
    <row r="169" spans="1:24">
      <c r="B169" s="4" t="str">
        <f t="shared" ref="B169:B183" si="27">IF(B10&lt;&gt;"",B10,"[blank]")</f>
        <v>Major alterations</v>
      </c>
      <c r="D169" s="31" t="s">
        <v>60</v>
      </c>
      <c r="O169" s="35"/>
      <c r="P169" s="35">
        <f>P53*P$188</f>
        <v>0</v>
      </c>
      <c r="Q169" s="35">
        <f t="shared" ref="Q169:V169" si="28">Q53*Q$188</f>
        <v>122344.09447557414</v>
      </c>
      <c r="R169" s="35">
        <f t="shared" si="28"/>
        <v>85635.815959084823</v>
      </c>
      <c r="S169" s="35">
        <f t="shared" si="28"/>
        <v>90992.055974696035</v>
      </c>
      <c r="T169" s="35">
        <f t="shared" si="28"/>
        <v>93034.997387784446</v>
      </c>
      <c r="U169" s="35">
        <f t="shared" si="28"/>
        <v>99097.578314604805</v>
      </c>
      <c r="V169" s="35">
        <f t="shared" si="28"/>
        <v>103366.37671632103</v>
      </c>
      <c r="X169" s="40">
        <f>SUM(R169:V169)</f>
        <v>472126.82435249112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88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122344.09447557414</v>
      </c>
      <c r="R185" s="37">
        <f t="shared" si="30"/>
        <v>85635.815959084823</v>
      </c>
      <c r="S185" s="37">
        <f t="shared" si="30"/>
        <v>90992.055974696035</v>
      </c>
      <c r="T185" s="37">
        <f t="shared" si="30"/>
        <v>93034.997387784446</v>
      </c>
      <c r="U185" s="37">
        <f t="shared" si="30"/>
        <v>99097.578314604805</v>
      </c>
      <c r="V185" s="37">
        <f t="shared" si="30"/>
        <v>103366.37671632103</v>
      </c>
      <c r="X185" s="37">
        <f t="shared" ref="X185" si="31">SUM(R185:V185)</f>
        <v>472126.82435249112</v>
      </c>
    </row>
    <row r="187" spans="2:24">
      <c r="B187" s="4" t="s">
        <v>92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1634704.9739999997</v>
      </c>
      <c r="R187" s="45">
        <f t="shared" si="32"/>
        <v>1186571.369400962</v>
      </c>
      <c r="S187" s="45">
        <f t="shared" si="32"/>
        <v>1193133.5137330822</v>
      </c>
      <c r="T187" s="45">
        <f t="shared" si="32"/>
        <v>1201588.6896133644</v>
      </c>
      <c r="U187" s="45">
        <f t="shared" si="32"/>
        <v>1212711.869633341</v>
      </c>
      <c r="V187" s="45">
        <f t="shared" si="32"/>
        <v>1224827.5812136193</v>
      </c>
      <c r="W187" s="45"/>
      <c r="X187" s="40">
        <f t="shared" si="32"/>
        <v>6018833.0235943692</v>
      </c>
    </row>
    <row r="188" spans="2:24">
      <c r="B188" s="4" t="s">
        <v>90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assumptions'!S68</f>
        <v>0</v>
      </c>
      <c r="Q188" s="21">
        <f>'General assumptions'!T68</f>
        <v>7.4841697077734692E-2</v>
      </c>
      <c r="R188" s="21">
        <f>'General assumptions'!U68</f>
        <v>7.2170809247081261E-2</v>
      </c>
      <c r="S188" s="21">
        <f>'General assumptions'!V68</f>
        <v>7.6263096231367788E-2</v>
      </c>
      <c r="T188" s="21">
        <f>'General assumptions'!W68</f>
        <v>7.7426658716070601E-2</v>
      </c>
      <c r="U188" s="21">
        <f>'General assumptions'!X68</f>
        <v>8.1715682674538839E-2</v>
      </c>
      <c r="V188" s="21">
        <f>'General assumptions'!Y68</f>
        <v>8.4392593946897035E-2</v>
      </c>
      <c r="W188" s="21"/>
      <c r="X188" s="75">
        <f>X185/X187</f>
        <v>7.844158867702615E-2</v>
      </c>
    </row>
    <row r="190" spans="2:24" ht="12.75" thickBot="1">
      <c r="B190" s="5" t="s">
        <v>91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>IF(Q168="forecast",Q187*(1+Q188),Q187+Q192)</f>
        <v>1757049.068475574</v>
      </c>
      <c r="R190" s="37">
        <f t="shared" ref="R190:V190" si="35">IF(R168="forecast",R187*(1+R188),R187+R192)</f>
        <v>1272207.1853600468</v>
      </c>
      <c r="S190" s="37">
        <f t="shared" si="35"/>
        <v>1284125.5697077783</v>
      </c>
      <c r="T190" s="37">
        <f t="shared" si="35"/>
        <v>1294623.6870011489</v>
      </c>
      <c r="U190" s="37">
        <f t="shared" si="35"/>
        <v>1311809.4479479459</v>
      </c>
      <c r="V190" s="37">
        <f t="shared" si="35"/>
        <v>1328193.9579299404</v>
      </c>
      <c r="X190" s="37">
        <f t="shared" ref="X190" si="36">IF(X168="forecast",X187*(1+X188),X187+X192)</f>
        <v>6490959.8479468608</v>
      </c>
    </row>
    <row r="192" spans="2:24">
      <c r="B192" s="4" t="s">
        <v>18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122344.09447557433</v>
      </c>
      <c r="R192" s="45">
        <f t="shared" si="37"/>
        <v>85635.815959084779</v>
      </c>
      <c r="S192" s="45">
        <f t="shared" si="37"/>
        <v>90992.055974696064</v>
      </c>
      <c r="T192" s="45">
        <f t="shared" si="37"/>
        <v>93034.997387784533</v>
      </c>
      <c r="U192" s="45">
        <f t="shared" si="37"/>
        <v>99097.578314604936</v>
      </c>
      <c r="V192" s="45">
        <f t="shared" si="37"/>
        <v>103366.3767163211</v>
      </c>
      <c r="X192" s="40">
        <f t="shared" ref="X192" si="38">X190-X187</f>
        <v>472126.82435249165</v>
      </c>
    </row>
    <row r="194" spans="1:24" s="1" customFormat="1">
      <c r="A194" s="2">
        <v>6</v>
      </c>
      <c r="B194" s="2" t="s">
        <v>74</v>
      </c>
    </row>
    <row r="196" spans="1:24">
      <c r="H196" s="190" t="s">
        <v>52</v>
      </c>
      <c r="I196" s="190"/>
      <c r="J196" s="190"/>
      <c r="K196" s="190"/>
      <c r="L196" s="190"/>
      <c r="M196" s="190" t="s">
        <v>53</v>
      </c>
      <c r="N196" s="190"/>
      <c r="O196" s="190"/>
      <c r="P196" s="190"/>
      <c r="Q196" s="190"/>
      <c r="R196" s="190" t="s">
        <v>54</v>
      </c>
      <c r="S196" s="190"/>
      <c r="T196" s="190"/>
      <c r="U196" s="190"/>
      <c r="V196" s="190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63</v>
      </c>
    </row>
    <row r="198" spans="1:24">
      <c r="D198" s="29" t="s">
        <v>55</v>
      </c>
      <c r="H198" s="16" t="s">
        <v>12</v>
      </c>
      <c r="I198" s="16" t="s">
        <v>12</v>
      </c>
      <c r="J198" s="16" t="s">
        <v>12</v>
      </c>
      <c r="K198" s="16" t="s">
        <v>12</v>
      </c>
      <c r="L198" s="16" t="s">
        <v>12</v>
      </c>
      <c r="M198" s="16" t="s">
        <v>12</v>
      </c>
      <c r="N198" s="16" t="s">
        <v>12</v>
      </c>
      <c r="O198" s="16" t="s">
        <v>12</v>
      </c>
      <c r="P198" s="16" t="s">
        <v>13</v>
      </c>
      <c r="Q198" s="16" t="s">
        <v>13</v>
      </c>
      <c r="R198" s="16" t="s">
        <v>13</v>
      </c>
      <c r="S198" s="16" t="s">
        <v>13</v>
      </c>
      <c r="T198" s="16" t="s">
        <v>13</v>
      </c>
      <c r="U198" s="16" t="s">
        <v>13</v>
      </c>
      <c r="V198" s="16" t="s">
        <v>13</v>
      </c>
      <c r="X198" s="34" t="s">
        <v>13</v>
      </c>
    </row>
    <row r="199" spans="1:24">
      <c r="B199" s="5" t="s">
        <v>94</v>
      </c>
      <c r="D199" s="31" t="s">
        <v>105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1</v>
      </c>
      <c r="Q199" s="10">
        <v>1</v>
      </c>
      <c r="R199" s="10">
        <v>1</v>
      </c>
      <c r="S199" s="10">
        <v>1</v>
      </c>
      <c r="T199" s="10">
        <v>1</v>
      </c>
      <c r="U199" s="10">
        <v>1</v>
      </c>
      <c r="V199" s="10">
        <v>1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46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Major alterations</v>
      </c>
      <c r="D202" s="31" t="s">
        <v>60</v>
      </c>
      <c r="P202" s="45">
        <f>(-P53*(1+P$188))*P$199</f>
        <v>0</v>
      </c>
      <c r="Q202" s="45">
        <f t="shared" ref="Q202:V202" si="41">(-Q53*(1+Q$188))*Q$199</f>
        <v>-1757049.068475574</v>
      </c>
      <c r="R202" s="45">
        <f t="shared" si="41"/>
        <v>-1272207.1853600468</v>
      </c>
      <c r="S202" s="45">
        <f t="shared" si="41"/>
        <v>-1284125.5697077783</v>
      </c>
      <c r="T202" s="45">
        <f t="shared" si="41"/>
        <v>-1294623.6870011489</v>
      </c>
      <c r="U202" s="45">
        <f t="shared" si="41"/>
        <v>-1311809.4479479459</v>
      </c>
      <c r="V202" s="45">
        <f t="shared" si="41"/>
        <v>-1328193.9579299404</v>
      </c>
      <c r="X202" s="40">
        <f t="shared" ref="X202" si="42">SUM(R202:V202)</f>
        <v>-6490959.8479468618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93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-1757049.068475574</v>
      </c>
      <c r="R218" s="37">
        <f t="shared" si="43"/>
        <v>-1272207.1853600468</v>
      </c>
      <c r="S218" s="37">
        <f t="shared" si="43"/>
        <v>-1284125.5697077783</v>
      </c>
      <c r="T218" s="37">
        <f t="shared" si="43"/>
        <v>-1294623.6870011489</v>
      </c>
      <c r="U218" s="37">
        <f t="shared" si="43"/>
        <v>-1311809.4479479459</v>
      </c>
      <c r="V218" s="37">
        <f t="shared" si="43"/>
        <v>-1328193.9579299404</v>
      </c>
      <c r="X218" s="37">
        <f t="shared" ref="X218" si="44">SUM(R218:V218)</f>
        <v>-6490959.8479468618</v>
      </c>
    </row>
    <row r="220" spans="1:24" s="1" customFormat="1">
      <c r="A220" s="2">
        <v>7</v>
      </c>
      <c r="B220" s="2" t="s">
        <v>75</v>
      </c>
    </row>
    <row r="222" spans="1:24">
      <c r="H222" s="190" t="s">
        <v>52</v>
      </c>
      <c r="I222" s="190"/>
      <c r="J222" s="190"/>
      <c r="K222" s="190"/>
      <c r="L222" s="190"/>
      <c r="M222" s="190" t="s">
        <v>53</v>
      </c>
      <c r="N222" s="190"/>
      <c r="O222" s="190"/>
      <c r="P222" s="190"/>
      <c r="Q222" s="190"/>
      <c r="R222" s="190" t="s">
        <v>54</v>
      </c>
      <c r="S222" s="190"/>
      <c r="T222" s="190"/>
      <c r="U222" s="190"/>
      <c r="V222" s="190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63</v>
      </c>
    </row>
    <row r="224" spans="1:24">
      <c r="D224" s="29" t="s">
        <v>55</v>
      </c>
      <c r="H224" s="16" t="s">
        <v>12</v>
      </c>
      <c r="I224" s="16" t="s">
        <v>12</v>
      </c>
      <c r="J224" s="16" t="s">
        <v>12</v>
      </c>
      <c r="K224" s="16" t="s">
        <v>12</v>
      </c>
      <c r="L224" s="16" t="s">
        <v>12</v>
      </c>
      <c r="M224" s="16" t="s">
        <v>12</v>
      </c>
      <c r="N224" s="16" t="s">
        <v>12</v>
      </c>
      <c r="O224" s="16" t="s">
        <v>12</v>
      </c>
      <c r="P224" s="16" t="s">
        <v>13</v>
      </c>
      <c r="Q224" s="16" t="s">
        <v>13</v>
      </c>
      <c r="R224" s="16" t="s">
        <v>13</v>
      </c>
      <c r="S224" s="16" t="s">
        <v>13</v>
      </c>
      <c r="T224" s="16" t="s">
        <v>13</v>
      </c>
      <c r="U224" s="16" t="s">
        <v>13</v>
      </c>
      <c r="V224" s="16" t="s">
        <v>13</v>
      </c>
      <c r="X224" s="34" t="s">
        <v>13</v>
      </c>
    </row>
    <row r="225" spans="1:24">
      <c r="B225" s="38" t="s">
        <v>96</v>
      </c>
      <c r="D225" s="31"/>
      <c r="X225" s="40"/>
    </row>
    <row r="226" spans="1:24">
      <c r="B226" s="47" t="s">
        <v>97</v>
      </c>
      <c r="D226" s="31" t="s">
        <v>60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98</v>
      </c>
      <c r="D227" s="31" t="s">
        <v>60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99</v>
      </c>
      <c r="D228" s="31" t="s">
        <v>60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100</v>
      </c>
      <c r="D229" s="31" t="s">
        <v>60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101</v>
      </c>
      <c r="D230" s="31" t="s">
        <v>60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102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103</v>
      </c>
    </row>
    <row r="236" spans="1:24">
      <c r="H236" s="190" t="s">
        <v>52</v>
      </c>
      <c r="I236" s="190"/>
      <c r="J236" s="190"/>
      <c r="K236" s="190"/>
      <c r="L236" s="190"/>
      <c r="M236" s="190" t="s">
        <v>53</v>
      </c>
      <c r="N236" s="190"/>
      <c r="O236" s="190"/>
      <c r="P236" s="190"/>
      <c r="Q236" s="190"/>
      <c r="R236" s="190" t="s">
        <v>54</v>
      </c>
      <c r="S236" s="190"/>
      <c r="T236" s="190"/>
      <c r="U236" s="190"/>
      <c r="V236" s="190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63</v>
      </c>
    </row>
    <row r="238" spans="1:24">
      <c r="D238" s="29" t="s">
        <v>55</v>
      </c>
      <c r="H238" s="16" t="s">
        <v>12</v>
      </c>
      <c r="I238" s="16" t="s">
        <v>12</v>
      </c>
      <c r="J238" s="16" t="s">
        <v>12</v>
      </c>
      <c r="K238" s="16" t="s">
        <v>12</v>
      </c>
      <c r="L238" s="16" t="s">
        <v>12</v>
      </c>
      <c r="M238" s="16" t="s">
        <v>12</v>
      </c>
      <c r="N238" s="16" t="s">
        <v>12</v>
      </c>
      <c r="O238" s="16" t="s">
        <v>12</v>
      </c>
      <c r="P238" s="16" t="s">
        <v>13</v>
      </c>
      <c r="Q238" s="16" t="s">
        <v>13</v>
      </c>
      <c r="R238" s="16" t="s">
        <v>13</v>
      </c>
      <c r="S238" s="16" t="s">
        <v>13</v>
      </c>
      <c r="T238" s="16" t="s">
        <v>13</v>
      </c>
      <c r="U238" s="16" t="s">
        <v>13</v>
      </c>
      <c r="V238" s="16" t="s">
        <v>13</v>
      </c>
      <c r="X238" s="34" t="s">
        <v>13</v>
      </c>
    </row>
    <row r="239" spans="1:24">
      <c r="B239" s="4" t="s">
        <v>104</v>
      </c>
      <c r="D239" s="31" t="s">
        <v>60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1757049.068475574</v>
      </c>
      <c r="R239" s="45">
        <f t="shared" si="47"/>
        <v>1272207.1853600468</v>
      </c>
      <c r="S239" s="45">
        <f t="shared" si="47"/>
        <v>1284125.5697077783</v>
      </c>
      <c r="T239" s="45">
        <f t="shared" si="47"/>
        <v>1294623.6870011489</v>
      </c>
      <c r="U239" s="45">
        <f t="shared" si="47"/>
        <v>1311809.4479479459</v>
      </c>
      <c r="V239" s="45">
        <f t="shared" si="47"/>
        <v>1328193.9579299404</v>
      </c>
      <c r="X239" s="40">
        <f t="shared" ref="X239:X241" si="48">SUM(R239:V239)</f>
        <v>6490959.8479468618</v>
      </c>
    </row>
    <row r="240" spans="1:24">
      <c r="B240" s="4" t="s">
        <v>74</v>
      </c>
      <c r="D240" s="31" t="s">
        <v>60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-1757049.068475574</v>
      </c>
      <c r="R240" s="45">
        <f t="shared" si="49"/>
        <v>-1272207.1853600468</v>
      </c>
      <c r="S240" s="45">
        <f t="shared" si="49"/>
        <v>-1284125.5697077783</v>
      </c>
      <c r="T240" s="45">
        <f t="shared" si="49"/>
        <v>-1294623.6870011489</v>
      </c>
      <c r="U240" s="45">
        <f t="shared" si="49"/>
        <v>-1311809.4479479459</v>
      </c>
      <c r="V240" s="45">
        <f t="shared" si="49"/>
        <v>-1328193.9579299404</v>
      </c>
      <c r="X240" s="40">
        <f t="shared" si="48"/>
        <v>-6490959.8479468618</v>
      </c>
    </row>
    <row r="241" spans="1:24">
      <c r="B241" s="4" t="s">
        <v>75</v>
      </c>
      <c r="D241" s="31" t="s">
        <v>60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103</v>
      </c>
      <c r="D243" s="31" t="s">
        <v>60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0</v>
      </c>
      <c r="R243" s="37">
        <f t="shared" si="51"/>
        <v>0</v>
      </c>
      <c r="S243" s="37">
        <f t="shared" si="51"/>
        <v>0</v>
      </c>
      <c r="T243" s="37">
        <f t="shared" si="51"/>
        <v>0</v>
      </c>
      <c r="U243" s="37">
        <f t="shared" si="51"/>
        <v>0</v>
      </c>
      <c r="V243" s="37">
        <f t="shared" si="51"/>
        <v>0</v>
      </c>
      <c r="X243" s="37">
        <f t="shared" ref="X243" si="52">SUM(R243:V243)</f>
        <v>0</v>
      </c>
    </row>
    <row r="244" spans="1:24">
      <c r="D244" s="31"/>
    </row>
    <row r="246" spans="1:24" s="66" customFormat="1">
      <c r="A246" s="65">
        <v>9</v>
      </c>
      <c r="B246" s="65" t="s">
        <v>121</v>
      </c>
    </row>
    <row r="268" spans="2:22">
      <c r="B268" s="69" t="s">
        <v>120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334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53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53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53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53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>IFERROR(SUMPRODUCT($Z$53:$Z$67,Q$53:Q$67)/SUM(Q$53:Q$67)*Q$69,0)</f>
        <v>1389499.2278999996</v>
      </c>
      <c r="R276" s="57">
        <f>IFERROR(SUMPRODUCT($Z$53:$Z$67,R$53:R$67)/SUM(R$53:R$67)*R$69,0)</f>
        <v>1008585.6639908177</v>
      </c>
      <c r="S276" s="57">
        <f>IFERROR(SUMPRODUCT($Z$53:$Z$67,S$53:S$67)/SUM(S$53:S$67)*S$69,0)</f>
        <v>1014163.4866731198</v>
      </c>
      <c r="T276" s="57">
        <f t="shared" ref="T276:V276" si="53">IFERROR(SUMPRODUCT($Z$53:$Z$67,T$53:T$67)/SUM(T$53:T$67)*T$69,0)</f>
        <v>1021350.3861713597</v>
      </c>
      <c r="U276" s="57">
        <f t="shared" si="53"/>
        <v>1030805.0891883398</v>
      </c>
      <c r="V276" s="62">
        <f t="shared" si="53"/>
        <v>1041103.4440315764</v>
      </c>
      <c r="AU276" s="45"/>
      <c r="AV276" s="45"/>
      <c r="AW276" s="45"/>
      <c r="AX276" s="45"/>
      <c r="AY276" s="45"/>
      <c r="AZ276" s="45"/>
      <c r="BA276" s="45"/>
    </row>
    <row r="277" spans="6:53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245205.74609999993</v>
      </c>
      <c r="R277" s="57">
        <f t="shared" si="54"/>
        <v>177985.70541014429</v>
      </c>
      <c r="S277" s="57">
        <f t="shared" si="54"/>
        <v>178970.02705996233</v>
      </c>
      <c r="T277" s="57">
        <f t="shared" si="54"/>
        <v>180238.30344200466</v>
      </c>
      <c r="U277" s="57">
        <f t="shared" si="54"/>
        <v>181906.78044500115</v>
      </c>
      <c r="V277" s="62">
        <f t="shared" si="54"/>
        <v>183724.1371820429</v>
      </c>
      <c r="AU277" s="45"/>
      <c r="AV277" s="45"/>
      <c r="AW277" s="45"/>
      <c r="AX277" s="45"/>
      <c r="AY277" s="45"/>
      <c r="AZ277" s="45"/>
      <c r="BA277" s="45"/>
    </row>
    <row r="278" spans="6:53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0</v>
      </c>
      <c r="R278" s="57">
        <f t="shared" si="55"/>
        <v>0</v>
      </c>
      <c r="S278" s="57">
        <f t="shared" si="55"/>
        <v>0</v>
      </c>
      <c r="T278" s="57">
        <f t="shared" si="55"/>
        <v>0</v>
      </c>
      <c r="U278" s="57">
        <f t="shared" si="55"/>
        <v>0</v>
      </c>
      <c r="V278" s="62">
        <f t="shared" si="55"/>
        <v>0</v>
      </c>
      <c r="AU278" s="45"/>
      <c r="AV278" s="45"/>
      <c r="AW278" s="45"/>
      <c r="AX278" s="45"/>
      <c r="AY278" s="45"/>
      <c r="AZ278" s="45"/>
      <c r="BA278" s="45"/>
    </row>
    <row r="279" spans="6:53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  <c r="AU279" s="45"/>
      <c r="AV279" s="45"/>
      <c r="AW279" s="45"/>
      <c r="AX279" s="45"/>
      <c r="AY279" s="45"/>
      <c r="AZ279" s="45"/>
      <c r="BA279" s="45"/>
    </row>
    <row r="280" spans="6:53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0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  <c r="AU280" s="45"/>
      <c r="AV280" s="45"/>
      <c r="AW280" s="45"/>
      <c r="AX280" s="45"/>
      <c r="AY280" s="45"/>
      <c r="AZ280" s="45"/>
      <c r="BA280" s="45"/>
    </row>
    <row r="281" spans="6:53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  <c r="AU281" s="45"/>
      <c r="AV281" s="45"/>
      <c r="AW281" s="45"/>
      <c r="AX281" s="45"/>
      <c r="AY281" s="45"/>
      <c r="AZ281" s="45"/>
      <c r="BA281" s="45"/>
    </row>
    <row r="282" spans="6:53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  <c r="AU282" s="45"/>
      <c r="AV282" s="45"/>
      <c r="AW282" s="45"/>
      <c r="AX282" s="45"/>
      <c r="AY282" s="45"/>
      <c r="AZ282" s="45"/>
      <c r="BA282" s="45"/>
    </row>
    <row r="283" spans="6:53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  <c r="AU283" s="45"/>
      <c r="AV283" s="45"/>
      <c r="AW283" s="45"/>
      <c r="AX283" s="45"/>
      <c r="AY283" s="45"/>
      <c r="AZ283" s="45"/>
      <c r="BA283" s="45"/>
    </row>
    <row r="284" spans="6:53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  <c r="AU284" s="45"/>
      <c r="AV284" s="45"/>
      <c r="AW284" s="45"/>
      <c r="AX284" s="45"/>
      <c r="AY284" s="45"/>
      <c r="AZ284" s="45"/>
      <c r="BA284" s="45"/>
    </row>
    <row r="285" spans="6:53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  <c r="AU285" s="45"/>
      <c r="AV285" s="45"/>
      <c r="AW285" s="45"/>
      <c r="AX285" s="45"/>
      <c r="AY285" s="45"/>
      <c r="AZ285" s="45"/>
      <c r="BA285" s="45"/>
    </row>
    <row r="286" spans="6:53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  <c r="AU286" s="45"/>
      <c r="AV286" s="45"/>
      <c r="AW286" s="45"/>
      <c r="AX286" s="45"/>
      <c r="AY286" s="45"/>
      <c r="AZ286" s="45"/>
      <c r="BA286" s="45"/>
    </row>
    <row r="287" spans="6:53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  <c r="AU287" s="45"/>
      <c r="AV287" s="45"/>
      <c r="AW287" s="45"/>
      <c r="AX287" s="45"/>
      <c r="AY287" s="45"/>
      <c r="AZ287" s="45"/>
      <c r="BA287" s="45"/>
    </row>
    <row r="288" spans="6:53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1634704.9739999995</v>
      </c>
      <c r="R288" s="37">
        <f t="shared" si="64"/>
        <v>1186571.369400962</v>
      </c>
      <c r="S288" s="37">
        <f t="shared" si="64"/>
        <v>1193133.5137330822</v>
      </c>
      <c r="T288" s="37">
        <f t="shared" si="64"/>
        <v>1201588.6896133644</v>
      </c>
      <c r="U288" s="37">
        <f t="shared" si="64"/>
        <v>1212711.869633341</v>
      </c>
      <c r="V288" s="64">
        <f t="shared" si="64"/>
        <v>1224827.5812136193</v>
      </c>
      <c r="AU288" s="45"/>
      <c r="AV288" s="45"/>
      <c r="AW288" s="45"/>
      <c r="AX288" s="45"/>
      <c r="AY288" s="45"/>
      <c r="AZ288" s="45"/>
      <c r="BA288" s="45"/>
    </row>
    <row r="289" spans="6:5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0" spans="6:52">
      <c r="AU290" s="45"/>
      <c r="AV290" s="45"/>
      <c r="AW290" s="45"/>
      <c r="AX290" s="45"/>
      <c r="AY290" s="45"/>
      <c r="AZ290" s="45"/>
    </row>
    <row r="291" spans="6:5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170"/>
      <c r="S291" s="170"/>
      <c r="T291" s="170"/>
      <c r="U291" s="170"/>
      <c r="V291" s="171"/>
    </row>
    <row r="292" spans="6:52">
      <c r="F292" s="63" t="s">
        <v>297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5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5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5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5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5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>Q276*(1+Q$188)</f>
        <v>1493491.7082042377</v>
      </c>
      <c r="R297" s="57">
        <f t="shared" ref="R297:V297" si="66">R276*(1+R$188)</f>
        <v>1081376.1075560397</v>
      </c>
      <c r="S297" s="57">
        <f t="shared" si="66"/>
        <v>1091506.7342516114</v>
      </c>
      <c r="T297" s="57">
        <f t="shared" si="66"/>
        <v>1100430.1339509764</v>
      </c>
      <c r="U297" s="57">
        <f t="shared" si="66"/>
        <v>1115038.0307557539</v>
      </c>
      <c r="V297" s="57">
        <f t="shared" si="66"/>
        <v>1128964.8642404492</v>
      </c>
    </row>
    <row r="298" spans="6:5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263557.3602713361</v>
      </c>
      <c r="R298" s="57">
        <f t="shared" ref="R298:V298" si="67">R277*(1+R$188)</f>
        <v>190831.07780400701</v>
      </c>
      <c r="S298" s="57">
        <f t="shared" si="67"/>
        <v>192618.83545616674</v>
      </c>
      <c r="T298" s="57">
        <f t="shared" si="67"/>
        <v>194193.55305017231</v>
      </c>
      <c r="U298" s="57">
        <f t="shared" si="67"/>
        <v>196771.41719219188</v>
      </c>
      <c r="V298" s="57">
        <f t="shared" si="67"/>
        <v>199229.09368949107</v>
      </c>
    </row>
    <row r="299" spans="6:5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0</v>
      </c>
      <c r="R299" s="57">
        <f t="shared" si="65"/>
        <v>0</v>
      </c>
      <c r="S299" s="57">
        <f t="shared" si="65"/>
        <v>0</v>
      </c>
      <c r="T299" s="57">
        <f t="shared" si="65"/>
        <v>0</v>
      </c>
      <c r="U299" s="57">
        <f t="shared" si="65"/>
        <v>0</v>
      </c>
      <c r="V299" s="62">
        <f t="shared" si="65"/>
        <v>0</v>
      </c>
    </row>
    <row r="300" spans="6:5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5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0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5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5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5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53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53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53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53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53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>SUM(Q297:Q307)</f>
        <v>1757049.0684755738</v>
      </c>
      <c r="R309" s="37">
        <f t="shared" ref="R309:V309" si="68">SUM(R297:R307)</f>
        <v>1272207.1853600468</v>
      </c>
      <c r="S309" s="37">
        <f t="shared" si="68"/>
        <v>1284125.569707778</v>
      </c>
      <c r="T309" s="37">
        <f t="shared" si="68"/>
        <v>1294623.6870011487</v>
      </c>
      <c r="U309" s="37">
        <f t="shared" si="68"/>
        <v>1311809.4479479457</v>
      </c>
      <c r="V309" s="64">
        <f t="shared" si="68"/>
        <v>1328193.9579299402</v>
      </c>
      <c r="AU309" s="45">
        <f>AJ309-Q309</f>
        <v>-1757049.0684755738</v>
      </c>
      <c r="AV309" s="45">
        <f t="shared" ref="AV309:BA309" si="69">AK309-R309</f>
        <v>-1272207.1853600468</v>
      </c>
      <c r="AW309" s="45">
        <f t="shared" si="69"/>
        <v>-1284125.569707778</v>
      </c>
      <c r="AX309" s="45">
        <f t="shared" si="69"/>
        <v>-1294623.6870011487</v>
      </c>
      <c r="AY309" s="45">
        <f t="shared" si="69"/>
        <v>-1311809.4479479457</v>
      </c>
      <c r="AZ309" s="45">
        <f t="shared" si="69"/>
        <v>-1328193.9579299402</v>
      </c>
      <c r="BA309" s="45">
        <f t="shared" si="69"/>
        <v>0</v>
      </c>
    </row>
    <row r="310" spans="6:53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  <c r="AU310" s="45">
        <v>1156974.5008757694</v>
      </c>
      <c r="AV310" s="45">
        <v>1156974.5008757694</v>
      </c>
      <c r="AW310" s="4">
        <v>1156974.5008757694</v>
      </c>
      <c r="AX310" s="4">
        <v>1156974.5008757694</v>
      </c>
      <c r="AY310" s="4">
        <v>1156974.5008757694</v>
      </c>
      <c r="AZ310" s="4">
        <v>1156974.5008757694</v>
      </c>
    </row>
    <row r="311" spans="6:53">
      <c r="Q311" s="45"/>
      <c r="R311" s="173"/>
      <c r="S311" s="173"/>
      <c r="T311" s="173"/>
      <c r="U311" s="173"/>
      <c r="V311" s="173"/>
      <c r="AU311" s="45">
        <f>AU310-AU309</f>
        <v>2914023.5693513434</v>
      </c>
      <c r="AV311" s="45">
        <f t="shared" ref="AV311:AZ311" si="70">AV310-AV309</f>
        <v>2429181.6862358162</v>
      </c>
      <c r="AW311" s="45">
        <f t="shared" si="70"/>
        <v>2441100.0705835475</v>
      </c>
      <c r="AX311" s="45">
        <f t="shared" si="70"/>
        <v>2451598.1878769184</v>
      </c>
      <c r="AY311" s="45">
        <f t="shared" si="70"/>
        <v>2468783.9488237151</v>
      </c>
      <c r="AZ311" s="45">
        <f t="shared" si="70"/>
        <v>2485168.4588057096</v>
      </c>
    </row>
    <row r="312" spans="6:53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53">
      <c r="F313" s="63" t="s">
        <v>298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53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53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53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53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53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1">P297*(1-P$199)</f>
        <v>0</v>
      </c>
      <c r="Q318" s="57">
        <f t="shared" si="71"/>
        <v>0</v>
      </c>
      <c r="R318" s="57">
        <f t="shared" si="71"/>
        <v>0</v>
      </c>
      <c r="S318" s="57">
        <f t="shared" si="71"/>
        <v>0</v>
      </c>
      <c r="T318" s="57">
        <f t="shared" si="71"/>
        <v>0</v>
      </c>
      <c r="U318" s="57">
        <f t="shared" si="71"/>
        <v>0</v>
      </c>
      <c r="V318" s="62">
        <f t="shared" si="71"/>
        <v>0</v>
      </c>
    </row>
    <row r="319" spans="6:53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1"/>
        <v>0</v>
      </c>
      <c r="Q319" s="57">
        <f t="shared" si="71"/>
        <v>0</v>
      </c>
      <c r="R319" s="57">
        <f t="shared" si="71"/>
        <v>0</v>
      </c>
      <c r="S319" s="57">
        <f t="shared" si="71"/>
        <v>0</v>
      </c>
      <c r="T319" s="57">
        <f t="shared" si="71"/>
        <v>0</v>
      </c>
      <c r="U319" s="57">
        <f t="shared" si="71"/>
        <v>0</v>
      </c>
      <c r="V319" s="62">
        <f t="shared" si="71"/>
        <v>0</v>
      </c>
    </row>
    <row r="320" spans="6:53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1"/>
        <v>0</v>
      </c>
      <c r="Q320" s="57">
        <f t="shared" si="71"/>
        <v>0</v>
      </c>
      <c r="R320" s="57">
        <f t="shared" si="71"/>
        <v>0</v>
      </c>
      <c r="S320" s="57">
        <f t="shared" si="71"/>
        <v>0</v>
      </c>
      <c r="T320" s="57">
        <f t="shared" si="71"/>
        <v>0</v>
      </c>
      <c r="U320" s="57">
        <f t="shared" si="71"/>
        <v>0</v>
      </c>
      <c r="V320" s="62">
        <f t="shared" si="71"/>
        <v>0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1"/>
        <v>0</v>
      </c>
      <c r="Q321" s="57">
        <f t="shared" si="71"/>
        <v>0</v>
      </c>
      <c r="R321" s="57">
        <f t="shared" si="71"/>
        <v>0</v>
      </c>
      <c r="S321" s="57">
        <f t="shared" si="71"/>
        <v>0</v>
      </c>
      <c r="T321" s="57">
        <f t="shared" si="71"/>
        <v>0</v>
      </c>
      <c r="U321" s="57">
        <f t="shared" si="71"/>
        <v>0</v>
      </c>
      <c r="V321" s="62">
        <f t="shared" si="71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1"/>
        <v>0</v>
      </c>
      <c r="Q322" s="57">
        <f t="shared" si="71"/>
        <v>0</v>
      </c>
      <c r="R322" s="57">
        <f t="shared" si="71"/>
        <v>0</v>
      </c>
      <c r="S322" s="57">
        <f t="shared" si="71"/>
        <v>0</v>
      </c>
      <c r="T322" s="57">
        <f t="shared" si="71"/>
        <v>0</v>
      </c>
      <c r="U322" s="57">
        <f t="shared" si="71"/>
        <v>0</v>
      </c>
      <c r="V322" s="62">
        <f t="shared" si="71"/>
        <v>0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1"/>
        <v>0</v>
      </c>
      <c r="Q323" s="57">
        <f t="shared" si="71"/>
        <v>0</v>
      </c>
      <c r="R323" s="57">
        <f t="shared" si="71"/>
        <v>0</v>
      </c>
      <c r="S323" s="57">
        <f t="shared" si="71"/>
        <v>0</v>
      </c>
      <c r="T323" s="57">
        <f t="shared" si="71"/>
        <v>0</v>
      </c>
      <c r="U323" s="57">
        <f t="shared" si="71"/>
        <v>0</v>
      </c>
      <c r="V323" s="62">
        <f t="shared" si="71"/>
        <v>0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1"/>
        <v>0</v>
      </c>
      <c r="Q324" s="57">
        <f t="shared" si="71"/>
        <v>0</v>
      </c>
      <c r="R324" s="57">
        <f t="shared" si="71"/>
        <v>0</v>
      </c>
      <c r="S324" s="57">
        <f t="shared" si="71"/>
        <v>0</v>
      </c>
      <c r="T324" s="57">
        <f t="shared" si="71"/>
        <v>0</v>
      </c>
      <c r="U324" s="57">
        <f t="shared" si="71"/>
        <v>0</v>
      </c>
      <c r="V324" s="62">
        <f t="shared" si="71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1"/>
        <v>0</v>
      </c>
      <c r="Q325" s="57">
        <f t="shared" si="71"/>
        <v>0</v>
      </c>
      <c r="R325" s="57">
        <f t="shared" si="71"/>
        <v>0</v>
      </c>
      <c r="S325" s="57">
        <f t="shared" si="71"/>
        <v>0</v>
      </c>
      <c r="T325" s="57">
        <f t="shared" si="71"/>
        <v>0</v>
      </c>
      <c r="U325" s="57">
        <f t="shared" si="71"/>
        <v>0</v>
      </c>
      <c r="V325" s="62">
        <f t="shared" si="71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1"/>
        <v>0</v>
      </c>
      <c r="Q326" s="57">
        <f t="shared" si="71"/>
        <v>0</v>
      </c>
      <c r="R326" s="57">
        <f t="shared" si="71"/>
        <v>0</v>
      </c>
      <c r="S326" s="57">
        <f t="shared" si="71"/>
        <v>0</v>
      </c>
      <c r="T326" s="57">
        <f t="shared" si="71"/>
        <v>0</v>
      </c>
      <c r="U326" s="57">
        <f t="shared" si="71"/>
        <v>0</v>
      </c>
      <c r="V326" s="62">
        <f t="shared" si="71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1"/>
        <v>0</v>
      </c>
      <c r="Q327" s="57">
        <f t="shared" si="71"/>
        <v>0</v>
      </c>
      <c r="R327" s="57">
        <f t="shared" si="71"/>
        <v>0</v>
      </c>
      <c r="S327" s="57">
        <f t="shared" si="71"/>
        <v>0</v>
      </c>
      <c r="T327" s="57">
        <f t="shared" si="71"/>
        <v>0</v>
      </c>
      <c r="U327" s="57">
        <f t="shared" si="71"/>
        <v>0</v>
      </c>
      <c r="V327" s="62">
        <f t="shared" si="71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1"/>
        <v>0</v>
      </c>
      <c r="Q328" s="57">
        <f t="shared" si="71"/>
        <v>0</v>
      </c>
      <c r="R328" s="57">
        <f t="shared" si="71"/>
        <v>0</v>
      </c>
      <c r="S328" s="57">
        <f t="shared" si="71"/>
        <v>0</v>
      </c>
      <c r="T328" s="57">
        <f t="shared" si="71"/>
        <v>0</v>
      </c>
      <c r="U328" s="57">
        <f t="shared" si="71"/>
        <v>0</v>
      </c>
      <c r="V328" s="62">
        <f t="shared" si="71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2">SUM(Q318:Q328)</f>
        <v>0</v>
      </c>
      <c r="R330" s="37">
        <f t="shared" si="72"/>
        <v>0</v>
      </c>
      <c r="S330" s="37">
        <f t="shared" si="72"/>
        <v>0</v>
      </c>
      <c r="T330" s="37">
        <f t="shared" si="72"/>
        <v>0</v>
      </c>
      <c r="U330" s="37">
        <f t="shared" si="72"/>
        <v>0</v>
      </c>
      <c r="V330" s="64">
        <f t="shared" si="72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299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>Q297*Q$199</f>
        <v>1493491.7082042377</v>
      </c>
      <c r="R339" s="57">
        <f>R297*R$199</f>
        <v>1081376.1075560397</v>
      </c>
      <c r="S339" s="57">
        <f t="shared" ref="S339:V339" si="73">S297*S$199</f>
        <v>1091506.7342516114</v>
      </c>
      <c r="T339" s="57">
        <f t="shared" si="73"/>
        <v>1100430.1339509764</v>
      </c>
      <c r="U339" s="57">
        <f t="shared" si="73"/>
        <v>1115038.0307557539</v>
      </c>
      <c r="V339" s="57">
        <f t="shared" si="73"/>
        <v>1128964.8642404492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4">P298*P$199</f>
        <v>0</v>
      </c>
      <c r="Q340" s="57">
        <f>Q298*Q$199</f>
        <v>263557.3602713361</v>
      </c>
      <c r="R340" s="57">
        <f>R298*R$199</f>
        <v>190831.07780400701</v>
      </c>
      <c r="S340" s="57">
        <f t="shared" ref="S340:V340" si="75">S298*S$199</f>
        <v>192618.83545616674</v>
      </c>
      <c r="T340" s="57">
        <f t="shared" si="75"/>
        <v>194193.55305017231</v>
      </c>
      <c r="U340" s="57">
        <f t="shared" si="75"/>
        <v>196771.41719219188</v>
      </c>
      <c r="V340" s="57">
        <f t="shared" si="75"/>
        <v>199229.09368949107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4"/>
        <v>0</v>
      </c>
      <c r="Q341" s="57">
        <f t="shared" ref="Q341:V349" si="76">Q299*Q$199</f>
        <v>0</v>
      </c>
      <c r="R341" s="57">
        <f t="shared" si="76"/>
        <v>0</v>
      </c>
      <c r="S341" s="57">
        <f t="shared" si="76"/>
        <v>0</v>
      </c>
      <c r="T341" s="57">
        <f t="shared" si="76"/>
        <v>0</v>
      </c>
      <c r="U341" s="57">
        <f t="shared" si="76"/>
        <v>0</v>
      </c>
      <c r="V341" s="62">
        <f t="shared" si="76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4"/>
        <v>0</v>
      </c>
      <c r="Q342" s="57">
        <f t="shared" si="76"/>
        <v>0</v>
      </c>
      <c r="R342" s="57">
        <f t="shared" si="76"/>
        <v>0</v>
      </c>
      <c r="S342" s="57">
        <f t="shared" si="76"/>
        <v>0</v>
      </c>
      <c r="T342" s="57">
        <f t="shared" si="76"/>
        <v>0</v>
      </c>
      <c r="U342" s="57">
        <f t="shared" si="76"/>
        <v>0</v>
      </c>
      <c r="V342" s="62">
        <f t="shared" si="76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4"/>
        <v>0</v>
      </c>
      <c r="Q343" s="57">
        <f t="shared" si="76"/>
        <v>0</v>
      </c>
      <c r="R343" s="57">
        <f t="shared" si="76"/>
        <v>0</v>
      </c>
      <c r="S343" s="57">
        <f t="shared" si="76"/>
        <v>0</v>
      </c>
      <c r="T343" s="57">
        <f t="shared" si="76"/>
        <v>0</v>
      </c>
      <c r="U343" s="57">
        <f t="shared" si="76"/>
        <v>0</v>
      </c>
      <c r="V343" s="62">
        <f t="shared" si="76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4"/>
        <v>0</v>
      </c>
      <c r="Q344" s="57">
        <f t="shared" si="76"/>
        <v>0</v>
      </c>
      <c r="R344" s="57">
        <f t="shared" si="76"/>
        <v>0</v>
      </c>
      <c r="S344" s="57">
        <f t="shared" si="76"/>
        <v>0</v>
      </c>
      <c r="T344" s="57">
        <f t="shared" si="76"/>
        <v>0</v>
      </c>
      <c r="U344" s="57">
        <f t="shared" si="76"/>
        <v>0</v>
      </c>
      <c r="V344" s="62">
        <f t="shared" si="76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4"/>
        <v>0</v>
      </c>
      <c r="Q345" s="57">
        <f t="shared" si="76"/>
        <v>0</v>
      </c>
      <c r="R345" s="57">
        <f t="shared" si="76"/>
        <v>0</v>
      </c>
      <c r="S345" s="57">
        <f t="shared" si="76"/>
        <v>0</v>
      </c>
      <c r="T345" s="57">
        <f t="shared" si="76"/>
        <v>0</v>
      </c>
      <c r="U345" s="57">
        <f t="shared" si="76"/>
        <v>0</v>
      </c>
      <c r="V345" s="62">
        <f t="shared" si="76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4"/>
        <v>0</v>
      </c>
      <c r="Q346" s="57">
        <f t="shared" si="76"/>
        <v>0</v>
      </c>
      <c r="R346" s="57">
        <f t="shared" si="76"/>
        <v>0</v>
      </c>
      <c r="S346" s="57">
        <f t="shared" si="76"/>
        <v>0</v>
      </c>
      <c r="T346" s="57">
        <f t="shared" si="76"/>
        <v>0</v>
      </c>
      <c r="U346" s="57">
        <f t="shared" si="76"/>
        <v>0</v>
      </c>
      <c r="V346" s="62">
        <f t="shared" si="76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4"/>
        <v>0</v>
      </c>
      <c r="Q347" s="57">
        <f t="shared" si="76"/>
        <v>0</v>
      </c>
      <c r="R347" s="57">
        <f t="shared" si="76"/>
        <v>0</v>
      </c>
      <c r="S347" s="57">
        <f t="shared" si="76"/>
        <v>0</v>
      </c>
      <c r="T347" s="57">
        <f t="shared" si="76"/>
        <v>0</v>
      </c>
      <c r="U347" s="57">
        <f t="shared" si="76"/>
        <v>0</v>
      </c>
      <c r="V347" s="62">
        <f t="shared" si="76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4"/>
        <v>0</v>
      </c>
      <c r="Q348" s="57">
        <f t="shared" si="76"/>
        <v>0</v>
      </c>
      <c r="R348" s="57">
        <f t="shared" si="76"/>
        <v>0</v>
      </c>
      <c r="S348" s="57">
        <f t="shared" si="76"/>
        <v>0</v>
      </c>
      <c r="T348" s="57">
        <f t="shared" si="76"/>
        <v>0</v>
      </c>
      <c r="U348" s="57">
        <f t="shared" si="76"/>
        <v>0</v>
      </c>
      <c r="V348" s="62">
        <f t="shared" si="76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4"/>
        <v>0</v>
      </c>
      <c r="Q349" s="57">
        <f t="shared" si="76"/>
        <v>0</v>
      </c>
      <c r="R349" s="57">
        <f t="shared" si="76"/>
        <v>0</v>
      </c>
      <c r="S349" s="57">
        <f t="shared" si="76"/>
        <v>0</v>
      </c>
      <c r="T349" s="57">
        <f t="shared" si="76"/>
        <v>0</v>
      </c>
      <c r="U349" s="57">
        <f t="shared" si="76"/>
        <v>0</v>
      </c>
      <c r="V349" s="62">
        <f t="shared" si="76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7">SUM(Q339:Q349)</f>
        <v>1757049.0684755738</v>
      </c>
      <c r="R351" s="37">
        <f t="shared" si="77"/>
        <v>1272207.1853600468</v>
      </c>
      <c r="S351" s="37">
        <f t="shared" si="77"/>
        <v>1284125.569707778</v>
      </c>
      <c r="T351" s="37">
        <f t="shared" si="77"/>
        <v>1294623.6870011487</v>
      </c>
      <c r="U351" s="37">
        <f t="shared" si="77"/>
        <v>1311809.4479479457</v>
      </c>
      <c r="V351" s="64">
        <f t="shared" si="77"/>
        <v>1328193.9579299402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297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8">IFERROR(SUMPRODUCT($AM$53:$AM$67,Q$53:Q$67)/SUM(Q$53:Q$67)*Q$69,0)</f>
        <v>0</v>
      </c>
      <c r="R362" s="57">
        <f t="shared" si="78"/>
        <v>0</v>
      </c>
      <c r="S362" s="57">
        <f t="shared" si="78"/>
        <v>0</v>
      </c>
      <c r="T362" s="57">
        <f t="shared" si="78"/>
        <v>0</v>
      </c>
      <c r="U362" s="57">
        <f t="shared" si="78"/>
        <v>0</v>
      </c>
      <c r="V362" s="62">
        <f t="shared" si="78"/>
        <v>0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9">IFERROR(SUMPRODUCT($AN$53:$AN$67,Q$53:Q$67)/SUM(Q$53:Q$67)*Q$69,0)</f>
        <v>0</v>
      </c>
      <c r="R363" s="57">
        <f t="shared" si="79"/>
        <v>0</v>
      </c>
      <c r="S363" s="57">
        <f t="shared" si="79"/>
        <v>0</v>
      </c>
      <c r="T363" s="57">
        <f t="shared" si="79"/>
        <v>0</v>
      </c>
      <c r="U363" s="57">
        <f t="shared" si="79"/>
        <v>0</v>
      </c>
      <c r="V363" s="62">
        <f t="shared" si="79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80">IFERROR(SUMPRODUCT($AO$53:$AO$67,Q$53:Q$67)/SUM(Q$53:Q$67)*Q$69,0)</f>
        <v>0</v>
      </c>
      <c r="R364" s="57">
        <f t="shared" si="80"/>
        <v>0</v>
      </c>
      <c r="S364" s="57">
        <f t="shared" si="80"/>
        <v>0</v>
      </c>
      <c r="T364" s="57">
        <f t="shared" si="80"/>
        <v>0</v>
      </c>
      <c r="U364" s="57">
        <f t="shared" si="80"/>
        <v>0</v>
      </c>
      <c r="V364" s="62">
        <f t="shared" si="80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81">IFERROR(SUMPRODUCT($AP$53:$AP$67,Q$53:Q$67)/SUM(Q$53:Q$67)*Q$69,0)</f>
        <v>0</v>
      </c>
      <c r="R365" s="57">
        <f t="shared" si="81"/>
        <v>0</v>
      </c>
      <c r="S365" s="57">
        <f t="shared" si="81"/>
        <v>0</v>
      </c>
      <c r="T365" s="57">
        <f t="shared" si="81"/>
        <v>0</v>
      </c>
      <c r="U365" s="57">
        <f t="shared" si="81"/>
        <v>0</v>
      </c>
      <c r="V365" s="62">
        <f t="shared" si="81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82">IFERROR(SUMPRODUCT($AQ$53:$AQ$67,Q$53:Q$67)/SUM(Q$53:Q$67)*Q$69,0)</f>
        <v>0</v>
      </c>
      <c r="R366" s="57">
        <f t="shared" si="82"/>
        <v>0</v>
      </c>
      <c r="S366" s="57">
        <f t="shared" si="82"/>
        <v>0</v>
      </c>
      <c r="T366" s="57">
        <f t="shared" si="82"/>
        <v>0</v>
      </c>
      <c r="U366" s="57">
        <f t="shared" si="82"/>
        <v>0</v>
      </c>
      <c r="V366" s="62">
        <f t="shared" si="82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83">IFERROR(SUMPRODUCT($AR$53:$AR$67,Q$53:Q$67)/SUM(Q$53:Q$67)*Q$69,0)</f>
        <v>0</v>
      </c>
      <c r="R367" s="57">
        <f t="shared" si="83"/>
        <v>0</v>
      </c>
      <c r="S367" s="57">
        <f t="shared" si="83"/>
        <v>0</v>
      </c>
      <c r="T367" s="57">
        <f t="shared" si="83"/>
        <v>0</v>
      </c>
      <c r="U367" s="57">
        <f t="shared" si="83"/>
        <v>0</v>
      </c>
      <c r="V367" s="62">
        <f t="shared" si="83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84">IFERROR(SUMPRODUCT($AS$53:$AS$67,Q$53:Q$67)/SUM(Q$53:Q$67)*Q$69,0)</f>
        <v>0</v>
      </c>
      <c r="R368" s="57">
        <f t="shared" si="84"/>
        <v>0</v>
      </c>
      <c r="S368" s="57">
        <f t="shared" si="84"/>
        <v>0</v>
      </c>
      <c r="T368" s="57">
        <f t="shared" si="84"/>
        <v>0</v>
      </c>
      <c r="U368" s="57">
        <f t="shared" si="84"/>
        <v>0</v>
      </c>
      <c r="V368" s="62">
        <f t="shared" si="84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85">IFERROR(SUMPRODUCT($AT$53:$AT$67,Q$53:Q$67)/SUM(Q$53:Q$67)*Q$69,0)</f>
        <v>0</v>
      </c>
      <c r="R369" s="57">
        <f t="shared" si="85"/>
        <v>0</v>
      </c>
      <c r="S369" s="57">
        <f t="shared" si="85"/>
        <v>0</v>
      </c>
      <c r="T369" s="57">
        <f t="shared" si="85"/>
        <v>0</v>
      </c>
      <c r="U369" s="57">
        <f t="shared" si="85"/>
        <v>0</v>
      </c>
      <c r="V369" s="62">
        <f t="shared" si="85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6">IFERROR(SUMPRODUCT($AU$53:$AU$67,Q$53:Q$67)/SUM(Q$53:Q$67)*Q$69,0)</f>
        <v>1634704.9739999997</v>
      </c>
      <c r="R370" s="57">
        <f t="shared" si="86"/>
        <v>1186571.369400962</v>
      </c>
      <c r="S370" s="57">
        <f t="shared" si="86"/>
        <v>1193133.5137330822</v>
      </c>
      <c r="T370" s="57">
        <f t="shared" si="86"/>
        <v>1201588.6896133644</v>
      </c>
      <c r="U370" s="57">
        <f t="shared" si="86"/>
        <v>1212711.869633341</v>
      </c>
      <c r="V370" s="62">
        <f t="shared" si="86"/>
        <v>1224827.5812136193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7">IFERROR(SUMPRODUCT($AV$53:$AV$67,Q$53:Q$67)/SUM(Q$53:Q$67)*Q$69,0)</f>
        <v>0</v>
      </c>
      <c r="R371" s="57">
        <f t="shared" si="87"/>
        <v>0</v>
      </c>
      <c r="S371" s="57">
        <f t="shared" si="87"/>
        <v>0</v>
      </c>
      <c r="T371" s="57">
        <f t="shared" si="87"/>
        <v>0</v>
      </c>
      <c r="U371" s="57">
        <f t="shared" si="87"/>
        <v>0</v>
      </c>
      <c r="V371" s="62">
        <f t="shared" si="87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8">IFERROR(SUMPRODUCT($AW$53:$AW$67,Q$53:Q$67)/SUM(Q$53:Q$67)*Q$69,0)</f>
        <v>0</v>
      </c>
      <c r="R372" s="57">
        <f t="shared" si="88"/>
        <v>0</v>
      </c>
      <c r="S372" s="57">
        <f t="shared" si="88"/>
        <v>0</v>
      </c>
      <c r="T372" s="57">
        <f t="shared" si="88"/>
        <v>0</v>
      </c>
      <c r="U372" s="57">
        <f t="shared" si="88"/>
        <v>0</v>
      </c>
      <c r="V372" s="62">
        <f t="shared" si="88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9">Q218</f>
        <v>-1757049.068475574</v>
      </c>
      <c r="R373" s="57">
        <f t="shared" si="89"/>
        <v>-1272207.1853600468</v>
      </c>
      <c r="S373" s="57">
        <f t="shared" si="89"/>
        <v>-1284125.5697077783</v>
      </c>
      <c r="T373" s="57">
        <f t="shared" si="89"/>
        <v>-1294623.6870011489</v>
      </c>
      <c r="U373" s="57">
        <f t="shared" si="89"/>
        <v>-1311809.4479479459</v>
      </c>
      <c r="V373" s="62">
        <f t="shared" si="89"/>
        <v>-1328193.9579299404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90">Q232</f>
        <v>0</v>
      </c>
      <c r="R374" s="57">
        <f t="shared" si="90"/>
        <v>0</v>
      </c>
      <c r="S374" s="57">
        <f t="shared" si="90"/>
        <v>0</v>
      </c>
      <c r="T374" s="57">
        <f t="shared" si="90"/>
        <v>0</v>
      </c>
      <c r="U374" s="57">
        <f t="shared" si="90"/>
        <v>0</v>
      </c>
      <c r="V374" s="62">
        <f t="shared" si="90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91">SUM(Q362:Q372)*Q188</f>
        <v>122344.09447557414</v>
      </c>
      <c r="R375" s="57">
        <f>SUM(R362:R372)*R188</f>
        <v>85635.815959084823</v>
      </c>
      <c r="S375" s="57">
        <f t="shared" si="91"/>
        <v>90992.055974696035</v>
      </c>
      <c r="T375" s="57">
        <f t="shared" si="91"/>
        <v>93034.997387784446</v>
      </c>
      <c r="U375" s="57">
        <f t="shared" si="91"/>
        <v>99097.578314604805</v>
      </c>
      <c r="V375" s="62">
        <f t="shared" si="91"/>
        <v>103366.37671632103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92">SUM(P362:P375)</f>
        <v>0</v>
      </c>
      <c r="Q377" s="37">
        <f t="shared" si="92"/>
        <v>-1.8917489796876907E-10</v>
      </c>
      <c r="R377" s="37">
        <f>SUM(R362:R375)</f>
        <v>0</v>
      </c>
      <c r="S377" s="37">
        <f t="shared" si="92"/>
        <v>0</v>
      </c>
      <c r="T377" s="37">
        <f t="shared" si="92"/>
        <v>0</v>
      </c>
      <c r="U377" s="37">
        <f t="shared" si="92"/>
        <v>-1.3096723705530167E-10</v>
      </c>
      <c r="V377" s="64">
        <f t="shared" si="92"/>
        <v>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172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297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93">IFERROR(SUMPRODUCT($BB$53:$BB$67,Q$53:Q$67)/SUM(Q$53:Q$67)*Q$69*(1+Q$188),0)</f>
        <v>1757049.068475574</v>
      </c>
      <c r="R388" s="57">
        <f t="shared" si="93"/>
        <v>1272207.1853600468</v>
      </c>
      <c r="S388" s="57">
        <f t="shared" si="93"/>
        <v>1284125.5697077783</v>
      </c>
      <c r="T388" s="57">
        <f t="shared" si="93"/>
        <v>1294623.6870011489</v>
      </c>
      <c r="U388" s="57">
        <f t="shared" si="93"/>
        <v>1311809.4479479459</v>
      </c>
      <c r="V388" s="62">
        <f t="shared" si="93"/>
        <v>1328193.9579299404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94">IFERROR(SUMPRODUCT($BC$53:$BC$67,Q$53:Q$67)/SUM(Q$53:Q$67)*Q$69*(1+Q$188),0)</f>
        <v>0</v>
      </c>
      <c r="R389" s="57">
        <f t="shared" si="94"/>
        <v>0</v>
      </c>
      <c r="S389" s="57">
        <f t="shared" si="94"/>
        <v>0</v>
      </c>
      <c r="T389" s="57">
        <f t="shared" si="94"/>
        <v>0</v>
      </c>
      <c r="U389" s="57">
        <f t="shared" si="94"/>
        <v>0</v>
      </c>
      <c r="V389" s="62">
        <f t="shared" si="94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95">IFERROR(SUMPRODUCT($BD$53:$BD$67,Q$53:Q$67)/SUM(Q$53:Q$67)*Q$69*(1+Q$188),0)</f>
        <v>0</v>
      </c>
      <c r="R390" s="57">
        <f t="shared" si="95"/>
        <v>0</v>
      </c>
      <c r="S390" s="57">
        <f t="shared" si="95"/>
        <v>0</v>
      </c>
      <c r="T390" s="57">
        <f t="shared" si="95"/>
        <v>0</v>
      </c>
      <c r="U390" s="57">
        <f t="shared" si="95"/>
        <v>0</v>
      </c>
      <c r="V390" s="62">
        <f t="shared" si="95"/>
        <v>0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6">IFERROR(SUMPRODUCT($BE$53:$BE$67,Q$53:Q$67)/SUM(Q$53:Q$67)*Q$69*(1+Q$188),0)</f>
        <v>0</v>
      </c>
      <c r="R391" s="57">
        <f t="shared" si="96"/>
        <v>0</v>
      </c>
      <c r="S391" s="57">
        <f t="shared" si="96"/>
        <v>0</v>
      </c>
      <c r="T391" s="57">
        <f t="shared" si="96"/>
        <v>0</v>
      </c>
      <c r="U391" s="57">
        <f t="shared" si="96"/>
        <v>0</v>
      </c>
      <c r="V391" s="62">
        <f t="shared" si="96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7">IFERROR(SUMPRODUCT($BF$53:$BF$67,Q$53:Q$67)/SUM(Q$53:Q$67)*Q$69*(1+Q$188),0)</f>
        <v>0</v>
      </c>
      <c r="R392" s="57">
        <f t="shared" si="97"/>
        <v>0</v>
      </c>
      <c r="S392" s="57">
        <f t="shared" si="97"/>
        <v>0</v>
      </c>
      <c r="T392" s="57">
        <f t="shared" si="97"/>
        <v>0</v>
      </c>
      <c r="U392" s="57">
        <f t="shared" si="97"/>
        <v>0</v>
      </c>
      <c r="V392" s="62">
        <f t="shared" si="97"/>
        <v>0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8">IFERROR(SUMPRODUCT($BG$53:$BG$67,Q$53:Q$67)/SUM(Q$53:Q$67)*Q$69*(1+Q$188),0)</f>
        <v>0</v>
      </c>
      <c r="R393" s="57">
        <f t="shared" si="98"/>
        <v>0</v>
      </c>
      <c r="S393" s="57">
        <f t="shared" si="98"/>
        <v>0</v>
      </c>
      <c r="T393" s="57">
        <f t="shared" si="98"/>
        <v>0</v>
      </c>
      <c r="U393" s="57">
        <f t="shared" si="98"/>
        <v>0</v>
      </c>
      <c r="V393" s="62">
        <f t="shared" si="98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9">IFERROR(SUMPRODUCT($BH$53:$BH$67,Q$53:Q$67)/SUM(Q$53:Q$67)*Q$69*(1+Q$188),0)</f>
        <v>0</v>
      </c>
      <c r="R394" s="57">
        <f t="shared" si="99"/>
        <v>0</v>
      </c>
      <c r="S394" s="57">
        <f t="shared" si="99"/>
        <v>0</v>
      </c>
      <c r="T394" s="57">
        <f t="shared" si="99"/>
        <v>0</v>
      </c>
      <c r="U394" s="57">
        <f t="shared" si="99"/>
        <v>0</v>
      </c>
      <c r="V394" s="62">
        <f t="shared" si="99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0">SUM(P388:P394)</f>
        <v>0</v>
      </c>
      <c r="Q396" s="37">
        <f t="shared" si="100"/>
        <v>1757049.068475574</v>
      </c>
      <c r="R396" s="37">
        <f t="shared" si="100"/>
        <v>1272207.1853600468</v>
      </c>
      <c r="S396" s="37">
        <f t="shared" si="100"/>
        <v>1284125.5697077783</v>
      </c>
      <c r="T396" s="37">
        <f t="shared" si="100"/>
        <v>1294623.6870011489</v>
      </c>
      <c r="U396" s="37">
        <f t="shared" si="100"/>
        <v>1311809.4479479459</v>
      </c>
      <c r="V396" s="64">
        <f t="shared" si="100"/>
        <v>1328193.9579299404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48">
    <mergeCell ref="H28:L28"/>
    <mergeCell ref="M28:Q28"/>
    <mergeCell ref="R28:V28"/>
    <mergeCell ref="H50:L50"/>
    <mergeCell ref="M50:Q50"/>
    <mergeCell ref="R50:V50"/>
    <mergeCell ref="H74:L74"/>
    <mergeCell ref="M74:Q74"/>
    <mergeCell ref="R74:V74"/>
    <mergeCell ref="H97:L97"/>
    <mergeCell ref="M97:Q97"/>
    <mergeCell ref="R97:V97"/>
    <mergeCell ref="H120:L120"/>
    <mergeCell ref="M120:Q120"/>
    <mergeCell ref="R120:V120"/>
    <mergeCell ref="H143:L143"/>
    <mergeCell ref="M143:Q143"/>
    <mergeCell ref="R143:V143"/>
    <mergeCell ref="H166:L166"/>
    <mergeCell ref="M166:Q166"/>
    <mergeCell ref="R166:V166"/>
    <mergeCell ref="H196:L196"/>
    <mergeCell ref="M196:Q196"/>
    <mergeCell ref="R196:V196"/>
    <mergeCell ref="H222:L222"/>
    <mergeCell ref="M222:Q222"/>
    <mergeCell ref="R222:V222"/>
    <mergeCell ref="H236:L236"/>
    <mergeCell ref="M236:Q236"/>
    <mergeCell ref="R236:V23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36:L336"/>
    <mergeCell ref="M336:Q336"/>
    <mergeCell ref="R336:V336"/>
    <mergeCell ref="H359:L359"/>
    <mergeCell ref="M359:Q359"/>
    <mergeCell ref="R359:V359"/>
    <mergeCell ref="H385:L385"/>
    <mergeCell ref="M385:Q385"/>
    <mergeCell ref="R385:V385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B0F0"/>
  </sheetPr>
  <dimension ref="A1:BI399"/>
  <sheetViews>
    <sheetView topLeftCell="A22" workbookViewId="0">
      <selection activeCell="R53" sqref="R53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21" s="3" customFormat="1">
      <c r="A1" s="2" t="s">
        <v>2</v>
      </c>
    </row>
    <row r="2" spans="1:21" s="1" customFormat="1">
      <c r="A2" s="3" t="s">
        <v>213</v>
      </c>
    </row>
    <row r="3" spans="1:21" s="1" customFormat="1">
      <c r="A3" s="3" t="s">
        <v>95</v>
      </c>
    </row>
    <row r="4" spans="1:21" s="1" customFormat="1">
      <c r="A4" s="22" t="s">
        <v>43</v>
      </c>
    </row>
    <row r="6" spans="1:21" s="1" customFormat="1">
      <c r="A6" s="2">
        <v>2</v>
      </c>
      <c r="B6" s="2" t="s">
        <v>45</v>
      </c>
    </row>
    <row r="8" spans="1:21">
      <c r="O8" s="94"/>
      <c r="P8" s="95"/>
      <c r="Q8" s="95"/>
      <c r="R8" s="95"/>
      <c r="S8" s="95"/>
      <c r="T8" s="94"/>
    </row>
    <row r="9" spans="1:21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  <c r="I9" s="94"/>
      <c r="J9" s="94"/>
      <c r="K9" s="94"/>
      <c r="L9" s="94"/>
      <c r="O9" s="94"/>
      <c r="P9" s="94"/>
      <c r="Q9" s="94"/>
      <c r="R9" s="94"/>
      <c r="S9" s="94"/>
      <c r="T9" s="94"/>
      <c r="U9" s="94"/>
    </row>
    <row r="10" spans="1:21">
      <c r="B10" s="8" t="s">
        <v>39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  <c r="I10" s="94"/>
      <c r="J10" s="94"/>
      <c r="K10" s="94"/>
      <c r="L10" s="94"/>
      <c r="O10" s="94"/>
      <c r="P10" s="95"/>
      <c r="Q10" s="95"/>
      <c r="R10" s="95"/>
      <c r="S10" s="95"/>
      <c r="T10" s="94"/>
      <c r="U10" s="94"/>
    </row>
    <row r="11" spans="1:21">
      <c r="B11" s="8"/>
      <c r="D11" s="10"/>
      <c r="E11" s="10"/>
      <c r="F11" s="26"/>
      <c r="G11" s="26"/>
      <c r="I11" s="94"/>
      <c r="J11" s="94"/>
      <c r="K11" s="94"/>
      <c r="L11" s="94"/>
      <c r="O11" s="94"/>
      <c r="P11" s="94"/>
      <c r="Q11" s="94"/>
      <c r="R11" s="94"/>
      <c r="S11" s="94"/>
      <c r="T11" s="94"/>
      <c r="U11" s="94"/>
    </row>
    <row r="12" spans="1:21">
      <c r="B12" s="8"/>
      <c r="D12" s="10"/>
      <c r="E12" s="10"/>
      <c r="F12" s="26"/>
      <c r="G12" s="26"/>
      <c r="I12" s="94"/>
      <c r="J12" s="94"/>
      <c r="K12" s="94"/>
      <c r="L12" s="94"/>
      <c r="O12" s="94"/>
      <c r="P12" s="94"/>
      <c r="Q12" s="94"/>
      <c r="R12" s="94"/>
      <c r="S12" s="94"/>
      <c r="T12" s="94"/>
      <c r="U12" s="94"/>
    </row>
    <row r="13" spans="1:21">
      <c r="B13" s="8"/>
      <c r="D13" s="10"/>
      <c r="E13" s="10"/>
      <c r="F13" s="26"/>
      <c r="G13" s="26"/>
      <c r="I13" s="94"/>
      <c r="J13" s="94"/>
      <c r="K13" s="94"/>
      <c r="L13" s="94"/>
      <c r="O13" s="94"/>
      <c r="P13" s="94"/>
      <c r="Q13" s="94"/>
      <c r="R13" s="94"/>
      <c r="S13" s="94"/>
      <c r="T13" s="94"/>
      <c r="U13" s="94"/>
    </row>
    <row r="14" spans="1:21">
      <c r="B14" s="8"/>
      <c r="D14" s="10"/>
      <c r="E14" s="10"/>
      <c r="F14" s="26"/>
      <c r="G14" s="26"/>
    </row>
    <row r="15" spans="1:21">
      <c r="B15" s="8"/>
      <c r="D15" s="10"/>
      <c r="E15" s="10"/>
      <c r="F15" s="26"/>
      <c r="G15" s="26"/>
    </row>
    <row r="16" spans="1:21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203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87" t="s">
        <v>52</v>
      </c>
      <c r="I28" s="189"/>
      <c r="J28" s="189"/>
      <c r="K28" s="189"/>
      <c r="L28" s="188"/>
      <c r="M28" s="187" t="s">
        <v>53</v>
      </c>
      <c r="N28" s="189"/>
      <c r="O28" s="189"/>
      <c r="P28" s="189"/>
      <c r="Q28" s="188"/>
      <c r="R28" s="187" t="s">
        <v>54</v>
      </c>
      <c r="S28" s="189"/>
      <c r="T28" s="189"/>
      <c r="U28" s="189"/>
      <c r="V28" s="18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>IF(B10&lt;&gt;"",B10,"[blank]")</f>
        <v>Extensions - New Towns</v>
      </c>
      <c r="D31" s="31" t="s">
        <v>60</v>
      </c>
      <c r="E31" s="31"/>
      <c r="P31" s="77"/>
      <c r="Q31" s="33">
        <f>'AMP inputs'!U60*'General assumptions'!$S$21</f>
        <v>2795003.6846572463</v>
      </c>
      <c r="R31" s="33">
        <f>'AMP inputs'!V60*'General assumptions'!$S$21</f>
        <v>0</v>
      </c>
      <c r="S31" s="33">
        <f>'AMP inputs'!W60*'General assumptions'!$S$21</f>
        <v>0</v>
      </c>
      <c r="T31" s="33">
        <f>'AMP inputs'!X60*'General assumptions'!$S$21</f>
        <v>0</v>
      </c>
      <c r="U31" s="33">
        <f>'AMP inputs'!Y60*'General assumptions'!$S$21</f>
        <v>0</v>
      </c>
      <c r="V31" s="33">
        <f>'AMP inputs'!Z60*'General assumptions'!$S$21</f>
        <v>0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61</v>
      </c>
    </row>
    <row r="49" spans="2:61">
      <c r="Z49" s="5" t="s">
        <v>73</v>
      </c>
      <c r="AM49" s="5" t="s">
        <v>110</v>
      </c>
      <c r="BB49" s="5" t="s">
        <v>133</v>
      </c>
    </row>
    <row r="50" spans="2:61">
      <c r="H50" s="190" t="s">
        <v>52</v>
      </c>
      <c r="I50" s="190"/>
      <c r="J50" s="190"/>
      <c r="K50" s="190"/>
      <c r="L50" s="190"/>
      <c r="M50" s="190" t="s">
        <v>53</v>
      </c>
      <c r="N50" s="190"/>
      <c r="O50" s="190"/>
      <c r="P50" s="190"/>
      <c r="Q50" s="190"/>
      <c r="R50" s="190" t="s">
        <v>54</v>
      </c>
      <c r="S50" s="190"/>
      <c r="T50" s="190"/>
      <c r="U50" s="190"/>
      <c r="V50" s="190"/>
      <c r="X50" s="38"/>
      <c r="Z50" s="39" t="s">
        <v>69</v>
      </c>
      <c r="AA50" s="39" t="s">
        <v>70</v>
      </c>
      <c r="AB50" s="39" t="s">
        <v>71</v>
      </c>
      <c r="AC50" s="39" t="s">
        <v>72</v>
      </c>
      <c r="AD50" s="39" t="s">
        <v>64</v>
      </c>
      <c r="AE50" s="39" t="s">
        <v>65</v>
      </c>
      <c r="AF50" s="39" t="s">
        <v>66</v>
      </c>
      <c r="AG50" s="39" t="s">
        <v>107</v>
      </c>
      <c r="AH50" s="39" t="s">
        <v>67</v>
      </c>
      <c r="AI50" s="39" t="s">
        <v>68</v>
      </c>
      <c r="AJ50" s="39" t="s">
        <v>108</v>
      </c>
      <c r="AM50" s="39" t="s">
        <v>111</v>
      </c>
      <c r="AN50" s="39" t="s">
        <v>112</v>
      </c>
      <c r="AO50" s="39" t="s">
        <v>113</v>
      </c>
      <c r="AP50" s="39" t="s">
        <v>114</v>
      </c>
      <c r="AQ50" s="39" t="s">
        <v>115</v>
      </c>
      <c r="AR50" s="39" t="s">
        <v>36</v>
      </c>
      <c r="AS50" s="39" t="s">
        <v>116</v>
      </c>
      <c r="AT50" s="39" t="s">
        <v>35</v>
      </c>
      <c r="AU50" s="39" t="s">
        <v>117</v>
      </c>
      <c r="AV50" s="39" t="s">
        <v>118</v>
      </c>
      <c r="AW50" s="39" t="s">
        <v>119</v>
      </c>
      <c r="AX50" s="39" t="s">
        <v>74</v>
      </c>
      <c r="AY50" s="39" t="s">
        <v>75</v>
      </c>
      <c r="BB50" s="39" t="s">
        <v>134</v>
      </c>
      <c r="BC50" s="39" t="s">
        <v>135</v>
      </c>
      <c r="BD50" s="39" t="s">
        <v>136</v>
      </c>
      <c r="BE50" s="39" t="s">
        <v>107</v>
      </c>
      <c r="BF50" s="39" t="s">
        <v>137</v>
      </c>
      <c r="BG50" s="39" t="s">
        <v>138</v>
      </c>
      <c r="BH50" s="39" t="s">
        <v>108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63</v>
      </c>
    </row>
    <row r="52" spans="2:61">
      <c r="B52" s="5" t="s">
        <v>46</v>
      </c>
      <c r="D52" s="29" t="s">
        <v>55</v>
      </c>
      <c r="H52" s="16" t="s">
        <v>12</v>
      </c>
      <c r="I52" s="16" t="s">
        <v>12</v>
      </c>
      <c r="J52" s="16" t="s">
        <v>12</v>
      </c>
      <c r="K52" s="16" t="s">
        <v>12</v>
      </c>
      <c r="L52" s="16" t="s">
        <v>12</v>
      </c>
      <c r="M52" s="16" t="s">
        <v>12</v>
      </c>
      <c r="N52" s="16" t="s">
        <v>12</v>
      </c>
      <c r="O52" s="16" t="s">
        <v>12</v>
      </c>
      <c r="P52" s="16" t="s">
        <v>13</v>
      </c>
      <c r="Q52" s="16" t="s">
        <v>13</v>
      </c>
      <c r="R52" s="16" t="s">
        <v>13</v>
      </c>
      <c r="S52" s="16" t="s">
        <v>13</v>
      </c>
      <c r="T52" s="16" t="s">
        <v>13</v>
      </c>
      <c r="U52" s="16" t="s">
        <v>13</v>
      </c>
      <c r="V52" s="16" t="s">
        <v>13</v>
      </c>
      <c r="X52" s="34" t="s">
        <v>13</v>
      </c>
    </row>
    <row r="53" spans="2:61">
      <c r="B53" s="4" t="str">
        <f t="shared" ref="B53:B67" si="1">IF(B10&lt;&gt;"",B10,"[blank]")</f>
        <v>Extensions - New Towns</v>
      </c>
      <c r="D53" s="31" t="s">
        <v>60</v>
      </c>
      <c r="O53" s="35"/>
      <c r="P53" s="35"/>
      <c r="Q53" s="175">
        <v>5672032</v>
      </c>
      <c r="R53" s="35">
        <f>R31*($D10*'General assumptions'!U$35+$E10*'General assumptions'!U$36+$G10*'General assumptions'!U$42)</f>
        <v>0</v>
      </c>
      <c r="S53" s="35">
        <f>S31*($D10*'General assumptions'!V$35+$E10*'General assumptions'!V$36+$G10*'General assumptions'!V$42)</f>
        <v>0</v>
      </c>
      <c r="T53" s="35">
        <f>T31*($D10*'General assumptions'!W$35+$E10*'General assumptions'!W$36+$G10*'General assumptions'!W$42)</f>
        <v>0</v>
      </c>
      <c r="U53" s="35">
        <f>U31*($D10*'General assumptions'!X$35+$E10*'General assumptions'!X$36+$G10*'General assumptions'!X$42)</f>
        <v>0</v>
      </c>
      <c r="V53" s="35">
        <f>V31*($D10*'General assumptions'!Y$35+$E10*'General assumptions'!Y$36+$G10*'General assumptions'!Y$42)</f>
        <v>0</v>
      </c>
      <c r="W53" s="35"/>
      <c r="X53" s="40">
        <f>SUM(R53:V53)</f>
        <v>0</v>
      </c>
      <c r="Z53" s="10"/>
      <c r="AA53" s="10">
        <v>0.8</v>
      </c>
      <c r="AB53" s="10">
        <v>0.15</v>
      </c>
      <c r="AC53" s="10"/>
      <c r="AD53" s="10">
        <v>0.05</v>
      </c>
      <c r="AE53" s="10"/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/>
      <c r="AV53" s="10">
        <v>1</v>
      </c>
      <c r="AW53" s="10"/>
      <c r="AX53" s="10"/>
      <c r="AY53" s="10"/>
      <c r="AZ53" s="41">
        <f t="shared" ref="AZ53:AZ67" si="3">SUM(AM53:AY53)</f>
        <v>1</v>
      </c>
      <c r="BB53" s="10">
        <v>0.95</v>
      </c>
      <c r="BC53" s="10"/>
      <c r="BD53" s="10"/>
      <c r="BE53" s="10"/>
      <c r="BF53" s="10">
        <v>0.05</v>
      </c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62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5672032</v>
      </c>
      <c r="R69" s="37">
        <f t="shared" si="6"/>
        <v>0</v>
      </c>
      <c r="S69" s="37">
        <f t="shared" si="6"/>
        <v>0</v>
      </c>
      <c r="T69" s="37">
        <f t="shared" si="6"/>
        <v>0</v>
      </c>
      <c r="U69" s="37">
        <f t="shared" si="6"/>
        <v>0</v>
      </c>
      <c r="V69" s="37">
        <f t="shared" si="6"/>
        <v>0</v>
      </c>
      <c r="X69" s="37">
        <f t="shared" si="5"/>
        <v>0</v>
      </c>
    </row>
    <row r="71" spans="1:61">
      <c r="B71" s="5" t="s">
        <v>76</v>
      </c>
    </row>
    <row r="72" spans="1:61" s="1" customFormat="1">
      <c r="A72" s="4"/>
      <c r="B72" s="2" t="s">
        <v>77</v>
      </c>
    </row>
    <row r="74" spans="1:61">
      <c r="H74" s="190" t="s">
        <v>52</v>
      </c>
      <c r="I74" s="190"/>
      <c r="J74" s="190"/>
      <c r="K74" s="190"/>
      <c r="L74" s="190"/>
      <c r="M74" s="190" t="s">
        <v>53</v>
      </c>
      <c r="N74" s="190"/>
      <c r="O74" s="190"/>
      <c r="P74" s="190"/>
      <c r="Q74" s="190"/>
      <c r="R74" s="190" t="s">
        <v>54</v>
      </c>
      <c r="S74" s="190"/>
      <c r="T74" s="190"/>
      <c r="U74" s="190"/>
      <c r="V74" s="190"/>
      <c r="X74" s="38"/>
    </row>
    <row r="75" spans="1:61">
      <c r="B75" s="42" t="s">
        <v>79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63</v>
      </c>
    </row>
    <row r="76" spans="1:61">
      <c r="B76" s="5" t="s">
        <v>46</v>
      </c>
      <c r="D76" s="29" t="s">
        <v>55</v>
      </c>
      <c r="H76" s="16" t="s">
        <v>12</v>
      </c>
      <c r="I76" s="16" t="s">
        <v>12</v>
      </c>
      <c r="J76" s="16" t="s">
        <v>12</v>
      </c>
      <c r="K76" s="16" t="s">
        <v>12</v>
      </c>
      <c r="L76" s="16" t="s">
        <v>12</v>
      </c>
      <c r="M76" s="16" t="s">
        <v>12</v>
      </c>
      <c r="N76" s="16" t="s">
        <v>12</v>
      </c>
      <c r="O76" s="16" t="s">
        <v>12</v>
      </c>
      <c r="P76" s="16" t="s">
        <v>13</v>
      </c>
      <c r="Q76" s="16" t="s">
        <v>13</v>
      </c>
      <c r="R76" s="16" t="s">
        <v>13</v>
      </c>
      <c r="S76" s="16" t="s">
        <v>13</v>
      </c>
      <c r="T76" s="16" t="s">
        <v>13</v>
      </c>
      <c r="U76" s="16" t="s">
        <v>13</v>
      </c>
      <c r="V76" s="16" t="s">
        <v>13</v>
      </c>
      <c r="X76" s="34" t="s">
        <v>13</v>
      </c>
    </row>
    <row r="77" spans="1:61">
      <c r="B77" s="4" t="str">
        <f t="shared" ref="B77:B91" si="7">IF(B10&lt;&gt;"",B10,"[blank]")</f>
        <v>Extensions - New Towns</v>
      </c>
      <c r="D77" s="31" t="s">
        <v>60</v>
      </c>
      <c r="O77" s="35"/>
      <c r="P77" s="35">
        <f t="shared" ref="P77:V77" si="8">$D10*P53</f>
        <v>0</v>
      </c>
      <c r="Q77" s="35">
        <f t="shared" si="8"/>
        <v>226881.28</v>
      </c>
      <c r="R77" s="35">
        <f t="shared" si="8"/>
        <v>0</v>
      </c>
      <c r="S77" s="35">
        <f t="shared" si="8"/>
        <v>0</v>
      </c>
      <c r="T77" s="35">
        <f t="shared" si="8"/>
        <v>0</v>
      </c>
      <c r="U77" s="35">
        <f t="shared" si="8"/>
        <v>0</v>
      </c>
      <c r="V77" s="35">
        <f t="shared" si="8"/>
        <v>0</v>
      </c>
      <c r="X77" s="40">
        <f>SUM(R77:V77)</f>
        <v>0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78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226881.28</v>
      </c>
      <c r="R93" s="37">
        <f t="shared" si="10"/>
        <v>0</v>
      </c>
      <c r="S93" s="37">
        <f t="shared" si="10"/>
        <v>0</v>
      </c>
      <c r="T93" s="37">
        <f t="shared" si="10"/>
        <v>0</v>
      </c>
      <c r="U93" s="37">
        <f t="shared" si="10"/>
        <v>0</v>
      </c>
      <c r="V93" s="37">
        <f t="shared" si="10"/>
        <v>0</v>
      </c>
      <c r="X93" s="37">
        <f t="shared" ref="X93" si="11">SUM(R93:V93)</f>
        <v>0</v>
      </c>
    </row>
    <row r="95" spans="1:24" s="1" customFormat="1">
      <c r="A95" s="4"/>
      <c r="B95" s="2" t="s">
        <v>80</v>
      </c>
    </row>
    <row r="97" spans="2:24">
      <c r="H97" s="190" t="s">
        <v>52</v>
      </c>
      <c r="I97" s="190"/>
      <c r="J97" s="190"/>
      <c r="K97" s="190"/>
      <c r="L97" s="190"/>
      <c r="M97" s="190" t="s">
        <v>53</v>
      </c>
      <c r="N97" s="190"/>
      <c r="O97" s="190"/>
      <c r="P97" s="190"/>
      <c r="Q97" s="190"/>
      <c r="R97" s="190" t="s">
        <v>54</v>
      </c>
      <c r="S97" s="190"/>
      <c r="T97" s="190"/>
      <c r="U97" s="190"/>
      <c r="V97" s="190"/>
      <c r="X97" s="38"/>
    </row>
    <row r="98" spans="2:24">
      <c r="B98" s="43" t="s">
        <v>81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63</v>
      </c>
    </row>
    <row r="99" spans="2:24">
      <c r="B99" s="5" t="s">
        <v>46</v>
      </c>
      <c r="D99" s="29" t="s">
        <v>55</v>
      </c>
      <c r="H99" s="16" t="s">
        <v>12</v>
      </c>
      <c r="I99" s="16" t="s">
        <v>12</v>
      </c>
      <c r="J99" s="16" t="s">
        <v>12</v>
      </c>
      <c r="K99" s="16" t="s">
        <v>12</v>
      </c>
      <c r="L99" s="16" t="s">
        <v>12</v>
      </c>
      <c r="M99" s="16" t="s">
        <v>12</v>
      </c>
      <c r="N99" s="16" t="s">
        <v>12</v>
      </c>
      <c r="O99" s="16" t="s">
        <v>12</v>
      </c>
      <c r="P99" s="16" t="s">
        <v>13</v>
      </c>
      <c r="Q99" s="16" t="s">
        <v>13</v>
      </c>
      <c r="R99" s="16" t="s">
        <v>13</v>
      </c>
      <c r="S99" s="16" t="s">
        <v>13</v>
      </c>
      <c r="T99" s="16" t="s">
        <v>13</v>
      </c>
      <c r="U99" s="16" t="s">
        <v>13</v>
      </c>
      <c r="V99" s="16" t="s">
        <v>13</v>
      </c>
      <c r="X99" s="34" t="s">
        <v>13</v>
      </c>
    </row>
    <row r="100" spans="2:24">
      <c r="B100" s="4" t="str">
        <f t="shared" ref="B100:B114" si="12">IF(B10&lt;&gt;"",B10,"[blank]")</f>
        <v>Extensions - New Towns</v>
      </c>
      <c r="D100" s="31" t="s">
        <v>60</v>
      </c>
      <c r="O100" s="35"/>
      <c r="P100" s="35">
        <f t="shared" ref="P100:V100" si="13">$E10*P53</f>
        <v>0</v>
      </c>
      <c r="Q100" s="35">
        <f t="shared" si="13"/>
        <v>4310744.32</v>
      </c>
      <c r="R100" s="35">
        <f t="shared" si="13"/>
        <v>0</v>
      </c>
      <c r="S100" s="35">
        <f t="shared" si="13"/>
        <v>0</v>
      </c>
      <c r="T100" s="35">
        <f t="shared" si="13"/>
        <v>0</v>
      </c>
      <c r="U100" s="35">
        <f t="shared" si="13"/>
        <v>0</v>
      </c>
      <c r="V100" s="35">
        <f t="shared" si="13"/>
        <v>0</v>
      </c>
      <c r="X100" s="40">
        <f>SUM(R100:V100)</f>
        <v>0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82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4310744.32</v>
      </c>
      <c r="R116" s="37">
        <f t="shared" si="15"/>
        <v>0</v>
      </c>
      <c r="S116" s="37">
        <f t="shared" si="15"/>
        <v>0</v>
      </c>
      <c r="T116" s="37">
        <f t="shared" si="15"/>
        <v>0</v>
      </c>
      <c r="U116" s="37">
        <f t="shared" si="15"/>
        <v>0</v>
      </c>
      <c r="V116" s="37">
        <f t="shared" si="15"/>
        <v>0</v>
      </c>
      <c r="X116" s="37">
        <f t="shared" ref="X116" si="16">SUM(R116:V116)</f>
        <v>0</v>
      </c>
    </row>
    <row r="118" spans="1:24" s="1" customFormat="1">
      <c r="A118" s="4"/>
      <c r="B118" s="2" t="s">
        <v>83</v>
      </c>
    </row>
    <row r="120" spans="1:24">
      <c r="H120" s="190" t="s">
        <v>52</v>
      </c>
      <c r="I120" s="190"/>
      <c r="J120" s="190"/>
      <c r="K120" s="190"/>
      <c r="L120" s="190"/>
      <c r="M120" s="190" t="s">
        <v>53</v>
      </c>
      <c r="N120" s="190"/>
      <c r="O120" s="190"/>
      <c r="P120" s="190"/>
      <c r="Q120" s="190"/>
      <c r="R120" s="190" t="s">
        <v>54</v>
      </c>
      <c r="S120" s="190"/>
      <c r="T120" s="190"/>
      <c r="U120" s="190"/>
      <c r="V120" s="190"/>
      <c r="X120" s="38"/>
    </row>
    <row r="121" spans="1:24">
      <c r="B121" s="43" t="s">
        <v>84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63</v>
      </c>
    </row>
    <row r="122" spans="1:24">
      <c r="B122" s="5" t="s">
        <v>46</v>
      </c>
      <c r="D122" s="29" t="s">
        <v>55</v>
      </c>
      <c r="H122" s="16" t="s">
        <v>12</v>
      </c>
      <c r="I122" s="16" t="s">
        <v>12</v>
      </c>
      <c r="J122" s="16" t="s">
        <v>12</v>
      </c>
      <c r="K122" s="16" t="s">
        <v>12</v>
      </c>
      <c r="L122" s="16" t="s">
        <v>12</v>
      </c>
      <c r="M122" s="16" t="s">
        <v>12</v>
      </c>
      <c r="N122" s="16" t="s">
        <v>12</v>
      </c>
      <c r="O122" s="16" t="s">
        <v>12</v>
      </c>
      <c r="P122" s="16" t="s">
        <v>13</v>
      </c>
      <c r="Q122" s="16" t="s">
        <v>13</v>
      </c>
      <c r="R122" s="16" t="s">
        <v>13</v>
      </c>
      <c r="S122" s="16" t="s">
        <v>13</v>
      </c>
      <c r="T122" s="16" t="s">
        <v>13</v>
      </c>
      <c r="U122" s="16" t="s">
        <v>13</v>
      </c>
      <c r="V122" s="16" t="s">
        <v>13</v>
      </c>
      <c r="X122" s="34" t="s">
        <v>13</v>
      </c>
    </row>
    <row r="123" spans="1:24">
      <c r="B123" s="4" t="str">
        <f t="shared" ref="B123:B137" si="17">IF(B10&lt;&gt;"",B10,"[blank]")</f>
        <v>Extensions - New Towns</v>
      </c>
      <c r="D123" s="31" t="s">
        <v>60</v>
      </c>
      <c r="O123" s="35"/>
      <c r="P123" s="35">
        <f>P77+P100</f>
        <v>0</v>
      </c>
      <c r="Q123" s="35">
        <f t="shared" ref="Q123:V123" si="18">Q77+Q100</f>
        <v>4537625.6000000006</v>
      </c>
      <c r="R123" s="35">
        <f t="shared" si="18"/>
        <v>0</v>
      </c>
      <c r="S123" s="35">
        <f t="shared" si="18"/>
        <v>0</v>
      </c>
      <c r="T123" s="35">
        <f t="shared" si="18"/>
        <v>0</v>
      </c>
      <c r="U123" s="35">
        <f t="shared" si="18"/>
        <v>0</v>
      </c>
      <c r="V123" s="35">
        <f t="shared" si="18"/>
        <v>0</v>
      </c>
      <c r="X123" s="40">
        <f>SUM(R123:V123)</f>
        <v>0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85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4537625.6000000006</v>
      </c>
      <c r="R139" s="37">
        <f t="shared" si="20"/>
        <v>0</v>
      </c>
      <c r="S139" s="37">
        <f t="shared" si="20"/>
        <v>0</v>
      </c>
      <c r="T139" s="37">
        <f t="shared" si="20"/>
        <v>0</v>
      </c>
      <c r="U139" s="37">
        <f t="shared" si="20"/>
        <v>0</v>
      </c>
      <c r="V139" s="37">
        <f t="shared" si="20"/>
        <v>0</v>
      </c>
      <c r="X139" s="37">
        <f t="shared" ref="X139" si="21">SUM(R139:V139)</f>
        <v>0</v>
      </c>
    </row>
    <row r="141" spans="1:24" s="1" customFormat="1">
      <c r="A141" s="4"/>
      <c r="B141" s="2" t="s">
        <v>86</v>
      </c>
    </row>
    <row r="143" spans="1:24">
      <c r="H143" s="190" t="s">
        <v>52</v>
      </c>
      <c r="I143" s="190"/>
      <c r="J143" s="190"/>
      <c r="K143" s="190"/>
      <c r="L143" s="190"/>
      <c r="M143" s="190" t="s">
        <v>53</v>
      </c>
      <c r="N143" s="190"/>
      <c r="O143" s="190"/>
      <c r="P143" s="190"/>
      <c r="Q143" s="190"/>
      <c r="R143" s="190" t="s">
        <v>54</v>
      </c>
      <c r="S143" s="190"/>
      <c r="T143" s="190"/>
      <c r="U143" s="190"/>
      <c r="V143" s="190"/>
      <c r="X143" s="38"/>
    </row>
    <row r="144" spans="1:24">
      <c r="B144" s="44" t="s">
        <v>50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63</v>
      </c>
    </row>
    <row r="145" spans="2:24">
      <c r="B145" s="5" t="s">
        <v>46</v>
      </c>
      <c r="D145" s="29" t="s">
        <v>55</v>
      </c>
      <c r="H145" s="16" t="s">
        <v>12</v>
      </c>
      <c r="I145" s="16" t="s">
        <v>12</v>
      </c>
      <c r="J145" s="16" t="s">
        <v>12</v>
      </c>
      <c r="K145" s="16" t="s">
        <v>12</v>
      </c>
      <c r="L145" s="16" t="s">
        <v>12</v>
      </c>
      <c r="M145" s="16" t="s">
        <v>12</v>
      </c>
      <c r="N145" s="16" t="s">
        <v>12</v>
      </c>
      <c r="O145" s="16" t="s">
        <v>12</v>
      </c>
      <c r="P145" s="16" t="s">
        <v>13</v>
      </c>
      <c r="Q145" s="16" t="s">
        <v>13</v>
      </c>
      <c r="R145" s="16" t="s">
        <v>13</v>
      </c>
      <c r="S145" s="16" t="s">
        <v>13</v>
      </c>
      <c r="T145" s="16" t="s">
        <v>13</v>
      </c>
      <c r="U145" s="16" t="s">
        <v>13</v>
      </c>
      <c r="V145" s="16" t="s">
        <v>13</v>
      </c>
      <c r="X145" s="34" t="s">
        <v>13</v>
      </c>
    </row>
    <row r="146" spans="2:24">
      <c r="B146" s="4" t="str">
        <f t="shared" ref="B146:B160" si="22">IF(B10&lt;&gt;"",B10,"[blank]")</f>
        <v>Extensions - New Towns</v>
      </c>
      <c r="D146" s="31" t="s">
        <v>60</v>
      </c>
      <c r="O146" s="35"/>
      <c r="P146" s="35">
        <f t="shared" ref="P146:V146" si="23">$G10*P53</f>
        <v>0</v>
      </c>
      <c r="Q146" s="35">
        <f t="shared" si="23"/>
        <v>1134406.3999999997</v>
      </c>
      <c r="R146" s="35">
        <f t="shared" si="23"/>
        <v>0</v>
      </c>
      <c r="S146" s="35">
        <f t="shared" si="23"/>
        <v>0</v>
      </c>
      <c r="T146" s="35">
        <f t="shared" si="23"/>
        <v>0</v>
      </c>
      <c r="U146" s="35">
        <f t="shared" si="23"/>
        <v>0</v>
      </c>
      <c r="V146" s="35">
        <f t="shared" si="23"/>
        <v>0</v>
      </c>
      <c r="X146" s="40">
        <f>SUM(R146:V146)</f>
        <v>0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87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1134406.3999999997</v>
      </c>
      <c r="R162" s="37">
        <f t="shared" si="25"/>
        <v>0</v>
      </c>
      <c r="S162" s="37">
        <f t="shared" si="25"/>
        <v>0</v>
      </c>
      <c r="T162" s="37">
        <f t="shared" si="25"/>
        <v>0</v>
      </c>
      <c r="U162" s="37">
        <f t="shared" si="25"/>
        <v>0</v>
      </c>
      <c r="V162" s="37">
        <f t="shared" si="25"/>
        <v>0</v>
      </c>
      <c r="X162" s="37">
        <f t="shared" ref="X162" si="26">SUM(R162:V162)</f>
        <v>0</v>
      </c>
    </row>
    <row r="164" spans="1:24" s="1" customFormat="1">
      <c r="A164" s="2">
        <v>5</v>
      </c>
      <c r="B164" s="2" t="s">
        <v>89</v>
      </c>
    </row>
    <row r="166" spans="1:24">
      <c r="H166" s="190" t="s">
        <v>52</v>
      </c>
      <c r="I166" s="190"/>
      <c r="J166" s="190"/>
      <c r="K166" s="190"/>
      <c r="L166" s="190"/>
      <c r="M166" s="190" t="s">
        <v>53</v>
      </c>
      <c r="N166" s="190"/>
      <c r="O166" s="190"/>
      <c r="P166" s="190"/>
      <c r="Q166" s="190"/>
      <c r="R166" s="190" t="s">
        <v>54</v>
      </c>
      <c r="S166" s="190"/>
      <c r="T166" s="190"/>
      <c r="U166" s="190"/>
      <c r="V166" s="190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63</v>
      </c>
    </row>
    <row r="168" spans="1:24">
      <c r="B168" s="5" t="s">
        <v>46</v>
      </c>
      <c r="D168" s="29" t="s">
        <v>55</v>
      </c>
      <c r="H168" s="16" t="s">
        <v>12</v>
      </c>
      <c r="I168" s="16" t="s">
        <v>12</v>
      </c>
      <c r="J168" s="16" t="s">
        <v>12</v>
      </c>
      <c r="K168" s="16" t="s">
        <v>12</v>
      </c>
      <c r="L168" s="16" t="s">
        <v>12</v>
      </c>
      <c r="M168" s="16" t="s">
        <v>12</v>
      </c>
      <c r="N168" s="16" t="s">
        <v>12</v>
      </c>
      <c r="O168" s="16" t="s">
        <v>12</v>
      </c>
      <c r="P168" s="16" t="s">
        <v>13</v>
      </c>
      <c r="Q168" s="16" t="s">
        <v>13</v>
      </c>
      <c r="R168" s="16" t="s">
        <v>13</v>
      </c>
      <c r="S168" s="16" t="s">
        <v>13</v>
      </c>
      <c r="T168" s="16" t="s">
        <v>13</v>
      </c>
      <c r="U168" s="16" t="s">
        <v>13</v>
      </c>
      <c r="V168" s="16" t="s">
        <v>13</v>
      </c>
      <c r="X168" s="34" t="s">
        <v>13</v>
      </c>
    </row>
    <row r="169" spans="1:24">
      <c r="B169" s="4" t="str">
        <f t="shared" ref="B169:B183" si="27">IF(B10&lt;&gt;"",B10,"[blank]")</f>
        <v>Extensions - New Towns</v>
      </c>
      <c r="D169" s="31" t="s">
        <v>60</v>
      </c>
      <c r="O169" s="35"/>
      <c r="P169" s="35">
        <f>P53*P$188</f>
        <v>0</v>
      </c>
      <c r="Q169" s="35">
        <f t="shared" ref="Q169:V169" si="28">Q53*Q$188</f>
        <v>424504.50075921766</v>
      </c>
      <c r="R169" s="35">
        <f t="shared" si="28"/>
        <v>0</v>
      </c>
      <c r="S169" s="35">
        <f t="shared" si="28"/>
        <v>0</v>
      </c>
      <c r="T169" s="35">
        <f t="shared" si="28"/>
        <v>0</v>
      </c>
      <c r="U169" s="35">
        <f t="shared" si="28"/>
        <v>0</v>
      </c>
      <c r="V169" s="35">
        <f t="shared" si="28"/>
        <v>0</v>
      </c>
      <c r="X169" s="40">
        <f>SUM(R169:V169)</f>
        <v>0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88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424504.50075921766</v>
      </c>
      <c r="R185" s="37">
        <f t="shared" si="30"/>
        <v>0</v>
      </c>
      <c r="S185" s="37">
        <f t="shared" si="30"/>
        <v>0</v>
      </c>
      <c r="T185" s="37">
        <f t="shared" si="30"/>
        <v>0</v>
      </c>
      <c r="U185" s="37">
        <f t="shared" si="30"/>
        <v>0</v>
      </c>
      <c r="V185" s="37">
        <f t="shared" si="30"/>
        <v>0</v>
      </c>
      <c r="X185" s="37">
        <f t="shared" ref="X185" si="31">SUM(R185:V185)</f>
        <v>0</v>
      </c>
    </row>
    <row r="187" spans="2:24">
      <c r="B187" s="4" t="s">
        <v>92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5672032</v>
      </c>
      <c r="R187" s="45">
        <f t="shared" si="32"/>
        <v>0</v>
      </c>
      <c r="S187" s="45">
        <f t="shared" si="32"/>
        <v>0</v>
      </c>
      <c r="T187" s="45">
        <f t="shared" si="32"/>
        <v>0</v>
      </c>
      <c r="U187" s="45">
        <f t="shared" si="32"/>
        <v>0</v>
      </c>
      <c r="V187" s="45">
        <f t="shared" si="32"/>
        <v>0</v>
      </c>
      <c r="W187" s="45"/>
      <c r="X187" s="40">
        <f t="shared" si="32"/>
        <v>0</v>
      </c>
    </row>
    <row r="188" spans="2:24">
      <c r="B188" s="4" t="s">
        <v>90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assumptions'!S69</f>
        <v>0</v>
      </c>
      <c r="Q188" s="21">
        <f>'General assumptions'!T47</f>
        <v>7.4841697077734692E-2</v>
      </c>
      <c r="R188" s="21">
        <f>'General assumptions'!U47</f>
        <v>7.2170809247081261E-2</v>
      </c>
      <c r="S188" s="21">
        <f>'General assumptions'!V47</f>
        <v>7.6263096231367788E-2</v>
      </c>
      <c r="T188" s="21">
        <f>'General assumptions'!W47</f>
        <v>7.7426658716070601E-2</v>
      </c>
      <c r="U188" s="21">
        <f>'General assumptions'!X47</f>
        <v>8.1715682674538839E-2</v>
      </c>
      <c r="V188" s="21">
        <f>'General assumptions'!Y47</f>
        <v>8.4392593946897035E-2</v>
      </c>
      <c r="W188" s="21"/>
      <c r="X188" s="75" t="e">
        <f>X185/X187</f>
        <v>#DIV/0!</v>
      </c>
    </row>
    <row r="190" spans="2:24" ht="12.75" thickBot="1">
      <c r="B190" s="5" t="s">
        <v>91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5">IF(Q168="forecast",Q187*(1+Q188),Q187+Q192)</f>
        <v>6096536.5007592179</v>
      </c>
      <c r="R190" s="37">
        <f t="shared" si="35"/>
        <v>0</v>
      </c>
      <c r="S190" s="37">
        <f t="shared" si="35"/>
        <v>0</v>
      </c>
      <c r="T190" s="37">
        <f t="shared" si="35"/>
        <v>0</v>
      </c>
      <c r="U190" s="37">
        <f t="shared" si="35"/>
        <v>0</v>
      </c>
      <c r="V190" s="37">
        <f t="shared" si="35"/>
        <v>0</v>
      </c>
      <c r="X190" s="37" t="e">
        <f t="shared" ref="X190" si="36">IF(X168="forecast",X187*(1+X188),X187+X192)</f>
        <v>#DIV/0!</v>
      </c>
    </row>
    <row r="192" spans="2:24">
      <c r="B192" s="4" t="s">
        <v>18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424504.50075921789</v>
      </c>
      <c r="R192" s="45">
        <f t="shared" si="37"/>
        <v>0</v>
      </c>
      <c r="S192" s="45">
        <f t="shared" si="37"/>
        <v>0</v>
      </c>
      <c r="T192" s="45">
        <f t="shared" si="37"/>
        <v>0</v>
      </c>
      <c r="U192" s="45">
        <f t="shared" si="37"/>
        <v>0</v>
      </c>
      <c r="V192" s="45">
        <f t="shared" si="37"/>
        <v>0</v>
      </c>
      <c r="X192" s="40" t="e">
        <f t="shared" ref="X192" si="38">X190-X187</f>
        <v>#DIV/0!</v>
      </c>
    </row>
    <row r="194" spans="1:24" s="1" customFormat="1">
      <c r="A194" s="2">
        <v>6</v>
      </c>
      <c r="B194" s="2" t="s">
        <v>74</v>
      </c>
    </row>
    <row r="196" spans="1:24">
      <c r="H196" s="190" t="s">
        <v>52</v>
      </c>
      <c r="I196" s="190"/>
      <c r="J196" s="190"/>
      <c r="K196" s="190"/>
      <c r="L196" s="190"/>
      <c r="M196" s="190" t="s">
        <v>53</v>
      </c>
      <c r="N196" s="190"/>
      <c r="O196" s="190"/>
      <c r="P196" s="190"/>
      <c r="Q196" s="190"/>
      <c r="R196" s="190" t="s">
        <v>54</v>
      </c>
      <c r="S196" s="190"/>
      <c r="T196" s="190"/>
      <c r="U196" s="190"/>
      <c r="V196" s="190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63</v>
      </c>
    </row>
    <row r="198" spans="1:24">
      <c r="D198" s="29" t="s">
        <v>55</v>
      </c>
      <c r="H198" s="16" t="s">
        <v>12</v>
      </c>
      <c r="I198" s="16" t="s">
        <v>12</v>
      </c>
      <c r="J198" s="16" t="s">
        <v>12</v>
      </c>
      <c r="K198" s="16" t="s">
        <v>12</v>
      </c>
      <c r="L198" s="16" t="s">
        <v>12</v>
      </c>
      <c r="M198" s="16" t="s">
        <v>12</v>
      </c>
      <c r="N198" s="16" t="s">
        <v>12</v>
      </c>
      <c r="O198" s="16" t="s">
        <v>12</v>
      </c>
      <c r="P198" s="16" t="s">
        <v>13</v>
      </c>
      <c r="Q198" s="16" t="s">
        <v>13</v>
      </c>
      <c r="R198" s="16" t="s">
        <v>13</v>
      </c>
      <c r="S198" s="16" t="s">
        <v>13</v>
      </c>
      <c r="T198" s="16" t="s">
        <v>13</v>
      </c>
      <c r="U198" s="16" t="s">
        <v>13</v>
      </c>
      <c r="V198" s="16" t="s">
        <v>13</v>
      </c>
      <c r="X198" s="34" t="s">
        <v>13</v>
      </c>
    </row>
    <row r="199" spans="1:24">
      <c r="B199" s="5" t="s">
        <v>94</v>
      </c>
      <c r="D199" s="31" t="s">
        <v>105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0</v>
      </c>
      <c r="Q199" s="177">
        <v>1.3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46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Extensions - New Towns</v>
      </c>
      <c r="D202" s="31" t="s">
        <v>60</v>
      </c>
      <c r="P202" s="45">
        <f>(-P53*(1+P$188))*P$199</f>
        <v>0</v>
      </c>
      <c r="Q202" s="45">
        <f t="shared" ref="Q202:V202" si="41">(-Q53*(1+Q$188))*Q$199</f>
        <v>-7925497.4509869833</v>
      </c>
      <c r="R202" s="45">
        <f t="shared" si="41"/>
        <v>0</v>
      </c>
      <c r="S202" s="45">
        <f t="shared" si="41"/>
        <v>0</v>
      </c>
      <c r="T202" s="45">
        <f t="shared" si="41"/>
        <v>0</v>
      </c>
      <c r="U202" s="45">
        <f t="shared" si="41"/>
        <v>0</v>
      </c>
      <c r="V202" s="45">
        <f t="shared" si="41"/>
        <v>0</v>
      </c>
      <c r="X202" s="40">
        <f t="shared" ref="X202" si="42">SUM(R202:V202)</f>
        <v>0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93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-7925497.4509869833</v>
      </c>
      <c r="R218" s="37">
        <f t="shared" si="43"/>
        <v>0</v>
      </c>
      <c r="S218" s="37">
        <f t="shared" si="43"/>
        <v>0</v>
      </c>
      <c r="T218" s="37">
        <f t="shared" si="43"/>
        <v>0</v>
      </c>
      <c r="U218" s="37">
        <f t="shared" si="43"/>
        <v>0</v>
      </c>
      <c r="V218" s="37">
        <f t="shared" si="43"/>
        <v>0</v>
      </c>
      <c r="X218" s="37">
        <f t="shared" ref="X218" si="44">SUM(R218:V218)</f>
        <v>0</v>
      </c>
    </row>
    <row r="220" spans="1:24" s="1" customFormat="1">
      <c r="A220" s="2">
        <v>7</v>
      </c>
      <c r="B220" s="2" t="s">
        <v>75</v>
      </c>
    </row>
    <row r="222" spans="1:24">
      <c r="H222" s="190" t="s">
        <v>52</v>
      </c>
      <c r="I222" s="190"/>
      <c r="J222" s="190"/>
      <c r="K222" s="190"/>
      <c r="L222" s="190"/>
      <c r="M222" s="190" t="s">
        <v>53</v>
      </c>
      <c r="N222" s="190"/>
      <c r="O222" s="190"/>
      <c r="P222" s="190"/>
      <c r="Q222" s="190"/>
      <c r="R222" s="190" t="s">
        <v>54</v>
      </c>
      <c r="S222" s="190"/>
      <c r="T222" s="190"/>
      <c r="U222" s="190"/>
      <c r="V222" s="190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63</v>
      </c>
    </row>
    <row r="224" spans="1:24">
      <c r="D224" s="29" t="s">
        <v>55</v>
      </c>
      <c r="H224" s="16" t="s">
        <v>12</v>
      </c>
      <c r="I224" s="16" t="s">
        <v>12</v>
      </c>
      <c r="J224" s="16" t="s">
        <v>12</v>
      </c>
      <c r="K224" s="16" t="s">
        <v>12</v>
      </c>
      <c r="L224" s="16" t="s">
        <v>12</v>
      </c>
      <c r="M224" s="16" t="s">
        <v>12</v>
      </c>
      <c r="N224" s="16" t="s">
        <v>12</v>
      </c>
      <c r="O224" s="16" t="s">
        <v>12</v>
      </c>
      <c r="P224" s="16" t="s">
        <v>13</v>
      </c>
      <c r="Q224" s="16" t="s">
        <v>13</v>
      </c>
      <c r="R224" s="16" t="s">
        <v>13</v>
      </c>
      <c r="S224" s="16" t="s">
        <v>13</v>
      </c>
      <c r="T224" s="16" t="s">
        <v>13</v>
      </c>
      <c r="U224" s="16" t="s">
        <v>13</v>
      </c>
      <c r="V224" s="16" t="s">
        <v>13</v>
      </c>
      <c r="X224" s="34" t="s">
        <v>13</v>
      </c>
    </row>
    <row r="225" spans="1:24">
      <c r="B225" s="38" t="s">
        <v>96</v>
      </c>
      <c r="D225" s="31"/>
      <c r="X225" s="40"/>
    </row>
    <row r="226" spans="1:24">
      <c r="B226" s="47" t="s">
        <v>97</v>
      </c>
      <c r="D226" s="31" t="s">
        <v>60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98</v>
      </c>
      <c r="D227" s="31" t="s">
        <v>60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99</v>
      </c>
      <c r="D228" s="31" t="s">
        <v>60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100</v>
      </c>
      <c r="D229" s="31" t="s">
        <v>60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101</v>
      </c>
      <c r="D230" s="31" t="s">
        <v>60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102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103</v>
      </c>
    </row>
    <row r="236" spans="1:24">
      <c r="H236" s="190" t="s">
        <v>52</v>
      </c>
      <c r="I236" s="190"/>
      <c r="J236" s="190"/>
      <c r="K236" s="190"/>
      <c r="L236" s="190"/>
      <c r="M236" s="190" t="s">
        <v>53</v>
      </c>
      <c r="N236" s="190"/>
      <c r="O236" s="190"/>
      <c r="P236" s="190"/>
      <c r="Q236" s="190"/>
      <c r="R236" s="190" t="s">
        <v>54</v>
      </c>
      <c r="S236" s="190"/>
      <c r="T236" s="190"/>
      <c r="U236" s="190"/>
      <c r="V236" s="190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63</v>
      </c>
    </row>
    <row r="238" spans="1:24">
      <c r="D238" s="29" t="s">
        <v>55</v>
      </c>
      <c r="H238" s="16" t="s">
        <v>12</v>
      </c>
      <c r="I238" s="16" t="s">
        <v>12</v>
      </c>
      <c r="J238" s="16" t="s">
        <v>12</v>
      </c>
      <c r="K238" s="16" t="s">
        <v>12</v>
      </c>
      <c r="L238" s="16" t="s">
        <v>12</v>
      </c>
      <c r="M238" s="16" t="s">
        <v>12</v>
      </c>
      <c r="N238" s="16" t="s">
        <v>12</v>
      </c>
      <c r="O238" s="16" t="s">
        <v>12</v>
      </c>
      <c r="P238" s="16" t="s">
        <v>13</v>
      </c>
      <c r="Q238" s="16" t="s">
        <v>13</v>
      </c>
      <c r="R238" s="16" t="s">
        <v>13</v>
      </c>
      <c r="S238" s="16" t="s">
        <v>13</v>
      </c>
      <c r="T238" s="16" t="s">
        <v>13</v>
      </c>
      <c r="U238" s="16" t="s">
        <v>13</v>
      </c>
      <c r="V238" s="16" t="s">
        <v>13</v>
      </c>
      <c r="X238" s="34" t="s">
        <v>13</v>
      </c>
    </row>
    <row r="239" spans="1:24">
      <c r="B239" s="4" t="s">
        <v>104</v>
      </c>
      <c r="D239" s="31" t="s">
        <v>60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6096536.5007592179</v>
      </c>
      <c r="R239" s="45">
        <f t="shared" si="47"/>
        <v>0</v>
      </c>
      <c r="S239" s="45">
        <f t="shared" si="47"/>
        <v>0</v>
      </c>
      <c r="T239" s="45">
        <f t="shared" si="47"/>
        <v>0</v>
      </c>
      <c r="U239" s="45">
        <f t="shared" si="47"/>
        <v>0</v>
      </c>
      <c r="V239" s="45">
        <f t="shared" si="47"/>
        <v>0</v>
      </c>
      <c r="X239" s="40">
        <f t="shared" ref="X239:X241" si="48">SUM(R239:V239)</f>
        <v>0</v>
      </c>
    </row>
    <row r="240" spans="1:24">
      <c r="B240" s="4" t="s">
        <v>74</v>
      </c>
      <c r="D240" s="31" t="s">
        <v>60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-7925497.4509869833</v>
      </c>
      <c r="R240" s="45">
        <f t="shared" si="49"/>
        <v>0</v>
      </c>
      <c r="S240" s="45">
        <f t="shared" si="49"/>
        <v>0</v>
      </c>
      <c r="T240" s="45">
        <f t="shared" si="49"/>
        <v>0</v>
      </c>
      <c r="U240" s="45">
        <f t="shared" si="49"/>
        <v>0</v>
      </c>
      <c r="V240" s="45">
        <f t="shared" si="49"/>
        <v>0</v>
      </c>
      <c r="X240" s="40">
        <f t="shared" si="48"/>
        <v>0</v>
      </c>
    </row>
    <row r="241" spans="1:24">
      <c r="B241" s="4" t="s">
        <v>75</v>
      </c>
      <c r="D241" s="31" t="s">
        <v>60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103</v>
      </c>
      <c r="D243" s="31" t="s">
        <v>60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-1828960.9502277654</v>
      </c>
      <c r="R243" s="37">
        <f t="shared" si="51"/>
        <v>0</v>
      </c>
      <c r="S243" s="37">
        <f t="shared" si="51"/>
        <v>0</v>
      </c>
      <c r="T243" s="37">
        <f t="shared" si="51"/>
        <v>0</v>
      </c>
      <c r="U243" s="37">
        <f t="shared" si="51"/>
        <v>0</v>
      </c>
      <c r="V243" s="37">
        <f t="shared" si="51"/>
        <v>0</v>
      </c>
      <c r="X243" s="37">
        <f t="shared" ref="X243" si="52">SUM(R243:V243)</f>
        <v>0</v>
      </c>
    </row>
    <row r="244" spans="1:24">
      <c r="D244" s="31"/>
    </row>
    <row r="246" spans="1:24" s="66" customFormat="1">
      <c r="A246" s="65">
        <v>9</v>
      </c>
      <c r="B246" s="65" t="s">
        <v>121</v>
      </c>
    </row>
    <row r="268" spans="2:22">
      <c r="B268" s="69" t="s">
        <v>120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335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3">IFERROR(SUMPRODUCT($Z$53:$Z$67,Q$53:Q$67)/SUM(Q$53:Q$67)*Q$69,0)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62">
        <f t="shared" si="53"/>
        <v>0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4537625.6000000006</v>
      </c>
      <c r="R277" s="57">
        <f t="shared" si="54"/>
        <v>0</v>
      </c>
      <c r="S277" s="57">
        <f t="shared" si="54"/>
        <v>0</v>
      </c>
      <c r="T277" s="57">
        <f t="shared" si="54"/>
        <v>0</v>
      </c>
      <c r="U277" s="57">
        <f t="shared" si="54"/>
        <v>0</v>
      </c>
      <c r="V277" s="62">
        <f t="shared" si="54"/>
        <v>0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850804.79999999993</v>
      </c>
      <c r="R278" s="57">
        <f t="shared" si="55"/>
        <v>0</v>
      </c>
      <c r="S278" s="57">
        <f t="shared" si="55"/>
        <v>0</v>
      </c>
      <c r="T278" s="57">
        <f t="shared" si="55"/>
        <v>0</v>
      </c>
      <c r="U278" s="57">
        <f t="shared" si="55"/>
        <v>0</v>
      </c>
      <c r="V278" s="62">
        <f t="shared" si="55"/>
        <v>0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283601.60000000003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5672032</v>
      </c>
      <c r="R288" s="37">
        <f t="shared" si="64"/>
        <v>0</v>
      </c>
      <c r="S288" s="37">
        <f t="shared" si="64"/>
        <v>0</v>
      </c>
      <c r="T288" s="37">
        <f t="shared" si="64"/>
        <v>0</v>
      </c>
      <c r="U288" s="37">
        <f t="shared" si="64"/>
        <v>0</v>
      </c>
      <c r="V288" s="64">
        <f t="shared" si="64"/>
        <v>0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300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4877229.2006073752</v>
      </c>
      <c r="R298" s="57">
        <f t="shared" si="65"/>
        <v>0</v>
      </c>
      <c r="S298" s="57">
        <f t="shared" si="65"/>
        <v>0</v>
      </c>
      <c r="T298" s="57">
        <f t="shared" si="65"/>
        <v>0</v>
      </c>
      <c r="U298" s="57">
        <f t="shared" si="65"/>
        <v>0</v>
      </c>
      <c r="V298" s="62">
        <f t="shared" si="65"/>
        <v>0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914480.47511388268</v>
      </c>
      <c r="R299" s="57">
        <f t="shared" si="65"/>
        <v>0</v>
      </c>
      <c r="S299" s="57">
        <f t="shared" si="65"/>
        <v>0</v>
      </c>
      <c r="T299" s="57">
        <f t="shared" si="65"/>
        <v>0</v>
      </c>
      <c r="U299" s="57">
        <f t="shared" si="65"/>
        <v>0</v>
      </c>
      <c r="V299" s="62">
        <f t="shared" si="65"/>
        <v>0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304826.82503796095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6096536.5007592188</v>
      </c>
      <c r="R309" s="37">
        <f t="shared" si="66"/>
        <v>0</v>
      </c>
      <c r="S309" s="37">
        <f t="shared" si="66"/>
        <v>0</v>
      </c>
      <c r="T309" s="37">
        <f t="shared" si="66"/>
        <v>0</v>
      </c>
      <c r="U309" s="37">
        <f t="shared" si="66"/>
        <v>0</v>
      </c>
      <c r="V309" s="64">
        <f t="shared" si="66"/>
        <v>0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301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P297*(1-P$199)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-1463168.7601822128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-274344.14253416483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-91448.0475113883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-1828960.9502277661</v>
      </c>
      <c r="R330" s="37">
        <f t="shared" si="68"/>
        <v>0</v>
      </c>
      <c r="S330" s="37">
        <f t="shared" si="68"/>
        <v>0</v>
      </c>
      <c r="T330" s="37">
        <f t="shared" si="68"/>
        <v>0</v>
      </c>
      <c r="U330" s="37">
        <f t="shared" si="68"/>
        <v>0</v>
      </c>
      <c r="V330" s="64">
        <f t="shared" si="68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302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69">Q297*Q$199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P298*P$199</f>
        <v>0</v>
      </c>
      <c r="Q340" s="57">
        <f t="shared" si="69"/>
        <v>6340397.9607895883</v>
      </c>
      <c r="R340" s="57">
        <f t="shared" si="69"/>
        <v>0</v>
      </c>
      <c r="S340" s="57">
        <f t="shared" si="69"/>
        <v>0</v>
      </c>
      <c r="T340" s="57">
        <f t="shared" si="69"/>
        <v>0</v>
      </c>
      <c r="U340" s="57">
        <f t="shared" si="69"/>
        <v>0</v>
      </c>
      <c r="V340" s="62">
        <f t="shared" si="69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1188824.6176480476</v>
      </c>
      <c r="R341" s="57">
        <f t="shared" si="69"/>
        <v>0</v>
      </c>
      <c r="S341" s="57">
        <f t="shared" si="69"/>
        <v>0</v>
      </c>
      <c r="T341" s="57">
        <f t="shared" si="69"/>
        <v>0</v>
      </c>
      <c r="U341" s="57">
        <f t="shared" si="69"/>
        <v>0</v>
      </c>
      <c r="V341" s="62">
        <f t="shared" si="69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396274.87254934927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0</v>
      </c>
      <c r="R344" s="57">
        <f t="shared" si="69"/>
        <v>0</v>
      </c>
      <c r="S344" s="57">
        <f t="shared" si="69"/>
        <v>0</v>
      </c>
      <c r="T344" s="57">
        <f t="shared" si="69"/>
        <v>0</v>
      </c>
      <c r="U344" s="57">
        <f t="shared" si="69"/>
        <v>0</v>
      </c>
      <c r="V344" s="62">
        <f t="shared" si="69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7925497.4509869851</v>
      </c>
      <c r="R351" s="37">
        <f t="shared" si="71"/>
        <v>0</v>
      </c>
      <c r="S351" s="37">
        <f t="shared" si="71"/>
        <v>0</v>
      </c>
      <c r="T351" s="37">
        <f t="shared" si="71"/>
        <v>0</v>
      </c>
      <c r="U351" s="37">
        <f t="shared" si="71"/>
        <v>0</v>
      </c>
      <c r="V351" s="64">
        <f t="shared" si="7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300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2">IFERROR(SUMPRODUCT($AM$53:$AM$67,Q$53:Q$67)/SUM(Q$53:Q$67)*Q$69,0)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3">IFERROR(SUMPRODUCT($AN$53:$AN$67,Q$53:Q$67)/SUM(Q$53:Q$67)*Q$69,0)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4">IFERROR(SUMPRODUCT($AO$53:$AO$67,Q$53:Q$67)/SUM(Q$53:Q$67)*Q$69,0)</f>
        <v>0</v>
      </c>
      <c r="R364" s="57">
        <f t="shared" si="74"/>
        <v>0</v>
      </c>
      <c r="S364" s="57">
        <f t="shared" si="74"/>
        <v>0</v>
      </c>
      <c r="T364" s="57">
        <f t="shared" si="74"/>
        <v>0</v>
      </c>
      <c r="U364" s="57">
        <f t="shared" si="74"/>
        <v>0</v>
      </c>
      <c r="V364" s="62">
        <f t="shared" si="74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5">IFERROR(SUMPRODUCT($AP$53:$AP$67,Q$53:Q$67)/SUM(Q$53:Q$67)*Q$69,0)</f>
        <v>0</v>
      </c>
      <c r="R365" s="57">
        <f t="shared" si="75"/>
        <v>0</v>
      </c>
      <c r="S365" s="57">
        <f t="shared" si="75"/>
        <v>0</v>
      </c>
      <c r="T365" s="57">
        <f t="shared" si="75"/>
        <v>0</v>
      </c>
      <c r="U365" s="57">
        <f t="shared" si="75"/>
        <v>0</v>
      </c>
      <c r="V365" s="62">
        <f t="shared" si="75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6">IFERROR(SUMPRODUCT($AQ$53:$AQ$67,Q$53:Q$67)/SUM(Q$53:Q$67)*Q$69,0)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77">IFERROR(SUMPRODUCT($AR$53:$AR$67,Q$53:Q$67)/SUM(Q$53:Q$67)*Q$69,0)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78">IFERROR(SUMPRODUCT($AS$53:$AS$67,Q$53:Q$67)/SUM(Q$53:Q$67)*Q$69,0)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79">IFERROR(SUMPRODUCT($AT$53:$AT$67,Q$53:Q$67)/SUM(Q$53:Q$67)*Q$69,0)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0">IFERROR(SUMPRODUCT($AU$53:$AU$67,Q$53:Q$67)/SUM(Q$53:Q$67)*Q$69,0)</f>
        <v>0</v>
      </c>
      <c r="R370" s="57">
        <f t="shared" si="80"/>
        <v>0</v>
      </c>
      <c r="S370" s="57">
        <f t="shared" si="80"/>
        <v>0</v>
      </c>
      <c r="T370" s="57">
        <f t="shared" si="80"/>
        <v>0</v>
      </c>
      <c r="U370" s="57">
        <f t="shared" si="80"/>
        <v>0</v>
      </c>
      <c r="V370" s="62">
        <f t="shared" si="80"/>
        <v>0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1">IFERROR(SUMPRODUCT($AV$53:$AV$67,Q$53:Q$67)/SUM(Q$53:Q$67)*Q$69,0)</f>
        <v>5672032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2">IFERROR(SUMPRODUCT($AW$53:$AW$67,Q$53:Q$67)/SUM(Q$53:Q$67)*Q$69,0)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3">Q218</f>
        <v>-7925497.4509869833</v>
      </c>
      <c r="R373" s="57">
        <f t="shared" si="83"/>
        <v>0</v>
      </c>
      <c r="S373" s="57">
        <f t="shared" si="83"/>
        <v>0</v>
      </c>
      <c r="T373" s="57">
        <f t="shared" si="83"/>
        <v>0</v>
      </c>
      <c r="U373" s="57">
        <f t="shared" si="83"/>
        <v>0</v>
      </c>
      <c r="V373" s="62">
        <f t="shared" si="83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4">Q232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5">SUM(Q362:Q372)*Q188</f>
        <v>424504.50075921766</v>
      </c>
      <c r="R375" s="57">
        <f t="shared" si="85"/>
        <v>0</v>
      </c>
      <c r="S375" s="57">
        <f t="shared" si="85"/>
        <v>0</v>
      </c>
      <c r="T375" s="57">
        <f t="shared" si="85"/>
        <v>0</v>
      </c>
      <c r="U375" s="57">
        <f t="shared" si="85"/>
        <v>0</v>
      </c>
      <c r="V375" s="62">
        <f t="shared" si="85"/>
        <v>0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-1828960.9502277656</v>
      </c>
      <c r="R377" s="37">
        <f t="shared" si="86"/>
        <v>0</v>
      </c>
      <c r="S377" s="37">
        <f t="shared" si="86"/>
        <v>0</v>
      </c>
      <c r="T377" s="37">
        <f t="shared" si="86"/>
        <v>0</v>
      </c>
      <c r="U377" s="37">
        <f t="shared" si="86"/>
        <v>0</v>
      </c>
      <c r="V377" s="64">
        <f t="shared" si="86"/>
        <v>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300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87">IFERROR(SUMPRODUCT($BB$53:$BB$67,Q$53:Q$67)/SUM(Q$53:Q$67)*Q$69*(1+Q$188),0)</f>
        <v>5791709.675721257</v>
      </c>
      <c r="R388" s="57">
        <f t="shared" si="87"/>
        <v>0</v>
      </c>
      <c r="S388" s="57">
        <f t="shared" si="87"/>
        <v>0</v>
      </c>
      <c r="T388" s="57">
        <f t="shared" si="87"/>
        <v>0</v>
      </c>
      <c r="U388" s="57">
        <f t="shared" si="87"/>
        <v>0</v>
      </c>
      <c r="V388" s="62">
        <f t="shared" si="87"/>
        <v>0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88">IFERROR(SUMPRODUCT($BC$53:$BC$67,Q$53:Q$67)/SUM(Q$53:Q$67)*Q$69*(1+Q$188),0)</f>
        <v>0</v>
      </c>
      <c r="R389" s="57">
        <f t="shared" si="88"/>
        <v>0</v>
      </c>
      <c r="S389" s="57">
        <f t="shared" si="88"/>
        <v>0</v>
      </c>
      <c r="T389" s="57">
        <f t="shared" si="88"/>
        <v>0</v>
      </c>
      <c r="U389" s="57">
        <f t="shared" si="88"/>
        <v>0</v>
      </c>
      <c r="V389" s="62">
        <f t="shared" si="88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89">IFERROR(SUMPRODUCT($BD$53:$BD$67,Q$53:Q$67)/SUM(Q$53:Q$67)*Q$69*(1+Q$188),0)</f>
        <v>0</v>
      </c>
      <c r="R390" s="57">
        <f t="shared" si="89"/>
        <v>0</v>
      </c>
      <c r="S390" s="57">
        <f t="shared" si="89"/>
        <v>0</v>
      </c>
      <c r="T390" s="57">
        <f t="shared" si="89"/>
        <v>0</v>
      </c>
      <c r="U390" s="57">
        <f t="shared" si="89"/>
        <v>0</v>
      </c>
      <c r="V390" s="62">
        <f t="shared" si="89"/>
        <v>0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0">IFERROR(SUMPRODUCT($BE$53:$BE$67,Q$53:Q$67)/SUM(Q$53:Q$67)*Q$69*(1+Q$188),0)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62">
        <f t="shared" si="90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1">IFERROR(SUMPRODUCT($BF$53:$BF$67,Q$53:Q$67)/SUM(Q$53:Q$67)*Q$69*(1+Q$188),0)</f>
        <v>304826.82503796095</v>
      </c>
      <c r="R392" s="57">
        <f t="shared" si="91"/>
        <v>0</v>
      </c>
      <c r="S392" s="57">
        <f t="shared" si="91"/>
        <v>0</v>
      </c>
      <c r="T392" s="57">
        <f t="shared" si="91"/>
        <v>0</v>
      </c>
      <c r="U392" s="57">
        <f t="shared" si="91"/>
        <v>0</v>
      </c>
      <c r="V392" s="62">
        <f t="shared" si="91"/>
        <v>0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2">IFERROR(SUMPRODUCT($BG$53:$BG$67,Q$53:Q$67)/SUM(Q$53:Q$67)*Q$69*(1+Q$188),0)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62">
        <f t="shared" si="92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3">IFERROR(SUMPRODUCT($BH$53:$BH$67,Q$53:Q$67)/SUM(Q$53:Q$67)*Q$69*(1+Q$188),0)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62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6096536.5007592179</v>
      </c>
      <c r="R396" s="37">
        <f t="shared" si="94"/>
        <v>0</v>
      </c>
      <c r="S396" s="37">
        <f t="shared" si="94"/>
        <v>0</v>
      </c>
      <c r="T396" s="37">
        <f t="shared" si="94"/>
        <v>0</v>
      </c>
      <c r="U396" s="37">
        <f t="shared" si="94"/>
        <v>0</v>
      </c>
      <c r="V396" s="64">
        <f t="shared" si="94"/>
        <v>0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48">
    <mergeCell ref="H28:L28"/>
    <mergeCell ref="M28:Q28"/>
    <mergeCell ref="R28:V28"/>
    <mergeCell ref="H50:L50"/>
    <mergeCell ref="M50:Q50"/>
    <mergeCell ref="R50:V50"/>
    <mergeCell ref="H74:L74"/>
    <mergeCell ref="M74:Q74"/>
    <mergeCell ref="R74:V74"/>
    <mergeCell ref="H97:L97"/>
    <mergeCell ref="M97:Q97"/>
    <mergeCell ref="R97:V97"/>
    <mergeCell ref="H120:L120"/>
    <mergeCell ref="M120:Q120"/>
    <mergeCell ref="R120:V120"/>
    <mergeCell ref="H143:L143"/>
    <mergeCell ref="M143:Q143"/>
    <mergeCell ref="R143:V143"/>
    <mergeCell ref="H166:L166"/>
    <mergeCell ref="M166:Q166"/>
    <mergeCell ref="R166:V166"/>
    <mergeCell ref="H196:L196"/>
    <mergeCell ref="M196:Q196"/>
    <mergeCell ref="R196:V196"/>
    <mergeCell ref="H222:L222"/>
    <mergeCell ref="M222:Q222"/>
    <mergeCell ref="R222:V222"/>
    <mergeCell ref="H236:L236"/>
    <mergeCell ref="M236:Q236"/>
    <mergeCell ref="R236:V23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36:L336"/>
    <mergeCell ref="M336:Q336"/>
    <mergeCell ref="R336:V336"/>
    <mergeCell ref="H359:L359"/>
    <mergeCell ref="M359:Q359"/>
    <mergeCell ref="R359:V359"/>
    <mergeCell ref="H385:L385"/>
    <mergeCell ref="M385:Q385"/>
    <mergeCell ref="R385:V385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M70"/>
  <sheetViews>
    <sheetView workbookViewId="0">
      <selection activeCell="N11" sqref="N11"/>
    </sheetView>
  </sheetViews>
  <sheetFormatPr defaultColWidth="9.140625" defaultRowHeight="12"/>
  <cols>
    <col min="1" max="1" width="5.7109375" style="139" customWidth="1"/>
    <col min="2" max="2" width="45.7109375" style="139" customWidth="1"/>
    <col min="3" max="16384" width="9.140625" style="139"/>
  </cols>
  <sheetData>
    <row r="1" spans="1:12" s="3" customFormat="1">
      <c r="A1" s="2" t="s">
        <v>2</v>
      </c>
    </row>
    <row r="2" spans="1:12" s="1" customFormat="1">
      <c r="A2" s="3" t="s">
        <v>431</v>
      </c>
    </row>
    <row r="3" spans="1:12" s="1" customFormat="1">
      <c r="A3" s="22" t="s">
        <v>43</v>
      </c>
    </row>
    <row r="5" spans="1:12" s="1" customFormat="1">
      <c r="A5" s="2">
        <v>1</v>
      </c>
      <c r="B5" s="2" t="s">
        <v>431</v>
      </c>
    </row>
    <row r="7" spans="1:12">
      <c r="B7" s="163" t="s">
        <v>412</v>
      </c>
    </row>
    <row r="9" spans="1:12">
      <c r="B9" s="164" t="s">
        <v>104</v>
      </c>
      <c r="C9" s="165"/>
    </row>
    <row r="10" spans="1:12">
      <c r="B10" s="142"/>
    </row>
    <row r="11" spans="1:12">
      <c r="B11" s="143" t="s">
        <v>361</v>
      </c>
      <c r="C11" s="144">
        <v>2016</v>
      </c>
      <c r="D11" s="144">
        <v>2017</v>
      </c>
      <c r="E11" s="144">
        <v>2018</v>
      </c>
      <c r="F11" s="144">
        <v>2019</v>
      </c>
      <c r="G11" s="144">
        <v>2020</v>
      </c>
      <c r="H11" s="144">
        <v>2021</v>
      </c>
      <c r="I11" s="145">
        <v>2022</v>
      </c>
      <c r="J11" s="146" t="s">
        <v>408</v>
      </c>
    </row>
    <row r="12" spans="1:12">
      <c r="B12" s="147" t="s">
        <v>125</v>
      </c>
      <c r="C12" s="148">
        <v>1.2252663902784564</v>
      </c>
      <c r="D12" s="148">
        <f>'Capex forecast - RAB'!I34/1000000</f>
        <v>1.4934917082042378</v>
      </c>
      <c r="E12" s="148">
        <f>'Capex forecast - RAB'!J34/1000000</f>
        <v>2.7327954301923039</v>
      </c>
      <c r="F12" s="148">
        <f>'Capex forecast - RAB'!K34/1000000</f>
        <v>1.6481498694196124</v>
      </c>
      <c r="G12" s="148">
        <f>'Capex forecast - RAB'!L34/1000000</f>
        <v>1.1004301339509763</v>
      </c>
      <c r="H12" s="148">
        <f>'Capex forecast - RAB'!M34/1000000</f>
        <v>1.1150380307557539</v>
      </c>
      <c r="I12" s="149">
        <f>'Capex forecast - RAB'!N34/1000000</f>
        <v>2.2904056578880487</v>
      </c>
      <c r="J12" s="150"/>
      <c r="K12" s="150"/>
      <c r="L12" s="166"/>
    </row>
    <row r="13" spans="1:12">
      <c r="B13" s="147" t="s">
        <v>126</v>
      </c>
      <c r="C13" s="148">
        <v>21.292679793281366</v>
      </c>
      <c r="D13" s="148">
        <f>'Capex forecast - RAB'!I35/1000000</f>
        <v>29.421644148785941</v>
      </c>
      <c r="E13" s="148">
        <f>'Capex forecast - RAB'!J35/1000000</f>
        <v>26.613144039698</v>
      </c>
      <c r="F13" s="148">
        <f>'Capex forecast - RAB'!K35/1000000</f>
        <v>24.022323071950634</v>
      </c>
      <c r="G13" s="148">
        <f>'Capex forecast - RAB'!L35/1000000</f>
        <v>25.204692237671605</v>
      </c>
      <c r="H13" s="148">
        <f>'Capex forecast - RAB'!M35/1000000</f>
        <v>23.371360297626513</v>
      </c>
      <c r="I13" s="149">
        <f>'Capex forecast - RAB'!N35/1000000</f>
        <v>21.343479406895689</v>
      </c>
      <c r="J13" s="150"/>
      <c r="K13" s="150"/>
      <c r="L13" s="166"/>
    </row>
    <row r="14" spans="1:12">
      <c r="B14" s="147" t="s">
        <v>127</v>
      </c>
      <c r="C14" s="148">
        <v>36.691311909454214</v>
      </c>
      <c r="D14" s="148">
        <f>'Capex forecast - RAB'!I36/1000000</f>
        <v>38.521639975155452</v>
      </c>
      <c r="E14" s="148">
        <f>'Capex forecast - RAB'!J36/1000000</f>
        <v>39.248024338915357</v>
      </c>
      <c r="F14" s="148">
        <f>'Capex forecast - RAB'!K36/1000000</f>
        <v>38.915302720543679</v>
      </c>
      <c r="G14" s="148">
        <f>'Capex forecast - RAB'!L36/1000000</f>
        <v>40.654371586137138</v>
      </c>
      <c r="H14" s="148">
        <f>'Capex forecast - RAB'!M36/1000000</f>
        <v>38.128906113841992</v>
      </c>
      <c r="I14" s="149">
        <f>'Capex forecast - RAB'!N36/1000000</f>
        <v>37.241217754045564</v>
      </c>
      <c r="J14" s="150"/>
      <c r="K14" s="150"/>
      <c r="L14" s="166"/>
    </row>
    <row r="15" spans="1:12">
      <c r="B15" s="151" t="s">
        <v>34</v>
      </c>
      <c r="C15" s="148">
        <v>0.35785304097347193</v>
      </c>
      <c r="D15" s="148">
        <f>'Capex forecast - RAB'!I37/1000000</f>
        <v>0.31819395702307285</v>
      </c>
      <c r="E15" s="148">
        <f>'Capex forecast - RAB'!J37/1000000</f>
        <v>0.43212138942315587</v>
      </c>
      <c r="F15" s="148">
        <f>'Capex forecast - RAB'!K37/1000000</f>
        <v>0.43696486110688088</v>
      </c>
      <c r="G15" s="148">
        <f>'Capex forecast - RAB'!L37/1000000</f>
        <v>0.44381545718243803</v>
      </c>
      <c r="H15" s="148">
        <f>'Capex forecast - RAB'!M37/1000000</f>
        <v>0.4510800611598334</v>
      </c>
      <c r="I15" s="149">
        <f>'Capex forecast - RAB'!N37/1000000</f>
        <v>0.45818839309397796</v>
      </c>
      <c r="J15" s="150"/>
      <c r="K15" s="150"/>
      <c r="L15" s="166"/>
    </row>
    <row r="16" spans="1:12">
      <c r="B16" s="147" t="s">
        <v>234</v>
      </c>
      <c r="C16" s="148">
        <v>2.0876783985776934</v>
      </c>
      <c r="D16" s="148">
        <f>'Capex forecast - RAB'!I38/1000000</f>
        <v>5.4325563520476363</v>
      </c>
      <c r="E16" s="148">
        <f>'Capex forecast - RAB'!J38/1000000</f>
        <v>7.9977466110612152</v>
      </c>
      <c r="F16" s="148">
        <f>'Capex forecast - RAB'!K38/1000000</f>
        <v>7.1534826009892241</v>
      </c>
      <c r="G16" s="148">
        <f>'Capex forecast - RAB'!L38/1000000</f>
        <v>4.6791688849116939</v>
      </c>
      <c r="H16" s="148">
        <f>'Capex forecast - RAB'!M38/1000000</f>
        <v>4.5414909674027024</v>
      </c>
      <c r="I16" s="149">
        <f>'Capex forecast - RAB'!N38/1000000</f>
        <v>4.1097681322224195</v>
      </c>
      <c r="J16" s="150"/>
      <c r="K16" s="150"/>
      <c r="L16" s="166"/>
    </row>
    <row r="17" spans="2:13">
      <c r="B17" s="147" t="s">
        <v>65</v>
      </c>
      <c r="C17" s="148">
        <v>15.974223977955003</v>
      </c>
      <c r="D17" s="148">
        <f>'Capex forecast - RAB'!I39/1000000</f>
        <v>13.400623284846247</v>
      </c>
      <c r="E17" s="148">
        <f>'Capex forecast - RAB'!J39/1000000</f>
        <v>15.189393691417482</v>
      </c>
      <c r="F17" s="148">
        <f>'Capex forecast - RAB'!K39/1000000</f>
        <v>16.010620523715069</v>
      </c>
      <c r="G17" s="148">
        <f>'Capex forecast - RAB'!L39/1000000</f>
        <v>15.597393370823283</v>
      </c>
      <c r="H17" s="148">
        <f>'Capex forecast - RAB'!M39/1000000</f>
        <v>15.529616719751509</v>
      </c>
      <c r="I17" s="149">
        <f>'Capex forecast - RAB'!N39/1000000</f>
        <v>15.996194623315571</v>
      </c>
      <c r="J17" s="150"/>
      <c r="K17" s="150"/>
      <c r="L17" s="166"/>
    </row>
    <row r="18" spans="2:13">
      <c r="B18" s="151" t="s">
        <v>66</v>
      </c>
      <c r="C18" s="148">
        <v>0.43690168565416371</v>
      </c>
      <c r="D18" s="148">
        <f>'Capex forecast - RAB'!I40/1000000</f>
        <v>0.47185857543942034</v>
      </c>
      <c r="E18" s="148">
        <f>'Capex forecast - RAB'!J40/1000000</f>
        <v>0.43274550817818697</v>
      </c>
      <c r="F18" s="148">
        <f>'Capex forecast - RAB'!K40/1000000</f>
        <v>0.38982016040159451</v>
      </c>
      <c r="G18" s="148">
        <f>'Capex forecast - RAB'!L40/1000000</f>
        <v>0.35534540584988095</v>
      </c>
      <c r="H18" s="148">
        <f>'Capex forecast - RAB'!M40/1000000</f>
        <v>1.4269967662634766</v>
      </c>
      <c r="I18" s="149">
        <f>'Capex forecast - RAB'!N40/1000000</f>
        <v>1.5424420259633578</v>
      </c>
      <c r="J18" s="150"/>
      <c r="K18" s="150"/>
      <c r="L18" s="166"/>
    </row>
    <row r="19" spans="2:13">
      <c r="B19" s="151" t="s">
        <v>107</v>
      </c>
      <c r="C19" s="148">
        <v>0</v>
      </c>
      <c r="D19" s="148">
        <f>'Capex forecast - RAB'!I41/1000000</f>
        <v>0</v>
      </c>
      <c r="E19" s="148">
        <f>'Capex forecast - RAB'!J41/1000000</f>
        <v>0</v>
      </c>
      <c r="F19" s="148">
        <f>'Capex forecast - RAB'!K41/1000000</f>
        <v>0</v>
      </c>
      <c r="G19" s="148">
        <f>'Capex forecast - RAB'!L41/1000000</f>
        <v>0</v>
      </c>
      <c r="H19" s="148">
        <f>'Capex forecast - RAB'!M41/1000000</f>
        <v>0</v>
      </c>
      <c r="I19" s="149">
        <f>'Capex forecast - RAB'!N41/1000000</f>
        <v>0</v>
      </c>
      <c r="J19" s="150"/>
      <c r="K19" s="150"/>
      <c r="L19" s="166"/>
    </row>
    <row r="20" spans="2:13">
      <c r="B20" s="151" t="s">
        <v>67</v>
      </c>
      <c r="C20" s="148">
        <v>6.916852067486273</v>
      </c>
      <c r="D20" s="148">
        <f>'Capex forecast - RAB'!I42/1000000</f>
        <v>7.0492211162734151</v>
      </c>
      <c r="E20" s="148">
        <f>'Capex forecast - RAB'!J42/1000000</f>
        <v>14.115679613900786</v>
      </c>
      <c r="F20" s="148">
        <f>'Capex forecast - RAB'!K42/1000000</f>
        <v>15.330008166965332</v>
      </c>
      <c r="G20" s="148">
        <f>'Capex forecast - RAB'!L42/1000000</f>
        <v>12.725325750282558</v>
      </c>
      <c r="H20" s="148">
        <f>'Capex forecast - RAB'!M42/1000000</f>
        <v>10.137616817740591</v>
      </c>
      <c r="I20" s="149">
        <f>'Capex forecast - RAB'!N42/1000000</f>
        <v>7.1372433653480503</v>
      </c>
      <c r="J20" s="150"/>
      <c r="K20" s="150"/>
      <c r="L20" s="166"/>
    </row>
    <row r="21" spans="2:13">
      <c r="B21" s="151" t="s">
        <v>68</v>
      </c>
      <c r="C21" s="148">
        <v>0.17505771316974061</v>
      </c>
      <c r="D21" s="148">
        <f>'Capex forecast - RAB'!I43/1000000</f>
        <v>0.36091401009034618</v>
      </c>
      <c r="E21" s="148">
        <f>'Capex forecast - RAB'!J43/1000000</f>
        <v>0.36135876730482719</v>
      </c>
      <c r="F21" s="148">
        <f>'Capex forecast - RAB'!K43/1000000</f>
        <v>0.36189438911896549</v>
      </c>
      <c r="G21" s="148">
        <f>'Capex forecast - RAB'!L43/1000000</f>
        <v>0.36257419659318496</v>
      </c>
      <c r="H21" s="148">
        <f>'Capex forecast - RAB'!M43/1000000</f>
        <v>0.36344601291519119</v>
      </c>
      <c r="I21" s="149">
        <f>'Capex forecast - RAB'!N43/1000000</f>
        <v>0.36441170301263226</v>
      </c>
      <c r="J21" s="150"/>
      <c r="K21" s="150"/>
      <c r="L21" s="166"/>
    </row>
    <row r="22" spans="2:13">
      <c r="B22" s="152" t="s">
        <v>108</v>
      </c>
      <c r="C22" s="148">
        <v>0</v>
      </c>
      <c r="D22" s="148">
        <f>'Capex forecast - RAB'!I44/1000000</f>
        <v>0</v>
      </c>
      <c r="E22" s="148">
        <f>'Capex forecast - RAB'!J44/1000000</f>
        <v>0</v>
      </c>
      <c r="F22" s="148">
        <f>'Capex forecast - RAB'!K44/1000000</f>
        <v>0</v>
      </c>
      <c r="G22" s="148">
        <f>'Capex forecast - RAB'!L44/1000000</f>
        <v>0</v>
      </c>
      <c r="H22" s="148">
        <f>'Capex forecast - RAB'!M44/1000000</f>
        <v>0</v>
      </c>
      <c r="I22" s="149">
        <f>'Capex forecast - RAB'!N44/1000000</f>
        <v>0</v>
      </c>
      <c r="J22" s="150"/>
      <c r="K22" s="150"/>
      <c r="L22" s="166"/>
    </row>
    <row r="23" spans="2:13" ht="12.75" thickBot="1">
      <c r="B23" s="153" t="s">
        <v>109</v>
      </c>
      <c r="C23" s="154">
        <f>SUM(C12:C22)</f>
        <v>85.157824976830383</v>
      </c>
      <c r="D23" s="154">
        <f t="shared" ref="D23:I23" si="0">SUM(D12:D22)</f>
        <v>96.470143127865768</v>
      </c>
      <c r="E23" s="154">
        <f t="shared" si="0"/>
        <v>107.1230093900913</v>
      </c>
      <c r="F23" s="154">
        <f t="shared" si="0"/>
        <v>104.268566364211</v>
      </c>
      <c r="G23" s="154">
        <f t="shared" si="0"/>
        <v>101.12311702340276</v>
      </c>
      <c r="H23" s="154">
        <f t="shared" si="0"/>
        <v>95.065551787457551</v>
      </c>
      <c r="I23" s="155">
        <f t="shared" si="0"/>
        <v>90.483351061785314</v>
      </c>
      <c r="J23" s="156">
        <f>SUM(E23:I23)</f>
        <v>498.06359562694786</v>
      </c>
    </row>
    <row r="24" spans="2:13">
      <c r="B24" s="157"/>
      <c r="C24" s="150"/>
      <c r="D24" s="150"/>
      <c r="E24" s="150"/>
      <c r="F24" s="150"/>
      <c r="G24" s="150"/>
      <c r="H24" s="150"/>
      <c r="I24" s="150"/>
    </row>
    <row r="25" spans="2:13">
      <c r="B25" s="141" t="s">
        <v>362</v>
      </c>
    </row>
    <row r="26" spans="2:13">
      <c r="B26" s="142"/>
    </row>
    <row r="27" spans="2:13">
      <c r="B27" s="143" t="s">
        <v>361</v>
      </c>
      <c r="C27" s="144">
        <v>2016</v>
      </c>
      <c r="D27" s="144">
        <v>2017</v>
      </c>
      <c r="E27" s="144">
        <v>2018</v>
      </c>
      <c r="F27" s="144">
        <v>2019</v>
      </c>
      <c r="G27" s="144">
        <v>2020</v>
      </c>
      <c r="H27" s="144">
        <v>2021</v>
      </c>
      <c r="I27" s="145">
        <v>2022</v>
      </c>
      <c r="J27" s="146" t="s">
        <v>408</v>
      </c>
    </row>
    <row r="28" spans="2:13">
      <c r="B28" s="147" t="s">
        <v>125</v>
      </c>
      <c r="C28" s="148">
        <v>0.71838555779134949</v>
      </c>
      <c r="D28" s="148">
        <f>'Capex forecast - RAB'!I74/1000000</f>
        <v>1.4934917082042378</v>
      </c>
      <c r="E28" s="148">
        <f>'Capex forecast - RAB'!J74/1000000</f>
        <v>1.0813761075560397</v>
      </c>
      <c r="F28" s="148">
        <f>'Capex forecast - RAB'!K74/1000000</f>
        <v>1.0915067342516114</v>
      </c>
      <c r="G28" s="148">
        <f>'Capex forecast - RAB'!L74/1000000</f>
        <v>1.1004301339509763</v>
      </c>
      <c r="H28" s="148">
        <f>'Capex forecast - RAB'!M74/1000000</f>
        <v>1.1150380307557539</v>
      </c>
      <c r="I28" s="149">
        <f>'Capex forecast - RAB'!N74/1000000</f>
        <v>1.1289648642404491</v>
      </c>
      <c r="K28" s="158"/>
      <c r="M28" s="158"/>
    </row>
    <row r="29" spans="2:13">
      <c r="B29" s="147" t="s">
        <v>126</v>
      </c>
      <c r="C29" s="148">
        <v>0.56907917587482248</v>
      </c>
      <c r="D29" s="148">
        <f>'Capex forecast - RAB'!I75/1000000</f>
        <v>7.6238798023814365</v>
      </c>
      <c r="E29" s="148">
        <f>'Capex forecast - RAB'!J75/1000000</f>
        <v>1.6295948157909028</v>
      </c>
      <c r="F29" s="148">
        <f>'Capex forecast - RAB'!K75/1000000</f>
        <v>1.6547490278769297</v>
      </c>
      <c r="G29" s="148">
        <f>'Capex forecast - RAB'!L75/1000000</f>
        <v>1.6785450976852485</v>
      </c>
      <c r="H29" s="148">
        <f>'Capex forecast - RAB'!M75/1000000</f>
        <v>1.7132053749907969</v>
      </c>
      <c r="I29" s="149">
        <f>'Capex forecast - RAB'!N75/1000000</f>
        <v>1.7241480123955437</v>
      </c>
      <c r="K29" s="158"/>
      <c r="M29" s="158"/>
    </row>
    <row r="30" spans="2:13">
      <c r="B30" s="147" t="s">
        <v>127</v>
      </c>
      <c r="C30" s="148">
        <v>0.58592660803579166</v>
      </c>
      <c r="D30" s="148">
        <f>'Capex forecast - RAB'!I76/1000000</f>
        <v>1.6862980420764133</v>
      </c>
      <c r="E30" s="148">
        <f>'Capex forecast - RAB'!J76/1000000</f>
        <v>0.66336340709612907</v>
      </c>
      <c r="F30" s="148">
        <f>'Capex forecast - RAB'!K76/1000000</f>
        <v>0.68165868723919598</v>
      </c>
      <c r="G30" s="148">
        <f>'Capex forecast - RAB'!L76/1000000</f>
        <v>0.69907651441009022</v>
      </c>
      <c r="H30" s="148">
        <f>'Capex forecast - RAB'!M76/1000000</f>
        <v>0.72219801898375091</v>
      </c>
      <c r="I30" s="149">
        <f>'Capex forecast - RAB'!N76/1000000</f>
        <v>0.71046117650389207</v>
      </c>
      <c r="K30" s="158"/>
      <c r="M30" s="158"/>
    </row>
    <row r="31" spans="2:13">
      <c r="B31" s="151" t="s">
        <v>34</v>
      </c>
      <c r="C31" s="148">
        <v>0</v>
      </c>
      <c r="D31" s="148">
        <f>'Capex forecast - RAB'!I77/1000000</f>
        <v>0</v>
      </c>
      <c r="E31" s="148">
        <f>'Capex forecast - RAB'!J77/1000000</f>
        <v>0</v>
      </c>
      <c r="F31" s="148">
        <f>'Capex forecast - RAB'!K77/1000000</f>
        <v>0</v>
      </c>
      <c r="G31" s="148">
        <f>'Capex forecast - RAB'!L77/1000000</f>
        <v>0</v>
      </c>
      <c r="H31" s="148">
        <f>'Capex forecast - RAB'!M77/1000000</f>
        <v>0</v>
      </c>
      <c r="I31" s="149">
        <f>'Capex forecast - RAB'!N77/1000000</f>
        <v>0</v>
      </c>
      <c r="K31" s="158"/>
      <c r="M31" s="158"/>
    </row>
    <row r="32" spans="2:13">
      <c r="B32" s="147" t="s">
        <v>234</v>
      </c>
      <c r="C32" s="148">
        <v>0</v>
      </c>
      <c r="D32" s="148">
        <f>'Capex forecast - RAB'!I78/1000000</f>
        <v>0.39627487254934929</v>
      </c>
      <c r="E32" s="148">
        <f>'Capex forecast - RAB'!J78/1000000</f>
        <v>0</v>
      </c>
      <c r="F32" s="148">
        <f>'Capex forecast - RAB'!K78/1000000</f>
        <v>0</v>
      </c>
      <c r="G32" s="148">
        <f>'Capex forecast - RAB'!L78/1000000</f>
        <v>0</v>
      </c>
      <c r="H32" s="148">
        <f>'Capex forecast - RAB'!M78/1000000</f>
        <v>0</v>
      </c>
      <c r="I32" s="149">
        <f>'Capex forecast - RAB'!N78/1000000</f>
        <v>0</v>
      </c>
      <c r="K32" s="158"/>
      <c r="M32" s="158"/>
    </row>
    <row r="33" spans="1:13">
      <c r="B33" s="147" t="s">
        <v>65</v>
      </c>
      <c r="C33" s="148">
        <v>0.29458042824713127</v>
      </c>
      <c r="D33" s="148">
        <f>'Capex forecast - RAB'!I79/1000000</f>
        <v>0.44177367106032955</v>
      </c>
      <c r="E33" s="148">
        <f>'Capex forecast - RAB'!J79/1000000</f>
        <v>0.6080093770503594</v>
      </c>
      <c r="F33" s="148">
        <f>'Capex forecast - RAB'!K79/1000000</f>
        <v>0.62085758925769496</v>
      </c>
      <c r="G33" s="148">
        <f>'Capex forecast - RAB'!L79/1000000</f>
        <v>0.63308372184962769</v>
      </c>
      <c r="H33" s="148">
        <f>'Capex forecast - RAB'!M79/1000000</f>
        <v>0.64993450899169036</v>
      </c>
      <c r="I33" s="149">
        <f>'Capex forecast - RAB'!N79/1000000</f>
        <v>0.64733338357818704</v>
      </c>
      <c r="K33" s="158"/>
      <c r="M33" s="158"/>
    </row>
    <row r="34" spans="1:13">
      <c r="B34" s="151" t="s">
        <v>66</v>
      </c>
      <c r="C34" s="148">
        <v>0</v>
      </c>
      <c r="D34" s="148">
        <f>'Capex forecast - RAB'!I80/1000000</f>
        <v>0</v>
      </c>
      <c r="E34" s="148">
        <f>'Capex forecast - RAB'!J80/1000000</f>
        <v>0</v>
      </c>
      <c r="F34" s="148">
        <f>'Capex forecast - RAB'!K80/1000000</f>
        <v>0</v>
      </c>
      <c r="G34" s="148">
        <f>'Capex forecast - RAB'!L80/1000000</f>
        <v>0</v>
      </c>
      <c r="H34" s="148">
        <f>'Capex forecast - RAB'!M80/1000000</f>
        <v>0</v>
      </c>
      <c r="I34" s="149">
        <f>'Capex forecast - RAB'!N80/1000000</f>
        <v>0</v>
      </c>
      <c r="K34" s="158"/>
      <c r="M34" s="158"/>
    </row>
    <row r="35" spans="1:13">
      <c r="B35" s="151" t="s">
        <v>107</v>
      </c>
      <c r="C35" s="148">
        <v>0</v>
      </c>
      <c r="D35" s="148">
        <f>'Capex forecast - RAB'!I81/1000000</f>
        <v>0</v>
      </c>
      <c r="E35" s="148">
        <f>'Capex forecast - RAB'!J81/1000000</f>
        <v>0</v>
      </c>
      <c r="F35" s="148">
        <f>'Capex forecast - RAB'!K81/1000000</f>
        <v>0</v>
      </c>
      <c r="G35" s="148">
        <f>'Capex forecast - RAB'!L81/1000000</f>
        <v>0</v>
      </c>
      <c r="H35" s="148">
        <f>'Capex forecast - RAB'!M81/1000000</f>
        <v>0</v>
      </c>
      <c r="I35" s="149">
        <f>'Capex forecast - RAB'!N81/1000000</f>
        <v>0</v>
      </c>
      <c r="K35" s="158"/>
      <c r="M35" s="158"/>
    </row>
    <row r="36" spans="1:13">
      <c r="B36" s="151" t="s">
        <v>67</v>
      </c>
      <c r="C36" s="148">
        <v>0</v>
      </c>
      <c r="D36" s="148">
        <f>'Capex forecast - RAB'!I82/1000000</f>
        <v>0</v>
      </c>
      <c r="E36" s="148">
        <f>'Capex forecast - RAB'!J82/1000000</f>
        <v>0</v>
      </c>
      <c r="F36" s="148">
        <f>'Capex forecast - RAB'!K82/1000000</f>
        <v>0</v>
      </c>
      <c r="G36" s="148">
        <f>'Capex forecast - RAB'!L82/1000000</f>
        <v>0</v>
      </c>
      <c r="H36" s="148">
        <f>'Capex forecast - RAB'!M82/1000000</f>
        <v>0</v>
      </c>
      <c r="I36" s="149">
        <f>'Capex forecast - RAB'!N82/1000000</f>
        <v>0</v>
      </c>
      <c r="K36" s="158"/>
      <c r="M36" s="158"/>
    </row>
    <row r="37" spans="1:13">
      <c r="B37" s="151" t="s">
        <v>68</v>
      </c>
      <c r="C37" s="148">
        <v>0</v>
      </c>
      <c r="D37" s="148">
        <f>'Capex forecast - RAB'!I83/1000000</f>
        <v>0</v>
      </c>
      <c r="E37" s="148">
        <f>'Capex forecast - RAB'!J83/1000000</f>
        <v>0</v>
      </c>
      <c r="F37" s="148">
        <f>'Capex forecast - RAB'!K83/1000000</f>
        <v>0</v>
      </c>
      <c r="G37" s="148">
        <f>'Capex forecast - RAB'!L83/1000000</f>
        <v>0</v>
      </c>
      <c r="H37" s="148">
        <f>'Capex forecast - RAB'!M83/1000000</f>
        <v>0</v>
      </c>
      <c r="I37" s="149">
        <f>'Capex forecast - RAB'!N83/1000000</f>
        <v>0</v>
      </c>
      <c r="K37" s="158"/>
      <c r="M37" s="158"/>
    </row>
    <row r="38" spans="1:13">
      <c r="B38" s="152" t="s">
        <v>108</v>
      </c>
      <c r="C38" s="148">
        <v>0</v>
      </c>
      <c r="D38" s="148">
        <f>'Capex forecast - RAB'!I84/1000000</f>
        <v>0</v>
      </c>
      <c r="E38" s="148">
        <f>'Capex forecast - RAB'!J84/1000000</f>
        <v>0</v>
      </c>
      <c r="F38" s="148">
        <f>'Capex forecast - RAB'!K84/1000000</f>
        <v>0</v>
      </c>
      <c r="G38" s="148">
        <f>'Capex forecast - RAB'!L84/1000000</f>
        <v>0</v>
      </c>
      <c r="H38" s="148">
        <f>'Capex forecast - RAB'!M84/1000000</f>
        <v>0</v>
      </c>
      <c r="I38" s="149">
        <f>'Capex forecast - RAB'!N84/1000000</f>
        <v>0</v>
      </c>
      <c r="K38" s="158"/>
      <c r="M38" s="158"/>
    </row>
    <row r="39" spans="1:13" ht="12.75" thickBot="1">
      <c r="B39" s="153" t="s">
        <v>109</v>
      </c>
      <c r="C39" s="154">
        <f>SUM(C28:C38)</f>
        <v>2.1679717699490948</v>
      </c>
      <c r="D39" s="154">
        <f t="shared" ref="D39:I39" si="1">SUM(D28:D38)</f>
        <v>11.641718096271767</v>
      </c>
      <c r="E39" s="154">
        <f t="shared" si="1"/>
        <v>3.9823437074934311</v>
      </c>
      <c r="F39" s="154">
        <f t="shared" si="1"/>
        <v>4.0487720386254322</v>
      </c>
      <c r="G39" s="154">
        <f t="shared" si="1"/>
        <v>4.1111354678959433</v>
      </c>
      <c r="H39" s="154">
        <f t="shared" si="1"/>
        <v>4.2003759337219924</v>
      </c>
      <c r="I39" s="155">
        <f t="shared" si="1"/>
        <v>4.2109074367180712</v>
      </c>
      <c r="J39" s="156">
        <f>SUM(E39:I39)</f>
        <v>20.553534584454869</v>
      </c>
      <c r="K39" s="158"/>
      <c r="M39" s="158"/>
    </row>
    <row r="40" spans="1:13">
      <c r="B40" s="157"/>
    </row>
    <row r="41" spans="1:13">
      <c r="D41" s="150"/>
    </row>
    <row r="42" spans="1:13" s="1" customFormat="1">
      <c r="A42" s="2">
        <v>2</v>
      </c>
      <c r="B42" s="2" t="s">
        <v>433</v>
      </c>
    </row>
    <row r="44" spans="1:13">
      <c r="B44" s="163" t="s">
        <v>434</v>
      </c>
    </row>
    <row r="45" spans="1:13">
      <c r="B45" s="140"/>
    </row>
    <row r="46" spans="1:13">
      <c r="B46" s="164" t="s">
        <v>360</v>
      </c>
    </row>
    <row r="47" spans="1:13">
      <c r="B47" s="141"/>
    </row>
    <row r="48" spans="1:13">
      <c r="B48" s="143" t="s">
        <v>410</v>
      </c>
      <c r="C48" s="144">
        <v>2016</v>
      </c>
      <c r="D48" s="144">
        <v>2017</v>
      </c>
      <c r="E48" s="144">
        <v>2018</v>
      </c>
      <c r="F48" s="144">
        <v>2019</v>
      </c>
      <c r="G48" s="144">
        <v>2020</v>
      </c>
      <c r="H48" s="144">
        <v>2021</v>
      </c>
      <c r="I48" s="145">
        <v>2022</v>
      </c>
      <c r="J48" s="146" t="s">
        <v>408</v>
      </c>
    </row>
    <row r="49" spans="2:11">
      <c r="B49" s="159" t="s">
        <v>134</v>
      </c>
      <c r="C49" s="148">
        <v>57.975214120666692</v>
      </c>
      <c r="D49" s="148">
        <f>D61/(1+'General assumptions'!$F$13)^(1/2)</f>
        <v>68.870915404478993</v>
      </c>
      <c r="E49" s="148">
        <f>E61/(1+'General assumptions'!$F$13)^(1/2)</f>
        <v>69.157548733853361</v>
      </c>
      <c r="F49" s="148">
        <f>F61/(1+'General assumptions'!$F$13)^(1/2)</f>
        <v>66.190849391900045</v>
      </c>
      <c r="G49" s="148">
        <f>G61/(1+'General assumptions'!$F$13)^(1/2)</f>
        <v>69.755847616788074</v>
      </c>
      <c r="H49" s="148">
        <f>H61/(1+'General assumptions'!$F$13)^(1/2)</f>
        <v>66.306535529246688</v>
      </c>
      <c r="I49" s="148">
        <f>I61/(1+'General assumptions'!$F$13)^(1/2)</f>
        <v>65.527399215307625</v>
      </c>
      <c r="K49" s="160"/>
    </row>
    <row r="50" spans="2:11">
      <c r="B50" s="159" t="s">
        <v>135</v>
      </c>
      <c r="C50" s="148">
        <v>13.504746258666668</v>
      </c>
      <c r="D50" s="148">
        <f>D62/(1+'General assumptions'!$F$13)^(1/2)</f>
        <v>11.201680097669179</v>
      </c>
      <c r="E50" s="148">
        <f>E62/(1+'General assumptions'!$F$13)^(1/2)</f>
        <v>12.683140491037308</v>
      </c>
      <c r="F50" s="148">
        <f>F62/(1+'General assumptions'!$F$13)^(1/2)</f>
        <v>13.571958070528799</v>
      </c>
      <c r="G50" s="148">
        <f>G62/(1+'General assumptions'!$F$13)^(1/2)</f>
        <v>13.377027719460168</v>
      </c>
      <c r="H50" s="148">
        <f>H62/(1+'General assumptions'!$F$13)^(1/2)</f>
        <v>13.575337940246333</v>
      </c>
      <c r="I50" s="148">
        <f>I62/(1+'General assumptions'!$F$13)^(1/2)</f>
        <v>14.406428264439986</v>
      </c>
      <c r="K50" s="160"/>
    </row>
    <row r="51" spans="2:11">
      <c r="B51" s="159" t="s">
        <v>136</v>
      </c>
      <c r="C51" s="148">
        <v>2.1365416980000003</v>
      </c>
      <c r="D51" s="148">
        <f>D63/(1+'General assumptions'!$F$13)^(1/2)</f>
        <v>2.0897376209322767</v>
      </c>
      <c r="E51" s="148">
        <f>E63/(1+'General assumptions'!$F$13)^(1/2)</f>
        <v>2.631053005344913</v>
      </c>
      <c r="F51" s="148">
        <f>F63/(1+'General assumptions'!$F$13)^(1/2)</f>
        <v>2.8365554279167093</v>
      </c>
      <c r="G51" s="148">
        <f>G63/(1+'General assumptions'!$F$13)^(1/2)</f>
        <v>2.8717419603197003</v>
      </c>
      <c r="H51" s="148">
        <f>H63/(1+'General assumptions'!$F$13)^(1/2)</f>
        <v>2.8697642908530088</v>
      </c>
      <c r="I51" s="148">
        <f>I63/(1+'General assumptions'!$F$13)^(1/2)</f>
        <v>2.8122536345832843</v>
      </c>
      <c r="K51" s="160"/>
    </row>
    <row r="52" spans="2:11">
      <c r="B52" s="159" t="s">
        <v>107</v>
      </c>
      <c r="C52" s="148">
        <v>0</v>
      </c>
      <c r="D52" s="148">
        <f>D64/(1+'General assumptions'!$F$13)^(1/2)</f>
        <v>0</v>
      </c>
      <c r="E52" s="148">
        <f>E64/(1+'General assumptions'!$F$13)^(1/2)</f>
        <v>0</v>
      </c>
      <c r="F52" s="148">
        <f>F64/(1+'General assumptions'!$F$13)^(1/2)</f>
        <v>0</v>
      </c>
      <c r="G52" s="148">
        <f>G64/(1+'General assumptions'!$F$13)^(1/2)</f>
        <v>0</v>
      </c>
      <c r="H52" s="148">
        <f>H64/(1+'General assumptions'!$F$13)^(1/2)</f>
        <v>0</v>
      </c>
      <c r="I52" s="148">
        <f>I64/(1+'General assumptions'!$F$13)^(1/2)</f>
        <v>0</v>
      </c>
      <c r="K52" s="160"/>
    </row>
    <row r="53" spans="2:11">
      <c r="B53" s="159" t="s">
        <v>137</v>
      </c>
      <c r="C53" s="148">
        <v>9.7664568735491724</v>
      </c>
      <c r="D53" s="148">
        <f>D65/(1+'General assumptions'!$F$13)^(1/2)</f>
        <v>13.521646825501822</v>
      </c>
      <c r="E53" s="148">
        <f>E65/(1+'General assumptions'!$F$13)^(1/2)</f>
        <v>23.531416226416138</v>
      </c>
      <c r="F53" s="148">
        <f>F65/(1+'General assumptions'!$F$13)^(1/2)</f>
        <v>24.26046656576635</v>
      </c>
      <c r="G53" s="148">
        <f>G65/(1+'General assumptions'!$F$13)^(1/2)</f>
        <v>19.341590159374963</v>
      </c>
      <c r="H53" s="148">
        <f>H65/(1+'General assumptions'!$F$13)^(1/2)</f>
        <v>17.918117714831215</v>
      </c>
      <c r="I53" s="148">
        <f>I65/(1+'General assumptions'!$F$13)^(1/2)</f>
        <v>14.652336182970009</v>
      </c>
      <c r="K53" s="160"/>
    </row>
    <row r="54" spans="2:11">
      <c r="B54" s="161" t="s">
        <v>138</v>
      </c>
      <c r="C54" s="148">
        <v>0</v>
      </c>
      <c r="D54" s="148">
        <f>D66/(1+'General assumptions'!$F$13)^(1/2)</f>
        <v>0</v>
      </c>
      <c r="E54" s="148">
        <f>E66/(1+'General assumptions'!$F$13)^(1/2)</f>
        <v>0</v>
      </c>
      <c r="F54" s="148">
        <f>F66/(1+'General assumptions'!$F$13)^(1/2)</f>
        <v>0</v>
      </c>
      <c r="G54" s="148">
        <f>G66/(1+'General assumptions'!$F$13)^(1/2)</f>
        <v>0</v>
      </c>
      <c r="H54" s="148">
        <f>H66/(1+'General assumptions'!$F$13)^(1/2)</f>
        <v>0</v>
      </c>
      <c r="I54" s="148">
        <f>I66/(1+'General assumptions'!$F$13)^(1/2)</f>
        <v>0</v>
      </c>
      <c r="K54" s="160"/>
    </row>
    <row r="55" spans="2:11">
      <c r="B55" s="162" t="s">
        <v>108</v>
      </c>
      <c r="C55" s="148">
        <v>0</v>
      </c>
      <c r="D55" s="148">
        <f>D67/(1+'General assumptions'!$F$13)^(1/2)</f>
        <v>0</v>
      </c>
      <c r="E55" s="148">
        <f>E67/(1+'General assumptions'!$F$13)^(1/2)</f>
        <v>0</v>
      </c>
      <c r="F55" s="148">
        <f>F67/(1+'General assumptions'!$F$13)^(1/2)</f>
        <v>0</v>
      </c>
      <c r="G55" s="148">
        <f>G67/(1+'General assumptions'!$F$13)^(1/2)</f>
        <v>0</v>
      </c>
      <c r="H55" s="148">
        <f>H67/(1+'General assumptions'!$F$13)^(1/2)</f>
        <v>0</v>
      </c>
      <c r="I55" s="148">
        <f>I67/(1+'General assumptions'!$F$13)^(1/2)</f>
        <v>0</v>
      </c>
      <c r="K55" s="160"/>
    </row>
    <row r="56" spans="2:11" ht="12.75" thickBot="1">
      <c r="B56" s="153" t="s">
        <v>109</v>
      </c>
      <c r="C56" s="154">
        <f>SUM(C49:C55)</f>
        <v>83.382958950882539</v>
      </c>
      <c r="D56" s="154">
        <f t="shared" ref="D56:I56" si="2">SUM(D49:D55)</f>
        <v>95.683979948582277</v>
      </c>
      <c r="E56" s="154">
        <f t="shared" si="2"/>
        <v>108.00315845665172</v>
      </c>
      <c r="F56" s="154">
        <f t="shared" si="2"/>
        <v>106.8598294561119</v>
      </c>
      <c r="G56" s="154">
        <f t="shared" si="2"/>
        <v>105.3462074559429</v>
      </c>
      <c r="H56" s="154">
        <f t="shared" si="2"/>
        <v>100.66975547517724</v>
      </c>
      <c r="I56" s="155">
        <f t="shared" si="2"/>
        <v>97.398417297300895</v>
      </c>
      <c r="J56" s="156">
        <f>SUM(E56:I56)</f>
        <v>518.27736814118464</v>
      </c>
    </row>
    <row r="57" spans="2:11">
      <c r="B57" s="140"/>
    </row>
    <row r="58" spans="2:11">
      <c r="B58" s="164" t="s">
        <v>360</v>
      </c>
    </row>
    <row r="59" spans="2:11">
      <c r="B59" s="141"/>
    </row>
    <row r="60" spans="2:11">
      <c r="B60" s="143" t="s">
        <v>411</v>
      </c>
      <c r="C60" s="144">
        <v>2016</v>
      </c>
      <c r="D60" s="144">
        <v>2017</v>
      </c>
      <c r="E60" s="144">
        <v>2018</v>
      </c>
      <c r="F60" s="144">
        <v>2019</v>
      </c>
      <c r="G60" s="144">
        <v>2020</v>
      </c>
      <c r="H60" s="144">
        <v>2021</v>
      </c>
      <c r="I60" s="145">
        <v>2022</v>
      </c>
      <c r="J60" s="146" t="s">
        <v>408</v>
      </c>
    </row>
    <row r="61" spans="2:11">
      <c r="B61" s="159" t="s">
        <v>134</v>
      </c>
      <c r="C61" s="148">
        <v>58.349769469036197</v>
      </c>
      <c r="D61" s="148">
        <f>'Capex forecast - tax'!I30/1000000</f>
        <v>69.436775832145614</v>
      </c>
      <c r="E61" s="148">
        <f>'Capex forecast - tax'!J30/1000000</f>
        <v>69.72576421165094</v>
      </c>
      <c r="F61" s="148">
        <f>'Capex forecast - tax'!K30/1000000</f>
        <v>66.734689736181011</v>
      </c>
      <c r="G61" s="148">
        <f>'Capex forecast - tax'!L30/1000000</f>
        <v>70.328978865775596</v>
      </c>
      <c r="H61" s="148">
        <f>'Capex forecast - tax'!M30/1000000</f>
        <v>66.85132637936556</v>
      </c>
      <c r="I61" s="149">
        <f>'Capex forecast - tax'!N30/1000000</f>
        <v>66.065788489300687</v>
      </c>
      <c r="K61" s="160"/>
    </row>
    <row r="62" spans="2:11">
      <c r="B62" s="159" t="s">
        <v>135</v>
      </c>
      <c r="C62" s="148">
        <v>13.591995180749622</v>
      </c>
      <c r="D62" s="148">
        <f>'Capex forecast - tax'!I31/1000000</f>
        <v>11.293715864195951</v>
      </c>
      <c r="E62" s="148">
        <f>'Capex forecast - tax'!J31/1000000</f>
        <v>12.787348301551576</v>
      </c>
      <c r="F62" s="148">
        <f>'Capex forecast - tax'!K31/1000000</f>
        <v>13.683468625499053</v>
      </c>
      <c r="G62" s="148">
        <f>'Capex forecast - tax'!L31/1000000</f>
        <v>13.486936678587341</v>
      </c>
      <c r="H62" s="148">
        <f>'Capex forecast - tax'!M31/1000000</f>
        <v>13.686876265059816</v>
      </c>
      <c r="I62" s="149">
        <f>'Capex forecast - tax'!N31/1000000</f>
        <v>14.524795032341757</v>
      </c>
      <c r="K62" s="160"/>
    </row>
    <row r="63" spans="2:11">
      <c r="B63" s="159" t="s">
        <v>136</v>
      </c>
      <c r="C63" s="148">
        <v>2.1503450643547111</v>
      </c>
      <c r="D63" s="148">
        <f>'Capex forecast - tax'!I32/1000000</f>
        <v>2.1069074206502987</v>
      </c>
      <c r="E63" s="148">
        <f>'Capex forecast - tax'!J32/1000000</f>
        <v>2.652670385774289</v>
      </c>
      <c r="F63" s="148">
        <f>'Capex forecast - tax'!K32/1000000</f>
        <v>2.8598612669361891</v>
      </c>
      <c r="G63" s="148">
        <f>'Capex forecast - tax'!L32/1000000</f>
        <v>2.8953369005680041</v>
      </c>
      <c r="H63" s="148">
        <f>'Capex forecast - tax'!M32/1000000</f>
        <v>2.8933429820811911</v>
      </c>
      <c r="I63" s="149">
        <f>'Capex forecast - tax'!N32/1000000</f>
        <v>2.835359804074808</v>
      </c>
      <c r="K63" s="160"/>
    </row>
    <row r="64" spans="2:11">
      <c r="B64" s="159" t="s">
        <v>107</v>
      </c>
      <c r="C64" s="148">
        <v>0</v>
      </c>
      <c r="D64" s="148">
        <f>'Capex forecast - tax'!I33/1000000</f>
        <v>0</v>
      </c>
      <c r="E64" s="148">
        <f>'Capex forecast - tax'!J33/1000000</f>
        <v>0</v>
      </c>
      <c r="F64" s="148">
        <f>'Capex forecast - tax'!K33/1000000</f>
        <v>0</v>
      </c>
      <c r="G64" s="148">
        <f>'Capex forecast - tax'!L33/1000000</f>
        <v>0</v>
      </c>
      <c r="H64" s="148">
        <f>'Capex forecast - tax'!M33/1000000</f>
        <v>0</v>
      </c>
      <c r="I64" s="149">
        <f>'Capex forecast - tax'!N33/1000000</f>
        <v>0</v>
      </c>
      <c r="K64" s="160"/>
    </row>
    <row r="65" spans="1:11">
      <c r="B65" s="159" t="s">
        <v>137</v>
      </c>
      <c r="C65" s="148">
        <v>9.8295541593822904</v>
      </c>
      <c r="D65" s="148">
        <f>'Capex forecast - tax'!I34/1000000</f>
        <v>13.632744010873889</v>
      </c>
      <c r="E65" s="148">
        <f>'Capex forecast - tax'!J34/1000000</f>
        <v>23.724756146050993</v>
      </c>
      <c r="F65" s="148">
        <f>'Capex forecast - tax'!K34/1000000</f>
        <v>24.459796542806316</v>
      </c>
      <c r="G65" s="148">
        <f>'Capex forecast - tax'!L34/1000000</f>
        <v>19.500505434641138</v>
      </c>
      <c r="H65" s="148">
        <f>'Capex forecast - tax'!M34/1000000</f>
        <v>18.065337389399904</v>
      </c>
      <c r="I65" s="149">
        <f>'Capex forecast - tax'!N34/1000000</f>
        <v>14.772723390982511</v>
      </c>
      <c r="K65" s="160"/>
    </row>
    <row r="66" spans="1:11">
      <c r="B66" s="161" t="s">
        <v>138</v>
      </c>
      <c r="C66" s="148">
        <v>0</v>
      </c>
      <c r="D66" s="148">
        <f>'Capex forecast - tax'!I35/1000000</f>
        <v>0</v>
      </c>
      <c r="E66" s="148">
        <f>'Capex forecast - tax'!J35/1000000</f>
        <v>0</v>
      </c>
      <c r="F66" s="148">
        <f>'Capex forecast - tax'!K35/1000000</f>
        <v>0</v>
      </c>
      <c r="G66" s="148">
        <f>'Capex forecast - tax'!L35/1000000</f>
        <v>0</v>
      </c>
      <c r="H66" s="148">
        <f>'Capex forecast - tax'!M35/1000000</f>
        <v>0</v>
      </c>
      <c r="I66" s="149">
        <f>'Capex forecast - tax'!N35/1000000</f>
        <v>0</v>
      </c>
      <c r="K66" s="160"/>
    </row>
    <row r="67" spans="1:11">
      <c r="B67" s="162" t="s">
        <v>108</v>
      </c>
      <c r="C67" s="148">
        <v>0</v>
      </c>
      <c r="D67" s="148">
        <f>'Capex forecast - tax'!I36/1000000</f>
        <v>0</v>
      </c>
      <c r="E67" s="148">
        <f>'Capex forecast - tax'!J36/1000000</f>
        <v>0</v>
      </c>
      <c r="F67" s="148">
        <f>'Capex forecast - tax'!K36/1000000</f>
        <v>0</v>
      </c>
      <c r="G67" s="148">
        <f>'Capex forecast - tax'!L36/1000000</f>
        <v>0</v>
      </c>
      <c r="H67" s="148">
        <f>'Capex forecast - tax'!M36/1000000</f>
        <v>0</v>
      </c>
      <c r="I67" s="149">
        <f>'Capex forecast - tax'!N36/1000000</f>
        <v>0</v>
      </c>
      <c r="K67" s="160"/>
    </row>
    <row r="68" spans="1:11" ht="12.75" thickBot="1">
      <c r="B68" s="153" t="s">
        <v>109</v>
      </c>
      <c r="C68" s="154">
        <f>SUM(C61:C67)</f>
        <v>83.921663873522817</v>
      </c>
      <c r="D68" s="154">
        <f t="shared" ref="D68:I68" si="3">SUM(D61:D67)</f>
        <v>96.470143127865754</v>
      </c>
      <c r="E68" s="154">
        <f t="shared" si="3"/>
        <v>108.89053904502779</v>
      </c>
      <c r="F68" s="154">
        <f t="shared" si="3"/>
        <v>107.73781617142258</v>
      </c>
      <c r="G68" s="154">
        <f t="shared" si="3"/>
        <v>106.21175787957208</v>
      </c>
      <c r="H68" s="154">
        <f t="shared" si="3"/>
        <v>101.49688301590648</v>
      </c>
      <c r="I68" s="155">
        <f t="shared" si="3"/>
        <v>98.198666716699762</v>
      </c>
      <c r="J68" s="156">
        <f>SUM(E68:I68)</f>
        <v>522.53566282862869</v>
      </c>
    </row>
    <row r="69" spans="1:11">
      <c r="D69" s="150"/>
    </row>
    <row r="70" spans="1:11" s="1" customFormat="1">
      <c r="A70" s="2"/>
      <c r="B70" s="2" t="s">
        <v>42</v>
      </c>
    </row>
  </sheetData>
  <hyperlinks>
    <hyperlink ref="A3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I399"/>
  <sheetViews>
    <sheetView topLeftCell="H10" workbookViewId="0"/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2</v>
      </c>
    </row>
    <row r="2" spans="1:7" s="1" customFormat="1">
      <c r="A2" s="3" t="s">
        <v>214</v>
      </c>
    </row>
    <row r="3" spans="1:7" s="1" customFormat="1">
      <c r="A3" s="3" t="s">
        <v>95</v>
      </c>
    </row>
    <row r="4" spans="1:7" s="1" customFormat="1">
      <c r="A4" s="22" t="s">
        <v>43</v>
      </c>
    </row>
    <row r="6" spans="1:7" s="1" customFormat="1">
      <c r="A6" s="2">
        <v>2</v>
      </c>
      <c r="B6" s="2" t="s">
        <v>45</v>
      </c>
    </row>
    <row r="9" spans="1:7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</row>
    <row r="10" spans="1:7">
      <c r="B10" s="8" t="s">
        <v>40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6"/>
      <c r="G14" s="26"/>
    </row>
    <row r="15" spans="1:7">
      <c r="B15" s="8"/>
      <c r="D15" s="10"/>
      <c r="E15" s="10"/>
      <c r="F15" s="26"/>
      <c r="G15" s="26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203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87" t="s">
        <v>52</v>
      </c>
      <c r="I28" s="189"/>
      <c r="J28" s="189"/>
      <c r="K28" s="189"/>
      <c r="L28" s="188"/>
      <c r="M28" s="187" t="s">
        <v>53</v>
      </c>
      <c r="N28" s="189"/>
      <c r="O28" s="189"/>
      <c r="P28" s="189"/>
      <c r="Q28" s="188"/>
      <c r="R28" s="187" t="s">
        <v>54</v>
      </c>
      <c r="S28" s="189"/>
      <c r="T28" s="189"/>
      <c r="U28" s="189"/>
      <c r="V28" s="18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>IF(B10&lt;&gt;"",B10,"[blank]")</f>
        <v>Extensions - Other</v>
      </c>
      <c r="D31" s="31" t="s">
        <v>60</v>
      </c>
      <c r="E31" s="31"/>
      <c r="P31" s="77"/>
      <c r="Q31" s="77"/>
      <c r="R31" s="77"/>
      <c r="S31" s="77"/>
      <c r="T31" s="77"/>
      <c r="U31" s="77"/>
      <c r="V31" s="77"/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61</v>
      </c>
    </row>
    <row r="49" spans="2:61">
      <c r="Z49" s="5" t="s">
        <v>73</v>
      </c>
      <c r="AM49" s="5" t="s">
        <v>110</v>
      </c>
      <c r="BB49" s="5" t="s">
        <v>133</v>
      </c>
    </row>
    <row r="50" spans="2:61">
      <c r="H50" s="190" t="s">
        <v>52</v>
      </c>
      <c r="I50" s="190"/>
      <c r="J50" s="190"/>
      <c r="K50" s="190"/>
      <c r="L50" s="190"/>
      <c r="M50" s="190" t="s">
        <v>53</v>
      </c>
      <c r="N50" s="190"/>
      <c r="O50" s="190"/>
      <c r="P50" s="190"/>
      <c r="Q50" s="190"/>
      <c r="R50" s="190" t="s">
        <v>54</v>
      </c>
      <c r="S50" s="190"/>
      <c r="T50" s="190"/>
      <c r="U50" s="190"/>
      <c r="V50" s="190"/>
      <c r="X50" s="38"/>
      <c r="Z50" s="39" t="s">
        <v>69</v>
      </c>
      <c r="AA50" s="39" t="s">
        <v>70</v>
      </c>
      <c r="AB50" s="39" t="s">
        <v>71</v>
      </c>
      <c r="AC50" s="39" t="s">
        <v>72</v>
      </c>
      <c r="AD50" s="39" t="s">
        <v>64</v>
      </c>
      <c r="AE50" s="39" t="s">
        <v>65</v>
      </c>
      <c r="AF50" s="39" t="s">
        <v>66</v>
      </c>
      <c r="AG50" s="39" t="s">
        <v>107</v>
      </c>
      <c r="AH50" s="39" t="s">
        <v>67</v>
      </c>
      <c r="AI50" s="39" t="s">
        <v>68</v>
      </c>
      <c r="AJ50" s="39" t="s">
        <v>108</v>
      </c>
      <c r="AM50" s="39" t="s">
        <v>111</v>
      </c>
      <c r="AN50" s="39" t="s">
        <v>112</v>
      </c>
      <c r="AO50" s="39" t="s">
        <v>113</v>
      </c>
      <c r="AP50" s="39" t="s">
        <v>114</v>
      </c>
      <c r="AQ50" s="39" t="s">
        <v>115</v>
      </c>
      <c r="AR50" s="39" t="s">
        <v>36</v>
      </c>
      <c r="AS50" s="39" t="s">
        <v>116</v>
      </c>
      <c r="AT50" s="39" t="s">
        <v>35</v>
      </c>
      <c r="AU50" s="39" t="s">
        <v>117</v>
      </c>
      <c r="AV50" s="39" t="s">
        <v>118</v>
      </c>
      <c r="AW50" s="39" t="s">
        <v>119</v>
      </c>
      <c r="AX50" s="39" t="s">
        <v>74</v>
      </c>
      <c r="AY50" s="39" t="s">
        <v>75</v>
      </c>
      <c r="BB50" s="39" t="s">
        <v>134</v>
      </c>
      <c r="BC50" s="39" t="s">
        <v>135</v>
      </c>
      <c r="BD50" s="39" t="s">
        <v>136</v>
      </c>
      <c r="BE50" s="39" t="s">
        <v>107</v>
      </c>
      <c r="BF50" s="39" t="s">
        <v>137</v>
      </c>
      <c r="BG50" s="39" t="s">
        <v>138</v>
      </c>
      <c r="BH50" s="39" t="s">
        <v>108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63</v>
      </c>
    </row>
    <row r="52" spans="2:61">
      <c r="B52" s="5" t="s">
        <v>46</v>
      </c>
      <c r="D52" s="29" t="s">
        <v>55</v>
      </c>
      <c r="H52" s="16" t="s">
        <v>12</v>
      </c>
      <c r="I52" s="16" t="s">
        <v>12</v>
      </c>
      <c r="J52" s="16" t="s">
        <v>12</v>
      </c>
      <c r="K52" s="16" t="s">
        <v>12</v>
      </c>
      <c r="L52" s="16" t="s">
        <v>12</v>
      </c>
      <c r="M52" s="16" t="s">
        <v>12</v>
      </c>
      <c r="N52" s="16" t="s">
        <v>12</v>
      </c>
      <c r="O52" s="16" t="s">
        <v>12</v>
      </c>
      <c r="P52" s="16" t="s">
        <v>13</v>
      </c>
      <c r="Q52" s="16" t="s">
        <v>13</v>
      </c>
      <c r="R52" s="16" t="s">
        <v>13</v>
      </c>
      <c r="S52" s="16" t="s">
        <v>13</v>
      </c>
      <c r="T52" s="16" t="s">
        <v>13</v>
      </c>
      <c r="U52" s="16" t="s">
        <v>13</v>
      </c>
      <c r="V52" s="16" t="s">
        <v>13</v>
      </c>
      <c r="X52" s="34" t="s">
        <v>13</v>
      </c>
    </row>
    <row r="53" spans="2:61">
      <c r="B53" s="4" t="str">
        <f t="shared" ref="B53:B67" si="1">IF(B10&lt;&gt;"",B10,"[blank]")</f>
        <v>Extensions - Other</v>
      </c>
      <c r="D53" s="31" t="s">
        <v>60</v>
      </c>
      <c r="O53" s="35"/>
      <c r="P53" s="35"/>
      <c r="Q53" s="35"/>
      <c r="R53" s="35"/>
      <c r="S53" s="35"/>
      <c r="T53" s="35"/>
      <c r="U53" s="35"/>
      <c r="V53" s="35"/>
      <c r="W53" s="35"/>
      <c r="X53" s="40">
        <f>SUM(R53:V53)</f>
        <v>0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41">
        <f t="shared" ref="AK53:AK67" si="2">SUM(Z53:AI53)</f>
        <v>0</v>
      </c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41">
        <f t="shared" ref="AZ53:AZ67" si="3">SUM(AM53:AY53)</f>
        <v>0</v>
      </c>
      <c r="BB53" s="10"/>
      <c r="BC53" s="10"/>
      <c r="BD53" s="10"/>
      <c r="BE53" s="10"/>
      <c r="BF53" s="10"/>
      <c r="BG53" s="10"/>
      <c r="BH53" s="10"/>
      <c r="BI53" s="41">
        <f t="shared" ref="BI53:BI67" si="4">SUM(BB53:BH53)</f>
        <v>0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62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0</v>
      </c>
      <c r="R69" s="37">
        <f t="shared" si="6"/>
        <v>0</v>
      </c>
      <c r="S69" s="37">
        <f t="shared" si="6"/>
        <v>0</v>
      </c>
      <c r="T69" s="37">
        <f t="shared" si="6"/>
        <v>0</v>
      </c>
      <c r="U69" s="37">
        <f t="shared" si="6"/>
        <v>0</v>
      </c>
      <c r="V69" s="37">
        <f t="shared" si="6"/>
        <v>0</v>
      </c>
      <c r="X69" s="37">
        <f t="shared" si="5"/>
        <v>0</v>
      </c>
    </row>
    <row r="71" spans="1:61">
      <c r="B71" s="5" t="s">
        <v>76</v>
      </c>
    </row>
    <row r="72" spans="1:61" s="1" customFormat="1">
      <c r="A72" s="4"/>
      <c r="B72" s="2" t="s">
        <v>77</v>
      </c>
    </row>
    <row r="74" spans="1:61">
      <c r="H74" s="190" t="s">
        <v>52</v>
      </c>
      <c r="I74" s="190"/>
      <c r="J74" s="190"/>
      <c r="K74" s="190"/>
      <c r="L74" s="190"/>
      <c r="M74" s="190" t="s">
        <v>53</v>
      </c>
      <c r="N74" s="190"/>
      <c r="O74" s="190"/>
      <c r="P74" s="190"/>
      <c r="Q74" s="190"/>
      <c r="R74" s="190" t="s">
        <v>54</v>
      </c>
      <c r="S74" s="190"/>
      <c r="T74" s="190"/>
      <c r="U74" s="190"/>
      <c r="V74" s="190"/>
      <c r="X74" s="38"/>
    </row>
    <row r="75" spans="1:61">
      <c r="B75" s="42" t="s">
        <v>79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63</v>
      </c>
    </row>
    <row r="76" spans="1:61">
      <c r="B76" s="5" t="s">
        <v>46</v>
      </c>
      <c r="D76" s="29" t="s">
        <v>55</v>
      </c>
      <c r="H76" s="16" t="s">
        <v>12</v>
      </c>
      <c r="I76" s="16" t="s">
        <v>12</v>
      </c>
      <c r="J76" s="16" t="s">
        <v>12</v>
      </c>
      <c r="K76" s="16" t="s">
        <v>12</v>
      </c>
      <c r="L76" s="16" t="s">
        <v>12</v>
      </c>
      <c r="M76" s="16" t="s">
        <v>12</v>
      </c>
      <c r="N76" s="16" t="s">
        <v>12</v>
      </c>
      <c r="O76" s="16" t="s">
        <v>12</v>
      </c>
      <c r="P76" s="16" t="s">
        <v>13</v>
      </c>
      <c r="Q76" s="16" t="s">
        <v>13</v>
      </c>
      <c r="R76" s="16" t="s">
        <v>13</v>
      </c>
      <c r="S76" s="16" t="s">
        <v>13</v>
      </c>
      <c r="T76" s="16" t="s">
        <v>13</v>
      </c>
      <c r="U76" s="16" t="s">
        <v>13</v>
      </c>
      <c r="V76" s="16" t="s">
        <v>13</v>
      </c>
      <c r="X76" s="34" t="s">
        <v>13</v>
      </c>
    </row>
    <row r="77" spans="1:61">
      <c r="B77" s="4" t="str">
        <f t="shared" ref="B77:B91" si="7">IF(B10&lt;&gt;"",B10,"[blank]")</f>
        <v>Extensions - Other</v>
      </c>
      <c r="D77" s="31" t="s">
        <v>60</v>
      </c>
      <c r="O77" s="35"/>
      <c r="P77" s="35">
        <f t="shared" ref="P77:V77" si="8">$D10*P53</f>
        <v>0</v>
      </c>
      <c r="Q77" s="35">
        <f t="shared" si="8"/>
        <v>0</v>
      </c>
      <c r="R77" s="35">
        <f t="shared" si="8"/>
        <v>0</v>
      </c>
      <c r="S77" s="35">
        <f t="shared" si="8"/>
        <v>0</v>
      </c>
      <c r="T77" s="35">
        <f t="shared" si="8"/>
        <v>0</v>
      </c>
      <c r="U77" s="35">
        <f t="shared" si="8"/>
        <v>0</v>
      </c>
      <c r="V77" s="35">
        <f t="shared" si="8"/>
        <v>0</v>
      </c>
      <c r="X77" s="40">
        <f>SUM(R77:V77)</f>
        <v>0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78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0</v>
      </c>
      <c r="R93" s="37">
        <f t="shared" si="10"/>
        <v>0</v>
      </c>
      <c r="S93" s="37">
        <f t="shared" si="10"/>
        <v>0</v>
      </c>
      <c r="T93" s="37">
        <f t="shared" si="10"/>
        <v>0</v>
      </c>
      <c r="U93" s="37">
        <f t="shared" si="10"/>
        <v>0</v>
      </c>
      <c r="V93" s="37">
        <f t="shared" si="10"/>
        <v>0</v>
      </c>
      <c r="X93" s="37">
        <f t="shared" ref="X93" si="11">SUM(R93:V93)</f>
        <v>0</v>
      </c>
    </row>
    <row r="95" spans="1:24" s="1" customFormat="1">
      <c r="A95" s="4"/>
      <c r="B95" s="2" t="s">
        <v>80</v>
      </c>
    </row>
    <row r="97" spans="2:24">
      <c r="H97" s="190" t="s">
        <v>52</v>
      </c>
      <c r="I97" s="190"/>
      <c r="J97" s="190"/>
      <c r="K97" s="190"/>
      <c r="L97" s="190"/>
      <c r="M97" s="190" t="s">
        <v>53</v>
      </c>
      <c r="N97" s="190"/>
      <c r="O97" s="190"/>
      <c r="P97" s="190"/>
      <c r="Q97" s="190"/>
      <c r="R97" s="190" t="s">
        <v>54</v>
      </c>
      <c r="S97" s="190"/>
      <c r="T97" s="190"/>
      <c r="U97" s="190"/>
      <c r="V97" s="190"/>
      <c r="X97" s="38"/>
    </row>
    <row r="98" spans="2:24">
      <c r="B98" s="43" t="s">
        <v>81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63</v>
      </c>
    </row>
    <row r="99" spans="2:24">
      <c r="B99" s="5" t="s">
        <v>46</v>
      </c>
      <c r="D99" s="29" t="s">
        <v>55</v>
      </c>
      <c r="H99" s="16" t="s">
        <v>12</v>
      </c>
      <c r="I99" s="16" t="s">
        <v>12</v>
      </c>
      <c r="J99" s="16" t="s">
        <v>12</v>
      </c>
      <c r="K99" s="16" t="s">
        <v>12</v>
      </c>
      <c r="L99" s="16" t="s">
        <v>12</v>
      </c>
      <c r="M99" s="16" t="s">
        <v>12</v>
      </c>
      <c r="N99" s="16" t="s">
        <v>12</v>
      </c>
      <c r="O99" s="16" t="s">
        <v>12</v>
      </c>
      <c r="P99" s="16" t="s">
        <v>13</v>
      </c>
      <c r="Q99" s="16" t="s">
        <v>13</v>
      </c>
      <c r="R99" s="16" t="s">
        <v>13</v>
      </c>
      <c r="S99" s="16" t="s">
        <v>13</v>
      </c>
      <c r="T99" s="16" t="s">
        <v>13</v>
      </c>
      <c r="U99" s="16" t="s">
        <v>13</v>
      </c>
      <c r="V99" s="16" t="s">
        <v>13</v>
      </c>
      <c r="X99" s="34" t="s">
        <v>13</v>
      </c>
    </row>
    <row r="100" spans="2:24">
      <c r="B100" s="4" t="str">
        <f t="shared" ref="B100:B114" si="12">IF(B10&lt;&gt;"",B10,"[blank]")</f>
        <v>Extensions - Other</v>
      </c>
      <c r="D100" s="31" t="s">
        <v>60</v>
      </c>
      <c r="O100" s="35"/>
      <c r="P100" s="35">
        <f t="shared" ref="P100:V100" si="13">$E10*P53</f>
        <v>0</v>
      </c>
      <c r="Q100" s="35">
        <f t="shared" si="13"/>
        <v>0</v>
      </c>
      <c r="R100" s="35">
        <f t="shared" si="13"/>
        <v>0</v>
      </c>
      <c r="S100" s="35">
        <f t="shared" si="13"/>
        <v>0</v>
      </c>
      <c r="T100" s="35">
        <f t="shared" si="13"/>
        <v>0</v>
      </c>
      <c r="U100" s="35">
        <f t="shared" si="13"/>
        <v>0</v>
      </c>
      <c r="V100" s="35">
        <f t="shared" si="13"/>
        <v>0</v>
      </c>
      <c r="X100" s="40">
        <f>SUM(R100:V100)</f>
        <v>0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82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0</v>
      </c>
      <c r="R116" s="37">
        <f t="shared" si="15"/>
        <v>0</v>
      </c>
      <c r="S116" s="37">
        <f t="shared" si="15"/>
        <v>0</v>
      </c>
      <c r="T116" s="37">
        <f t="shared" si="15"/>
        <v>0</v>
      </c>
      <c r="U116" s="37">
        <f t="shared" si="15"/>
        <v>0</v>
      </c>
      <c r="V116" s="37">
        <f t="shared" si="15"/>
        <v>0</v>
      </c>
      <c r="X116" s="37">
        <f t="shared" ref="X116" si="16">SUM(R116:V116)</f>
        <v>0</v>
      </c>
    </row>
    <row r="118" spans="1:24" s="1" customFormat="1">
      <c r="A118" s="4"/>
      <c r="B118" s="2" t="s">
        <v>83</v>
      </c>
    </row>
    <row r="120" spans="1:24">
      <c r="H120" s="190" t="s">
        <v>52</v>
      </c>
      <c r="I120" s="190"/>
      <c r="J120" s="190"/>
      <c r="K120" s="190"/>
      <c r="L120" s="190"/>
      <c r="M120" s="190" t="s">
        <v>53</v>
      </c>
      <c r="N120" s="190"/>
      <c r="O120" s="190"/>
      <c r="P120" s="190"/>
      <c r="Q120" s="190"/>
      <c r="R120" s="190" t="s">
        <v>54</v>
      </c>
      <c r="S120" s="190"/>
      <c r="T120" s="190"/>
      <c r="U120" s="190"/>
      <c r="V120" s="190"/>
      <c r="X120" s="38"/>
    </row>
    <row r="121" spans="1:24">
      <c r="B121" s="43" t="s">
        <v>84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63</v>
      </c>
    </row>
    <row r="122" spans="1:24">
      <c r="B122" s="5" t="s">
        <v>46</v>
      </c>
      <c r="D122" s="29" t="s">
        <v>55</v>
      </c>
      <c r="H122" s="16" t="s">
        <v>12</v>
      </c>
      <c r="I122" s="16" t="s">
        <v>12</v>
      </c>
      <c r="J122" s="16" t="s">
        <v>12</v>
      </c>
      <c r="K122" s="16" t="s">
        <v>12</v>
      </c>
      <c r="L122" s="16" t="s">
        <v>12</v>
      </c>
      <c r="M122" s="16" t="s">
        <v>12</v>
      </c>
      <c r="N122" s="16" t="s">
        <v>12</v>
      </c>
      <c r="O122" s="16" t="s">
        <v>12</v>
      </c>
      <c r="P122" s="16" t="s">
        <v>13</v>
      </c>
      <c r="Q122" s="16" t="s">
        <v>13</v>
      </c>
      <c r="R122" s="16" t="s">
        <v>13</v>
      </c>
      <c r="S122" s="16" t="s">
        <v>13</v>
      </c>
      <c r="T122" s="16" t="s">
        <v>13</v>
      </c>
      <c r="U122" s="16" t="s">
        <v>13</v>
      </c>
      <c r="V122" s="16" t="s">
        <v>13</v>
      </c>
      <c r="X122" s="34" t="s">
        <v>13</v>
      </c>
    </row>
    <row r="123" spans="1:24">
      <c r="B123" s="4" t="str">
        <f t="shared" ref="B123:B137" si="17">IF(B10&lt;&gt;"",B10,"[blank]")</f>
        <v>Extensions - Other</v>
      </c>
      <c r="D123" s="31" t="s">
        <v>60</v>
      </c>
      <c r="O123" s="35"/>
      <c r="P123" s="35">
        <f>P77+P100</f>
        <v>0</v>
      </c>
      <c r="Q123" s="35">
        <f t="shared" ref="Q123:V123" si="18">Q77+Q100</f>
        <v>0</v>
      </c>
      <c r="R123" s="35">
        <f t="shared" si="18"/>
        <v>0</v>
      </c>
      <c r="S123" s="35">
        <f t="shared" si="18"/>
        <v>0</v>
      </c>
      <c r="T123" s="35">
        <f t="shared" si="18"/>
        <v>0</v>
      </c>
      <c r="U123" s="35">
        <f t="shared" si="18"/>
        <v>0</v>
      </c>
      <c r="V123" s="35">
        <f t="shared" si="18"/>
        <v>0</v>
      </c>
      <c r="X123" s="40">
        <f>SUM(R123:V123)</f>
        <v>0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85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0</v>
      </c>
      <c r="R139" s="37">
        <f t="shared" si="20"/>
        <v>0</v>
      </c>
      <c r="S139" s="37">
        <f t="shared" si="20"/>
        <v>0</v>
      </c>
      <c r="T139" s="37">
        <f t="shared" si="20"/>
        <v>0</v>
      </c>
      <c r="U139" s="37">
        <f t="shared" si="20"/>
        <v>0</v>
      </c>
      <c r="V139" s="37">
        <f t="shared" si="20"/>
        <v>0</v>
      </c>
      <c r="X139" s="37">
        <f t="shared" ref="X139" si="21">SUM(R139:V139)</f>
        <v>0</v>
      </c>
    </row>
    <row r="141" spans="1:24" s="1" customFormat="1">
      <c r="A141" s="4"/>
      <c r="B141" s="2" t="s">
        <v>86</v>
      </c>
    </row>
    <row r="143" spans="1:24">
      <c r="H143" s="190" t="s">
        <v>52</v>
      </c>
      <c r="I143" s="190"/>
      <c r="J143" s="190"/>
      <c r="K143" s="190"/>
      <c r="L143" s="190"/>
      <c r="M143" s="190" t="s">
        <v>53</v>
      </c>
      <c r="N143" s="190"/>
      <c r="O143" s="190"/>
      <c r="P143" s="190"/>
      <c r="Q143" s="190"/>
      <c r="R143" s="190" t="s">
        <v>54</v>
      </c>
      <c r="S143" s="190"/>
      <c r="T143" s="190"/>
      <c r="U143" s="190"/>
      <c r="V143" s="190"/>
      <c r="X143" s="38"/>
    </row>
    <row r="144" spans="1:24">
      <c r="B144" s="44" t="s">
        <v>50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63</v>
      </c>
    </row>
    <row r="145" spans="2:24">
      <c r="B145" s="5" t="s">
        <v>46</v>
      </c>
      <c r="D145" s="29" t="s">
        <v>55</v>
      </c>
      <c r="H145" s="16" t="s">
        <v>12</v>
      </c>
      <c r="I145" s="16" t="s">
        <v>12</v>
      </c>
      <c r="J145" s="16" t="s">
        <v>12</v>
      </c>
      <c r="K145" s="16" t="s">
        <v>12</v>
      </c>
      <c r="L145" s="16" t="s">
        <v>12</v>
      </c>
      <c r="M145" s="16" t="s">
        <v>12</v>
      </c>
      <c r="N145" s="16" t="s">
        <v>12</v>
      </c>
      <c r="O145" s="16" t="s">
        <v>12</v>
      </c>
      <c r="P145" s="16" t="s">
        <v>13</v>
      </c>
      <c r="Q145" s="16" t="s">
        <v>13</v>
      </c>
      <c r="R145" s="16" t="s">
        <v>13</v>
      </c>
      <c r="S145" s="16" t="s">
        <v>13</v>
      </c>
      <c r="T145" s="16" t="s">
        <v>13</v>
      </c>
      <c r="U145" s="16" t="s">
        <v>13</v>
      </c>
      <c r="V145" s="16" t="s">
        <v>13</v>
      </c>
      <c r="X145" s="34" t="s">
        <v>13</v>
      </c>
    </row>
    <row r="146" spans="2:24">
      <c r="B146" s="4" t="str">
        <f t="shared" ref="B146:B160" si="22">IF(B10&lt;&gt;"",B10,"[blank]")</f>
        <v>Extensions - Other</v>
      </c>
      <c r="D146" s="31" t="s">
        <v>60</v>
      </c>
      <c r="O146" s="35"/>
      <c r="P146" s="35">
        <f t="shared" ref="P146:V146" si="23">$G10*P53</f>
        <v>0</v>
      </c>
      <c r="Q146" s="35">
        <f t="shared" si="23"/>
        <v>0</v>
      </c>
      <c r="R146" s="35">
        <f t="shared" si="23"/>
        <v>0</v>
      </c>
      <c r="S146" s="35">
        <f t="shared" si="23"/>
        <v>0</v>
      </c>
      <c r="T146" s="35">
        <f t="shared" si="23"/>
        <v>0</v>
      </c>
      <c r="U146" s="35">
        <f t="shared" si="23"/>
        <v>0</v>
      </c>
      <c r="V146" s="35">
        <f t="shared" si="23"/>
        <v>0</v>
      </c>
      <c r="X146" s="40">
        <f>SUM(R146:V146)</f>
        <v>0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87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0</v>
      </c>
      <c r="R162" s="37">
        <f t="shared" si="25"/>
        <v>0</v>
      </c>
      <c r="S162" s="37">
        <f t="shared" si="25"/>
        <v>0</v>
      </c>
      <c r="T162" s="37">
        <f t="shared" si="25"/>
        <v>0</v>
      </c>
      <c r="U162" s="37">
        <f t="shared" si="25"/>
        <v>0</v>
      </c>
      <c r="V162" s="37">
        <f t="shared" si="25"/>
        <v>0</v>
      </c>
      <c r="X162" s="37">
        <f t="shared" ref="X162" si="26">SUM(R162:V162)</f>
        <v>0</v>
      </c>
    </row>
    <row r="164" spans="1:24" s="1" customFormat="1">
      <c r="A164" s="2">
        <v>5</v>
      </c>
      <c r="B164" s="2" t="s">
        <v>89</v>
      </c>
    </row>
    <row r="166" spans="1:24">
      <c r="H166" s="190" t="s">
        <v>52</v>
      </c>
      <c r="I166" s="190"/>
      <c r="J166" s="190"/>
      <c r="K166" s="190"/>
      <c r="L166" s="190"/>
      <c r="M166" s="190" t="s">
        <v>53</v>
      </c>
      <c r="N166" s="190"/>
      <c r="O166" s="190"/>
      <c r="P166" s="190"/>
      <c r="Q166" s="190"/>
      <c r="R166" s="190" t="s">
        <v>54</v>
      </c>
      <c r="S166" s="190"/>
      <c r="T166" s="190"/>
      <c r="U166" s="190"/>
      <c r="V166" s="190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63</v>
      </c>
    </row>
    <row r="168" spans="1:24">
      <c r="B168" s="5" t="s">
        <v>46</v>
      </c>
      <c r="D168" s="29" t="s">
        <v>55</v>
      </c>
      <c r="H168" s="16" t="s">
        <v>12</v>
      </c>
      <c r="I168" s="16" t="s">
        <v>12</v>
      </c>
      <c r="J168" s="16" t="s">
        <v>12</v>
      </c>
      <c r="K168" s="16" t="s">
        <v>12</v>
      </c>
      <c r="L168" s="16" t="s">
        <v>12</v>
      </c>
      <c r="M168" s="16" t="s">
        <v>12</v>
      </c>
      <c r="N168" s="16" t="s">
        <v>12</v>
      </c>
      <c r="O168" s="16" t="s">
        <v>12</v>
      </c>
      <c r="P168" s="16" t="s">
        <v>13</v>
      </c>
      <c r="Q168" s="16" t="s">
        <v>13</v>
      </c>
      <c r="R168" s="16" t="s">
        <v>13</v>
      </c>
      <c r="S168" s="16" t="s">
        <v>13</v>
      </c>
      <c r="T168" s="16" t="s">
        <v>13</v>
      </c>
      <c r="U168" s="16" t="s">
        <v>13</v>
      </c>
      <c r="V168" s="16" t="s">
        <v>13</v>
      </c>
      <c r="X168" s="34" t="s">
        <v>13</v>
      </c>
    </row>
    <row r="169" spans="1:24">
      <c r="B169" s="4" t="str">
        <f t="shared" ref="B169:B183" si="27">IF(B10&lt;&gt;"",B10,"[blank]")</f>
        <v>Extensions - Other</v>
      </c>
      <c r="D169" s="31" t="s">
        <v>60</v>
      </c>
      <c r="O169" s="35"/>
      <c r="P169" s="35">
        <f>P53*P$188</f>
        <v>0</v>
      </c>
      <c r="Q169" s="35">
        <f t="shared" ref="Q169:V169" si="28">Q53*Q$188</f>
        <v>0</v>
      </c>
      <c r="R169" s="35">
        <f t="shared" si="28"/>
        <v>0</v>
      </c>
      <c r="S169" s="35">
        <f t="shared" si="28"/>
        <v>0</v>
      </c>
      <c r="T169" s="35">
        <f t="shared" si="28"/>
        <v>0</v>
      </c>
      <c r="U169" s="35">
        <f t="shared" si="28"/>
        <v>0</v>
      </c>
      <c r="V169" s="35">
        <f t="shared" si="28"/>
        <v>0</v>
      </c>
      <c r="X169" s="40">
        <f>SUM(R169:V169)</f>
        <v>0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88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0</v>
      </c>
      <c r="R185" s="37">
        <f t="shared" si="30"/>
        <v>0</v>
      </c>
      <c r="S185" s="37">
        <f t="shared" si="30"/>
        <v>0</v>
      </c>
      <c r="T185" s="37">
        <f t="shared" si="30"/>
        <v>0</v>
      </c>
      <c r="U185" s="37">
        <f t="shared" si="30"/>
        <v>0</v>
      </c>
      <c r="V185" s="37">
        <f t="shared" si="30"/>
        <v>0</v>
      </c>
      <c r="X185" s="37">
        <f t="shared" ref="X185" si="31">SUM(R185:V185)</f>
        <v>0</v>
      </c>
    </row>
    <row r="187" spans="2:24">
      <c r="B187" s="4" t="s">
        <v>92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0</v>
      </c>
      <c r="R187" s="45">
        <f t="shared" si="32"/>
        <v>0</v>
      </c>
      <c r="S187" s="45">
        <f t="shared" si="32"/>
        <v>0</v>
      </c>
      <c r="T187" s="45">
        <f t="shared" si="32"/>
        <v>0</v>
      </c>
      <c r="U187" s="45">
        <f t="shared" si="32"/>
        <v>0</v>
      </c>
      <c r="V187" s="45">
        <f t="shared" si="32"/>
        <v>0</v>
      </c>
      <c r="W187" s="45"/>
      <c r="X187" s="40">
        <f t="shared" si="32"/>
        <v>0</v>
      </c>
    </row>
    <row r="188" spans="2:24">
      <c r="B188" s="4" t="s">
        <v>90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assumptions'!S70</f>
        <v>0</v>
      </c>
      <c r="Q188" s="21">
        <f>'General assumptions'!T70</f>
        <v>7.4841697077734692E-2</v>
      </c>
      <c r="R188" s="21">
        <f>'General assumptions'!U70</f>
        <v>7.2170809247081261E-2</v>
      </c>
      <c r="S188" s="21">
        <f>'General assumptions'!V70</f>
        <v>7.6263096231367788E-2</v>
      </c>
      <c r="T188" s="21">
        <f>'General assumptions'!W70</f>
        <v>7.7426658716070601E-2</v>
      </c>
      <c r="U188" s="21">
        <f>'General assumptions'!X70</f>
        <v>8.1715682674538839E-2</v>
      </c>
      <c r="V188" s="21">
        <f>'General assumptions'!Y70</f>
        <v>8.4392593946897035E-2</v>
      </c>
      <c r="W188" s="21"/>
      <c r="X188" s="75" t="e">
        <f>X185/X187</f>
        <v>#DIV/0!</v>
      </c>
    </row>
    <row r="190" spans="2:24" ht="12.75" thickBot="1">
      <c r="B190" s="5" t="s">
        <v>91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5">IF(Q168="forecast",Q187*(1+Q188),Q187+Q192)</f>
        <v>0</v>
      </c>
      <c r="R190" s="37">
        <f t="shared" si="35"/>
        <v>0</v>
      </c>
      <c r="S190" s="37">
        <f t="shared" si="35"/>
        <v>0</v>
      </c>
      <c r="T190" s="37">
        <f t="shared" si="35"/>
        <v>0</v>
      </c>
      <c r="U190" s="37">
        <f t="shared" si="35"/>
        <v>0</v>
      </c>
      <c r="V190" s="37">
        <f t="shared" si="35"/>
        <v>0</v>
      </c>
      <c r="X190" s="37" t="e">
        <f t="shared" ref="X190" si="36">IF(X168="forecast",X187*(1+X188),X187+X192)</f>
        <v>#DIV/0!</v>
      </c>
    </row>
    <row r="192" spans="2:24">
      <c r="B192" s="4" t="s">
        <v>18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0</v>
      </c>
      <c r="R192" s="45">
        <f t="shared" si="37"/>
        <v>0</v>
      </c>
      <c r="S192" s="45">
        <f t="shared" si="37"/>
        <v>0</v>
      </c>
      <c r="T192" s="45">
        <f t="shared" si="37"/>
        <v>0</v>
      </c>
      <c r="U192" s="45">
        <f t="shared" si="37"/>
        <v>0</v>
      </c>
      <c r="V192" s="45">
        <f t="shared" si="37"/>
        <v>0</v>
      </c>
      <c r="X192" s="40" t="e">
        <f t="shared" ref="X192" si="38">X190-X187</f>
        <v>#DIV/0!</v>
      </c>
    </row>
    <row r="194" spans="1:24" s="1" customFormat="1">
      <c r="A194" s="2">
        <v>6</v>
      </c>
      <c r="B194" s="2" t="s">
        <v>74</v>
      </c>
    </row>
    <row r="196" spans="1:24">
      <c r="H196" s="190" t="s">
        <v>52</v>
      </c>
      <c r="I196" s="190"/>
      <c r="J196" s="190"/>
      <c r="K196" s="190"/>
      <c r="L196" s="190"/>
      <c r="M196" s="190" t="s">
        <v>53</v>
      </c>
      <c r="N196" s="190"/>
      <c r="O196" s="190"/>
      <c r="P196" s="190"/>
      <c r="Q196" s="190"/>
      <c r="R196" s="190" t="s">
        <v>54</v>
      </c>
      <c r="S196" s="190"/>
      <c r="T196" s="190"/>
      <c r="U196" s="190"/>
      <c r="V196" s="190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63</v>
      </c>
    </row>
    <row r="198" spans="1:24">
      <c r="D198" s="29" t="s">
        <v>55</v>
      </c>
      <c r="H198" s="16" t="s">
        <v>12</v>
      </c>
      <c r="I198" s="16" t="s">
        <v>12</v>
      </c>
      <c r="J198" s="16" t="s">
        <v>12</v>
      </c>
      <c r="K198" s="16" t="s">
        <v>12</v>
      </c>
      <c r="L198" s="16" t="s">
        <v>12</v>
      </c>
      <c r="M198" s="16" t="s">
        <v>12</v>
      </c>
      <c r="N198" s="16" t="s">
        <v>12</v>
      </c>
      <c r="O198" s="16" t="s">
        <v>12</v>
      </c>
      <c r="P198" s="16" t="s">
        <v>13</v>
      </c>
      <c r="Q198" s="16" t="s">
        <v>13</v>
      </c>
      <c r="R198" s="16" t="s">
        <v>13</v>
      </c>
      <c r="S198" s="16" t="s">
        <v>13</v>
      </c>
      <c r="T198" s="16" t="s">
        <v>13</v>
      </c>
      <c r="U198" s="16" t="s">
        <v>13</v>
      </c>
      <c r="V198" s="16" t="s">
        <v>13</v>
      </c>
      <c r="X198" s="34" t="s">
        <v>13</v>
      </c>
    </row>
    <row r="199" spans="1:24">
      <c r="B199" s="5" t="s">
        <v>94</v>
      </c>
      <c r="D199" s="31" t="s">
        <v>105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46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Extensions - Other</v>
      </c>
      <c r="D202" s="31" t="s">
        <v>60</v>
      </c>
      <c r="P202" s="45">
        <f>(-P53*(1+P$188))*P$199</f>
        <v>0</v>
      </c>
      <c r="Q202" s="45">
        <f t="shared" ref="Q202:V202" si="41">(-Q53*(1+Q$188))*Q$199</f>
        <v>0</v>
      </c>
      <c r="R202" s="45">
        <f t="shared" si="41"/>
        <v>0</v>
      </c>
      <c r="S202" s="45">
        <f t="shared" si="41"/>
        <v>0</v>
      </c>
      <c r="T202" s="45">
        <f t="shared" si="41"/>
        <v>0</v>
      </c>
      <c r="U202" s="45">
        <f t="shared" si="41"/>
        <v>0</v>
      </c>
      <c r="V202" s="45">
        <f t="shared" si="41"/>
        <v>0</v>
      </c>
      <c r="X202" s="40">
        <f t="shared" ref="X202" si="42">SUM(R202:V202)</f>
        <v>0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93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0</v>
      </c>
      <c r="R218" s="37">
        <f t="shared" si="43"/>
        <v>0</v>
      </c>
      <c r="S218" s="37">
        <f t="shared" si="43"/>
        <v>0</v>
      </c>
      <c r="T218" s="37">
        <f t="shared" si="43"/>
        <v>0</v>
      </c>
      <c r="U218" s="37">
        <f t="shared" si="43"/>
        <v>0</v>
      </c>
      <c r="V218" s="37">
        <f t="shared" si="43"/>
        <v>0</v>
      </c>
      <c r="X218" s="37">
        <f t="shared" ref="X218" si="44">SUM(R218:V218)</f>
        <v>0</v>
      </c>
    </row>
    <row r="220" spans="1:24" s="1" customFormat="1">
      <c r="A220" s="2">
        <v>7</v>
      </c>
      <c r="B220" s="2" t="s">
        <v>75</v>
      </c>
    </row>
    <row r="222" spans="1:24">
      <c r="H222" s="190" t="s">
        <v>52</v>
      </c>
      <c r="I222" s="190"/>
      <c r="J222" s="190"/>
      <c r="K222" s="190"/>
      <c r="L222" s="190"/>
      <c r="M222" s="190" t="s">
        <v>53</v>
      </c>
      <c r="N222" s="190"/>
      <c r="O222" s="190"/>
      <c r="P222" s="190"/>
      <c r="Q222" s="190"/>
      <c r="R222" s="190" t="s">
        <v>54</v>
      </c>
      <c r="S222" s="190"/>
      <c r="T222" s="190"/>
      <c r="U222" s="190"/>
      <c r="V222" s="190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63</v>
      </c>
    </row>
    <row r="224" spans="1:24">
      <c r="D224" s="29" t="s">
        <v>55</v>
      </c>
      <c r="H224" s="16" t="s">
        <v>12</v>
      </c>
      <c r="I224" s="16" t="s">
        <v>12</v>
      </c>
      <c r="J224" s="16" t="s">
        <v>12</v>
      </c>
      <c r="K224" s="16" t="s">
        <v>12</v>
      </c>
      <c r="L224" s="16" t="s">
        <v>12</v>
      </c>
      <c r="M224" s="16" t="s">
        <v>12</v>
      </c>
      <c r="N224" s="16" t="s">
        <v>12</v>
      </c>
      <c r="O224" s="16" t="s">
        <v>12</v>
      </c>
      <c r="P224" s="16" t="s">
        <v>13</v>
      </c>
      <c r="Q224" s="16" t="s">
        <v>13</v>
      </c>
      <c r="R224" s="16" t="s">
        <v>13</v>
      </c>
      <c r="S224" s="16" t="s">
        <v>13</v>
      </c>
      <c r="T224" s="16" t="s">
        <v>13</v>
      </c>
      <c r="U224" s="16" t="s">
        <v>13</v>
      </c>
      <c r="V224" s="16" t="s">
        <v>13</v>
      </c>
      <c r="X224" s="34" t="s">
        <v>13</v>
      </c>
    </row>
    <row r="225" spans="1:24">
      <c r="B225" s="38" t="s">
        <v>96</v>
      </c>
      <c r="D225" s="31"/>
      <c r="X225" s="40"/>
    </row>
    <row r="226" spans="1:24">
      <c r="B226" s="47" t="s">
        <v>97</v>
      </c>
      <c r="D226" s="31" t="s">
        <v>60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98</v>
      </c>
      <c r="D227" s="31" t="s">
        <v>60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99</v>
      </c>
      <c r="D228" s="31" t="s">
        <v>60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100</v>
      </c>
      <c r="D229" s="31" t="s">
        <v>60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101</v>
      </c>
      <c r="D230" s="31" t="s">
        <v>60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102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103</v>
      </c>
    </row>
    <row r="236" spans="1:24">
      <c r="H236" s="190" t="s">
        <v>52</v>
      </c>
      <c r="I236" s="190"/>
      <c r="J236" s="190"/>
      <c r="K236" s="190"/>
      <c r="L236" s="190"/>
      <c r="M236" s="190" t="s">
        <v>53</v>
      </c>
      <c r="N236" s="190"/>
      <c r="O236" s="190"/>
      <c r="P236" s="190"/>
      <c r="Q236" s="190"/>
      <c r="R236" s="190" t="s">
        <v>54</v>
      </c>
      <c r="S236" s="190"/>
      <c r="T236" s="190"/>
      <c r="U236" s="190"/>
      <c r="V236" s="190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63</v>
      </c>
    </row>
    <row r="238" spans="1:24">
      <c r="D238" s="29" t="s">
        <v>55</v>
      </c>
      <c r="H238" s="16" t="s">
        <v>12</v>
      </c>
      <c r="I238" s="16" t="s">
        <v>12</v>
      </c>
      <c r="J238" s="16" t="s">
        <v>12</v>
      </c>
      <c r="K238" s="16" t="s">
        <v>12</v>
      </c>
      <c r="L238" s="16" t="s">
        <v>12</v>
      </c>
      <c r="M238" s="16" t="s">
        <v>12</v>
      </c>
      <c r="N238" s="16" t="s">
        <v>12</v>
      </c>
      <c r="O238" s="16" t="s">
        <v>12</v>
      </c>
      <c r="P238" s="16" t="s">
        <v>13</v>
      </c>
      <c r="Q238" s="16" t="s">
        <v>13</v>
      </c>
      <c r="R238" s="16" t="s">
        <v>13</v>
      </c>
      <c r="S238" s="16" t="s">
        <v>13</v>
      </c>
      <c r="T238" s="16" t="s">
        <v>13</v>
      </c>
      <c r="U238" s="16" t="s">
        <v>13</v>
      </c>
      <c r="V238" s="16" t="s">
        <v>13</v>
      </c>
      <c r="X238" s="34" t="s">
        <v>13</v>
      </c>
    </row>
    <row r="239" spans="1:24">
      <c r="B239" s="4" t="s">
        <v>104</v>
      </c>
      <c r="D239" s="31" t="s">
        <v>60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0</v>
      </c>
      <c r="R239" s="45">
        <f t="shared" si="47"/>
        <v>0</v>
      </c>
      <c r="S239" s="45">
        <f t="shared" si="47"/>
        <v>0</v>
      </c>
      <c r="T239" s="45">
        <f t="shared" si="47"/>
        <v>0</v>
      </c>
      <c r="U239" s="45">
        <f t="shared" si="47"/>
        <v>0</v>
      </c>
      <c r="V239" s="45">
        <f t="shared" si="47"/>
        <v>0</v>
      </c>
      <c r="X239" s="40">
        <f t="shared" ref="X239:X241" si="48">SUM(R239:V239)</f>
        <v>0</v>
      </c>
    </row>
    <row r="240" spans="1:24">
      <c r="B240" s="4" t="s">
        <v>74</v>
      </c>
      <c r="D240" s="31" t="s">
        <v>60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0</v>
      </c>
      <c r="R240" s="45">
        <f t="shared" si="49"/>
        <v>0</v>
      </c>
      <c r="S240" s="45">
        <f t="shared" si="49"/>
        <v>0</v>
      </c>
      <c r="T240" s="45">
        <f t="shared" si="49"/>
        <v>0</v>
      </c>
      <c r="U240" s="45">
        <f t="shared" si="49"/>
        <v>0</v>
      </c>
      <c r="V240" s="45">
        <f t="shared" si="49"/>
        <v>0</v>
      </c>
      <c r="X240" s="40">
        <f t="shared" si="48"/>
        <v>0</v>
      </c>
    </row>
    <row r="241" spans="1:24">
      <c r="B241" s="4" t="s">
        <v>75</v>
      </c>
      <c r="D241" s="31" t="s">
        <v>60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103</v>
      </c>
      <c r="D243" s="31" t="s">
        <v>60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0</v>
      </c>
      <c r="R243" s="37">
        <f t="shared" si="51"/>
        <v>0</v>
      </c>
      <c r="S243" s="37">
        <f t="shared" si="51"/>
        <v>0</v>
      </c>
      <c r="T243" s="37">
        <f t="shared" si="51"/>
        <v>0</v>
      </c>
      <c r="U243" s="37">
        <f t="shared" si="51"/>
        <v>0</v>
      </c>
      <c r="V243" s="37">
        <f t="shared" si="51"/>
        <v>0</v>
      </c>
      <c r="X243" s="37">
        <f t="shared" ref="X243" si="52">SUM(R243:V243)</f>
        <v>0</v>
      </c>
    </row>
    <row r="244" spans="1:24">
      <c r="D244" s="31"/>
    </row>
    <row r="246" spans="1:24" s="66" customFormat="1">
      <c r="A246" s="65">
        <v>9</v>
      </c>
      <c r="B246" s="65" t="s">
        <v>121</v>
      </c>
    </row>
    <row r="268" spans="2:22">
      <c r="B268" s="69" t="s">
        <v>120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336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3">IFERROR(SUMPRODUCT($Z$53:$Z$67,Q$53:Q$67)/SUM(Q$53:Q$67)*Q$69,0)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62">
        <f t="shared" si="53"/>
        <v>0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0</v>
      </c>
      <c r="R277" s="57">
        <f t="shared" si="54"/>
        <v>0</v>
      </c>
      <c r="S277" s="57">
        <f t="shared" si="54"/>
        <v>0</v>
      </c>
      <c r="T277" s="57">
        <f t="shared" si="54"/>
        <v>0</v>
      </c>
      <c r="U277" s="57">
        <f t="shared" si="54"/>
        <v>0</v>
      </c>
      <c r="V277" s="62">
        <f t="shared" si="54"/>
        <v>0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0</v>
      </c>
      <c r="R278" s="57">
        <f t="shared" si="55"/>
        <v>0</v>
      </c>
      <c r="S278" s="57">
        <f t="shared" si="55"/>
        <v>0</v>
      </c>
      <c r="T278" s="57">
        <f t="shared" si="55"/>
        <v>0</v>
      </c>
      <c r="U278" s="57">
        <f t="shared" si="55"/>
        <v>0</v>
      </c>
      <c r="V278" s="62">
        <f t="shared" si="55"/>
        <v>0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0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0</v>
      </c>
      <c r="R288" s="37">
        <f t="shared" si="64"/>
        <v>0</v>
      </c>
      <c r="S288" s="37">
        <f t="shared" si="64"/>
        <v>0</v>
      </c>
      <c r="T288" s="37">
        <f t="shared" si="64"/>
        <v>0</v>
      </c>
      <c r="U288" s="37">
        <f t="shared" si="64"/>
        <v>0</v>
      </c>
      <c r="V288" s="64">
        <f t="shared" si="64"/>
        <v>0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303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0</v>
      </c>
      <c r="R298" s="57">
        <f t="shared" si="65"/>
        <v>0</v>
      </c>
      <c r="S298" s="57">
        <f t="shared" si="65"/>
        <v>0</v>
      </c>
      <c r="T298" s="57">
        <f t="shared" si="65"/>
        <v>0</v>
      </c>
      <c r="U298" s="57">
        <f t="shared" si="65"/>
        <v>0</v>
      </c>
      <c r="V298" s="62">
        <f t="shared" si="65"/>
        <v>0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0</v>
      </c>
      <c r="R299" s="57">
        <f t="shared" si="65"/>
        <v>0</v>
      </c>
      <c r="S299" s="57">
        <f t="shared" si="65"/>
        <v>0</v>
      </c>
      <c r="T299" s="57">
        <f t="shared" si="65"/>
        <v>0</v>
      </c>
      <c r="U299" s="57">
        <f t="shared" si="65"/>
        <v>0</v>
      </c>
      <c r="V299" s="62">
        <f t="shared" si="65"/>
        <v>0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0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0</v>
      </c>
      <c r="R309" s="37">
        <f t="shared" si="66"/>
        <v>0</v>
      </c>
      <c r="S309" s="37">
        <f t="shared" si="66"/>
        <v>0</v>
      </c>
      <c r="T309" s="37">
        <f t="shared" si="66"/>
        <v>0</v>
      </c>
      <c r="U309" s="37">
        <f t="shared" si="66"/>
        <v>0</v>
      </c>
      <c r="V309" s="64">
        <f t="shared" si="66"/>
        <v>0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304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P297*(1-P$199)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0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0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0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0</v>
      </c>
      <c r="R330" s="37">
        <f t="shared" si="68"/>
        <v>0</v>
      </c>
      <c r="S330" s="37">
        <f t="shared" si="68"/>
        <v>0</v>
      </c>
      <c r="T330" s="37">
        <f t="shared" si="68"/>
        <v>0</v>
      </c>
      <c r="U330" s="37">
        <f t="shared" si="68"/>
        <v>0</v>
      </c>
      <c r="V330" s="64">
        <f t="shared" si="68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305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69">Q297*Q$199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P298*P$199</f>
        <v>0</v>
      </c>
      <c r="Q340" s="57">
        <f t="shared" si="69"/>
        <v>0</v>
      </c>
      <c r="R340" s="57">
        <f t="shared" si="69"/>
        <v>0</v>
      </c>
      <c r="S340" s="57">
        <f t="shared" si="69"/>
        <v>0</v>
      </c>
      <c r="T340" s="57">
        <f t="shared" si="69"/>
        <v>0</v>
      </c>
      <c r="U340" s="57">
        <f t="shared" si="69"/>
        <v>0</v>
      </c>
      <c r="V340" s="62">
        <f t="shared" si="69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0</v>
      </c>
      <c r="R341" s="57">
        <f t="shared" si="69"/>
        <v>0</v>
      </c>
      <c r="S341" s="57">
        <f t="shared" si="69"/>
        <v>0</v>
      </c>
      <c r="T341" s="57">
        <f t="shared" si="69"/>
        <v>0</v>
      </c>
      <c r="U341" s="57">
        <f t="shared" si="69"/>
        <v>0</v>
      </c>
      <c r="V341" s="62">
        <f t="shared" si="69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0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0</v>
      </c>
      <c r="R344" s="57">
        <f t="shared" si="69"/>
        <v>0</v>
      </c>
      <c r="S344" s="57">
        <f t="shared" si="69"/>
        <v>0</v>
      </c>
      <c r="T344" s="57">
        <f t="shared" si="69"/>
        <v>0</v>
      </c>
      <c r="U344" s="57">
        <f t="shared" si="69"/>
        <v>0</v>
      </c>
      <c r="V344" s="62">
        <f t="shared" si="69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0</v>
      </c>
      <c r="R351" s="37">
        <f t="shared" si="71"/>
        <v>0</v>
      </c>
      <c r="S351" s="37">
        <f t="shared" si="71"/>
        <v>0</v>
      </c>
      <c r="T351" s="37">
        <f t="shared" si="71"/>
        <v>0</v>
      </c>
      <c r="U351" s="37">
        <f t="shared" si="71"/>
        <v>0</v>
      </c>
      <c r="V351" s="64">
        <f t="shared" si="7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303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2">IFERROR(SUMPRODUCT($AM$53:$AM$67,Q$53:Q$67)/SUM(Q$53:Q$67)*Q$69,0)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3">IFERROR(SUMPRODUCT($AN$53:$AN$67,Q$53:Q$67)/SUM(Q$53:Q$67)*Q$69,0)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4">IFERROR(SUMPRODUCT($AO$53:$AO$67,Q$53:Q$67)/SUM(Q$53:Q$67)*Q$69,0)</f>
        <v>0</v>
      </c>
      <c r="R364" s="57">
        <f t="shared" si="74"/>
        <v>0</v>
      </c>
      <c r="S364" s="57">
        <f t="shared" si="74"/>
        <v>0</v>
      </c>
      <c r="T364" s="57">
        <f t="shared" si="74"/>
        <v>0</v>
      </c>
      <c r="U364" s="57">
        <f t="shared" si="74"/>
        <v>0</v>
      </c>
      <c r="V364" s="62">
        <f t="shared" si="74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5">IFERROR(SUMPRODUCT($AP$53:$AP$67,Q$53:Q$67)/SUM(Q$53:Q$67)*Q$69,0)</f>
        <v>0</v>
      </c>
      <c r="R365" s="57">
        <f t="shared" si="75"/>
        <v>0</v>
      </c>
      <c r="S365" s="57">
        <f t="shared" si="75"/>
        <v>0</v>
      </c>
      <c r="T365" s="57">
        <f t="shared" si="75"/>
        <v>0</v>
      </c>
      <c r="U365" s="57">
        <f t="shared" si="75"/>
        <v>0</v>
      </c>
      <c r="V365" s="62">
        <f t="shared" si="75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6">IFERROR(SUMPRODUCT($AQ$53:$AQ$67,Q$53:Q$67)/SUM(Q$53:Q$67)*Q$69,0)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77">IFERROR(SUMPRODUCT($AR$53:$AR$67,Q$53:Q$67)/SUM(Q$53:Q$67)*Q$69,0)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78">IFERROR(SUMPRODUCT($AS$53:$AS$67,Q$53:Q$67)/SUM(Q$53:Q$67)*Q$69,0)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79">IFERROR(SUMPRODUCT($AT$53:$AT$67,Q$53:Q$67)/SUM(Q$53:Q$67)*Q$69,0)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0">IFERROR(SUMPRODUCT($AU$53:$AU$67,Q$53:Q$67)/SUM(Q$53:Q$67)*Q$69,0)</f>
        <v>0</v>
      </c>
      <c r="R370" s="57">
        <f t="shared" si="80"/>
        <v>0</v>
      </c>
      <c r="S370" s="57">
        <f t="shared" si="80"/>
        <v>0</v>
      </c>
      <c r="T370" s="57">
        <f t="shared" si="80"/>
        <v>0</v>
      </c>
      <c r="U370" s="57">
        <f t="shared" si="80"/>
        <v>0</v>
      </c>
      <c r="V370" s="62">
        <f t="shared" si="80"/>
        <v>0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1">IFERROR(SUMPRODUCT($AV$53:$AV$67,Q$53:Q$67)/SUM(Q$53:Q$67)*Q$69,0)</f>
        <v>0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2">IFERROR(SUMPRODUCT($AW$53:$AW$67,Q$53:Q$67)/SUM(Q$53:Q$67)*Q$69,0)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3">Q218</f>
        <v>0</v>
      </c>
      <c r="R373" s="57">
        <f t="shared" si="83"/>
        <v>0</v>
      </c>
      <c r="S373" s="57">
        <f t="shared" si="83"/>
        <v>0</v>
      </c>
      <c r="T373" s="57">
        <f t="shared" si="83"/>
        <v>0</v>
      </c>
      <c r="U373" s="57">
        <f t="shared" si="83"/>
        <v>0</v>
      </c>
      <c r="V373" s="62">
        <f t="shared" si="83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4">Q232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5">SUM(Q362:Q372)*Q188</f>
        <v>0</v>
      </c>
      <c r="R375" s="57">
        <f t="shared" si="85"/>
        <v>0</v>
      </c>
      <c r="S375" s="57">
        <f t="shared" si="85"/>
        <v>0</v>
      </c>
      <c r="T375" s="57">
        <f t="shared" si="85"/>
        <v>0</v>
      </c>
      <c r="U375" s="57">
        <f t="shared" si="85"/>
        <v>0</v>
      </c>
      <c r="V375" s="62">
        <f t="shared" si="85"/>
        <v>0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0</v>
      </c>
      <c r="R377" s="37">
        <f t="shared" si="86"/>
        <v>0</v>
      </c>
      <c r="S377" s="37">
        <f t="shared" si="86"/>
        <v>0</v>
      </c>
      <c r="T377" s="37">
        <f t="shared" si="86"/>
        <v>0</v>
      </c>
      <c r="U377" s="37">
        <f t="shared" si="86"/>
        <v>0</v>
      </c>
      <c r="V377" s="64">
        <f t="shared" si="86"/>
        <v>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303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87">IFERROR(SUMPRODUCT($BB$53:$BB$67,Q$53:Q$67)/SUM(Q$53:Q$67)*Q$69*(1+Q$188),0)</f>
        <v>0</v>
      </c>
      <c r="R388" s="57">
        <f t="shared" si="87"/>
        <v>0</v>
      </c>
      <c r="S388" s="57">
        <f t="shared" si="87"/>
        <v>0</v>
      </c>
      <c r="T388" s="57">
        <f t="shared" si="87"/>
        <v>0</v>
      </c>
      <c r="U388" s="57">
        <f t="shared" si="87"/>
        <v>0</v>
      </c>
      <c r="V388" s="62">
        <f t="shared" si="87"/>
        <v>0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88">IFERROR(SUMPRODUCT($BC$53:$BC$67,Q$53:Q$67)/SUM(Q$53:Q$67)*Q$69*(1+Q$188),0)</f>
        <v>0</v>
      </c>
      <c r="R389" s="57">
        <f t="shared" si="88"/>
        <v>0</v>
      </c>
      <c r="S389" s="57">
        <f t="shared" si="88"/>
        <v>0</v>
      </c>
      <c r="T389" s="57">
        <f t="shared" si="88"/>
        <v>0</v>
      </c>
      <c r="U389" s="57">
        <f t="shared" si="88"/>
        <v>0</v>
      </c>
      <c r="V389" s="62">
        <f t="shared" si="88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89">IFERROR(SUMPRODUCT($BD$53:$BD$67,Q$53:Q$67)/SUM(Q$53:Q$67)*Q$69*(1+Q$188),0)</f>
        <v>0</v>
      </c>
      <c r="R390" s="57">
        <f t="shared" si="89"/>
        <v>0</v>
      </c>
      <c r="S390" s="57">
        <f t="shared" si="89"/>
        <v>0</v>
      </c>
      <c r="T390" s="57">
        <f t="shared" si="89"/>
        <v>0</v>
      </c>
      <c r="U390" s="57">
        <f t="shared" si="89"/>
        <v>0</v>
      </c>
      <c r="V390" s="62">
        <f t="shared" si="89"/>
        <v>0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0">IFERROR(SUMPRODUCT($BE$53:$BE$67,Q$53:Q$67)/SUM(Q$53:Q$67)*Q$69*(1+Q$188),0)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62">
        <f t="shared" si="90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1">IFERROR(SUMPRODUCT($BF$53:$BF$67,Q$53:Q$67)/SUM(Q$53:Q$67)*Q$69*(1+Q$188),0)</f>
        <v>0</v>
      </c>
      <c r="R392" s="57">
        <f t="shared" si="91"/>
        <v>0</v>
      </c>
      <c r="S392" s="57">
        <f t="shared" si="91"/>
        <v>0</v>
      </c>
      <c r="T392" s="57">
        <f t="shared" si="91"/>
        <v>0</v>
      </c>
      <c r="U392" s="57">
        <f t="shared" si="91"/>
        <v>0</v>
      </c>
      <c r="V392" s="62">
        <f t="shared" si="91"/>
        <v>0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2">IFERROR(SUMPRODUCT($BG$53:$BG$67,Q$53:Q$67)/SUM(Q$53:Q$67)*Q$69*(1+Q$188),0)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62">
        <f t="shared" si="92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3">IFERROR(SUMPRODUCT($BH$53:$BH$67,Q$53:Q$67)/SUM(Q$53:Q$67)*Q$69*(1+Q$188),0)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62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0</v>
      </c>
      <c r="R396" s="37">
        <f t="shared" si="94"/>
        <v>0</v>
      </c>
      <c r="S396" s="37">
        <f t="shared" si="94"/>
        <v>0</v>
      </c>
      <c r="T396" s="37">
        <f t="shared" si="94"/>
        <v>0</v>
      </c>
      <c r="U396" s="37">
        <f t="shared" si="94"/>
        <v>0</v>
      </c>
      <c r="V396" s="64">
        <f t="shared" si="94"/>
        <v>0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48">
    <mergeCell ref="H28:L28"/>
    <mergeCell ref="M28:Q28"/>
    <mergeCell ref="R28:V28"/>
    <mergeCell ref="H50:L50"/>
    <mergeCell ref="M50:Q50"/>
    <mergeCell ref="R50:V50"/>
    <mergeCell ref="H74:L74"/>
    <mergeCell ref="M74:Q74"/>
    <mergeCell ref="R74:V74"/>
    <mergeCell ref="H97:L97"/>
    <mergeCell ref="M97:Q97"/>
    <mergeCell ref="R97:V97"/>
    <mergeCell ref="H120:L120"/>
    <mergeCell ref="M120:Q120"/>
    <mergeCell ref="R120:V120"/>
    <mergeCell ref="H143:L143"/>
    <mergeCell ref="M143:Q143"/>
    <mergeCell ref="R143:V143"/>
    <mergeCell ref="H166:L166"/>
    <mergeCell ref="M166:Q166"/>
    <mergeCell ref="R166:V166"/>
    <mergeCell ref="H196:L196"/>
    <mergeCell ref="M196:Q196"/>
    <mergeCell ref="R196:V196"/>
    <mergeCell ref="H222:L222"/>
    <mergeCell ref="M222:Q222"/>
    <mergeCell ref="R222:V222"/>
    <mergeCell ref="H236:L236"/>
    <mergeCell ref="M236:Q236"/>
    <mergeCell ref="R236:V23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36:L336"/>
    <mergeCell ref="M336:Q336"/>
    <mergeCell ref="R336:V336"/>
    <mergeCell ref="H359:L359"/>
    <mergeCell ref="M359:Q359"/>
    <mergeCell ref="R359:V359"/>
    <mergeCell ref="H385:L385"/>
    <mergeCell ref="M385:Q385"/>
    <mergeCell ref="R385:V385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I399"/>
  <sheetViews>
    <sheetView topLeftCell="D10" workbookViewId="0">
      <selection activeCell="Q53" sqref="Q53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3" s="3" customFormat="1">
      <c r="A1" s="2" t="s">
        <v>2</v>
      </c>
    </row>
    <row r="2" spans="1:13" s="1" customFormat="1">
      <c r="A2" s="3" t="s">
        <v>215</v>
      </c>
    </row>
    <row r="3" spans="1:13" s="1" customFormat="1">
      <c r="A3" s="3" t="s">
        <v>95</v>
      </c>
    </row>
    <row r="4" spans="1:13" s="1" customFormat="1">
      <c r="A4" s="22" t="s">
        <v>43</v>
      </c>
    </row>
    <row r="6" spans="1:13" s="1" customFormat="1">
      <c r="A6" s="2">
        <v>2</v>
      </c>
      <c r="B6" s="2" t="s">
        <v>45</v>
      </c>
    </row>
    <row r="9" spans="1:13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  <c r="I9" s="94"/>
      <c r="J9" s="94"/>
      <c r="K9" s="94"/>
      <c r="L9" s="94"/>
      <c r="M9" s="94"/>
    </row>
    <row r="10" spans="1:13">
      <c r="B10" s="8" t="s">
        <v>216</v>
      </c>
      <c r="D10" s="10">
        <v>0.02</v>
      </c>
      <c r="E10" s="10">
        <v>0.78</v>
      </c>
      <c r="F10" s="26">
        <f>D10+E10</f>
        <v>0.8</v>
      </c>
      <c r="G10" s="26">
        <f>1-F10</f>
        <v>0.19999999999999996</v>
      </c>
      <c r="I10" s="94"/>
      <c r="J10" s="94"/>
      <c r="K10" s="94"/>
      <c r="L10" s="94"/>
      <c r="M10" s="94"/>
    </row>
    <row r="11" spans="1:13">
      <c r="B11" s="8"/>
      <c r="D11" s="10"/>
      <c r="E11" s="10"/>
      <c r="F11" s="26"/>
      <c r="G11" s="26"/>
      <c r="I11" s="94"/>
      <c r="J11" s="94"/>
      <c r="K11" s="94"/>
      <c r="L11" s="94"/>
      <c r="M11" s="94"/>
    </row>
    <row r="12" spans="1:13">
      <c r="B12" s="8"/>
      <c r="D12" s="10"/>
      <c r="E12" s="10"/>
      <c r="F12" s="26"/>
      <c r="G12" s="26"/>
      <c r="I12" s="94"/>
      <c r="J12" s="94"/>
      <c r="K12" s="94"/>
      <c r="L12" s="94"/>
      <c r="M12" s="94"/>
    </row>
    <row r="13" spans="1:13">
      <c r="B13" s="8"/>
      <c r="D13" s="10"/>
      <c r="E13" s="10"/>
      <c r="F13" s="26"/>
      <c r="G13" s="26"/>
      <c r="I13" s="94"/>
      <c r="J13" s="94"/>
      <c r="K13" s="94"/>
      <c r="L13" s="94"/>
      <c r="M13" s="94"/>
    </row>
    <row r="14" spans="1:13">
      <c r="B14" s="8"/>
      <c r="D14" s="10"/>
      <c r="E14" s="10"/>
      <c r="F14" s="26"/>
      <c r="G14" s="26"/>
      <c r="I14" s="94"/>
      <c r="J14" s="94"/>
      <c r="K14" s="94"/>
      <c r="L14" s="94"/>
      <c r="M14" s="94"/>
    </row>
    <row r="15" spans="1:13">
      <c r="B15" s="8"/>
      <c r="D15" s="10"/>
      <c r="E15" s="10"/>
      <c r="F15" s="26"/>
      <c r="G15" s="26"/>
      <c r="I15" s="94"/>
      <c r="J15" s="94"/>
      <c r="K15" s="94"/>
      <c r="L15" s="94"/>
      <c r="M15" s="94"/>
    </row>
    <row r="16" spans="1:13">
      <c r="B16" s="8"/>
      <c r="D16" s="10"/>
      <c r="E16" s="10"/>
      <c r="F16" s="27"/>
      <c r="G16" s="27"/>
      <c r="I16" s="94"/>
      <c r="J16" s="94"/>
      <c r="K16" s="94"/>
      <c r="L16" s="94"/>
      <c r="M16" s="94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203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87" t="s">
        <v>52</v>
      </c>
      <c r="I28" s="189"/>
      <c r="J28" s="189"/>
      <c r="K28" s="189"/>
      <c r="L28" s="188"/>
      <c r="M28" s="187" t="s">
        <v>53</v>
      </c>
      <c r="N28" s="189"/>
      <c r="O28" s="189"/>
      <c r="P28" s="189"/>
      <c r="Q28" s="188"/>
      <c r="R28" s="187" t="s">
        <v>54</v>
      </c>
      <c r="S28" s="189"/>
      <c r="T28" s="189"/>
      <c r="U28" s="189"/>
      <c r="V28" s="18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>IF(B10&lt;&gt;"",B10,"[blank]")</f>
        <v>City Gate Security Fence Upgrades</v>
      </c>
      <c r="D31" s="31" t="s">
        <v>60</v>
      </c>
      <c r="E31" s="31"/>
      <c r="P31" s="77"/>
      <c r="Q31" s="33">
        <f>'AMP inputs'!U62*'General assumptions'!$S$21</f>
        <v>540055.88689019892</v>
      </c>
      <c r="R31" s="33">
        <f>'AMP inputs'!V62*'General assumptions'!$S$21</f>
        <v>0</v>
      </c>
      <c r="S31" s="33">
        <f>'AMP inputs'!W62*'General assumptions'!$S$21</f>
        <v>0</v>
      </c>
      <c r="T31" s="33">
        <f>'AMP inputs'!X62*'General assumptions'!$S$21</f>
        <v>0</v>
      </c>
      <c r="U31" s="33">
        <f>'AMP inputs'!Y62*'General assumptions'!$S$21</f>
        <v>0</v>
      </c>
      <c r="V31" s="33">
        <f>'AMP inputs'!Z62*'General assumptions'!$S$21</f>
        <v>0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61</v>
      </c>
    </row>
    <row r="49" spans="2:61">
      <c r="Z49" s="5" t="s">
        <v>73</v>
      </c>
      <c r="AM49" s="5" t="s">
        <v>110</v>
      </c>
      <c r="BB49" s="5" t="s">
        <v>133</v>
      </c>
    </row>
    <row r="50" spans="2:61">
      <c r="H50" s="190" t="s">
        <v>52</v>
      </c>
      <c r="I50" s="190"/>
      <c r="J50" s="190"/>
      <c r="K50" s="190"/>
      <c r="L50" s="190"/>
      <c r="M50" s="190" t="s">
        <v>53</v>
      </c>
      <c r="N50" s="190"/>
      <c r="O50" s="190"/>
      <c r="P50" s="190"/>
      <c r="Q50" s="190"/>
      <c r="R50" s="190" t="s">
        <v>54</v>
      </c>
      <c r="S50" s="190"/>
      <c r="T50" s="190"/>
      <c r="U50" s="190"/>
      <c r="V50" s="190"/>
      <c r="X50" s="38"/>
      <c r="Z50" s="39" t="s">
        <v>69</v>
      </c>
      <c r="AA50" s="39" t="s">
        <v>70</v>
      </c>
      <c r="AB50" s="39" t="s">
        <v>71</v>
      </c>
      <c r="AC50" s="39" t="s">
        <v>72</v>
      </c>
      <c r="AD50" s="39" t="s">
        <v>64</v>
      </c>
      <c r="AE50" s="39" t="s">
        <v>65</v>
      </c>
      <c r="AF50" s="39" t="s">
        <v>66</v>
      </c>
      <c r="AG50" s="39" t="s">
        <v>107</v>
      </c>
      <c r="AH50" s="39" t="s">
        <v>67</v>
      </c>
      <c r="AI50" s="39" t="s">
        <v>68</v>
      </c>
      <c r="AJ50" s="39" t="s">
        <v>108</v>
      </c>
      <c r="AM50" s="39" t="s">
        <v>111</v>
      </c>
      <c r="AN50" s="39" t="s">
        <v>112</v>
      </c>
      <c r="AO50" s="39" t="s">
        <v>113</v>
      </c>
      <c r="AP50" s="39" t="s">
        <v>114</v>
      </c>
      <c r="AQ50" s="39" t="s">
        <v>115</v>
      </c>
      <c r="AR50" s="39" t="s">
        <v>36</v>
      </c>
      <c r="AS50" s="39" t="s">
        <v>116</v>
      </c>
      <c r="AT50" s="39" t="s">
        <v>35</v>
      </c>
      <c r="AU50" s="39" t="s">
        <v>117</v>
      </c>
      <c r="AV50" s="39" t="s">
        <v>118</v>
      </c>
      <c r="AW50" s="39" t="s">
        <v>119</v>
      </c>
      <c r="AX50" s="39" t="s">
        <v>74</v>
      </c>
      <c r="AY50" s="39" t="s">
        <v>75</v>
      </c>
      <c r="BB50" s="39" t="s">
        <v>134</v>
      </c>
      <c r="BC50" s="39" t="s">
        <v>135</v>
      </c>
      <c r="BD50" s="39" t="s">
        <v>136</v>
      </c>
      <c r="BE50" s="39" t="s">
        <v>107</v>
      </c>
      <c r="BF50" s="39" t="s">
        <v>137</v>
      </c>
      <c r="BG50" s="39" t="s">
        <v>138</v>
      </c>
      <c r="BH50" s="39" t="s">
        <v>108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63</v>
      </c>
    </row>
    <row r="52" spans="2:61">
      <c r="B52" s="5" t="s">
        <v>46</v>
      </c>
      <c r="D52" s="29" t="s">
        <v>55</v>
      </c>
      <c r="H52" s="16" t="s">
        <v>12</v>
      </c>
      <c r="I52" s="16" t="s">
        <v>12</v>
      </c>
      <c r="J52" s="16" t="s">
        <v>12</v>
      </c>
      <c r="K52" s="16" t="s">
        <v>12</v>
      </c>
      <c r="L52" s="16" t="s">
        <v>12</v>
      </c>
      <c r="M52" s="16" t="s">
        <v>12</v>
      </c>
      <c r="N52" s="16" t="s">
        <v>12</v>
      </c>
      <c r="O52" s="16" t="s">
        <v>12</v>
      </c>
      <c r="P52" s="16" t="s">
        <v>13</v>
      </c>
      <c r="Q52" s="16" t="s">
        <v>13</v>
      </c>
      <c r="R52" s="16" t="s">
        <v>13</v>
      </c>
      <c r="S52" s="16" t="s">
        <v>13</v>
      </c>
      <c r="T52" s="16" t="s">
        <v>13</v>
      </c>
      <c r="U52" s="16" t="s">
        <v>13</v>
      </c>
      <c r="V52" s="16" t="s">
        <v>13</v>
      </c>
      <c r="X52" s="34" t="s">
        <v>13</v>
      </c>
    </row>
    <row r="53" spans="2:61">
      <c r="B53" s="4" t="str">
        <f t="shared" ref="B53:B67" si="1">IF(B10&lt;&gt;"",B10,"[blank]")</f>
        <v>City Gate Security Fence Upgrades</v>
      </c>
      <c r="D53" s="31" t="s">
        <v>60</v>
      </c>
      <c r="O53" s="35"/>
      <c r="P53" s="35">
        <f>P31*($D10*'General assumptions'!S$35+$E10*'General assumptions'!S$36+$G10*'General assumptions'!S$42)</f>
        <v>0</v>
      </c>
      <c r="Q53" s="35">
        <f>Q31*($D10*'General assumptions'!T$35+$E10*'General assumptions'!T$36+$G10*'General assumptions'!T$42)</f>
        <v>539771.78354504344</v>
      </c>
      <c r="R53" s="35">
        <f>R31*($D10*'General assumptions'!U$35+$E10*'General assumptions'!U$36+$G10*'General assumptions'!U$42)</f>
        <v>0</v>
      </c>
      <c r="S53" s="35">
        <f>S31*($D10*'General assumptions'!V$35+$E10*'General assumptions'!V$36+$G10*'General assumptions'!V$42)</f>
        <v>0</v>
      </c>
      <c r="T53" s="35">
        <f>T31*($D10*'General assumptions'!W$35+$E10*'General assumptions'!W$36+$G10*'General assumptions'!W$42)</f>
        <v>0</v>
      </c>
      <c r="U53" s="35">
        <f>U31*($D10*'General assumptions'!X$35+$E10*'General assumptions'!X$36+$G10*'General assumptions'!X$42)</f>
        <v>0</v>
      </c>
      <c r="V53" s="35">
        <f>V31*($D10*'General assumptions'!Y$35+$E10*'General assumptions'!Y$36+$G10*'General assumptions'!Y$42)</f>
        <v>0</v>
      </c>
      <c r="W53" s="35"/>
      <c r="X53" s="40">
        <f>SUM(R53:V53)</f>
        <v>0</v>
      </c>
      <c r="Z53" s="10"/>
      <c r="AA53" s="10"/>
      <c r="AB53" s="10"/>
      <c r="AC53" s="10"/>
      <c r="AD53" s="10">
        <v>1</v>
      </c>
      <c r="AE53" s="10"/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>
        <v>1</v>
      </c>
      <c r="AV53" s="10"/>
      <c r="AW53" s="10"/>
      <c r="AX53" s="10"/>
      <c r="AY53" s="10"/>
      <c r="AZ53" s="41">
        <f t="shared" ref="AZ53:AZ67" si="3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62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539771.78354504344</v>
      </c>
      <c r="R69" s="37">
        <f t="shared" si="6"/>
        <v>0</v>
      </c>
      <c r="S69" s="37">
        <f t="shared" si="6"/>
        <v>0</v>
      </c>
      <c r="T69" s="37">
        <f t="shared" si="6"/>
        <v>0</v>
      </c>
      <c r="U69" s="37">
        <f t="shared" si="6"/>
        <v>0</v>
      </c>
      <c r="V69" s="37">
        <f t="shared" si="6"/>
        <v>0</v>
      </c>
      <c r="X69" s="37">
        <f t="shared" si="5"/>
        <v>0</v>
      </c>
    </row>
    <row r="71" spans="1:61">
      <c r="B71" s="5" t="s">
        <v>76</v>
      </c>
    </row>
    <row r="72" spans="1:61" s="1" customFormat="1">
      <c r="A72" s="4"/>
      <c r="B72" s="2" t="s">
        <v>77</v>
      </c>
    </row>
    <row r="74" spans="1:61">
      <c r="H74" s="190" t="s">
        <v>52</v>
      </c>
      <c r="I74" s="190"/>
      <c r="J74" s="190"/>
      <c r="K74" s="190"/>
      <c r="L74" s="190"/>
      <c r="M74" s="190" t="s">
        <v>53</v>
      </c>
      <c r="N74" s="190"/>
      <c r="O74" s="190"/>
      <c r="P74" s="190"/>
      <c r="Q74" s="190"/>
      <c r="R74" s="190" t="s">
        <v>54</v>
      </c>
      <c r="S74" s="190"/>
      <c r="T74" s="190"/>
      <c r="U74" s="190"/>
      <c r="V74" s="190"/>
      <c r="X74" s="38"/>
    </row>
    <row r="75" spans="1:61">
      <c r="B75" s="42" t="s">
        <v>79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63</v>
      </c>
    </row>
    <row r="76" spans="1:61">
      <c r="B76" s="5" t="s">
        <v>46</v>
      </c>
      <c r="D76" s="29" t="s">
        <v>55</v>
      </c>
      <c r="H76" s="16" t="s">
        <v>12</v>
      </c>
      <c r="I76" s="16" t="s">
        <v>12</v>
      </c>
      <c r="J76" s="16" t="s">
        <v>12</v>
      </c>
      <c r="K76" s="16" t="s">
        <v>12</v>
      </c>
      <c r="L76" s="16" t="s">
        <v>12</v>
      </c>
      <c r="M76" s="16" t="s">
        <v>12</v>
      </c>
      <c r="N76" s="16" t="s">
        <v>12</v>
      </c>
      <c r="O76" s="16" t="s">
        <v>12</v>
      </c>
      <c r="P76" s="16" t="s">
        <v>13</v>
      </c>
      <c r="Q76" s="16" t="s">
        <v>13</v>
      </c>
      <c r="R76" s="16" t="s">
        <v>13</v>
      </c>
      <c r="S76" s="16" t="s">
        <v>13</v>
      </c>
      <c r="T76" s="16" t="s">
        <v>13</v>
      </c>
      <c r="U76" s="16" t="s">
        <v>13</v>
      </c>
      <c r="V76" s="16" t="s">
        <v>13</v>
      </c>
      <c r="X76" s="34" t="s">
        <v>13</v>
      </c>
    </row>
    <row r="77" spans="1:61">
      <c r="B77" s="4" t="str">
        <f t="shared" ref="B77:B91" si="7">IF(B10&lt;&gt;"",B10,"[blank]")</f>
        <v>City Gate Security Fence Upgrades</v>
      </c>
      <c r="D77" s="31" t="s">
        <v>60</v>
      </c>
      <c r="O77" s="35"/>
      <c r="P77" s="35">
        <f t="shared" ref="P77:V77" si="8">$D10*P53</f>
        <v>0</v>
      </c>
      <c r="Q77" s="35">
        <f t="shared" si="8"/>
        <v>10795.43567090087</v>
      </c>
      <c r="R77" s="35">
        <f t="shared" si="8"/>
        <v>0</v>
      </c>
      <c r="S77" s="35">
        <f t="shared" si="8"/>
        <v>0</v>
      </c>
      <c r="T77" s="35">
        <f t="shared" si="8"/>
        <v>0</v>
      </c>
      <c r="U77" s="35">
        <f t="shared" si="8"/>
        <v>0</v>
      </c>
      <c r="V77" s="35">
        <f t="shared" si="8"/>
        <v>0</v>
      </c>
      <c r="X77" s="40">
        <f>SUM(R77:V77)</f>
        <v>0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78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10795.43567090087</v>
      </c>
      <c r="R93" s="37">
        <f t="shared" si="10"/>
        <v>0</v>
      </c>
      <c r="S93" s="37">
        <f t="shared" si="10"/>
        <v>0</v>
      </c>
      <c r="T93" s="37">
        <f t="shared" si="10"/>
        <v>0</v>
      </c>
      <c r="U93" s="37">
        <f t="shared" si="10"/>
        <v>0</v>
      </c>
      <c r="V93" s="37">
        <f t="shared" si="10"/>
        <v>0</v>
      </c>
      <c r="X93" s="37">
        <f t="shared" ref="X93" si="11">SUM(R93:V93)</f>
        <v>0</v>
      </c>
    </row>
    <row r="95" spans="1:24" s="1" customFormat="1">
      <c r="A95" s="4"/>
      <c r="B95" s="2" t="s">
        <v>80</v>
      </c>
    </row>
    <row r="97" spans="2:24">
      <c r="H97" s="190" t="s">
        <v>52</v>
      </c>
      <c r="I97" s="190"/>
      <c r="J97" s="190"/>
      <c r="K97" s="190"/>
      <c r="L97" s="190"/>
      <c r="M97" s="190" t="s">
        <v>53</v>
      </c>
      <c r="N97" s="190"/>
      <c r="O97" s="190"/>
      <c r="P97" s="190"/>
      <c r="Q97" s="190"/>
      <c r="R97" s="190" t="s">
        <v>54</v>
      </c>
      <c r="S97" s="190"/>
      <c r="T97" s="190"/>
      <c r="U97" s="190"/>
      <c r="V97" s="190"/>
      <c r="X97" s="38"/>
    </row>
    <row r="98" spans="2:24">
      <c r="B98" s="43" t="s">
        <v>81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63</v>
      </c>
    </row>
    <row r="99" spans="2:24">
      <c r="B99" s="5" t="s">
        <v>46</v>
      </c>
      <c r="D99" s="29" t="s">
        <v>55</v>
      </c>
      <c r="H99" s="16" t="s">
        <v>12</v>
      </c>
      <c r="I99" s="16" t="s">
        <v>12</v>
      </c>
      <c r="J99" s="16" t="s">
        <v>12</v>
      </c>
      <c r="K99" s="16" t="s">
        <v>12</v>
      </c>
      <c r="L99" s="16" t="s">
        <v>12</v>
      </c>
      <c r="M99" s="16" t="s">
        <v>12</v>
      </c>
      <c r="N99" s="16" t="s">
        <v>12</v>
      </c>
      <c r="O99" s="16" t="s">
        <v>12</v>
      </c>
      <c r="P99" s="16" t="s">
        <v>13</v>
      </c>
      <c r="Q99" s="16" t="s">
        <v>13</v>
      </c>
      <c r="R99" s="16" t="s">
        <v>13</v>
      </c>
      <c r="S99" s="16" t="s">
        <v>13</v>
      </c>
      <c r="T99" s="16" t="s">
        <v>13</v>
      </c>
      <c r="U99" s="16" t="s">
        <v>13</v>
      </c>
      <c r="V99" s="16" t="s">
        <v>13</v>
      </c>
      <c r="X99" s="34" t="s">
        <v>13</v>
      </c>
    </row>
    <row r="100" spans="2:24">
      <c r="B100" s="4" t="str">
        <f t="shared" ref="B100:B114" si="12">IF(B10&lt;&gt;"",B10,"[blank]")</f>
        <v>City Gate Security Fence Upgrades</v>
      </c>
      <c r="D100" s="31" t="s">
        <v>60</v>
      </c>
      <c r="O100" s="35"/>
      <c r="P100" s="35">
        <f t="shared" ref="P100:V100" si="13">$E10*P53</f>
        <v>0</v>
      </c>
      <c r="Q100" s="35">
        <f t="shared" si="13"/>
        <v>421021.99116513389</v>
      </c>
      <c r="R100" s="35">
        <f t="shared" si="13"/>
        <v>0</v>
      </c>
      <c r="S100" s="35">
        <f t="shared" si="13"/>
        <v>0</v>
      </c>
      <c r="T100" s="35">
        <f t="shared" si="13"/>
        <v>0</v>
      </c>
      <c r="U100" s="35">
        <f t="shared" si="13"/>
        <v>0</v>
      </c>
      <c r="V100" s="35">
        <f t="shared" si="13"/>
        <v>0</v>
      </c>
      <c r="X100" s="40">
        <f>SUM(R100:V100)</f>
        <v>0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82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421021.99116513389</v>
      </c>
      <c r="R116" s="37">
        <f t="shared" si="15"/>
        <v>0</v>
      </c>
      <c r="S116" s="37">
        <f t="shared" si="15"/>
        <v>0</v>
      </c>
      <c r="T116" s="37">
        <f t="shared" si="15"/>
        <v>0</v>
      </c>
      <c r="U116" s="37">
        <f t="shared" si="15"/>
        <v>0</v>
      </c>
      <c r="V116" s="37">
        <f t="shared" si="15"/>
        <v>0</v>
      </c>
      <c r="X116" s="37">
        <f t="shared" ref="X116" si="16">SUM(R116:V116)</f>
        <v>0</v>
      </c>
    </row>
    <row r="118" spans="1:24" s="1" customFormat="1">
      <c r="A118" s="4"/>
      <c r="B118" s="2" t="s">
        <v>83</v>
      </c>
    </row>
    <row r="120" spans="1:24">
      <c r="H120" s="190" t="s">
        <v>52</v>
      </c>
      <c r="I120" s="190"/>
      <c r="J120" s="190"/>
      <c r="K120" s="190"/>
      <c r="L120" s="190"/>
      <c r="M120" s="190" t="s">
        <v>53</v>
      </c>
      <c r="N120" s="190"/>
      <c r="O120" s="190"/>
      <c r="P120" s="190"/>
      <c r="Q120" s="190"/>
      <c r="R120" s="190" t="s">
        <v>54</v>
      </c>
      <c r="S120" s="190"/>
      <c r="T120" s="190"/>
      <c r="U120" s="190"/>
      <c r="V120" s="190"/>
      <c r="X120" s="38"/>
    </row>
    <row r="121" spans="1:24">
      <c r="B121" s="43" t="s">
        <v>84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63</v>
      </c>
    </row>
    <row r="122" spans="1:24">
      <c r="B122" s="5" t="s">
        <v>46</v>
      </c>
      <c r="D122" s="29" t="s">
        <v>55</v>
      </c>
      <c r="H122" s="16" t="s">
        <v>12</v>
      </c>
      <c r="I122" s="16" t="s">
        <v>12</v>
      </c>
      <c r="J122" s="16" t="s">
        <v>12</v>
      </c>
      <c r="K122" s="16" t="s">
        <v>12</v>
      </c>
      <c r="L122" s="16" t="s">
        <v>12</v>
      </c>
      <c r="M122" s="16" t="s">
        <v>12</v>
      </c>
      <c r="N122" s="16" t="s">
        <v>12</v>
      </c>
      <c r="O122" s="16" t="s">
        <v>12</v>
      </c>
      <c r="P122" s="16" t="s">
        <v>13</v>
      </c>
      <c r="Q122" s="16" t="s">
        <v>13</v>
      </c>
      <c r="R122" s="16" t="s">
        <v>13</v>
      </c>
      <c r="S122" s="16" t="s">
        <v>13</v>
      </c>
      <c r="T122" s="16" t="s">
        <v>13</v>
      </c>
      <c r="U122" s="16" t="s">
        <v>13</v>
      </c>
      <c r="V122" s="16" t="s">
        <v>13</v>
      </c>
      <c r="X122" s="34" t="s">
        <v>13</v>
      </c>
    </row>
    <row r="123" spans="1:24">
      <c r="B123" s="4" t="str">
        <f t="shared" ref="B123:B137" si="17">IF(B10&lt;&gt;"",B10,"[blank]")</f>
        <v>City Gate Security Fence Upgrades</v>
      </c>
      <c r="D123" s="31" t="s">
        <v>60</v>
      </c>
      <c r="O123" s="35"/>
      <c r="P123" s="35">
        <f>P77+P100</f>
        <v>0</v>
      </c>
      <c r="Q123" s="35">
        <f t="shared" ref="Q123:V123" si="18">Q77+Q100</f>
        <v>431817.42683603475</v>
      </c>
      <c r="R123" s="35">
        <f t="shared" si="18"/>
        <v>0</v>
      </c>
      <c r="S123" s="35">
        <f t="shared" si="18"/>
        <v>0</v>
      </c>
      <c r="T123" s="35">
        <f t="shared" si="18"/>
        <v>0</v>
      </c>
      <c r="U123" s="35">
        <f t="shared" si="18"/>
        <v>0</v>
      </c>
      <c r="V123" s="35">
        <f t="shared" si="18"/>
        <v>0</v>
      </c>
      <c r="X123" s="40">
        <f>SUM(R123:V123)</f>
        <v>0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85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431817.42683603475</v>
      </c>
      <c r="R139" s="37">
        <f t="shared" si="20"/>
        <v>0</v>
      </c>
      <c r="S139" s="37">
        <f t="shared" si="20"/>
        <v>0</v>
      </c>
      <c r="T139" s="37">
        <f t="shared" si="20"/>
        <v>0</v>
      </c>
      <c r="U139" s="37">
        <f t="shared" si="20"/>
        <v>0</v>
      </c>
      <c r="V139" s="37">
        <f t="shared" si="20"/>
        <v>0</v>
      </c>
      <c r="X139" s="37">
        <f t="shared" ref="X139" si="21">SUM(R139:V139)</f>
        <v>0</v>
      </c>
    </row>
    <row r="141" spans="1:24" s="1" customFormat="1">
      <c r="A141" s="4"/>
      <c r="B141" s="2" t="s">
        <v>86</v>
      </c>
    </row>
    <row r="143" spans="1:24">
      <c r="H143" s="190" t="s">
        <v>52</v>
      </c>
      <c r="I143" s="190"/>
      <c r="J143" s="190"/>
      <c r="K143" s="190"/>
      <c r="L143" s="190"/>
      <c r="M143" s="190" t="s">
        <v>53</v>
      </c>
      <c r="N143" s="190"/>
      <c r="O143" s="190"/>
      <c r="P143" s="190"/>
      <c r="Q143" s="190"/>
      <c r="R143" s="190" t="s">
        <v>54</v>
      </c>
      <c r="S143" s="190"/>
      <c r="T143" s="190"/>
      <c r="U143" s="190"/>
      <c r="V143" s="190"/>
      <c r="X143" s="38"/>
    </row>
    <row r="144" spans="1:24">
      <c r="B144" s="44" t="s">
        <v>50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63</v>
      </c>
    </row>
    <row r="145" spans="2:24">
      <c r="B145" s="5" t="s">
        <v>46</v>
      </c>
      <c r="D145" s="29" t="s">
        <v>55</v>
      </c>
      <c r="H145" s="16" t="s">
        <v>12</v>
      </c>
      <c r="I145" s="16" t="s">
        <v>12</v>
      </c>
      <c r="J145" s="16" t="s">
        <v>12</v>
      </c>
      <c r="K145" s="16" t="s">
        <v>12</v>
      </c>
      <c r="L145" s="16" t="s">
        <v>12</v>
      </c>
      <c r="M145" s="16" t="s">
        <v>12</v>
      </c>
      <c r="N145" s="16" t="s">
        <v>12</v>
      </c>
      <c r="O145" s="16" t="s">
        <v>12</v>
      </c>
      <c r="P145" s="16" t="s">
        <v>13</v>
      </c>
      <c r="Q145" s="16" t="s">
        <v>13</v>
      </c>
      <c r="R145" s="16" t="s">
        <v>13</v>
      </c>
      <c r="S145" s="16" t="s">
        <v>13</v>
      </c>
      <c r="T145" s="16" t="s">
        <v>13</v>
      </c>
      <c r="U145" s="16" t="s">
        <v>13</v>
      </c>
      <c r="V145" s="16" t="s">
        <v>13</v>
      </c>
      <c r="X145" s="34" t="s">
        <v>13</v>
      </c>
    </row>
    <row r="146" spans="2:24">
      <c r="B146" s="4" t="str">
        <f t="shared" ref="B146:B160" si="22">IF(B10&lt;&gt;"",B10,"[blank]")</f>
        <v>City Gate Security Fence Upgrades</v>
      </c>
      <c r="D146" s="31" t="s">
        <v>60</v>
      </c>
      <c r="O146" s="35"/>
      <c r="P146" s="35">
        <f t="shared" ref="P146:V146" si="23">$G10*P53</f>
        <v>0</v>
      </c>
      <c r="Q146" s="35">
        <f t="shared" si="23"/>
        <v>107954.35670900866</v>
      </c>
      <c r="R146" s="35">
        <f t="shared" si="23"/>
        <v>0</v>
      </c>
      <c r="S146" s="35">
        <f t="shared" si="23"/>
        <v>0</v>
      </c>
      <c r="T146" s="35">
        <f t="shared" si="23"/>
        <v>0</v>
      </c>
      <c r="U146" s="35">
        <f t="shared" si="23"/>
        <v>0</v>
      </c>
      <c r="V146" s="35">
        <f t="shared" si="23"/>
        <v>0</v>
      </c>
      <c r="X146" s="40">
        <f>SUM(R146:V146)</f>
        <v>0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87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107954.35670900866</v>
      </c>
      <c r="R162" s="37">
        <f t="shared" si="25"/>
        <v>0</v>
      </c>
      <c r="S162" s="37">
        <f t="shared" si="25"/>
        <v>0</v>
      </c>
      <c r="T162" s="37">
        <f t="shared" si="25"/>
        <v>0</v>
      </c>
      <c r="U162" s="37">
        <f t="shared" si="25"/>
        <v>0</v>
      </c>
      <c r="V162" s="37">
        <f t="shared" si="25"/>
        <v>0</v>
      </c>
      <c r="X162" s="37">
        <f t="shared" ref="X162" si="26">SUM(R162:V162)</f>
        <v>0</v>
      </c>
    </row>
    <row r="164" spans="1:24" s="1" customFormat="1">
      <c r="A164" s="2">
        <v>5</v>
      </c>
      <c r="B164" s="2" t="s">
        <v>89</v>
      </c>
    </row>
    <row r="166" spans="1:24">
      <c r="H166" s="190" t="s">
        <v>52</v>
      </c>
      <c r="I166" s="190"/>
      <c r="J166" s="190"/>
      <c r="K166" s="190"/>
      <c r="L166" s="190"/>
      <c r="M166" s="190" t="s">
        <v>53</v>
      </c>
      <c r="N166" s="190"/>
      <c r="O166" s="190"/>
      <c r="P166" s="190"/>
      <c r="Q166" s="190"/>
      <c r="R166" s="190" t="s">
        <v>54</v>
      </c>
      <c r="S166" s="190"/>
      <c r="T166" s="190"/>
      <c r="U166" s="190"/>
      <c r="V166" s="190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63</v>
      </c>
    </row>
    <row r="168" spans="1:24">
      <c r="B168" s="5" t="s">
        <v>46</v>
      </c>
      <c r="D168" s="29" t="s">
        <v>55</v>
      </c>
      <c r="H168" s="16" t="s">
        <v>12</v>
      </c>
      <c r="I168" s="16" t="s">
        <v>12</v>
      </c>
      <c r="J168" s="16" t="s">
        <v>12</v>
      </c>
      <c r="K168" s="16" t="s">
        <v>12</v>
      </c>
      <c r="L168" s="16" t="s">
        <v>12</v>
      </c>
      <c r="M168" s="16" t="s">
        <v>12</v>
      </c>
      <c r="N168" s="16" t="s">
        <v>12</v>
      </c>
      <c r="O168" s="16" t="s">
        <v>12</v>
      </c>
      <c r="P168" s="16" t="s">
        <v>13</v>
      </c>
      <c r="Q168" s="16" t="s">
        <v>13</v>
      </c>
      <c r="R168" s="16" t="s">
        <v>13</v>
      </c>
      <c r="S168" s="16" t="s">
        <v>13</v>
      </c>
      <c r="T168" s="16" t="s">
        <v>13</v>
      </c>
      <c r="U168" s="16" t="s">
        <v>13</v>
      </c>
      <c r="V168" s="16" t="s">
        <v>13</v>
      </c>
      <c r="X168" s="34" t="s">
        <v>13</v>
      </c>
    </row>
    <row r="169" spans="1:24">
      <c r="B169" s="4" t="str">
        <f t="shared" ref="B169:B183" si="27">IF(B10&lt;&gt;"",B10,"[blank]")</f>
        <v>City Gate Security Fence Upgrades</v>
      </c>
      <c r="D169" s="31" t="s">
        <v>60</v>
      </c>
      <c r="O169" s="35"/>
      <c r="P169" s="35">
        <f>P53*P$188</f>
        <v>0</v>
      </c>
      <c r="Q169" s="35">
        <f t="shared" ref="Q169:V169" si="28">Q53*Q$188</f>
        <v>40397.436315186722</v>
      </c>
      <c r="R169" s="35">
        <f t="shared" si="28"/>
        <v>0</v>
      </c>
      <c r="S169" s="35">
        <f t="shared" si="28"/>
        <v>0</v>
      </c>
      <c r="T169" s="35">
        <f t="shared" si="28"/>
        <v>0</v>
      </c>
      <c r="U169" s="35">
        <f t="shared" si="28"/>
        <v>0</v>
      </c>
      <c r="V169" s="35">
        <f t="shared" si="28"/>
        <v>0</v>
      </c>
      <c r="X169" s="40">
        <f>SUM(R169:V169)</f>
        <v>0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88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40397.436315186722</v>
      </c>
      <c r="R185" s="37">
        <f t="shared" si="30"/>
        <v>0</v>
      </c>
      <c r="S185" s="37">
        <f t="shared" si="30"/>
        <v>0</v>
      </c>
      <c r="T185" s="37">
        <f t="shared" si="30"/>
        <v>0</v>
      </c>
      <c r="U185" s="37">
        <f t="shared" si="30"/>
        <v>0</v>
      </c>
      <c r="V185" s="37">
        <f t="shared" si="30"/>
        <v>0</v>
      </c>
      <c r="X185" s="37">
        <f t="shared" ref="X185" si="31">SUM(R185:V185)</f>
        <v>0</v>
      </c>
    </row>
    <row r="187" spans="2:24">
      <c r="B187" s="4" t="s">
        <v>92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539771.78354504344</v>
      </c>
      <c r="R187" s="45">
        <f t="shared" si="32"/>
        <v>0</v>
      </c>
      <c r="S187" s="45">
        <f t="shared" si="32"/>
        <v>0</v>
      </c>
      <c r="T187" s="45">
        <f t="shared" si="32"/>
        <v>0</v>
      </c>
      <c r="U187" s="45">
        <f t="shared" si="32"/>
        <v>0</v>
      </c>
      <c r="V187" s="45">
        <f t="shared" si="32"/>
        <v>0</v>
      </c>
      <c r="W187" s="45"/>
      <c r="X187" s="40">
        <f t="shared" si="32"/>
        <v>0</v>
      </c>
    </row>
    <row r="188" spans="2:24">
      <c r="B188" s="4" t="s">
        <v>90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assumptions'!S71</f>
        <v>0</v>
      </c>
      <c r="Q188" s="21">
        <f>'General assumptions'!T71</f>
        <v>7.4841697077734692E-2</v>
      </c>
      <c r="R188" s="21">
        <f>'General assumptions'!U71</f>
        <v>7.2170809247081261E-2</v>
      </c>
      <c r="S188" s="21">
        <f>'General assumptions'!V71</f>
        <v>7.6263096231367788E-2</v>
      </c>
      <c r="T188" s="21">
        <f>'General assumptions'!W71</f>
        <v>7.7426658716070601E-2</v>
      </c>
      <c r="U188" s="21">
        <f>'General assumptions'!X71</f>
        <v>8.1715682674538839E-2</v>
      </c>
      <c r="V188" s="21">
        <f>'General assumptions'!Y71</f>
        <v>8.4392593946897035E-2</v>
      </c>
      <c r="W188" s="21"/>
      <c r="X188" s="75" t="e">
        <f>X185/X187</f>
        <v>#DIV/0!</v>
      </c>
    </row>
    <row r="190" spans="2:24" ht="12.75" thickBot="1">
      <c r="B190" s="5" t="s">
        <v>91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5">IF(Q168="forecast",Q187*(1+Q188),Q187+Q192)</f>
        <v>580169.21986023022</v>
      </c>
      <c r="R190" s="37">
        <f t="shared" si="35"/>
        <v>0</v>
      </c>
      <c r="S190" s="37">
        <f t="shared" si="35"/>
        <v>0</v>
      </c>
      <c r="T190" s="37">
        <f t="shared" si="35"/>
        <v>0</v>
      </c>
      <c r="U190" s="37">
        <f t="shared" si="35"/>
        <v>0</v>
      </c>
      <c r="V190" s="37">
        <f t="shared" si="35"/>
        <v>0</v>
      </c>
      <c r="X190" s="37" t="e">
        <f t="shared" ref="X190" si="36">IF(X168="forecast",X187*(1+X188),X187+X192)</f>
        <v>#DIV/0!</v>
      </c>
    </row>
    <row r="192" spans="2:24">
      <c r="B192" s="4" t="s">
        <v>18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40397.436315186787</v>
      </c>
      <c r="R192" s="45">
        <f t="shared" si="37"/>
        <v>0</v>
      </c>
      <c r="S192" s="45">
        <f t="shared" si="37"/>
        <v>0</v>
      </c>
      <c r="T192" s="45">
        <f t="shared" si="37"/>
        <v>0</v>
      </c>
      <c r="U192" s="45">
        <f t="shared" si="37"/>
        <v>0</v>
      </c>
      <c r="V192" s="45">
        <f t="shared" si="37"/>
        <v>0</v>
      </c>
      <c r="X192" s="40" t="e">
        <f t="shared" ref="X192" si="38">X190-X187</f>
        <v>#DIV/0!</v>
      </c>
    </row>
    <row r="194" spans="1:24" s="1" customFormat="1">
      <c r="A194" s="2">
        <v>6</v>
      </c>
      <c r="B194" s="2" t="s">
        <v>74</v>
      </c>
    </row>
    <row r="196" spans="1:24">
      <c r="H196" s="190" t="s">
        <v>52</v>
      </c>
      <c r="I196" s="190"/>
      <c r="J196" s="190"/>
      <c r="K196" s="190"/>
      <c r="L196" s="190"/>
      <c r="M196" s="190" t="s">
        <v>53</v>
      </c>
      <c r="N196" s="190"/>
      <c r="O196" s="190"/>
      <c r="P196" s="190"/>
      <c r="Q196" s="190"/>
      <c r="R196" s="190" t="s">
        <v>54</v>
      </c>
      <c r="S196" s="190"/>
      <c r="T196" s="190"/>
      <c r="U196" s="190"/>
      <c r="V196" s="190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63</v>
      </c>
    </row>
    <row r="198" spans="1:24">
      <c r="D198" s="29" t="s">
        <v>55</v>
      </c>
      <c r="H198" s="16" t="s">
        <v>12</v>
      </c>
      <c r="I198" s="16" t="s">
        <v>12</v>
      </c>
      <c r="J198" s="16" t="s">
        <v>12</v>
      </c>
      <c r="K198" s="16" t="s">
        <v>12</v>
      </c>
      <c r="L198" s="16" t="s">
        <v>12</v>
      </c>
      <c r="M198" s="16" t="s">
        <v>12</v>
      </c>
      <c r="N198" s="16" t="s">
        <v>12</v>
      </c>
      <c r="O198" s="16" t="s">
        <v>12</v>
      </c>
      <c r="P198" s="16" t="s">
        <v>13</v>
      </c>
      <c r="Q198" s="16" t="s">
        <v>13</v>
      </c>
      <c r="R198" s="16" t="s">
        <v>13</v>
      </c>
      <c r="S198" s="16" t="s">
        <v>13</v>
      </c>
      <c r="T198" s="16" t="s">
        <v>13</v>
      </c>
      <c r="U198" s="16" t="s">
        <v>13</v>
      </c>
      <c r="V198" s="16" t="s">
        <v>13</v>
      </c>
      <c r="X198" s="34" t="s">
        <v>13</v>
      </c>
    </row>
    <row r="199" spans="1:24">
      <c r="B199" s="5" t="s">
        <v>94</v>
      </c>
      <c r="D199" s="31" t="s">
        <v>105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46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City Gate Security Fence Upgrades</v>
      </c>
      <c r="D202" s="31" t="s">
        <v>60</v>
      </c>
      <c r="P202" s="45">
        <f>(-P53*(1+P$188))*P$199</f>
        <v>0</v>
      </c>
      <c r="Q202" s="45">
        <f t="shared" ref="Q202:V202" si="41">(-Q53*(1+Q$188))*Q$199</f>
        <v>0</v>
      </c>
      <c r="R202" s="45">
        <f t="shared" si="41"/>
        <v>0</v>
      </c>
      <c r="S202" s="45">
        <f t="shared" si="41"/>
        <v>0</v>
      </c>
      <c r="T202" s="45">
        <f t="shared" si="41"/>
        <v>0</v>
      </c>
      <c r="U202" s="45">
        <f t="shared" si="41"/>
        <v>0</v>
      </c>
      <c r="V202" s="45">
        <f t="shared" si="41"/>
        <v>0</v>
      </c>
      <c r="X202" s="40">
        <f t="shared" ref="X202" si="42">SUM(R202:V202)</f>
        <v>0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93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0</v>
      </c>
      <c r="R218" s="37">
        <f t="shared" si="43"/>
        <v>0</v>
      </c>
      <c r="S218" s="37">
        <f t="shared" si="43"/>
        <v>0</v>
      </c>
      <c r="T218" s="37">
        <f t="shared" si="43"/>
        <v>0</v>
      </c>
      <c r="U218" s="37">
        <f t="shared" si="43"/>
        <v>0</v>
      </c>
      <c r="V218" s="37">
        <f t="shared" si="43"/>
        <v>0</v>
      </c>
      <c r="X218" s="37">
        <f t="shared" ref="X218" si="44">SUM(R218:V218)</f>
        <v>0</v>
      </c>
    </row>
    <row r="220" spans="1:24" s="1" customFormat="1">
      <c r="A220" s="2">
        <v>7</v>
      </c>
      <c r="B220" s="2" t="s">
        <v>75</v>
      </c>
    </row>
    <row r="222" spans="1:24">
      <c r="H222" s="190" t="s">
        <v>52</v>
      </c>
      <c r="I222" s="190"/>
      <c r="J222" s="190"/>
      <c r="K222" s="190"/>
      <c r="L222" s="190"/>
      <c r="M222" s="190" t="s">
        <v>53</v>
      </c>
      <c r="N222" s="190"/>
      <c r="O222" s="190"/>
      <c r="P222" s="190"/>
      <c r="Q222" s="190"/>
      <c r="R222" s="190" t="s">
        <v>54</v>
      </c>
      <c r="S222" s="190"/>
      <c r="T222" s="190"/>
      <c r="U222" s="190"/>
      <c r="V222" s="190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63</v>
      </c>
    </row>
    <row r="224" spans="1:24">
      <c r="D224" s="29" t="s">
        <v>55</v>
      </c>
      <c r="H224" s="16" t="s">
        <v>12</v>
      </c>
      <c r="I224" s="16" t="s">
        <v>12</v>
      </c>
      <c r="J224" s="16" t="s">
        <v>12</v>
      </c>
      <c r="K224" s="16" t="s">
        <v>12</v>
      </c>
      <c r="L224" s="16" t="s">
        <v>12</v>
      </c>
      <c r="M224" s="16" t="s">
        <v>12</v>
      </c>
      <c r="N224" s="16" t="s">
        <v>12</v>
      </c>
      <c r="O224" s="16" t="s">
        <v>12</v>
      </c>
      <c r="P224" s="16" t="s">
        <v>13</v>
      </c>
      <c r="Q224" s="16" t="s">
        <v>13</v>
      </c>
      <c r="R224" s="16" t="s">
        <v>13</v>
      </c>
      <c r="S224" s="16" t="s">
        <v>13</v>
      </c>
      <c r="T224" s="16" t="s">
        <v>13</v>
      </c>
      <c r="U224" s="16" t="s">
        <v>13</v>
      </c>
      <c r="V224" s="16" t="s">
        <v>13</v>
      </c>
      <c r="X224" s="34" t="s">
        <v>13</v>
      </c>
    </row>
    <row r="225" spans="1:24">
      <c r="B225" s="38" t="s">
        <v>96</v>
      </c>
      <c r="D225" s="31"/>
      <c r="X225" s="40"/>
    </row>
    <row r="226" spans="1:24">
      <c r="B226" s="47" t="s">
        <v>97</v>
      </c>
      <c r="D226" s="31" t="s">
        <v>60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98</v>
      </c>
      <c r="D227" s="31" t="s">
        <v>60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99</v>
      </c>
      <c r="D228" s="31" t="s">
        <v>60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100</v>
      </c>
      <c r="D229" s="31" t="s">
        <v>60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101</v>
      </c>
      <c r="D230" s="31" t="s">
        <v>60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102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103</v>
      </c>
    </row>
    <row r="236" spans="1:24">
      <c r="H236" s="190" t="s">
        <v>52</v>
      </c>
      <c r="I236" s="190"/>
      <c r="J236" s="190"/>
      <c r="K236" s="190"/>
      <c r="L236" s="190"/>
      <c r="M236" s="190" t="s">
        <v>53</v>
      </c>
      <c r="N236" s="190"/>
      <c r="O236" s="190"/>
      <c r="P236" s="190"/>
      <c r="Q236" s="190"/>
      <c r="R236" s="190" t="s">
        <v>54</v>
      </c>
      <c r="S236" s="190"/>
      <c r="T236" s="190"/>
      <c r="U236" s="190"/>
      <c r="V236" s="190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63</v>
      </c>
    </row>
    <row r="238" spans="1:24">
      <c r="D238" s="29" t="s">
        <v>55</v>
      </c>
      <c r="H238" s="16" t="s">
        <v>12</v>
      </c>
      <c r="I238" s="16" t="s">
        <v>12</v>
      </c>
      <c r="J238" s="16" t="s">
        <v>12</v>
      </c>
      <c r="K238" s="16" t="s">
        <v>12</v>
      </c>
      <c r="L238" s="16" t="s">
        <v>12</v>
      </c>
      <c r="M238" s="16" t="s">
        <v>12</v>
      </c>
      <c r="N238" s="16" t="s">
        <v>12</v>
      </c>
      <c r="O238" s="16" t="s">
        <v>12</v>
      </c>
      <c r="P238" s="16" t="s">
        <v>13</v>
      </c>
      <c r="Q238" s="16" t="s">
        <v>13</v>
      </c>
      <c r="R238" s="16" t="s">
        <v>13</v>
      </c>
      <c r="S238" s="16" t="s">
        <v>13</v>
      </c>
      <c r="T238" s="16" t="s">
        <v>13</v>
      </c>
      <c r="U238" s="16" t="s">
        <v>13</v>
      </c>
      <c r="V238" s="16" t="s">
        <v>13</v>
      </c>
      <c r="X238" s="34" t="s">
        <v>13</v>
      </c>
    </row>
    <row r="239" spans="1:24">
      <c r="B239" s="4" t="s">
        <v>104</v>
      </c>
      <c r="D239" s="31" t="s">
        <v>60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580169.21986023022</v>
      </c>
      <c r="R239" s="45">
        <f t="shared" si="47"/>
        <v>0</v>
      </c>
      <c r="S239" s="45">
        <f t="shared" si="47"/>
        <v>0</v>
      </c>
      <c r="T239" s="45">
        <f t="shared" si="47"/>
        <v>0</v>
      </c>
      <c r="U239" s="45">
        <f t="shared" si="47"/>
        <v>0</v>
      </c>
      <c r="V239" s="45">
        <f t="shared" si="47"/>
        <v>0</v>
      </c>
      <c r="X239" s="40">
        <f t="shared" ref="X239:X241" si="48">SUM(R239:V239)</f>
        <v>0</v>
      </c>
    </row>
    <row r="240" spans="1:24">
      <c r="B240" s="4" t="s">
        <v>74</v>
      </c>
      <c r="D240" s="31" t="s">
        <v>60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0</v>
      </c>
      <c r="R240" s="45">
        <f t="shared" si="49"/>
        <v>0</v>
      </c>
      <c r="S240" s="45">
        <f t="shared" si="49"/>
        <v>0</v>
      </c>
      <c r="T240" s="45">
        <f t="shared" si="49"/>
        <v>0</v>
      </c>
      <c r="U240" s="45">
        <f t="shared" si="49"/>
        <v>0</v>
      </c>
      <c r="V240" s="45">
        <f t="shared" si="49"/>
        <v>0</v>
      </c>
      <c r="X240" s="40">
        <f t="shared" si="48"/>
        <v>0</v>
      </c>
    </row>
    <row r="241" spans="1:24">
      <c r="B241" s="4" t="s">
        <v>75</v>
      </c>
      <c r="D241" s="31" t="s">
        <v>60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103</v>
      </c>
      <c r="D243" s="31" t="s">
        <v>60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580169.21986023022</v>
      </c>
      <c r="R243" s="37">
        <f t="shared" si="51"/>
        <v>0</v>
      </c>
      <c r="S243" s="37">
        <f t="shared" si="51"/>
        <v>0</v>
      </c>
      <c r="T243" s="37">
        <f t="shared" si="51"/>
        <v>0</v>
      </c>
      <c r="U243" s="37">
        <f t="shared" si="51"/>
        <v>0</v>
      </c>
      <c r="V243" s="37">
        <f t="shared" si="51"/>
        <v>0</v>
      </c>
      <c r="X243" s="37">
        <f t="shared" ref="X243" si="52">SUM(R243:V243)</f>
        <v>0</v>
      </c>
    </row>
    <row r="244" spans="1:24">
      <c r="D244" s="31"/>
    </row>
    <row r="246" spans="1:24" s="66" customFormat="1">
      <c r="A246" s="65">
        <v>9</v>
      </c>
      <c r="B246" s="65" t="s">
        <v>121</v>
      </c>
    </row>
    <row r="268" spans="2:22">
      <c r="B268" s="69" t="s">
        <v>120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337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3">IFERROR(SUMPRODUCT($Z$53:$Z$67,Q$53:Q$67)/SUM(Q$53:Q$67)*Q$69,0)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62">
        <f t="shared" si="53"/>
        <v>0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0</v>
      </c>
      <c r="R277" s="57">
        <f t="shared" si="54"/>
        <v>0</v>
      </c>
      <c r="S277" s="57">
        <f t="shared" si="54"/>
        <v>0</v>
      </c>
      <c r="T277" s="57">
        <f t="shared" si="54"/>
        <v>0</v>
      </c>
      <c r="U277" s="57">
        <f t="shared" si="54"/>
        <v>0</v>
      </c>
      <c r="V277" s="62">
        <f t="shared" si="54"/>
        <v>0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0</v>
      </c>
      <c r="R278" s="57">
        <f t="shared" si="55"/>
        <v>0</v>
      </c>
      <c r="S278" s="57">
        <f t="shared" si="55"/>
        <v>0</v>
      </c>
      <c r="T278" s="57">
        <f t="shared" si="55"/>
        <v>0</v>
      </c>
      <c r="U278" s="57">
        <f t="shared" si="55"/>
        <v>0</v>
      </c>
      <c r="V278" s="62">
        <f t="shared" si="55"/>
        <v>0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539771.78354504344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539771.78354504344</v>
      </c>
      <c r="R288" s="37">
        <f t="shared" si="64"/>
        <v>0</v>
      </c>
      <c r="S288" s="37">
        <f t="shared" si="64"/>
        <v>0</v>
      </c>
      <c r="T288" s="37">
        <f t="shared" si="64"/>
        <v>0</v>
      </c>
      <c r="U288" s="37">
        <f t="shared" si="64"/>
        <v>0</v>
      </c>
      <c r="V288" s="64">
        <f t="shared" si="64"/>
        <v>0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306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0</v>
      </c>
      <c r="R298" s="57">
        <f t="shared" si="65"/>
        <v>0</v>
      </c>
      <c r="S298" s="57">
        <f t="shared" si="65"/>
        <v>0</v>
      </c>
      <c r="T298" s="57">
        <f t="shared" si="65"/>
        <v>0</v>
      </c>
      <c r="U298" s="57">
        <f t="shared" si="65"/>
        <v>0</v>
      </c>
      <c r="V298" s="62">
        <f t="shared" si="65"/>
        <v>0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0</v>
      </c>
      <c r="R299" s="57">
        <f t="shared" si="65"/>
        <v>0</v>
      </c>
      <c r="S299" s="57">
        <f t="shared" si="65"/>
        <v>0</v>
      </c>
      <c r="T299" s="57">
        <f t="shared" si="65"/>
        <v>0</v>
      </c>
      <c r="U299" s="57">
        <f t="shared" si="65"/>
        <v>0</v>
      </c>
      <c r="V299" s="62">
        <f t="shared" si="65"/>
        <v>0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580169.21986023022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580169.21986023022</v>
      </c>
      <c r="R309" s="37">
        <f t="shared" si="66"/>
        <v>0</v>
      </c>
      <c r="S309" s="37">
        <f t="shared" si="66"/>
        <v>0</v>
      </c>
      <c r="T309" s="37">
        <f t="shared" si="66"/>
        <v>0</v>
      </c>
      <c r="U309" s="37">
        <f t="shared" si="66"/>
        <v>0</v>
      </c>
      <c r="V309" s="64">
        <f t="shared" si="66"/>
        <v>0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307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P297*(1-P$199)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0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0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580169.21986023022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580169.21986023022</v>
      </c>
      <c r="R330" s="37">
        <f t="shared" si="68"/>
        <v>0</v>
      </c>
      <c r="S330" s="37">
        <f t="shared" si="68"/>
        <v>0</v>
      </c>
      <c r="T330" s="37">
        <f t="shared" si="68"/>
        <v>0</v>
      </c>
      <c r="U330" s="37">
        <f t="shared" si="68"/>
        <v>0</v>
      </c>
      <c r="V330" s="64">
        <f t="shared" si="68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308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69">Q297*Q$199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P298*P$199</f>
        <v>0</v>
      </c>
      <c r="Q340" s="57">
        <f t="shared" si="69"/>
        <v>0</v>
      </c>
      <c r="R340" s="57">
        <f t="shared" si="69"/>
        <v>0</v>
      </c>
      <c r="S340" s="57">
        <f t="shared" si="69"/>
        <v>0</v>
      </c>
      <c r="T340" s="57">
        <f t="shared" si="69"/>
        <v>0</v>
      </c>
      <c r="U340" s="57">
        <f t="shared" si="69"/>
        <v>0</v>
      </c>
      <c r="V340" s="62">
        <f t="shared" si="69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0</v>
      </c>
      <c r="R341" s="57">
        <f t="shared" si="69"/>
        <v>0</v>
      </c>
      <c r="S341" s="57">
        <f t="shared" si="69"/>
        <v>0</v>
      </c>
      <c r="T341" s="57">
        <f t="shared" si="69"/>
        <v>0</v>
      </c>
      <c r="U341" s="57">
        <f t="shared" si="69"/>
        <v>0</v>
      </c>
      <c r="V341" s="62">
        <f t="shared" si="69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0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0</v>
      </c>
      <c r="R344" s="57">
        <f t="shared" si="69"/>
        <v>0</v>
      </c>
      <c r="S344" s="57">
        <f t="shared" si="69"/>
        <v>0</v>
      </c>
      <c r="T344" s="57">
        <f t="shared" si="69"/>
        <v>0</v>
      </c>
      <c r="U344" s="57">
        <f t="shared" si="69"/>
        <v>0</v>
      </c>
      <c r="V344" s="62">
        <f t="shared" si="69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0</v>
      </c>
      <c r="R351" s="37">
        <f t="shared" si="71"/>
        <v>0</v>
      </c>
      <c r="S351" s="37">
        <f t="shared" si="71"/>
        <v>0</v>
      </c>
      <c r="T351" s="37">
        <f t="shared" si="71"/>
        <v>0</v>
      </c>
      <c r="U351" s="37">
        <f t="shared" si="71"/>
        <v>0</v>
      </c>
      <c r="V351" s="64">
        <f t="shared" si="7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306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2">IFERROR(SUMPRODUCT($AM$53:$AM$67,Q$53:Q$67)/SUM(Q$53:Q$67)*Q$69,0)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3">IFERROR(SUMPRODUCT($AN$53:$AN$67,Q$53:Q$67)/SUM(Q$53:Q$67)*Q$69,0)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4">IFERROR(SUMPRODUCT($AO$53:$AO$67,Q$53:Q$67)/SUM(Q$53:Q$67)*Q$69,0)</f>
        <v>0</v>
      </c>
      <c r="R364" s="57">
        <f t="shared" si="74"/>
        <v>0</v>
      </c>
      <c r="S364" s="57">
        <f t="shared" si="74"/>
        <v>0</v>
      </c>
      <c r="T364" s="57">
        <f t="shared" si="74"/>
        <v>0</v>
      </c>
      <c r="U364" s="57">
        <f t="shared" si="74"/>
        <v>0</v>
      </c>
      <c r="V364" s="62">
        <f t="shared" si="74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5">IFERROR(SUMPRODUCT($AP$53:$AP$67,Q$53:Q$67)/SUM(Q$53:Q$67)*Q$69,0)</f>
        <v>0</v>
      </c>
      <c r="R365" s="57">
        <f t="shared" si="75"/>
        <v>0</v>
      </c>
      <c r="S365" s="57">
        <f t="shared" si="75"/>
        <v>0</v>
      </c>
      <c r="T365" s="57">
        <f t="shared" si="75"/>
        <v>0</v>
      </c>
      <c r="U365" s="57">
        <f t="shared" si="75"/>
        <v>0</v>
      </c>
      <c r="V365" s="62">
        <f t="shared" si="75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6">IFERROR(SUMPRODUCT($AQ$53:$AQ$67,Q$53:Q$67)/SUM(Q$53:Q$67)*Q$69,0)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77">IFERROR(SUMPRODUCT($AR$53:$AR$67,Q$53:Q$67)/SUM(Q$53:Q$67)*Q$69,0)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78">IFERROR(SUMPRODUCT($AS$53:$AS$67,Q$53:Q$67)/SUM(Q$53:Q$67)*Q$69,0)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79">IFERROR(SUMPRODUCT($AT$53:$AT$67,Q$53:Q$67)/SUM(Q$53:Q$67)*Q$69,0)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0">IFERROR(SUMPRODUCT($AU$53:$AU$67,Q$53:Q$67)/SUM(Q$53:Q$67)*Q$69,0)</f>
        <v>539771.78354504344</v>
      </c>
      <c r="R370" s="57">
        <f t="shared" si="80"/>
        <v>0</v>
      </c>
      <c r="S370" s="57">
        <f t="shared" si="80"/>
        <v>0</v>
      </c>
      <c r="T370" s="57">
        <f t="shared" si="80"/>
        <v>0</v>
      </c>
      <c r="U370" s="57">
        <f t="shared" si="80"/>
        <v>0</v>
      </c>
      <c r="V370" s="62">
        <f t="shared" si="80"/>
        <v>0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1">IFERROR(SUMPRODUCT($AV$53:$AV$67,Q$53:Q$67)/SUM(Q$53:Q$67)*Q$69,0)</f>
        <v>0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2">IFERROR(SUMPRODUCT($AW$53:$AW$67,Q$53:Q$67)/SUM(Q$53:Q$67)*Q$69,0)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3">Q218</f>
        <v>0</v>
      </c>
      <c r="R373" s="57">
        <f t="shared" si="83"/>
        <v>0</v>
      </c>
      <c r="S373" s="57">
        <f t="shared" si="83"/>
        <v>0</v>
      </c>
      <c r="T373" s="57">
        <f t="shared" si="83"/>
        <v>0</v>
      </c>
      <c r="U373" s="57">
        <f t="shared" si="83"/>
        <v>0</v>
      </c>
      <c r="V373" s="62">
        <f t="shared" si="83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4">Q232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5">SUM(Q362:Q372)*Q188</f>
        <v>40397.436315186722</v>
      </c>
      <c r="R375" s="57">
        <f t="shared" si="85"/>
        <v>0</v>
      </c>
      <c r="S375" s="57">
        <f t="shared" si="85"/>
        <v>0</v>
      </c>
      <c r="T375" s="57">
        <f t="shared" si="85"/>
        <v>0</v>
      </c>
      <c r="U375" s="57">
        <f t="shared" si="85"/>
        <v>0</v>
      </c>
      <c r="V375" s="62">
        <f t="shared" si="85"/>
        <v>0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580169.21986023011</v>
      </c>
      <c r="R377" s="37">
        <f t="shared" si="86"/>
        <v>0</v>
      </c>
      <c r="S377" s="37">
        <f t="shared" si="86"/>
        <v>0</v>
      </c>
      <c r="T377" s="37">
        <f t="shared" si="86"/>
        <v>0</v>
      </c>
      <c r="U377" s="37">
        <f t="shared" si="86"/>
        <v>0</v>
      </c>
      <c r="V377" s="64">
        <f t="shared" si="86"/>
        <v>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306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87">IFERROR(SUMPRODUCT($BB$53:$BB$67,Q$53:Q$67)/SUM(Q$53:Q$67)*Q$69*(1+Q$188),0)</f>
        <v>0</v>
      </c>
      <c r="R388" s="57">
        <f t="shared" si="87"/>
        <v>0</v>
      </c>
      <c r="S388" s="57">
        <f t="shared" si="87"/>
        <v>0</v>
      </c>
      <c r="T388" s="57">
        <f t="shared" si="87"/>
        <v>0</v>
      </c>
      <c r="U388" s="57">
        <f t="shared" si="87"/>
        <v>0</v>
      </c>
      <c r="V388" s="57">
        <f t="shared" si="87"/>
        <v>0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88">IFERROR(SUMPRODUCT($BC$53:$BC$67,Q$53:Q$67)/SUM(Q$53:Q$67)*Q$69*(1+Q$188),0)</f>
        <v>0</v>
      </c>
      <c r="R389" s="57">
        <f t="shared" si="88"/>
        <v>0</v>
      </c>
      <c r="S389" s="57">
        <f t="shared" si="88"/>
        <v>0</v>
      </c>
      <c r="T389" s="57">
        <f t="shared" si="88"/>
        <v>0</v>
      </c>
      <c r="U389" s="57">
        <f t="shared" si="88"/>
        <v>0</v>
      </c>
      <c r="V389" s="57">
        <f t="shared" si="88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89">IFERROR(SUMPRODUCT($BD$53:$BD$67,Q$53:Q$67)/SUM(Q$53:Q$67)*Q$69*(1+Q$188),0)</f>
        <v>0</v>
      </c>
      <c r="R390" s="57">
        <f t="shared" si="89"/>
        <v>0</v>
      </c>
      <c r="S390" s="57">
        <f t="shared" si="89"/>
        <v>0</v>
      </c>
      <c r="T390" s="57">
        <f t="shared" si="89"/>
        <v>0</v>
      </c>
      <c r="U390" s="57">
        <f t="shared" si="89"/>
        <v>0</v>
      </c>
      <c r="V390" s="57">
        <f t="shared" si="89"/>
        <v>0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0">IFERROR(SUMPRODUCT($BE$53:$BE$67,Q$53:Q$67)/SUM(Q$53:Q$67)*Q$69*(1+Q$188),0)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57">
        <f t="shared" si="90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1">IFERROR(SUMPRODUCT($BF$53:$BF$67,Q$53:Q$67)/SUM(Q$53:Q$67)*Q$69*(1+Q$188),0)</f>
        <v>580169.21986023022</v>
      </c>
      <c r="R392" s="57">
        <f t="shared" si="91"/>
        <v>0</v>
      </c>
      <c r="S392" s="57">
        <f t="shared" si="91"/>
        <v>0</v>
      </c>
      <c r="T392" s="57">
        <f t="shared" si="91"/>
        <v>0</v>
      </c>
      <c r="U392" s="57">
        <f t="shared" si="91"/>
        <v>0</v>
      </c>
      <c r="V392" s="57">
        <f t="shared" si="91"/>
        <v>0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2">IFERROR(SUMPRODUCT($BG$53:$BG$67,Q$53:Q$67)/SUM(Q$53:Q$67)*Q$69*(1+Q$188),0)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57">
        <f t="shared" si="92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3">IFERROR(SUMPRODUCT($BH$53:$BH$67,Q$53:Q$67)/SUM(Q$53:Q$67)*Q$69*(1+Q$188),0)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57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580169.21986023022</v>
      </c>
      <c r="R396" s="37">
        <f t="shared" si="94"/>
        <v>0</v>
      </c>
      <c r="S396" s="37">
        <f t="shared" si="94"/>
        <v>0</v>
      </c>
      <c r="T396" s="37">
        <f t="shared" si="94"/>
        <v>0</v>
      </c>
      <c r="U396" s="37">
        <f t="shared" si="94"/>
        <v>0</v>
      </c>
      <c r="V396" s="64">
        <f t="shared" si="94"/>
        <v>0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48">
    <mergeCell ref="H28:L28"/>
    <mergeCell ref="M28:Q28"/>
    <mergeCell ref="R28:V28"/>
    <mergeCell ref="H50:L50"/>
    <mergeCell ref="M50:Q50"/>
    <mergeCell ref="R50:V50"/>
    <mergeCell ref="H74:L74"/>
    <mergeCell ref="M74:Q74"/>
    <mergeCell ref="R74:V74"/>
    <mergeCell ref="H97:L97"/>
    <mergeCell ref="M97:Q97"/>
    <mergeCell ref="R97:V97"/>
    <mergeCell ref="H120:L120"/>
    <mergeCell ref="M120:Q120"/>
    <mergeCell ref="R120:V120"/>
    <mergeCell ref="H143:L143"/>
    <mergeCell ref="M143:Q143"/>
    <mergeCell ref="R143:V143"/>
    <mergeCell ref="H166:L166"/>
    <mergeCell ref="M166:Q166"/>
    <mergeCell ref="R166:V166"/>
    <mergeCell ref="H196:L196"/>
    <mergeCell ref="M196:Q196"/>
    <mergeCell ref="R196:V196"/>
    <mergeCell ref="H222:L222"/>
    <mergeCell ref="M222:Q222"/>
    <mergeCell ref="R222:V222"/>
    <mergeCell ref="H236:L236"/>
    <mergeCell ref="M236:Q236"/>
    <mergeCell ref="R236:V23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36:L336"/>
    <mergeCell ref="M336:Q336"/>
    <mergeCell ref="R336:V336"/>
    <mergeCell ref="H359:L359"/>
    <mergeCell ref="M359:Q359"/>
    <mergeCell ref="R359:V359"/>
    <mergeCell ref="H385:L385"/>
    <mergeCell ref="M385:Q385"/>
    <mergeCell ref="R385:V385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F0"/>
  </sheetPr>
  <dimension ref="A1:BI401"/>
  <sheetViews>
    <sheetView topLeftCell="C28" workbookViewId="0">
      <selection activeCell="Q53" sqref="Q53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16" width="15" style="4" customWidth="1"/>
    <col min="17" max="22" width="12.28515625" style="4" customWidth="1"/>
    <col min="23" max="23" width="11.85546875" style="4" customWidth="1"/>
    <col min="24" max="24" width="13" style="4" customWidth="1"/>
    <col min="25" max="16384" width="9.140625" style="4"/>
  </cols>
  <sheetData>
    <row r="1" spans="1:14" s="3" customFormat="1">
      <c r="A1" s="2" t="s">
        <v>2</v>
      </c>
    </row>
    <row r="2" spans="1:14" s="1" customFormat="1">
      <c r="A2" s="3" t="s">
        <v>224</v>
      </c>
    </row>
    <row r="3" spans="1:14" s="1" customFormat="1">
      <c r="A3" s="3" t="s">
        <v>95</v>
      </c>
    </row>
    <row r="4" spans="1:14" s="1" customFormat="1">
      <c r="A4" s="22" t="s">
        <v>43</v>
      </c>
    </row>
    <row r="6" spans="1:14" s="1" customFormat="1">
      <c r="A6" s="2">
        <v>2</v>
      </c>
      <c r="B6" s="2" t="s">
        <v>45</v>
      </c>
    </row>
    <row r="9" spans="1:14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  <c r="I9" s="94"/>
      <c r="J9" s="94"/>
      <c r="K9" s="94"/>
      <c r="L9" s="94"/>
      <c r="M9" s="94"/>
      <c r="N9" s="94"/>
    </row>
    <row r="10" spans="1:14">
      <c r="B10" s="8" t="s">
        <v>158</v>
      </c>
      <c r="D10" s="10">
        <v>0.93922393641888735</v>
      </c>
      <c r="E10" s="10">
        <v>0</v>
      </c>
      <c r="F10" s="26">
        <f>D10+E10</f>
        <v>0.93922393641888735</v>
      </c>
      <c r="G10" s="26">
        <f>1-F10</f>
        <v>6.0776063581112649E-2</v>
      </c>
      <c r="I10" s="95"/>
      <c r="J10" s="95"/>
      <c r="K10" s="95"/>
      <c r="L10" s="95"/>
      <c r="M10" s="94"/>
      <c r="N10" s="94"/>
    </row>
    <row r="11" spans="1:14">
      <c r="B11" s="8" t="s">
        <v>159</v>
      </c>
      <c r="D11" s="10">
        <v>0.60620081231495937</v>
      </c>
      <c r="E11" s="10">
        <v>0</v>
      </c>
      <c r="F11" s="26">
        <f t="shared" ref="F11:F18" si="0">D11+E11</f>
        <v>0.60620081231495937</v>
      </c>
      <c r="G11" s="26">
        <f t="shared" ref="G11:G18" si="1">1-F11</f>
        <v>0.39379918768504063</v>
      </c>
      <c r="I11" s="95"/>
      <c r="J11" s="94"/>
      <c r="K11" s="94"/>
      <c r="L11" s="94"/>
      <c r="M11" s="94"/>
      <c r="N11" s="94"/>
    </row>
    <row r="12" spans="1:14">
      <c r="B12" s="8" t="s">
        <v>160</v>
      </c>
      <c r="D12" s="10">
        <v>0.1468914657026506</v>
      </c>
      <c r="E12" s="10">
        <v>0.10544759940723628</v>
      </c>
      <c r="F12" s="26">
        <f t="shared" si="0"/>
        <v>0.25233906510988691</v>
      </c>
      <c r="G12" s="26">
        <f t="shared" si="1"/>
        <v>0.74766093489011309</v>
      </c>
      <c r="I12" s="95"/>
      <c r="J12" s="94"/>
      <c r="K12" s="94"/>
      <c r="L12" s="94"/>
      <c r="M12" s="94"/>
      <c r="N12" s="94"/>
    </row>
    <row r="13" spans="1:14">
      <c r="B13" s="8" t="s">
        <v>161</v>
      </c>
      <c r="D13" s="10">
        <v>0.35821323374404562</v>
      </c>
      <c r="E13" s="10">
        <v>2.664476633569874E-2</v>
      </c>
      <c r="F13" s="26">
        <f t="shared" si="0"/>
        <v>0.38485800007974436</v>
      </c>
      <c r="G13" s="26">
        <f t="shared" si="1"/>
        <v>0.61514199992025564</v>
      </c>
      <c r="I13" s="95"/>
      <c r="J13" s="94"/>
      <c r="K13" s="94"/>
      <c r="L13" s="94"/>
      <c r="M13" s="94"/>
      <c r="N13" s="94"/>
    </row>
    <row r="14" spans="1:14">
      <c r="B14" s="8" t="s">
        <v>162</v>
      </c>
      <c r="D14" s="10">
        <v>0.8154094586874554</v>
      </c>
      <c r="E14" s="10">
        <v>1.7418499003500107E-2</v>
      </c>
      <c r="F14" s="26">
        <f t="shared" si="0"/>
        <v>0.83282795769095552</v>
      </c>
      <c r="G14" s="26">
        <f t="shared" si="1"/>
        <v>0.16717204230904448</v>
      </c>
      <c r="I14" s="95"/>
      <c r="J14" s="94"/>
      <c r="K14" s="94"/>
      <c r="L14" s="94"/>
      <c r="M14" s="94"/>
      <c r="N14" s="94"/>
    </row>
    <row r="15" spans="1:14">
      <c r="B15" s="8" t="s">
        <v>163</v>
      </c>
      <c r="D15" s="10">
        <v>0</v>
      </c>
      <c r="E15" s="10">
        <v>0</v>
      </c>
      <c r="F15" s="26">
        <f t="shared" si="0"/>
        <v>0</v>
      </c>
      <c r="G15" s="26">
        <f t="shared" si="1"/>
        <v>1</v>
      </c>
      <c r="I15" s="95"/>
      <c r="J15" s="94"/>
      <c r="K15" s="94"/>
      <c r="L15" s="94"/>
      <c r="M15" s="94"/>
      <c r="N15" s="94"/>
    </row>
    <row r="16" spans="1:14">
      <c r="B16" s="8" t="s">
        <v>164</v>
      </c>
      <c r="D16" s="10">
        <v>0.46799642266663039</v>
      </c>
      <c r="E16" s="10">
        <v>3.0005144682107195E-3</v>
      </c>
      <c r="F16" s="26">
        <f t="shared" si="0"/>
        <v>0.47099693713484109</v>
      </c>
      <c r="G16" s="26">
        <f t="shared" si="1"/>
        <v>0.52900306286515897</v>
      </c>
      <c r="I16" s="95"/>
      <c r="J16" s="94"/>
      <c r="K16" s="94"/>
      <c r="L16" s="94"/>
      <c r="M16" s="94"/>
      <c r="N16" s="94"/>
    </row>
    <row r="17" spans="1:24">
      <c r="B17" s="8" t="s">
        <v>165</v>
      </c>
      <c r="D17" s="10">
        <v>0.17629565439807088</v>
      </c>
      <c r="E17" s="10">
        <v>0.11804507972800612</v>
      </c>
      <c r="F17" s="26">
        <f t="shared" si="0"/>
        <v>0.29434073412607697</v>
      </c>
      <c r="G17" s="26">
        <f t="shared" si="1"/>
        <v>0.70565926587392303</v>
      </c>
      <c r="I17" s="95"/>
      <c r="J17" s="94"/>
      <c r="K17" s="94"/>
      <c r="L17" s="94"/>
      <c r="M17" s="94"/>
      <c r="N17" s="94"/>
    </row>
    <row r="18" spans="1:24">
      <c r="B18" s="8" t="s">
        <v>414</v>
      </c>
      <c r="D18" s="10">
        <v>0.2</v>
      </c>
      <c r="E18" s="10">
        <v>0.1</v>
      </c>
      <c r="F18" s="26">
        <f t="shared" si="0"/>
        <v>0.30000000000000004</v>
      </c>
      <c r="G18" s="26">
        <f t="shared" si="1"/>
        <v>0.7</v>
      </c>
      <c r="I18" s="94"/>
      <c r="J18" s="94"/>
      <c r="K18" s="94"/>
      <c r="L18" s="94"/>
      <c r="M18" s="94"/>
      <c r="N18" s="94"/>
    </row>
    <row r="19" spans="1:24">
      <c r="B19" s="8"/>
      <c r="D19" s="10"/>
      <c r="E19" s="10"/>
      <c r="F19" s="27"/>
      <c r="G19" s="27"/>
      <c r="I19" s="94"/>
      <c r="J19" s="94"/>
      <c r="K19" s="94"/>
      <c r="L19" s="94"/>
      <c r="M19" s="94"/>
      <c r="N19" s="94"/>
    </row>
    <row r="20" spans="1:24">
      <c r="B20" s="8"/>
      <c r="D20" s="10"/>
      <c r="E20" s="10"/>
      <c r="F20" s="27"/>
      <c r="G20" s="27"/>
      <c r="I20" s="94"/>
      <c r="J20" s="94"/>
      <c r="K20" s="94"/>
      <c r="L20" s="94"/>
      <c r="M20" s="94"/>
      <c r="N20" s="94"/>
    </row>
    <row r="21" spans="1:24">
      <c r="B21" s="8"/>
      <c r="D21" s="10"/>
      <c r="E21" s="10"/>
      <c r="F21" s="27"/>
      <c r="G21" s="27"/>
      <c r="I21" s="94"/>
      <c r="J21" s="94"/>
      <c r="K21" s="94"/>
      <c r="L21" s="94"/>
      <c r="M21" s="94"/>
      <c r="N21" s="94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  <c r="P24" s="12"/>
      <c r="Q24" s="12"/>
      <c r="R24" s="12"/>
      <c r="S24" s="12"/>
      <c r="T24" s="12"/>
      <c r="U24" s="12"/>
      <c r="V24" s="12"/>
    </row>
    <row r="26" spans="1:24" s="1" customFormat="1">
      <c r="A26" s="2">
        <v>3</v>
      </c>
      <c r="B26" s="2" t="s">
        <v>203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90" t="s">
        <v>52</v>
      </c>
      <c r="I28" s="190"/>
      <c r="J28" s="190"/>
      <c r="K28" s="190"/>
      <c r="L28" s="190"/>
      <c r="M28" s="190" t="s">
        <v>53</v>
      </c>
      <c r="N28" s="190"/>
      <c r="O28" s="190"/>
      <c r="P28" s="190"/>
      <c r="Q28" s="190"/>
      <c r="R28" s="190" t="s">
        <v>54</v>
      </c>
      <c r="S28" s="190"/>
      <c r="T28" s="190"/>
      <c r="U28" s="190"/>
      <c r="V28" s="190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>IF(B10&lt;&gt;"",B10,"[blank]")</f>
        <v>Corporate</v>
      </c>
      <c r="D31" s="31" t="s">
        <v>60</v>
      </c>
      <c r="E31" s="31"/>
      <c r="P31" s="107"/>
      <c r="Q31" s="33">
        <f>'AMP inputs'!U63*'General assumptions'!$S$21</f>
        <v>1679778.8680206907</v>
      </c>
      <c r="R31" s="33">
        <f>'AMP inputs'!V63*'General assumptions'!$S$21</f>
        <v>1041238.1948175834</v>
      </c>
      <c r="S31" s="33">
        <f>'AMP inputs'!W63*'General assumptions'!$S$21</f>
        <v>865448.97417882131</v>
      </c>
      <c r="T31" s="33">
        <f>'AMP inputs'!X63*'General assumptions'!$S$21</f>
        <v>230931.52353386834</v>
      </c>
      <c r="U31" s="33">
        <f>'AMP inputs'!Y63*'General assumptions'!$S$21</f>
        <v>131052.76882295321</v>
      </c>
      <c r="V31" s="33">
        <f>'AMP inputs'!Z63*'General assumptions'!$S$21</f>
        <v>111569.01000292943</v>
      </c>
      <c r="W31" s="45"/>
      <c r="X31" s="20"/>
    </row>
    <row r="32" spans="1:24">
      <c r="B32" s="4" t="str">
        <f t="shared" ref="B32:B45" si="2">IF(B11&lt;&gt;"",B11,"[blank]")</f>
        <v>Information Management</v>
      </c>
      <c r="D32" s="31" t="s">
        <v>60</v>
      </c>
      <c r="E32" s="31"/>
      <c r="P32" s="107"/>
      <c r="Q32" s="33">
        <f>'AMP inputs'!U64*'General assumptions'!$S$21</f>
        <v>1916518.7182727603</v>
      </c>
      <c r="R32" s="33">
        <f>'AMP inputs'!V64*'General assumptions'!$S$21</f>
        <v>1305541.697530221</v>
      </c>
      <c r="S32" s="33">
        <f>'AMP inputs'!W64*'General assumptions'!$S$21</f>
        <v>2663882.2251302111</v>
      </c>
      <c r="T32" s="33">
        <f>'AMP inputs'!X64*'General assumptions'!$S$21</f>
        <v>1613795.3377372632</v>
      </c>
      <c r="U32" s="33">
        <f>'AMP inputs'!Y64*'General assumptions'!$S$21</f>
        <v>1702262.7407760245</v>
      </c>
      <c r="V32" s="33">
        <f>'AMP inputs'!Z64*'General assumptions'!$S$21</f>
        <v>1699768.2925944855</v>
      </c>
      <c r="W32" s="45"/>
      <c r="X32" s="20"/>
    </row>
    <row r="33" spans="1:24">
      <c r="B33" s="4" t="str">
        <f t="shared" si="2"/>
        <v>Information Security</v>
      </c>
      <c r="D33" s="31" t="s">
        <v>60</v>
      </c>
      <c r="P33" s="107"/>
      <c r="Q33" s="33">
        <f>'AMP inputs'!U65*'General assumptions'!$S$21</f>
        <v>1277337.3979320752</v>
      </c>
      <c r="R33" s="33">
        <f>'AMP inputs'!V65*'General assumptions'!$S$21</f>
        <v>854369.44105940592</v>
      </c>
      <c r="S33" s="33">
        <f>'AMP inputs'!W65*'General assumptions'!$S$21</f>
        <v>732179.90917138534</v>
      </c>
      <c r="T33" s="33">
        <f>'AMP inputs'!X65*'General assumptions'!$S$21</f>
        <v>1389721.2505866217</v>
      </c>
      <c r="U33" s="33">
        <f>'AMP inputs'!Y65*'General assumptions'!$S$21</f>
        <v>1283396.0852632017</v>
      </c>
      <c r="V33" s="33">
        <f>'AMP inputs'!Z65*'General assumptions'!$S$21</f>
        <v>292964.43160573795</v>
      </c>
      <c r="W33" s="45"/>
      <c r="X33" s="20"/>
    </row>
    <row r="34" spans="1:24">
      <c r="B34" s="4" t="str">
        <f t="shared" si="2"/>
        <v>Network Management</v>
      </c>
      <c r="D34" s="31" t="s">
        <v>60</v>
      </c>
      <c r="P34" s="107"/>
      <c r="Q34" s="33">
        <f>'AMP inputs'!U66*'General assumptions'!$S$21</f>
        <v>1263789.4732702561</v>
      </c>
      <c r="R34" s="33">
        <f>'AMP inputs'!V66*'General assumptions'!$S$21</f>
        <v>1806824.2316461662</v>
      </c>
      <c r="S34" s="33">
        <f>'AMP inputs'!W66*'General assumptions'!$S$21</f>
        <v>565321.46740795672</v>
      </c>
      <c r="T34" s="33">
        <f>'AMP inputs'!X66*'General assumptions'!$S$21</f>
        <v>3353.7968167748786</v>
      </c>
      <c r="U34" s="33">
        <f>'AMP inputs'!Y66*'General assumptions'!$S$21</f>
        <v>3353.7968167748786</v>
      </c>
      <c r="V34" s="33">
        <f>'AMP inputs'!Z66*'General assumptions'!$S$21</f>
        <v>20122.780900649272</v>
      </c>
      <c r="W34" s="45"/>
      <c r="X34" s="20"/>
    </row>
    <row r="35" spans="1:24">
      <c r="B35" s="4" t="str">
        <f t="shared" si="2"/>
        <v>Works &amp; Asset Management</v>
      </c>
      <c r="D35" s="31" t="s">
        <v>60</v>
      </c>
      <c r="P35" s="107"/>
      <c r="Q35" s="33">
        <f>'AMP inputs'!U67*'General assumptions'!$S$21</f>
        <v>876226.98111959221</v>
      </c>
      <c r="R35" s="33">
        <f>'AMP inputs'!V67*'General assumptions'!$S$21</f>
        <v>206810.84781030822</v>
      </c>
      <c r="S35" s="33">
        <f>'AMP inputs'!W67*'General assumptions'!$S$21</f>
        <v>768030.18007870251</v>
      </c>
      <c r="T35" s="33">
        <f>'AMP inputs'!X67*'General assumptions'!$S$21</f>
        <v>2723635.7339292695</v>
      </c>
      <c r="U35" s="33">
        <f>'AMP inputs'!Y67*'General assumptions'!$S$21</f>
        <v>691923.78808450908</v>
      </c>
      <c r="V35" s="33">
        <f>'AMP inputs'!Z67*'General assumptions'!$S$21</f>
        <v>970922.50656207849</v>
      </c>
      <c r="W35" s="45"/>
    </row>
    <row r="36" spans="1:24">
      <c r="B36" s="4" t="str">
        <f t="shared" si="2"/>
        <v>EAM / ERP</v>
      </c>
      <c r="D36" s="31" t="s">
        <v>60</v>
      </c>
      <c r="P36" s="107"/>
      <c r="Q36" s="33">
        <f>'AMP inputs'!U68*'General assumptions'!$S$21</f>
        <v>98507.272246488908</v>
      </c>
      <c r="R36" s="33">
        <f>'AMP inputs'!V68*'General assumptions'!$S$21</f>
        <v>0</v>
      </c>
      <c r="S36" s="33">
        <f>'AMP inputs'!W68*'General assumptions'!$S$21</f>
        <v>0</v>
      </c>
      <c r="T36" s="33">
        <f>'AMP inputs'!X68*'General assumptions'!$S$21</f>
        <v>0</v>
      </c>
      <c r="U36" s="33">
        <f>'AMP inputs'!Y68*'General assumptions'!$S$21</f>
        <v>0</v>
      </c>
      <c r="V36" s="33">
        <f>'AMP inputs'!Z68*'General assumptions'!$S$21</f>
        <v>0</v>
      </c>
      <c r="W36" s="45"/>
    </row>
    <row r="37" spans="1:24">
      <c r="B37" s="4" t="str">
        <f t="shared" si="2"/>
        <v>Metering &amp; Customer Services</v>
      </c>
      <c r="D37" s="31" t="s">
        <v>60</v>
      </c>
      <c r="P37" s="107"/>
      <c r="Q37" s="33">
        <f>'AMP inputs'!U69*'General assumptions'!$S$21</f>
        <v>904732.66880424297</v>
      </c>
      <c r="R37" s="33">
        <f>'AMP inputs'!V69*'General assumptions'!$S$21</f>
        <v>1171092.7814424133</v>
      </c>
      <c r="S37" s="33">
        <f>'AMP inputs'!W69*'General assumptions'!$S$21</f>
        <v>2826419.0760698784</v>
      </c>
      <c r="T37" s="33">
        <f>'AMP inputs'!X69*'General assumptions'!$S$21</f>
        <v>1857433.7068077503</v>
      </c>
      <c r="U37" s="33">
        <f>'AMP inputs'!Y69*'General assumptions'!$S$21</f>
        <v>137053.93180054054</v>
      </c>
      <c r="V37" s="33">
        <f>'AMP inputs'!Z69*'General assumptions'!$S$21</f>
        <v>0</v>
      </c>
      <c r="W37" s="45"/>
    </row>
    <row r="38" spans="1:24">
      <c r="B38" s="4" t="str">
        <f t="shared" si="2"/>
        <v>Information Technology</v>
      </c>
      <c r="D38" s="31" t="s">
        <v>60</v>
      </c>
      <c r="P38" s="107"/>
      <c r="Q38" s="33">
        <f>'AMP inputs'!U70*'General assumptions'!$S$21</f>
        <v>4252700.704201418</v>
      </c>
      <c r="R38" s="33">
        <f>'AMP inputs'!V70*'General assumptions'!$S$21</f>
        <v>6929542.459878956</v>
      </c>
      <c r="S38" s="33">
        <f>'AMP inputs'!W70*'General assumptions'!$S$21</f>
        <v>6029778.0245910361</v>
      </c>
      <c r="T38" s="33">
        <f>'AMP inputs'!X70*'General assumptions'!$S$21</f>
        <v>3967448.7323675426</v>
      </c>
      <c r="U38" s="33">
        <f>'AMP inputs'!Y70*'General assumptions'!$S$21</f>
        <v>5258375.4409629423</v>
      </c>
      <c r="V38" s="33">
        <f>'AMP inputs'!Z70*'General assumptions'!$S$21</f>
        <v>3088537.8440388385</v>
      </c>
      <c r="W38" s="45"/>
    </row>
    <row r="39" spans="1:24">
      <c r="B39" s="4" t="str">
        <f t="shared" si="2"/>
        <v>Comms</v>
      </c>
      <c r="D39" s="31" t="s">
        <v>60</v>
      </c>
      <c r="Q39" s="33">
        <f>'AMP inputs'!U71*'General assumptions'!$S$21</f>
        <v>332346.58739994583</v>
      </c>
      <c r="R39" s="33"/>
      <c r="S39" s="33"/>
      <c r="T39" s="33"/>
      <c r="U39" s="33"/>
      <c r="V39" s="33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8" spans="1:24" s="1" customFormat="1">
      <c r="A48" s="2">
        <v>4</v>
      </c>
      <c r="B48" s="2" t="s">
        <v>61</v>
      </c>
    </row>
    <row r="49" spans="2:61">
      <c r="Z49" s="5" t="s">
        <v>73</v>
      </c>
      <c r="AM49" s="5" t="s">
        <v>110</v>
      </c>
      <c r="BB49" s="5" t="s">
        <v>133</v>
      </c>
    </row>
    <row r="50" spans="2:61">
      <c r="H50" s="190" t="s">
        <v>52</v>
      </c>
      <c r="I50" s="190"/>
      <c r="J50" s="190"/>
      <c r="K50" s="190"/>
      <c r="L50" s="190"/>
      <c r="M50" s="190" t="s">
        <v>53</v>
      </c>
      <c r="N50" s="190"/>
      <c r="O50" s="190"/>
      <c r="P50" s="190"/>
      <c r="Q50" s="190"/>
      <c r="R50" s="190" t="s">
        <v>54</v>
      </c>
      <c r="S50" s="190"/>
      <c r="T50" s="190"/>
      <c r="U50" s="190"/>
      <c r="V50" s="190"/>
      <c r="X50" s="38"/>
      <c r="Z50" s="39" t="s">
        <v>69</v>
      </c>
      <c r="AA50" s="39" t="s">
        <v>70</v>
      </c>
      <c r="AB50" s="39" t="s">
        <v>71</v>
      </c>
      <c r="AC50" s="39" t="s">
        <v>72</v>
      </c>
      <c r="AD50" s="39" t="s">
        <v>64</v>
      </c>
      <c r="AE50" s="39" t="s">
        <v>65</v>
      </c>
      <c r="AF50" s="39" t="s">
        <v>66</v>
      </c>
      <c r="AG50" s="39" t="s">
        <v>107</v>
      </c>
      <c r="AH50" s="39" t="s">
        <v>67</v>
      </c>
      <c r="AI50" s="39" t="s">
        <v>68</v>
      </c>
      <c r="AJ50" s="39" t="s">
        <v>108</v>
      </c>
      <c r="AM50" s="39" t="s">
        <v>111</v>
      </c>
      <c r="AN50" s="39" t="s">
        <v>112</v>
      </c>
      <c r="AO50" s="39" t="s">
        <v>113</v>
      </c>
      <c r="AP50" s="39" t="s">
        <v>114</v>
      </c>
      <c r="AQ50" s="39" t="s">
        <v>115</v>
      </c>
      <c r="AR50" s="39" t="s">
        <v>36</v>
      </c>
      <c r="AS50" s="39" t="s">
        <v>116</v>
      </c>
      <c r="AT50" s="39" t="s">
        <v>35</v>
      </c>
      <c r="AU50" s="39" t="s">
        <v>117</v>
      </c>
      <c r="AV50" s="39" t="s">
        <v>118</v>
      </c>
      <c r="AW50" s="39" t="s">
        <v>119</v>
      </c>
      <c r="AX50" s="39" t="s">
        <v>74</v>
      </c>
      <c r="AY50" s="39" t="s">
        <v>75</v>
      </c>
      <c r="BB50" s="39" t="s">
        <v>134</v>
      </c>
      <c r="BC50" s="39" t="s">
        <v>135</v>
      </c>
      <c r="BD50" s="39" t="s">
        <v>136</v>
      </c>
      <c r="BE50" s="39" t="s">
        <v>107</v>
      </c>
      <c r="BF50" s="39" t="s">
        <v>137</v>
      </c>
      <c r="BG50" s="39" t="s">
        <v>138</v>
      </c>
      <c r="BH50" s="39" t="s">
        <v>108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63</v>
      </c>
    </row>
    <row r="52" spans="2:61">
      <c r="B52" s="5" t="s">
        <v>46</v>
      </c>
      <c r="D52" s="29" t="s">
        <v>55</v>
      </c>
      <c r="H52" s="16" t="s">
        <v>12</v>
      </c>
      <c r="I52" s="16" t="s">
        <v>12</v>
      </c>
      <c r="J52" s="16" t="s">
        <v>12</v>
      </c>
      <c r="K52" s="16" t="s">
        <v>12</v>
      </c>
      <c r="L52" s="16" t="s">
        <v>12</v>
      </c>
      <c r="M52" s="16" t="s">
        <v>12</v>
      </c>
      <c r="N52" s="16" t="s">
        <v>12</v>
      </c>
      <c r="O52" s="16" t="s">
        <v>12</v>
      </c>
      <c r="P52" s="16" t="s">
        <v>13</v>
      </c>
      <c r="Q52" s="16" t="s">
        <v>13</v>
      </c>
      <c r="R52" s="16" t="s">
        <v>13</v>
      </c>
      <c r="S52" s="16" t="s">
        <v>13</v>
      </c>
      <c r="T52" s="16" t="s">
        <v>13</v>
      </c>
      <c r="U52" s="16" t="s">
        <v>13</v>
      </c>
      <c r="V52" s="16" t="s">
        <v>13</v>
      </c>
      <c r="X52" s="34" t="s">
        <v>13</v>
      </c>
    </row>
    <row r="53" spans="2:61">
      <c r="B53" s="4" t="str">
        <f t="shared" ref="B53:B67" si="3">IF(B10&lt;&gt;"",B10,"[blank]")</f>
        <v>Corporate</v>
      </c>
      <c r="D53" s="31" t="s">
        <v>60</v>
      </c>
      <c r="O53" s="35"/>
      <c r="P53" s="35"/>
      <c r="Q53" s="175">
        <f>Q31*($D10*'General assumptions'!T$35+$E10*'General assumptions'!T$36+$G10*'General assumptions'!T$42)*0.5</f>
        <v>842087.10007837741</v>
      </c>
      <c r="R53" s="35">
        <f>R31*($D10*'General assumptions'!U$35+$E10*'General assumptions'!U$36+$G10*'General assumptions'!U$42)</f>
        <v>1051856.7773854469</v>
      </c>
      <c r="S53" s="35">
        <f>S31*($D10*'General assumptions'!V$35+$E10*'General assumptions'!V$36+$G10*'General assumptions'!V$42)</f>
        <v>881818.80960542255</v>
      </c>
      <c r="T53" s="35">
        <f>T31*($D10*'General assumptions'!W$35+$E10*'General assumptions'!W$36+$G10*'General assumptions'!W$42)</f>
        <v>237801.21611867385</v>
      </c>
      <c r="U53" s="35">
        <f>U31*($D10*'General assumptions'!X$35+$E10*'General assumptions'!X$36+$G10*'General assumptions'!X$42)</f>
        <v>136706.75719295893</v>
      </c>
      <c r="V53" s="35">
        <f>V31*($D10*'General assumptions'!Y$35+$E10*'General assumptions'!Y$36+$G10*'General assumptions'!Y$42)</f>
        <v>118070.75062646023</v>
      </c>
      <c r="X53" s="40">
        <f>SUM(R53:V53)</f>
        <v>2426254.3109289627</v>
      </c>
      <c r="Z53" s="10"/>
      <c r="AA53" s="10"/>
      <c r="AB53" s="10"/>
      <c r="AC53" s="10"/>
      <c r="AD53" s="10"/>
      <c r="AE53" s="10"/>
      <c r="AF53" s="10"/>
      <c r="AG53" s="10"/>
      <c r="AH53" s="10">
        <v>1</v>
      </c>
      <c r="AI53" s="10"/>
      <c r="AJ53" s="10"/>
      <c r="AK53" s="41">
        <f t="shared" ref="AK53:AK67" si="4">SUM(Z53:AI53)</f>
        <v>1</v>
      </c>
      <c r="AM53" s="10"/>
      <c r="AN53" s="10"/>
      <c r="AO53" s="10"/>
      <c r="AP53" s="10"/>
      <c r="AQ53" s="10"/>
      <c r="AR53" s="10"/>
      <c r="AS53" s="10">
        <v>1</v>
      </c>
      <c r="AT53" s="10"/>
      <c r="AU53" s="10"/>
      <c r="AV53" s="10"/>
      <c r="AW53" s="10"/>
      <c r="AX53" s="10"/>
      <c r="AY53" s="10"/>
      <c r="AZ53" s="41">
        <f t="shared" ref="AZ53:AZ67" si="5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6">SUM(BB53:BH53)</f>
        <v>1</v>
      </c>
    </row>
    <row r="54" spans="2:61">
      <c r="B54" s="4" t="str">
        <f t="shared" si="3"/>
        <v>Information Management</v>
      </c>
      <c r="D54" s="31" t="s">
        <v>60</v>
      </c>
      <c r="O54" s="50"/>
      <c r="P54" s="35"/>
      <c r="Q54" s="175">
        <f>Q32*($D11*'General assumptions'!T$35+$E11*'General assumptions'!T$36+$G11*'General assumptions'!T$42)*0.5</f>
        <v>959877.70005976933</v>
      </c>
      <c r="R54" s="35">
        <f>R32*($D11*'General assumptions'!U$35+$E11*'General assumptions'!U$36+$G11*'General assumptions'!U$42)</f>
        <v>1314134.8905477012</v>
      </c>
      <c r="S54" s="35">
        <f>S32*($D11*'General assumptions'!V$35+$E11*'General assumptions'!V$36+$G11*'General assumptions'!V$42)</f>
        <v>2696403.3251881585</v>
      </c>
      <c r="T54" s="35">
        <f>T32*($D11*'General assumptions'!W$35+$E11*'General assumptions'!W$36+$G11*'General assumptions'!W$42)</f>
        <v>1644780.2235891442</v>
      </c>
      <c r="U54" s="35">
        <f>U32*($D11*'General assumptions'!X$35+$E11*'General assumptions'!X$36+$G11*'General assumptions'!X$42)</f>
        <v>1749663.2126456527</v>
      </c>
      <c r="V54" s="35">
        <f>V32*($D11*'General assumptions'!Y$35+$E11*'General assumptions'!Y$36+$G11*'General assumptions'!Y$42)</f>
        <v>1763701.0073418426</v>
      </c>
      <c r="X54" s="40">
        <f t="shared" ref="X54:X69" si="7">SUM(R54:V54)</f>
        <v>9168682.6593124997</v>
      </c>
      <c r="Z54" s="10"/>
      <c r="AA54" s="10"/>
      <c r="AB54" s="10"/>
      <c r="AC54" s="10"/>
      <c r="AD54" s="10"/>
      <c r="AE54" s="10"/>
      <c r="AF54" s="10"/>
      <c r="AG54" s="10"/>
      <c r="AH54" s="10">
        <v>1</v>
      </c>
      <c r="AI54" s="10"/>
      <c r="AJ54" s="10"/>
      <c r="AK54" s="41">
        <f t="shared" si="4"/>
        <v>1</v>
      </c>
      <c r="AM54" s="10"/>
      <c r="AN54" s="10"/>
      <c r="AO54" s="10"/>
      <c r="AP54" s="10"/>
      <c r="AQ54" s="10"/>
      <c r="AR54" s="10"/>
      <c r="AS54" s="10">
        <v>1</v>
      </c>
      <c r="AT54" s="10"/>
      <c r="AU54" s="10"/>
      <c r="AV54" s="10"/>
      <c r="AW54" s="10"/>
      <c r="AX54" s="10"/>
      <c r="AY54" s="10"/>
      <c r="AZ54" s="41">
        <f t="shared" si="5"/>
        <v>1</v>
      </c>
      <c r="BB54" s="10"/>
      <c r="BC54" s="10"/>
      <c r="BD54" s="10"/>
      <c r="BE54" s="10"/>
      <c r="BF54" s="10">
        <v>1</v>
      </c>
      <c r="BG54" s="10"/>
      <c r="BH54" s="10"/>
      <c r="BI54" s="41">
        <f t="shared" si="6"/>
        <v>1</v>
      </c>
    </row>
    <row r="55" spans="2:61">
      <c r="B55" s="4" t="str">
        <f t="shared" si="3"/>
        <v>Information Security</v>
      </c>
      <c r="D55" s="31" t="s">
        <v>60</v>
      </c>
      <c r="P55" s="35"/>
      <c r="Q55" s="175">
        <f>Q33*($D12*'General assumptions'!T$35+$E12*'General assumptions'!T$36+$G12*'General assumptions'!T$42)*0.5</f>
        <v>638879.82940576877</v>
      </c>
      <c r="R55" s="35">
        <f>R33*($D12*'General assumptions'!U$35+$E12*'General assumptions'!U$36+$G12*'General assumptions'!U$42)</f>
        <v>856325.13154517172</v>
      </c>
      <c r="S55" s="35">
        <f>S33*($D12*'General assumptions'!V$35+$E12*'General assumptions'!V$36+$G12*'General assumptions'!V$42)</f>
        <v>735568.48006439826</v>
      </c>
      <c r="T55" s="35">
        <f>T33*($D12*'General assumptions'!W$35+$E12*'General assumptions'!W$36+$G12*'General assumptions'!W$42)</f>
        <v>1400261.5454392107</v>
      </c>
      <c r="U55" s="35">
        <f>U33*($D12*'General assumptions'!X$35+$E12*'General assumptions'!X$36+$G12*'General assumptions'!X$42)</f>
        <v>1297963.3374139371</v>
      </c>
      <c r="V55" s="35">
        <f>V33*($D12*'General assumptions'!Y$35+$E12*'General assumptions'!Y$36+$G12*'General assumptions'!Y$42)</f>
        <v>297514.3852641104</v>
      </c>
      <c r="X55" s="40">
        <f t="shared" si="7"/>
        <v>4587632.8797268281</v>
      </c>
      <c r="Z55" s="10"/>
      <c r="AA55" s="10"/>
      <c r="AB55" s="10"/>
      <c r="AC55" s="10"/>
      <c r="AD55" s="10"/>
      <c r="AE55" s="10"/>
      <c r="AF55" s="10"/>
      <c r="AG55" s="10"/>
      <c r="AH55" s="10">
        <v>1</v>
      </c>
      <c r="AI55" s="10"/>
      <c r="AJ55" s="10"/>
      <c r="AK55" s="41">
        <f t="shared" si="4"/>
        <v>1</v>
      </c>
      <c r="AM55" s="10"/>
      <c r="AN55" s="10"/>
      <c r="AO55" s="10"/>
      <c r="AP55" s="10"/>
      <c r="AQ55" s="10"/>
      <c r="AR55" s="10"/>
      <c r="AS55" s="10">
        <v>1</v>
      </c>
      <c r="AT55" s="10"/>
      <c r="AU55" s="10"/>
      <c r="AV55" s="10"/>
      <c r="AW55" s="10"/>
      <c r="AX55" s="10"/>
      <c r="AY55" s="10"/>
      <c r="AZ55" s="41">
        <f t="shared" si="5"/>
        <v>1</v>
      </c>
      <c r="BB55" s="10"/>
      <c r="BC55" s="10"/>
      <c r="BD55" s="10"/>
      <c r="BE55" s="10"/>
      <c r="BF55" s="10">
        <v>1</v>
      </c>
      <c r="BG55" s="10"/>
      <c r="BH55" s="10"/>
      <c r="BI55" s="41">
        <f t="shared" si="6"/>
        <v>1</v>
      </c>
    </row>
    <row r="56" spans="2:61">
      <c r="B56" s="4" t="str">
        <f t="shared" si="3"/>
        <v>Network Management</v>
      </c>
      <c r="D56" s="31" t="s">
        <v>60</v>
      </c>
      <c r="P56" s="35"/>
      <c r="Q56" s="175">
        <f>Q34*($D13*'General assumptions'!T$35+$E13*'General assumptions'!T$36+$G13*'General assumptions'!T$42)*0.5</f>
        <v>632512.78270255646</v>
      </c>
      <c r="R56" s="35">
        <f>R34*($D13*'General assumptions'!U$35+$E13*'General assumptions'!U$36+$G13*'General assumptions'!U$42)</f>
        <v>1814168.6927900489</v>
      </c>
      <c r="S56" s="35">
        <f>S34*($D13*'General assumptions'!V$35+$E13*'General assumptions'!V$36+$G13*'General assumptions'!V$42)</f>
        <v>569638.22007316933</v>
      </c>
      <c r="T56" s="35">
        <f>T34*($D13*'General assumptions'!W$35+$E13*'General assumptions'!W$36+$G13*'General assumptions'!W$42)</f>
        <v>3394.3323016897275</v>
      </c>
      <c r="U56" s="35">
        <f>U34*($D13*'General assumptions'!X$35+$E13*'General assumptions'!X$36+$G13*'General assumptions'!X$42)</f>
        <v>3412.8823463268604</v>
      </c>
      <c r="V56" s="35">
        <f>V34*($D13*'General assumptions'!Y$35+$E13*'General assumptions'!Y$36+$G13*'General assumptions'!Y$42)</f>
        <v>20602.653521863067</v>
      </c>
      <c r="X56" s="40">
        <f t="shared" si="7"/>
        <v>2411216.7810330982</v>
      </c>
      <c r="Z56" s="10"/>
      <c r="AA56" s="10"/>
      <c r="AB56" s="10"/>
      <c r="AC56" s="10"/>
      <c r="AD56" s="10"/>
      <c r="AE56" s="10"/>
      <c r="AF56" s="10"/>
      <c r="AG56" s="10"/>
      <c r="AH56" s="10">
        <v>1</v>
      </c>
      <c r="AI56" s="10"/>
      <c r="AJ56" s="10"/>
      <c r="AK56" s="41">
        <f t="shared" si="4"/>
        <v>1</v>
      </c>
      <c r="AM56" s="10"/>
      <c r="AN56" s="10"/>
      <c r="AO56" s="10"/>
      <c r="AP56" s="10"/>
      <c r="AQ56" s="10"/>
      <c r="AR56" s="10"/>
      <c r="AS56" s="10">
        <v>1</v>
      </c>
      <c r="AT56" s="10"/>
      <c r="AU56" s="10"/>
      <c r="AV56" s="10"/>
      <c r="AW56" s="10"/>
      <c r="AX56" s="10"/>
      <c r="AY56" s="10"/>
      <c r="AZ56" s="41">
        <f t="shared" si="5"/>
        <v>1</v>
      </c>
      <c r="BB56" s="10"/>
      <c r="BC56" s="10"/>
      <c r="BD56" s="10"/>
      <c r="BE56" s="10"/>
      <c r="BF56" s="10">
        <v>1</v>
      </c>
      <c r="BG56" s="10"/>
      <c r="BH56" s="10"/>
      <c r="BI56" s="41">
        <f t="shared" si="6"/>
        <v>1</v>
      </c>
    </row>
    <row r="57" spans="2:61">
      <c r="B57" s="4" t="str">
        <f t="shared" si="3"/>
        <v>Works &amp; Asset Management</v>
      </c>
      <c r="D57" s="31" t="s">
        <v>60</v>
      </c>
      <c r="P57" s="35"/>
      <c r="Q57" s="175">
        <f>Q35*($D14*'General assumptions'!T$35+$E14*'General assumptions'!T$36+$G14*'General assumptions'!T$42)*0.5</f>
        <v>439103.05000490323</v>
      </c>
      <c r="R57" s="35">
        <f>R35*($D14*'General assumptions'!U$35+$E14*'General assumptions'!U$36+$G14*'General assumptions'!U$42)</f>
        <v>208665.59394077514</v>
      </c>
      <c r="S57" s="35">
        <f>S35*($D14*'General assumptions'!V$35+$E14*'General assumptions'!V$36+$G14*'General assumptions'!V$42)</f>
        <v>780854.13861161133</v>
      </c>
      <c r="T57" s="35">
        <f>T35*($D14*'General assumptions'!W$35+$E14*'General assumptions'!W$36+$G14*'General assumptions'!W$42)</f>
        <v>2795296.0587855135</v>
      </c>
      <c r="U57" s="35">
        <f>U35*($D14*'General assumptions'!X$35+$E14*'General assumptions'!X$36+$G14*'General assumptions'!X$42)</f>
        <v>718366.24566617887</v>
      </c>
      <c r="V57" s="35">
        <f>V35*($D14*'General assumptions'!Y$35+$E14*'General assumptions'!Y$36+$G14*'General assumptions'!Y$42)</f>
        <v>1021073.7613963929</v>
      </c>
      <c r="X57" s="40">
        <f t="shared" si="7"/>
        <v>5524255.7984004719</v>
      </c>
      <c r="Z57" s="10"/>
      <c r="AA57" s="10"/>
      <c r="AB57" s="10"/>
      <c r="AC57" s="10"/>
      <c r="AD57" s="10"/>
      <c r="AE57" s="10"/>
      <c r="AF57" s="10"/>
      <c r="AG57" s="10"/>
      <c r="AH57" s="10">
        <v>1</v>
      </c>
      <c r="AI57" s="10"/>
      <c r="AJ57" s="10"/>
      <c r="AK57" s="41">
        <f t="shared" si="4"/>
        <v>1</v>
      </c>
      <c r="AM57" s="10"/>
      <c r="AN57" s="10"/>
      <c r="AO57" s="10"/>
      <c r="AP57" s="10"/>
      <c r="AQ57" s="10"/>
      <c r="AR57" s="10"/>
      <c r="AS57" s="10">
        <v>1</v>
      </c>
      <c r="AT57" s="10"/>
      <c r="AU57" s="10"/>
      <c r="AV57" s="10"/>
      <c r="AW57" s="10"/>
      <c r="AX57" s="10"/>
      <c r="AY57" s="10"/>
      <c r="AZ57" s="41">
        <f t="shared" si="5"/>
        <v>1</v>
      </c>
      <c r="BB57" s="10"/>
      <c r="BC57" s="10"/>
      <c r="BD57" s="10"/>
      <c r="BE57" s="10"/>
      <c r="BF57" s="10">
        <v>1</v>
      </c>
      <c r="BG57" s="10"/>
      <c r="BH57" s="10"/>
      <c r="BI57" s="41">
        <f t="shared" si="6"/>
        <v>1</v>
      </c>
    </row>
    <row r="58" spans="2:61">
      <c r="B58" s="4" t="str">
        <f t="shared" si="3"/>
        <v>EAM / ERP</v>
      </c>
      <c r="D58" s="31" t="s">
        <v>60</v>
      </c>
      <c r="P58" s="35"/>
      <c r="Q58" s="175">
        <f>Q36*($D15*'General assumptions'!T$35+$E15*'General assumptions'!T$36+$G15*'General assumptions'!T$42)*0.5</f>
        <v>49253.636123244454</v>
      </c>
      <c r="R58" s="35">
        <f>R36*($D15*'General assumptions'!U$35+$E15*'General assumptions'!U$36+$G15*'General assumptions'!U$42)</f>
        <v>0</v>
      </c>
      <c r="S58" s="35">
        <f>S36*($D15*'General assumptions'!V$35+$E15*'General assumptions'!V$36+$G15*'General assumptions'!V$42)</f>
        <v>0</v>
      </c>
      <c r="T58" s="35">
        <f>T36*($D15*'General assumptions'!W$35+$E15*'General assumptions'!W$36+$G15*'General assumptions'!W$42)</f>
        <v>0</v>
      </c>
      <c r="U58" s="35">
        <f>U36*($D15*'General assumptions'!X$35+$E15*'General assumptions'!X$36+$G15*'General assumptions'!X$42)</f>
        <v>0</v>
      </c>
      <c r="V58" s="35">
        <f>V36*($D15*'General assumptions'!Y$35+$E15*'General assumptions'!Y$36+$G15*'General assumptions'!Y$42)</f>
        <v>0</v>
      </c>
      <c r="X58" s="40">
        <f t="shared" si="7"/>
        <v>0</v>
      </c>
      <c r="Z58" s="10"/>
      <c r="AA58" s="10"/>
      <c r="AB58" s="10"/>
      <c r="AC58" s="10"/>
      <c r="AD58" s="10"/>
      <c r="AE58" s="10"/>
      <c r="AF58" s="10"/>
      <c r="AG58" s="10"/>
      <c r="AH58" s="10">
        <v>1</v>
      </c>
      <c r="AI58" s="10"/>
      <c r="AJ58" s="10"/>
      <c r="AK58" s="41">
        <f t="shared" si="4"/>
        <v>1</v>
      </c>
      <c r="AM58" s="10"/>
      <c r="AN58" s="10"/>
      <c r="AO58" s="10"/>
      <c r="AP58" s="10"/>
      <c r="AQ58" s="10"/>
      <c r="AR58" s="10"/>
      <c r="AS58" s="10">
        <v>1</v>
      </c>
      <c r="AT58" s="10"/>
      <c r="AU58" s="10"/>
      <c r="AV58" s="10"/>
      <c r="AW58" s="10"/>
      <c r="AX58" s="10"/>
      <c r="AY58" s="10"/>
      <c r="AZ58" s="41">
        <f t="shared" si="5"/>
        <v>1</v>
      </c>
      <c r="BB58" s="10"/>
      <c r="BC58" s="10"/>
      <c r="BD58" s="10"/>
      <c r="BE58" s="10"/>
      <c r="BF58" s="10">
        <v>1</v>
      </c>
      <c r="BG58" s="10"/>
      <c r="BH58" s="10"/>
      <c r="BI58" s="41">
        <f t="shared" si="6"/>
        <v>1</v>
      </c>
    </row>
    <row r="59" spans="2:61">
      <c r="B59" s="4" t="str">
        <f t="shared" si="3"/>
        <v>Metering &amp; Customer Services</v>
      </c>
      <c r="D59" s="31" t="s">
        <v>60</v>
      </c>
      <c r="P59" s="35"/>
      <c r="Q59" s="175">
        <f>Q37*($D16*'General assumptions'!T$35+$E16*'General assumptions'!T$36+$G16*'General assumptions'!T$42)*0.5</f>
        <v>452955.1199326319</v>
      </c>
      <c r="R59" s="35">
        <f>R37*($D16*'General assumptions'!U$35+$E16*'General assumptions'!U$36+$G16*'General assumptions'!U$42)</f>
        <v>1177066.7908278261</v>
      </c>
      <c r="S59" s="35">
        <f>S37*($D16*'General assumptions'!V$35+$E16*'General assumptions'!V$36+$G16*'General assumptions'!V$42)</f>
        <v>2853192.0592916175</v>
      </c>
      <c r="T59" s="35">
        <f>T37*($D16*'General assumptions'!W$35+$E16*'General assumptions'!W$36+$G16*'General assumptions'!W$42)</f>
        <v>1885120.8655589828</v>
      </c>
      <c r="U59" s="35">
        <f>U37*($D16*'General assumptions'!X$35+$E16*'General assumptions'!X$36+$G16*'General assumptions'!X$42)</f>
        <v>140018.16062559743</v>
      </c>
      <c r="V59" s="35">
        <f>V37*($D16*'General assumptions'!Y$35+$E16*'General assumptions'!Y$36+$G16*'General assumptions'!Y$42)</f>
        <v>0</v>
      </c>
      <c r="X59" s="40">
        <f t="shared" si="7"/>
        <v>6055397.8763040239</v>
      </c>
      <c r="Z59" s="10"/>
      <c r="AA59" s="10"/>
      <c r="AB59" s="10"/>
      <c r="AC59" s="10"/>
      <c r="AD59" s="10"/>
      <c r="AE59" s="10"/>
      <c r="AF59" s="10"/>
      <c r="AG59" s="10"/>
      <c r="AH59" s="10">
        <v>1</v>
      </c>
      <c r="AI59" s="10"/>
      <c r="AJ59" s="10"/>
      <c r="AK59" s="41">
        <f t="shared" si="4"/>
        <v>1</v>
      </c>
      <c r="AM59" s="10"/>
      <c r="AN59" s="10"/>
      <c r="AO59" s="10"/>
      <c r="AP59" s="10"/>
      <c r="AQ59" s="10"/>
      <c r="AR59" s="10"/>
      <c r="AS59" s="10">
        <v>1</v>
      </c>
      <c r="AT59" s="10"/>
      <c r="AU59" s="10"/>
      <c r="AV59" s="10"/>
      <c r="AW59" s="10"/>
      <c r="AX59" s="10"/>
      <c r="AY59" s="10"/>
      <c r="AZ59" s="41">
        <f t="shared" si="5"/>
        <v>1</v>
      </c>
      <c r="BB59" s="10"/>
      <c r="BC59" s="10"/>
      <c r="BD59" s="10"/>
      <c r="BE59" s="10"/>
      <c r="BF59" s="10">
        <v>1</v>
      </c>
      <c r="BG59" s="10"/>
      <c r="BH59" s="10"/>
      <c r="BI59" s="41">
        <f t="shared" si="6"/>
        <v>1</v>
      </c>
    </row>
    <row r="60" spans="2:61">
      <c r="B60" s="4" t="str">
        <f t="shared" si="3"/>
        <v>Information Technology</v>
      </c>
      <c r="D60" s="31" t="s">
        <v>60</v>
      </c>
      <c r="P60" s="35"/>
      <c r="Q60" s="175">
        <f>Q38*($D17*'General assumptions'!T$35+$E17*'General assumptions'!T$36+$G17*'General assumptions'!T$42)*0.5</f>
        <v>2127207.4858296448</v>
      </c>
      <c r="R60" s="35">
        <f>R38*($D17*'General assumptions'!U$35+$E17*'General assumptions'!U$36+$G17*'General assumptions'!U$42)</f>
        <v>6948191.5009186659</v>
      </c>
      <c r="S60" s="35">
        <f>S38*($D17*'General assumptions'!V$35+$E17*'General assumptions'!V$36+$G17*'General assumptions'!V$42)</f>
        <v>6062457.6920651719</v>
      </c>
      <c r="T60" s="35">
        <f>T38*($D17*'General assumptions'!W$35+$E17*'General assumptions'!W$36+$G17*'General assumptions'!W$42)</f>
        <v>4002624.3526149774</v>
      </c>
      <c r="U60" s="35">
        <f>U38*($D17*'General assumptions'!X$35+$E17*'General assumptions'!X$36+$G17*'General assumptions'!X$42)</f>
        <v>5328054.9258941766</v>
      </c>
      <c r="V60" s="35">
        <f>V38*($D17*'General assumptions'!Y$35+$E17*'General assumptions'!Y$36+$G17*'General assumptions'!Y$42)</f>
        <v>3144507.5186392074</v>
      </c>
      <c r="X60" s="40">
        <f t="shared" si="7"/>
        <v>25485835.990132198</v>
      </c>
      <c r="Z60" s="10"/>
      <c r="AA60" s="10"/>
      <c r="AB60" s="10"/>
      <c r="AC60" s="10"/>
      <c r="AD60" s="10"/>
      <c r="AE60" s="10"/>
      <c r="AF60" s="10"/>
      <c r="AG60" s="10"/>
      <c r="AH60" s="10">
        <v>1</v>
      </c>
      <c r="AI60" s="10"/>
      <c r="AJ60" s="10"/>
      <c r="AK60" s="41">
        <f t="shared" si="4"/>
        <v>1</v>
      </c>
      <c r="AM60" s="10"/>
      <c r="AN60" s="10"/>
      <c r="AO60" s="10"/>
      <c r="AP60" s="10"/>
      <c r="AQ60" s="10"/>
      <c r="AR60" s="10"/>
      <c r="AS60" s="10">
        <v>1</v>
      </c>
      <c r="AT60" s="10"/>
      <c r="AU60" s="10"/>
      <c r="AV60" s="10"/>
      <c r="AW60" s="10"/>
      <c r="AX60" s="10"/>
      <c r="AY60" s="10"/>
      <c r="AZ60" s="41">
        <f t="shared" si="5"/>
        <v>1</v>
      </c>
      <c r="BB60" s="10"/>
      <c r="BC60" s="10"/>
      <c r="BD60" s="10"/>
      <c r="BE60" s="10"/>
      <c r="BF60" s="10">
        <v>1</v>
      </c>
      <c r="BG60" s="10"/>
      <c r="BH60" s="10"/>
      <c r="BI60" s="41">
        <f t="shared" si="6"/>
        <v>1</v>
      </c>
    </row>
    <row r="61" spans="2:61">
      <c r="B61" s="4" t="str">
        <f t="shared" si="3"/>
        <v>Comms</v>
      </c>
      <c r="P61" s="35"/>
      <c r="Q61" s="175">
        <f>Q39*($D18*'General assumptions'!T$35+$E18*'General assumptions'!T$36+$G18*'General assumptions'!T$42)*0.5</f>
        <v>166253.48875336317</v>
      </c>
      <c r="R61" s="35">
        <f>R39*($D18*'General assumptions'!U$35+$E18*'General assumptions'!U$36+$G18*'General assumptions'!U$42)</f>
        <v>0</v>
      </c>
      <c r="S61" s="35">
        <f>S39*($D18*'General assumptions'!V$35+$E18*'General assumptions'!V$36+$G18*'General assumptions'!V$42)</f>
        <v>0</v>
      </c>
      <c r="T61" s="35">
        <f>T39*($D18*'General assumptions'!W$35+$E18*'General assumptions'!W$36+$G18*'General assumptions'!W$42)</f>
        <v>0</v>
      </c>
      <c r="U61" s="35">
        <f>U39*($D18*'General assumptions'!X$35+$E18*'General assumptions'!X$36+$G18*'General assumptions'!X$42)</f>
        <v>0</v>
      </c>
      <c r="V61" s="35">
        <f>V39*($D18*'General assumptions'!Y$35+$E18*'General assumptions'!Y$36+$G18*'General assumptions'!Y$42)</f>
        <v>0</v>
      </c>
      <c r="X61" s="40">
        <f t="shared" si="7"/>
        <v>0</v>
      </c>
      <c r="Z61" s="10"/>
      <c r="AA61" s="10"/>
      <c r="AB61" s="10"/>
      <c r="AC61" s="10"/>
      <c r="AD61" s="10"/>
      <c r="AE61" s="10"/>
      <c r="AF61" s="10"/>
      <c r="AG61" s="10"/>
      <c r="AH61" s="10">
        <v>1</v>
      </c>
      <c r="AI61" s="10"/>
      <c r="AJ61" s="10"/>
      <c r="AK61" s="41">
        <f t="shared" si="4"/>
        <v>1</v>
      </c>
      <c r="AM61" s="10"/>
      <c r="AN61" s="10"/>
      <c r="AO61" s="10"/>
      <c r="AP61" s="10"/>
      <c r="AQ61" s="10"/>
      <c r="AR61" s="10"/>
      <c r="AS61" s="10">
        <v>1</v>
      </c>
      <c r="AT61" s="10"/>
      <c r="AU61" s="10"/>
      <c r="AV61" s="10"/>
      <c r="AW61" s="10"/>
      <c r="AX61" s="10"/>
      <c r="AY61" s="10"/>
      <c r="AZ61" s="41">
        <f t="shared" si="5"/>
        <v>1</v>
      </c>
      <c r="BB61" s="10"/>
      <c r="BC61" s="10"/>
      <c r="BD61" s="10"/>
      <c r="BE61" s="10"/>
      <c r="BF61" s="10">
        <v>1</v>
      </c>
      <c r="BG61" s="10"/>
      <c r="BH61" s="10"/>
      <c r="BI61" s="41">
        <f t="shared" si="6"/>
        <v>1</v>
      </c>
    </row>
    <row r="62" spans="2:61">
      <c r="B62" s="4" t="str">
        <f t="shared" si="3"/>
        <v>[blank]</v>
      </c>
      <c r="P62" s="35"/>
      <c r="X62" s="40">
        <f t="shared" si="7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4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5"/>
        <v>0</v>
      </c>
      <c r="BB62" s="10"/>
      <c r="BC62" s="10"/>
      <c r="BD62" s="10"/>
      <c r="BE62" s="10"/>
      <c r="BF62" s="10"/>
      <c r="BG62" s="10"/>
      <c r="BH62" s="10"/>
      <c r="BI62" s="41">
        <f t="shared" si="6"/>
        <v>0</v>
      </c>
    </row>
    <row r="63" spans="2:61">
      <c r="B63" s="4" t="str">
        <f t="shared" si="3"/>
        <v>[blank]</v>
      </c>
      <c r="P63" s="35"/>
      <c r="X63" s="40">
        <f t="shared" si="7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4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5"/>
        <v>0</v>
      </c>
      <c r="BB63" s="10"/>
      <c r="BC63" s="10"/>
      <c r="BD63" s="10"/>
      <c r="BE63" s="10"/>
      <c r="BF63" s="10"/>
      <c r="BG63" s="10"/>
      <c r="BH63" s="10"/>
      <c r="BI63" s="41">
        <f t="shared" si="6"/>
        <v>0</v>
      </c>
    </row>
    <row r="64" spans="2:61">
      <c r="B64" s="4" t="str">
        <f t="shared" si="3"/>
        <v>[blank]</v>
      </c>
      <c r="P64" s="35"/>
      <c r="X64" s="40">
        <f t="shared" si="7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4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5"/>
        <v>0</v>
      </c>
      <c r="BB64" s="10"/>
      <c r="BC64" s="10"/>
      <c r="BD64" s="10"/>
      <c r="BE64" s="10"/>
      <c r="BF64" s="10"/>
      <c r="BG64" s="10"/>
      <c r="BH64" s="10"/>
      <c r="BI64" s="41">
        <f t="shared" si="6"/>
        <v>0</v>
      </c>
    </row>
    <row r="65" spans="1:61">
      <c r="B65" s="4" t="str">
        <f t="shared" si="3"/>
        <v>[blank]</v>
      </c>
      <c r="P65" s="35"/>
      <c r="X65" s="40">
        <f t="shared" si="7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4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5"/>
        <v>0</v>
      </c>
      <c r="BB65" s="10"/>
      <c r="BC65" s="10"/>
      <c r="BD65" s="10"/>
      <c r="BE65" s="10"/>
      <c r="BF65" s="10"/>
      <c r="BG65" s="10"/>
      <c r="BH65" s="10"/>
      <c r="BI65" s="41">
        <f t="shared" si="6"/>
        <v>0</v>
      </c>
    </row>
    <row r="66" spans="1:61">
      <c r="B66" s="4" t="str">
        <f t="shared" si="3"/>
        <v>[blank]</v>
      </c>
      <c r="P66" s="35"/>
      <c r="X66" s="40">
        <f t="shared" si="7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4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5"/>
        <v>0</v>
      </c>
      <c r="BB66" s="10"/>
      <c r="BC66" s="10"/>
      <c r="BD66" s="10"/>
      <c r="BE66" s="10"/>
      <c r="BF66" s="10"/>
      <c r="BG66" s="10"/>
      <c r="BH66" s="10"/>
      <c r="BI66" s="41">
        <f t="shared" si="6"/>
        <v>0</v>
      </c>
    </row>
    <row r="67" spans="1:61">
      <c r="B67" s="4" t="str">
        <f t="shared" si="3"/>
        <v>[blank]</v>
      </c>
      <c r="P67" s="35"/>
      <c r="X67" s="40">
        <f t="shared" si="7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4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5"/>
        <v>0</v>
      </c>
      <c r="BB67" s="10"/>
      <c r="BC67" s="10"/>
      <c r="BD67" s="10"/>
      <c r="BE67" s="10"/>
      <c r="BF67" s="10"/>
      <c r="BG67" s="10"/>
      <c r="BH67" s="10"/>
      <c r="BI67" s="41">
        <f t="shared" si="6"/>
        <v>0</v>
      </c>
    </row>
    <row r="68" spans="1:61">
      <c r="P68" s="35"/>
    </row>
    <row r="69" spans="1:61" ht="12.75" thickBot="1">
      <c r="B69" s="5" t="s">
        <v>62</v>
      </c>
      <c r="H69" s="36"/>
      <c r="I69" s="36"/>
      <c r="J69" s="36"/>
      <c r="K69" s="36"/>
      <c r="L69" s="36"/>
      <c r="M69" s="36"/>
      <c r="N69" s="36"/>
      <c r="O69" s="36"/>
      <c r="P69" s="37"/>
      <c r="Q69" s="37">
        <f t="shared" ref="Q69:V69" si="8">SUM(Q53:Q67)</f>
        <v>6308130.1928902604</v>
      </c>
      <c r="R69" s="37">
        <f t="shared" si="8"/>
        <v>13370409.377955636</v>
      </c>
      <c r="S69" s="37">
        <f t="shared" si="8"/>
        <v>14579932.724899549</v>
      </c>
      <c r="T69" s="37">
        <f t="shared" si="8"/>
        <v>11969278.594408192</v>
      </c>
      <c r="U69" s="37">
        <f t="shared" si="8"/>
        <v>9374185.521784829</v>
      </c>
      <c r="V69" s="37">
        <f t="shared" si="8"/>
        <v>6365470.0767898764</v>
      </c>
      <c r="X69" s="37">
        <f t="shared" si="7"/>
        <v>55659276.29583808</v>
      </c>
    </row>
    <row r="71" spans="1:61">
      <c r="B71" s="5" t="s">
        <v>76</v>
      </c>
    </row>
    <row r="72" spans="1:61" s="1" customFormat="1">
      <c r="A72" s="4"/>
      <c r="B72" s="2" t="s">
        <v>77</v>
      </c>
    </row>
    <row r="74" spans="1:61">
      <c r="H74" s="190" t="s">
        <v>52</v>
      </c>
      <c r="I74" s="190"/>
      <c r="J74" s="190"/>
      <c r="K74" s="190"/>
      <c r="L74" s="190"/>
      <c r="M74" s="190" t="s">
        <v>53</v>
      </c>
      <c r="N74" s="190"/>
      <c r="O74" s="190"/>
      <c r="P74" s="190"/>
      <c r="Q74" s="190"/>
      <c r="R74" s="190" t="s">
        <v>54</v>
      </c>
      <c r="S74" s="190"/>
      <c r="T74" s="190"/>
      <c r="U74" s="190"/>
      <c r="V74" s="190"/>
      <c r="X74" s="38"/>
    </row>
    <row r="75" spans="1:61">
      <c r="B75" s="42" t="s">
        <v>79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63</v>
      </c>
    </row>
    <row r="76" spans="1:61">
      <c r="B76" s="5" t="s">
        <v>46</v>
      </c>
      <c r="D76" s="29" t="s">
        <v>55</v>
      </c>
      <c r="H76" s="16" t="s">
        <v>12</v>
      </c>
      <c r="I76" s="16" t="s">
        <v>12</v>
      </c>
      <c r="J76" s="16" t="s">
        <v>12</v>
      </c>
      <c r="K76" s="16" t="s">
        <v>12</v>
      </c>
      <c r="L76" s="16" t="s">
        <v>12</v>
      </c>
      <c r="M76" s="16" t="s">
        <v>12</v>
      </c>
      <c r="N76" s="16" t="s">
        <v>12</v>
      </c>
      <c r="O76" s="16" t="s">
        <v>12</v>
      </c>
      <c r="P76" s="16" t="s">
        <v>13</v>
      </c>
      <c r="Q76" s="16" t="s">
        <v>13</v>
      </c>
      <c r="R76" s="16" t="s">
        <v>13</v>
      </c>
      <c r="S76" s="16" t="s">
        <v>13</v>
      </c>
      <c r="T76" s="16" t="s">
        <v>13</v>
      </c>
      <c r="U76" s="16" t="s">
        <v>13</v>
      </c>
      <c r="V76" s="16" t="s">
        <v>13</v>
      </c>
      <c r="X76" s="34" t="s">
        <v>13</v>
      </c>
    </row>
    <row r="77" spans="1:61">
      <c r="B77" s="4" t="str">
        <f t="shared" ref="B77:B91" si="9">IF(B10&lt;&gt;"",B10,"[blank]")</f>
        <v>Corporate</v>
      </c>
      <c r="D77" s="31" t="s">
        <v>60</v>
      </c>
      <c r="O77" s="35"/>
      <c r="P77" s="35"/>
      <c r="Q77" s="35">
        <f t="shared" ref="Q77:V77" si="10">$D10*Q53</f>
        <v>790908.36094317923</v>
      </c>
      <c r="R77" s="35">
        <f t="shared" si="10"/>
        <v>987929.06300484482</v>
      </c>
      <c r="S77" s="35">
        <f t="shared" si="10"/>
        <v>828225.33356582234</v>
      </c>
      <c r="T77" s="35">
        <f t="shared" si="10"/>
        <v>223348.59428817942</v>
      </c>
      <c r="U77" s="35">
        <f t="shared" si="10"/>
        <v>128398.25862583194</v>
      </c>
      <c r="V77" s="35">
        <f t="shared" si="10"/>
        <v>110894.87517931679</v>
      </c>
      <c r="X77" s="40">
        <f>SUM(R77:V77)</f>
        <v>2278796.1246639956</v>
      </c>
    </row>
    <row r="78" spans="1:61">
      <c r="B78" s="4" t="str">
        <f t="shared" si="9"/>
        <v>Information Management</v>
      </c>
      <c r="D78" s="31" t="s">
        <v>60</v>
      </c>
      <c r="O78" s="50"/>
      <c r="P78" s="35"/>
      <c r="Q78" s="35">
        <f t="shared" ref="Q78:V78" si="11">$D11*Q54</f>
        <v>581878.64149924705</v>
      </c>
      <c r="R78" s="35">
        <f t="shared" si="11"/>
        <v>796629.63814144663</v>
      </c>
      <c r="S78" s="35">
        <f t="shared" si="11"/>
        <v>1634561.8860578192</v>
      </c>
      <c r="T78" s="35">
        <f t="shared" si="11"/>
        <v>997067.10761931969</v>
      </c>
      <c r="U78" s="35">
        <f t="shared" si="11"/>
        <v>1060647.2607833962</v>
      </c>
      <c r="V78" s="35">
        <f t="shared" si="11"/>
        <v>1069156.9833313371</v>
      </c>
      <c r="X78" s="40">
        <f t="shared" ref="X78:X91" si="12">SUM(R78:V78)</f>
        <v>5558062.8759333193</v>
      </c>
    </row>
    <row r="79" spans="1:61">
      <c r="B79" s="4" t="str">
        <f t="shared" si="9"/>
        <v>Information Security</v>
      </c>
      <c r="D79" s="31" t="s">
        <v>60</v>
      </c>
      <c r="P79" s="35"/>
      <c r="Q79" s="35">
        <f t="shared" ref="Q79:V79" si="13">$D12*Q55</f>
        <v>93845.994549272757</v>
      </c>
      <c r="R79" s="35">
        <f t="shared" si="13"/>
        <v>125786.85369068536</v>
      </c>
      <c r="S79" s="35">
        <f t="shared" si="13"/>
        <v>108048.73216133039</v>
      </c>
      <c r="T79" s="35">
        <f t="shared" si="13"/>
        <v>205686.47077662434</v>
      </c>
      <c r="U79" s="35">
        <f t="shared" si="13"/>
        <v>190659.73706103725</v>
      </c>
      <c r="V79" s="35">
        <f t="shared" si="13"/>
        <v>43702.324119068253</v>
      </c>
      <c r="X79" s="40">
        <f t="shared" si="12"/>
        <v>673884.11780874559</v>
      </c>
    </row>
    <row r="80" spans="1:61">
      <c r="B80" s="4" t="str">
        <f t="shared" si="9"/>
        <v>Network Management</v>
      </c>
      <c r="D80" s="31" t="s">
        <v>60</v>
      </c>
      <c r="P80" s="35"/>
      <c r="Q80" s="35">
        <f t="shared" ref="Q80:V80" si="14">$D13*Q56</f>
        <v>226574.44927632759</v>
      </c>
      <c r="R80" s="35">
        <f t="shared" si="14"/>
        <v>649859.2340015315</v>
      </c>
      <c r="S80" s="35">
        <f t="shared" si="14"/>
        <v>204051.9488766123</v>
      </c>
      <c r="T80" s="35">
        <f t="shared" si="14"/>
        <v>1215.8947501901469</v>
      </c>
      <c r="U80" s="35">
        <f t="shared" si="14"/>
        <v>1222.5396216657105</v>
      </c>
      <c r="V80" s="35">
        <f t="shared" si="14"/>
        <v>7380.1431417747199</v>
      </c>
      <c r="X80" s="40">
        <f t="shared" si="12"/>
        <v>863729.76039177447</v>
      </c>
    </row>
    <row r="81" spans="1:24">
      <c r="B81" s="4" t="str">
        <f t="shared" si="9"/>
        <v>Works &amp; Asset Management</v>
      </c>
      <c r="D81" s="31" t="s">
        <v>60</v>
      </c>
      <c r="P81" s="35"/>
      <c r="Q81" s="35">
        <f t="shared" ref="Q81:V81" si="15">$D14*Q57</f>
        <v>358048.78031250881</v>
      </c>
      <c r="R81" s="35">
        <f t="shared" si="15"/>
        <v>170147.89900194382</v>
      </c>
      <c r="S81" s="35">
        <f t="shared" si="15"/>
        <v>636715.85047915322</v>
      </c>
      <c r="T81" s="35">
        <f t="shared" si="15"/>
        <v>2279310.8461654731</v>
      </c>
      <c r="U81" s="35">
        <f t="shared" si="15"/>
        <v>585762.63151799852</v>
      </c>
      <c r="V81" s="35">
        <f t="shared" si="15"/>
        <v>832593.20306019671</v>
      </c>
      <c r="X81" s="40">
        <f t="shared" si="12"/>
        <v>4504530.4302247651</v>
      </c>
    </row>
    <row r="82" spans="1:24">
      <c r="B82" s="4" t="str">
        <f t="shared" si="9"/>
        <v>EAM / ERP</v>
      </c>
      <c r="D82" s="31" t="s">
        <v>60</v>
      </c>
      <c r="P82" s="35"/>
      <c r="Q82" s="35">
        <f t="shared" ref="Q82:V82" si="16">$D15*Q58</f>
        <v>0</v>
      </c>
      <c r="R82" s="35">
        <f t="shared" si="16"/>
        <v>0</v>
      </c>
      <c r="S82" s="35">
        <f t="shared" si="16"/>
        <v>0</v>
      </c>
      <c r="T82" s="35">
        <f t="shared" si="16"/>
        <v>0</v>
      </c>
      <c r="U82" s="35">
        <f t="shared" si="16"/>
        <v>0</v>
      </c>
      <c r="V82" s="35">
        <f t="shared" si="16"/>
        <v>0</v>
      </c>
      <c r="X82" s="40">
        <f t="shared" si="12"/>
        <v>0</v>
      </c>
    </row>
    <row r="83" spans="1:24">
      <c r="B83" s="4" t="str">
        <f t="shared" si="9"/>
        <v>Metering &amp; Customer Services</v>
      </c>
      <c r="D83" s="31" t="s">
        <v>60</v>
      </c>
      <c r="P83" s="35"/>
      <c r="Q83" s="35">
        <f t="shared" ref="Q83:V83" si="17">$D16*Q59</f>
        <v>211981.37575700626</v>
      </c>
      <c r="R83" s="35">
        <f t="shared" si="17"/>
        <v>550863.04734711349</v>
      </c>
      <c r="S83" s="35">
        <f t="shared" si="17"/>
        <v>1335283.6769293135</v>
      </c>
      <c r="T83" s="35">
        <f t="shared" si="17"/>
        <v>882229.82137582579</v>
      </c>
      <c r="U83" s="35">
        <f t="shared" si="17"/>
        <v>65527.998281141241</v>
      </c>
      <c r="V83" s="35">
        <f t="shared" si="17"/>
        <v>0</v>
      </c>
      <c r="X83" s="40">
        <f t="shared" si="12"/>
        <v>2833904.5439333939</v>
      </c>
    </row>
    <row r="84" spans="1:24">
      <c r="B84" s="4" t="str">
        <f t="shared" si="9"/>
        <v>Information Technology</v>
      </c>
      <c r="D84" s="31" t="s">
        <v>60</v>
      </c>
      <c r="P84" s="35"/>
      <c r="Q84" s="35">
        <f t="shared" ref="Q84:V85" si="18">$D17*Q60</f>
        <v>375017.43575481232</v>
      </c>
      <c r="R84" s="35">
        <f t="shared" si="18"/>
        <v>1224935.9675375705</v>
      </c>
      <c r="S84" s="35">
        <f t="shared" si="18"/>
        <v>1068784.9460832479</v>
      </c>
      <c r="T84" s="35">
        <f t="shared" si="18"/>
        <v>705645.27955391223</v>
      </c>
      <c r="U84" s="35">
        <f t="shared" si="18"/>
        <v>939312.92982937885</v>
      </c>
      <c r="V84" s="35">
        <f t="shared" si="18"/>
        <v>554363.01075815316</v>
      </c>
      <c r="X84" s="40">
        <f t="shared" si="12"/>
        <v>4493042.1337622628</v>
      </c>
    </row>
    <row r="85" spans="1:24">
      <c r="B85" s="4" t="str">
        <f t="shared" si="9"/>
        <v>Comms</v>
      </c>
      <c r="Q85" s="35">
        <f t="shared" si="18"/>
        <v>33250.697750672633</v>
      </c>
      <c r="R85" s="35">
        <f t="shared" si="18"/>
        <v>0</v>
      </c>
      <c r="S85" s="35">
        <f t="shared" si="18"/>
        <v>0</v>
      </c>
      <c r="T85" s="35">
        <f t="shared" si="18"/>
        <v>0</v>
      </c>
      <c r="U85" s="35">
        <f t="shared" si="18"/>
        <v>0</v>
      </c>
      <c r="V85" s="35">
        <f t="shared" si="18"/>
        <v>0</v>
      </c>
      <c r="X85" s="40">
        <f t="shared" si="12"/>
        <v>0</v>
      </c>
    </row>
    <row r="86" spans="1:24">
      <c r="B86" s="4" t="str">
        <f t="shared" si="9"/>
        <v>[blank]</v>
      </c>
      <c r="X86" s="40">
        <f t="shared" si="12"/>
        <v>0</v>
      </c>
    </row>
    <row r="87" spans="1:24">
      <c r="B87" s="4" t="str">
        <f t="shared" si="9"/>
        <v>[blank]</v>
      </c>
      <c r="X87" s="40">
        <f t="shared" si="12"/>
        <v>0</v>
      </c>
    </row>
    <row r="88" spans="1:24">
      <c r="B88" s="4" t="str">
        <f t="shared" si="9"/>
        <v>[blank]</v>
      </c>
      <c r="X88" s="40">
        <f t="shared" si="12"/>
        <v>0</v>
      </c>
    </row>
    <row r="89" spans="1:24">
      <c r="B89" s="4" t="str">
        <f t="shared" si="9"/>
        <v>[blank]</v>
      </c>
      <c r="X89" s="40">
        <f t="shared" si="12"/>
        <v>0</v>
      </c>
    </row>
    <row r="90" spans="1:24">
      <c r="B90" s="4" t="str">
        <f t="shared" si="9"/>
        <v>[blank]</v>
      </c>
      <c r="X90" s="40">
        <f t="shared" si="12"/>
        <v>0</v>
      </c>
    </row>
    <row r="91" spans="1:24">
      <c r="B91" s="4" t="str">
        <f t="shared" si="9"/>
        <v>[blank]</v>
      </c>
      <c r="X91" s="40">
        <f t="shared" si="12"/>
        <v>0</v>
      </c>
    </row>
    <row r="93" spans="1:24" ht="12.75" thickBot="1">
      <c r="B93" s="5" t="s">
        <v>78</v>
      </c>
      <c r="H93" s="36"/>
      <c r="I93" s="36"/>
      <c r="J93" s="36"/>
      <c r="K93" s="36"/>
      <c r="L93" s="36"/>
      <c r="M93" s="36"/>
      <c r="N93" s="36"/>
      <c r="O93" s="36"/>
      <c r="P93" s="37"/>
      <c r="Q93" s="37">
        <f t="shared" ref="Q93:V93" si="19">SUM(Q77:Q91)</f>
        <v>2671505.735843027</v>
      </c>
      <c r="R93" s="37">
        <f t="shared" si="19"/>
        <v>4506151.7027251367</v>
      </c>
      <c r="S93" s="37">
        <f t="shared" si="19"/>
        <v>5815672.3741532993</v>
      </c>
      <c r="T93" s="37">
        <f t="shared" si="19"/>
        <v>5294504.0145295253</v>
      </c>
      <c r="U93" s="37">
        <f t="shared" si="19"/>
        <v>2971531.3557204492</v>
      </c>
      <c r="V93" s="37">
        <f t="shared" si="19"/>
        <v>2618090.5395898465</v>
      </c>
      <c r="X93" s="37">
        <f t="shared" ref="X93" si="20">SUM(R93:V93)</f>
        <v>21205949.98671826</v>
      </c>
    </row>
    <row r="95" spans="1:24" s="1" customFormat="1">
      <c r="A95" s="4"/>
      <c r="B95" s="2" t="s">
        <v>80</v>
      </c>
    </row>
    <row r="97" spans="2:24">
      <c r="H97" s="190" t="s">
        <v>52</v>
      </c>
      <c r="I97" s="190"/>
      <c r="J97" s="190"/>
      <c r="K97" s="190"/>
      <c r="L97" s="190"/>
      <c r="M97" s="190" t="s">
        <v>53</v>
      </c>
      <c r="N97" s="190"/>
      <c r="O97" s="190"/>
      <c r="P97" s="190"/>
      <c r="Q97" s="190"/>
      <c r="R97" s="190" t="s">
        <v>54</v>
      </c>
      <c r="S97" s="190"/>
      <c r="T97" s="190"/>
      <c r="U97" s="190"/>
      <c r="V97" s="190"/>
      <c r="X97" s="38"/>
    </row>
    <row r="98" spans="2:24">
      <c r="B98" s="43" t="s">
        <v>81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63</v>
      </c>
    </row>
    <row r="99" spans="2:24">
      <c r="B99" s="5" t="s">
        <v>46</v>
      </c>
      <c r="D99" s="29" t="s">
        <v>55</v>
      </c>
      <c r="H99" s="16" t="s">
        <v>12</v>
      </c>
      <c r="I99" s="16" t="s">
        <v>12</v>
      </c>
      <c r="J99" s="16" t="s">
        <v>12</v>
      </c>
      <c r="K99" s="16" t="s">
        <v>12</v>
      </c>
      <c r="L99" s="16" t="s">
        <v>12</v>
      </c>
      <c r="M99" s="16" t="s">
        <v>12</v>
      </c>
      <c r="N99" s="16" t="s">
        <v>12</v>
      </c>
      <c r="O99" s="16" t="s">
        <v>12</v>
      </c>
      <c r="P99" s="16" t="s">
        <v>13</v>
      </c>
      <c r="Q99" s="16" t="s">
        <v>13</v>
      </c>
      <c r="R99" s="16" t="s">
        <v>13</v>
      </c>
      <c r="S99" s="16" t="s">
        <v>13</v>
      </c>
      <c r="T99" s="16" t="s">
        <v>13</v>
      </c>
      <c r="U99" s="16" t="s">
        <v>13</v>
      </c>
      <c r="V99" s="16" t="s">
        <v>13</v>
      </c>
      <c r="X99" s="34" t="s">
        <v>13</v>
      </c>
    </row>
    <row r="100" spans="2:24">
      <c r="B100" s="4" t="str">
        <f t="shared" ref="B100:B114" si="21">IF(B10&lt;&gt;"",B10,"[blank]")</f>
        <v>Corporate</v>
      </c>
      <c r="D100" s="31" t="s">
        <v>60</v>
      </c>
      <c r="O100" s="35"/>
      <c r="P100" s="35"/>
      <c r="Q100" s="35">
        <f t="shared" ref="Q100:V100" si="22">$E10*Q53</f>
        <v>0</v>
      </c>
      <c r="R100" s="35">
        <f t="shared" si="22"/>
        <v>0</v>
      </c>
      <c r="S100" s="35">
        <f t="shared" si="22"/>
        <v>0</v>
      </c>
      <c r="T100" s="35">
        <f t="shared" si="22"/>
        <v>0</v>
      </c>
      <c r="U100" s="35">
        <f t="shared" si="22"/>
        <v>0</v>
      </c>
      <c r="V100" s="35">
        <f t="shared" si="22"/>
        <v>0</v>
      </c>
      <c r="X100" s="40">
        <f>SUM(R100:V100)</f>
        <v>0</v>
      </c>
    </row>
    <row r="101" spans="2:24">
      <c r="B101" s="4" t="str">
        <f t="shared" si="21"/>
        <v>Information Management</v>
      </c>
      <c r="D101" s="31" t="s">
        <v>60</v>
      </c>
      <c r="O101" s="50"/>
      <c r="P101" s="35"/>
      <c r="Q101" s="35">
        <f t="shared" ref="Q101:V101" si="23">$E11*Q54</f>
        <v>0</v>
      </c>
      <c r="R101" s="35">
        <f t="shared" si="23"/>
        <v>0</v>
      </c>
      <c r="S101" s="35">
        <f t="shared" si="23"/>
        <v>0</v>
      </c>
      <c r="T101" s="35">
        <f t="shared" si="23"/>
        <v>0</v>
      </c>
      <c r="U101" s="35">
        <f t="shared" si="23"/>
        <v>0</v>
      </c>
      <c r="V101" s="35">
        <f t="shared" si="23"/>
        <v>0</v>
      </c>
      <c r="X101" s="40">
        <f t="shared" ref="X101:X114" si="24">SUM(R101:V101)</f>
        <v>0</v>
      </c>
    </row>
    <row r="102" spans="2:24">
      <c r="B102" s="4" t="str">
        <f t="shared" si="21"/>
        <v>Information Security</v>
      </c>
      <c r="D102" s="31" t="s">
        <v>60</v>
      </c>
      <c r="P102" s="35"/>
      <c r="Q102" s="35">
        <f t="shared" ref="Q102:V102" si="25">$E12*Q55</f>
        <v>67368.34432054295</v>
      </c>
      <c r="R102" s="35">
        <f t="shared" si="25"/>
        <v>90297.429433524172</v>
      </c>
      <c r="S102" s="35">
        <f t="shared" si="25"/>
        <v>77563.930422420337</v>
      </c>
      <c r="T102" s="35">
        <f t="shared" si="25"/>
        <v>147654.21850883146</v>
      </c>
      <c r="U102" s="35">
        <f t="shared" si="25"/>
        <v>136867.11804890429</v>
      </c>
      <c r="V102" s="35">
        <f t="shared" si="25"/>
        <v>31372.177715220074</v>
      </c>
      <c r="X102" s="40">
        <f t="shared" si="24"/>
        <v>483754.87412890035</v>
      </c>
    </row>
    <row r="103" spans="2:24">
      <c r="B103" s="4" t="str">
        <f t="shared" si="21"/>
        <v>Network Management</v>
      </c>
      <c r="D103" s="31" t="s">
        <v>60</v>
      </c>
      <c r="P103" s="35"/>
      <c r="Q103" s="35">
        <f t="shared" ref="Q103:V103" si="26">$E13*Q56</f>
        <v>16853.15529945221</v>
      </c>
      <c r="R103" s="35">
        <f t="shared" si="26"/>
        <v>48338.100912930888</v>
      </c>
      <c r="S103" s="35">
        <f t="shared" si="26"/>
        <v>15177.877269732933</v>
      </c>
      <c r="T103" s="35">
        <f t="shared" si="26"/>
        <v>90.441191044237272</v>
      </c>
      <c r="U103" s="35">
        <f t="shared" si="26"/>
        <v>90.935452649110459</v>
      </c>
      <c r="V103" s="35">
        <f t="shared" si="26"/>
        <v>548.95288898540218</v>
      </c>
      <c r="X103" s="40">
        <f t="shared" si="24"/>
        <v>64246.307715342569</v>
      </c>
    </row>
    <row r="104" spans="2:24">
      <c r="B104" s="4" t="str">
        <f t="shared" si="21"/>
        <v>Works &amp; Asset Management</v>
      </c>
      <c r="D104" s="31" t="s">
        <v>60</v>
      </c>
      <c r="P104" s="35"/>
      <c r="Q104" s="35">
        <f t="shared" ref="Q104:V104" si="27">$E14*Q57</f>
        <v>7648.5160389442644</v>
      </c>
      <c r="R104" s="35">
        <f t="shared" si="27"/>
        <v>3634.6414401221496</v>
      </c>
      <c r="S104" s="35">
        <f t="shared" si="27"/>
        <v>13601.307035285286</v>
      </c>
      <c r="T104" s="35">
        <f t="shared" si="27"/>
        <v>48689.861614443245</v>
      </c>
      <c r="U104" s="35">
        <f t="shared" si="27"/>
        <v>12512.86173428445</v>
      </c>
      <c r="V104" s="35">
        <f t="shared" si="27"/>
        <v>17785.572295383176</v>
      </c>
      <c r="X104" s="40">
        <f t="shared" si="24"/>
        <v>96224.244119518306</v>
      </c>
    </row>
    <row r="105" spans="2:24">
      <c r="B105" s="4" t="str">
        <f t="shared" si="21"/>
        <v>EAM / ERP</v>
      </c>
      <c r="D105" s="31" t="s">
        <v>60</v>
      </c>
      <c r="P105" s="35"/>
      <c r="Q105" s="35">
        <f t="shared" ref="Q105:V105" si="28">$E15*Q58</f>
        <v>0</v>
      </c>
      <c r="R105" s="35">
        <f t="shared" si="28"/>
        <v>0</v>
      </c>
      <c r="S105" s="35">
        <f t="shared" si="28"/>
        <v>0</v>
      </c>
      <c r="T105" s="35">
        <f t="shared" si="28"/>
        <v>0</v>
      </c>
      <c r="U105" s="35">
        <f t="shared" si="28"/>
        <v>0</v>
      </c>
      <c r="V105" s="35">
        <f t="shared" si="28"/>
        <v>0</v>
      </c>
      <c r="X105" s="40">
        <f t="shared" si="24"/>
        <v>0</v>
      </c>
    </row>
    <row r="106" spans="2:24">
      <c r="B106" s="4" t="str">
        <f t="shared" si="21"/>
        <v>Metering &amp; Customer Services</v>
      </c>
      <c r="D106" s="31" t="s">
        <v>60</v>
      </c>
      <c r="P106" s="35"/>
      <c r="Q106" s="35">
        <f t="shared" ref="Q106:V106" si="29">$E16*Q59</f>
        <v>1359.0983908079836</v>
      </c>
      <c r="R106" s="35">
        <f t="shared" si="29"/>
        <v>3531.8059359292529</v>
      </c>
      <c r="S106" s="35">
        <f t="shared" si="29"/>
        <v>8561.044054488435</v>
      </c>
      <c r="T106" s="35">
        <f t="shared" si="29"/>
        <v>5656.3324314356423</v>
      </c>
      <c r="U106" s="35">
        <f t="shared" si="29"/>
        <v>420.12651676935758</v>
      </c>
      <c r="V106" s="35">
        <f t="shared" si="29"/>
        <v>0</v>
      </c>
      <c r="X106" s="40">
        <f t="shared" si="24"/>
        <v>18169.308938622686</v>
      </c>
    </row>
    <row r="107" spans="2:24">
      <c r="B107" s="4" t="str">
        <f t="shared" si="21"/>
        <v>Information Technology</v>
      </c>
      <c r="D107" s="31" t="s">
        <v>60</v>
      </c>
      <c r="P107" s="35"/>
      <c r="Q107" s="35">
        <f t="shared" ref="Q107:V108" si="30">$E17*Q60</f>
        <v>251106.37726277189</v>
      </c>
      <c r="R107" s="35">
        <f t="shared" si="30"/>
        <v>820199.81969139841</v>
      </c>
      <c r="S107" s="35">
        <f t="shared" si="30"/>
        <v>715643.30160749727</v>
      </c>
      <c r="T107" s="35">
        <f t="shared" si="30"/>
        <v>472490.11082569393</v>
      </c>
      <c r="U107" s="35">
        <f t="shared" si="30"/>
        <v>628950.66852237389</v>
      </c>
      <c r="V107" s="35">
        <f t="shared" si="30"/>
        <v>371193.64074307994</v>
      </c>
      <c r="X107" s="40">
        <f t="shared" si="24"/>
        <v>3008477.5413900437</v>
      </c>
    </row>
    <row r="108" spans="2:24">
      <c r="B108" s="4" t="str">
        <f t="shared" si="21"/>
        <v>Comms</v>
      </c>
      <c r="Q108" s="35">
        <f t="shared" si="30"/>
        <v>16625.348875336316</v>
      </c>
      <c r="R108" s="35">
        <f t="shared" si="30"/>
        <v>0</v>
      </c>
      <c r="S108" s="35">
        <f t="shared" si="30"/>
        <v>0</v>
      </c>
      <c r="T108" s="35">
        <f t="shared" si="30"/>
        <v>0</v>
      </c>
      <c r="U108" s="35">
        <f t="shared" si="30"/>
        <v>0</v>
      </c>
      <c r="V108" s="35">
        <f t="shared" si="30"/>
        <v>0</v>
      </c>
      <c r="X108" s="40">
        <f t="shared" si="24"/>
        <v>0</v>
      </c>
    </row>
    <row r="109" spans="2:24">
      <c r="B109" s="4" t="str">
        <f t="shared" si="21"/>
        <v>[blank]</v>
      </c>
      <c r="X109" s="40">
        <f t="shared" si="24"/>
        <v>0</v>
      </c>
    </row>
    <row r="110" spans="2:24">
      <c r="B110" s="4" t="str">
        <f t="shared" si="21"/>
        <v>[blank]</v>
      </c>
      <c r="X110" s="40">
        <f t="shared" si="24"/>
        <v>0</v>
      </c>
    </row>
    <row r="111" spans="2:24">
      <c r="B111" s="4" t="str">
        <f t="shared" si="21"/>
        <v>[blank]</v>
      </c>
      <c r="X111" s="40">
        <f t="shared" si="24"/>
        <v>0</v>
      </c>
    </row>
    <row r="112" spans="2:24">
      <c r="B112" s="4" t="str">
        <f t="shared" si="21"/>
        <v>[blank]</v>
      </c>
      <c r="X112" s="40">
        <f t="shared" si="24"/>
        <v>0</v>
      </c>
    </row>
    <row r="113" spans="1:24">
      <c r="B113" s="4" t="str">
        <f t="shared" si="21"/>
        <v>[blank]</v>
      </c>
      <c r="X113" s="40">
        <f t="shared" si="24"/>
        <v>0</v>
      </c>
    </row>
    <row r="114" spans="1:24">
      <c r="B114" s="4" t="str">
        <f t="shared" si="21"/>
        <v>[blank]</v>
      </c>
      <c r="X114" s="40">
        <f t="shared" si="24"/>
        <v>0</v>
      </c>
    </row>
    <row r="116" spans="1:24" ht="12.75" thickBot="1">
      <c r="B116" s="5" t="s">
        <v>82</v>
      </c>
      <c r="H116" s="36"/>
      <c r="I116" s="36"/>
      <c r="J116" s="36"/>
      <c r="K116" s="36"/>
      <c r="L116" s="36"/>
      <c r="M116" s="36"/>
      <c r="N116" s="36"/>
      <c r="O116" s="36"/>
      <c r="P116" s="37"/>
      <c r="Q116" s="37">
        <f t="shared" ref="Q116:V116" si="31">SUM(Q100:Q114)</f>
        <v>360960.84018785559</v>
      </c>
      <c r="R116" s="37">
        <f t="shared" si="31"/>
        <v>966001.79741390492</v>
      </c>
      <c r="S116" s="37">
        <f t="shared" si="31"/>
        <v>830547.46038942423</v>
      </c>
      <c r="T116" s="37">
        <f t="shared" si="31"/>
        <v>674580.96457144851</v>
      </c>
      <c r="U116" s="37">
        <f t="shared" si="31"/>
        <v>778841.7102749811</v>
      </c>
      <c r="V116" s="37">
        <f t="shared" si="31"/>
        <v>420900.34364266857</v>
      </c>
      <c r="X116" s="37">
        <f t="shared" ref="X116" si="32">SUM(R116:V116)</f>
        <v>3670872.2762924274</v>
      </c>
    </row>
    <row r="118" spans="1:24" s="1" customFormat="1">
      <c r="A118" s="4"/>
      <c r="B118" s="2" t="s">
        <v>83</v>
      </c>
    </row>
    <row r="120" spans="1:24">
      <c r="H120" s="190" t="s">
        <v>52</v>
      </c>
      <c r="I120" s="190"/>
      <c r="J120" s="190"/>
      <c r="K120" s="190"/>
      <c r="L120" s="190"/>
      <c r="M120" s="190" t="s">
        <v>53</v>
      </c>
      <c r="N120" s="190"/>
      <c r="O120" s="190"/>
      <c r="P120" s="190"/>
      <c r="Q120" s="190"/>
      <c r="R120" s="190" t="s">
        <v>54</v>
      </c>
      <c r="S120" s="190"/>
      <c r="T120" s="190"/>
      <c r="U120" s="190"/>
      <c r="V120" s="190"/>
      <c r="X120" s="38"/>
    </row>
    <row r="121" spans="1:24">
      <c r="B121" s="43" t="s">
        <v>84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63</v>
      </c>
    </row>
    <row r="122" spans="1:24">
      <c r="B122" s="5" t="s">
        <v>46</v>
      </c>
      <c r="D122" s="29" t="s">
        <v>55</v>
      </c>
      <c r="H122" s="16" t="s">
        <v>12</v>
      </c>
      <c r="I122" s="16" t="s">
        <v>12</v>
      </c>
      <c r="J122" s="16" t="s">
        <v>12</v>
      </c>
      <c r="K122" s="16" t="s">
        <v>12</v>
      </c>
      <c r="L122" s="16" t="s">
        <v>12</v>
      </c>
      <c r="M122" s="16" t="s">
        <v>12</v>
      </c>
      <c r="N122" s="16" t="s">
        <v>12</v>
      </c>
      <c r="O122" s="16" t="s">
        <v>12</v>
      </c>
      <c r="P122" s="16" t="s">
        <v>13</v>
      </c>
      <c r="Q122" s="16" t="s">
        <v>13</v>
      </c>
      <c r="R122" s="16" t="s">
        <v>13</v>
      </c>
      <c r="S122" s="16" t="s">
        <v>13</v>
      </c>
      <c r="T122" s="16" t="s">
        <v>13</v>
      </c>
      <c r="U122" s="16" t="s">
        <v>13</v>
      </c>
      <c r="V122" s="16" t="s">
        <v>13</v>
      </c>
      <c r="X122" s="34" t="s">
        <v>13</v>
      </c>
    </row>
    <row r="123" spans="1:24">
      <c r="B123" s="4" t="str">
        <f t="shared" ref="B123:B137" si="33">IF(B10&lt;&gt;"",B10,"[blank]")</f>
        <v>Corporate</v>
      </c>
      <c r="D123" s="31" t="s">
        <v>60</v>
      </c>
      <c r="O123" s="35"/>
      <c r="P123" s="35"/>
      <c r="Q123" s="35">
        <f t="shared" ref="Q123:V123" si="34">Q77+Q100</f>
        <v>790908.36094317923</v>
      </c>
      <c r="R123" s="35">
        <f t="shared" si="34"/>
        <v>987929.06300484482</v>
      </c>
      <c r="S123" s="35">
        <f t="shared" si="34"/>
        <v>828225.33356582234</v>
      </c>
      <c r="T123" s="35">
        <f t="shared" si="34"/>
        <v>223348.59428817942</v>
      </c>
      <c r="U123" s="35">
        <f t="shared" si="34"/>
        <v>128398.25862583194</v>
      </c>
      <c r="V123" s="35">
        <f t="shared" si="34"/>
        <v>110894.87517931679</v>
      </c>
      <c r="X123" s="40">
        <f>SUM(R123:V123)</f>
        <v>2278796.1246639956</v>
      </c>
    </row>
    <row r="124" spans="1:24">
      <c r="B124" s="4" t="str">
        <f t="shared" si="33"/>
        <v>Information Management</v>
      </c>
      <c r="D124" s="31" t="s">
        <v>60</v>
      </c>
      <c r="O124" s="50"/>
      <c r="P124" s="35"/>
      <c r="Q124" s="35">
        <f t="shared" ref="Q124:V124" si="35">Q78+Q101</f>
        <v>581878.64149924705</v>
      </c>
      <c r="R124" s="35">
        <f t="shared" si="35"/>
        <v>796629.63814144663</v>
      </c>
      <c r="S124" s="35">
        <f t="shared" si="35"/>
        <v>1634561.8860578192</v>
      </c>
      <c r="T124" s="35">
        <f t="shared" si="35"/>
        <v>997067.10761931969</v>
      </c>
      <c r="U124" s="35">
        <f t="shared" si="35"/>
        <v>1060647.2607833962</v>
      </c>
      <c r="V124" s="35">
        <f t="shared" si="35"/>
        <v>1069156.9833313371</v>
      </c>
      <c r="X124" s="40">
        <f t="shared" ref="X124:X137" si="36">SUM(R124:V124)</f>
        <v>5558062.8759333193</v>
      </c>
    </row>
    <row r="125" spans="1:24">
      <c r="B125" s="4" t="str">
        <f t="shared" si="33"/>
        <v>Information Security</v>
      </c>
      <c r="D125" s="31" t="s">
        <v>60</v>
      </c>
      <c r="P125" s="35"/>
      <c r="Q125" s="35">
        <f t="shared" ref="Q125:V125" si="37">Q79+Q102</f>
        <v>161214.33886981569</v>
      </c>
      <c r="R125" s="35">
        <f t="shared" si="37"/>
        <v>216084.28312420953</v>
      </c>
      <c r="S125" s="35">
        <f t="shared" si="37"/>
        <v>185612.66258375073</v>
      </c>
      <c r="T125" s="35">
        <f t="shared" si="37"/>
        <v>353340.6892854558</v>
      </c>
      <c r="U125" s="35">
        <f t="shared" si="37"/>
        <v>327526.85510994156</v>
      </c>
      <c r="V125" s="35">
        <f t="shared" si="37"/>
        <v>75074.501834288327</v>
      </c>
      <c r="X125" s="40">
        <f t="shared" si="36"/>
        <v>1157638.9919376457</v>
      </c>
    </row>
    <row r="126" spans="1:24">
      <c r="B126" s="4" t="str">
        <f t="shared" si="33"/>
        <v>Network Management</v>
      </c>
      <c r="D126" s="31" t="s">
        <v>60</v>
      </c>
      <c r="P126" s="35"/>
      <c r="Q126" s="35">
        <f t="shared" ref="Q126:V126" si="38">Q80+Q103</f>
        <v>243427.60457577981</v>
      </c>
      <c r="R126" s="35">
        <f t="shared" si="38"/>
        <v>698197.33491446241</v>
      </c>
      <c r="S126" s="35">
        <f t="shared" si="38"/>
        <v>219229.82614634524</v>
      </c>
      <c r="T126" s="35">
        <f t="shared" si="38"/>
        <v>1306.3359412343841</v>
      </c>
      <c r="U126" s="35">
        <f t="shared" si="38"/>
        <v>1313.4750743148209</v>
      </c>
      <c r="V126" s="35">
        <f t="shared" si="38"/>
        <v>7929.0960307601217</v>
      </c>
      <c r="X126" s="40">
        <f t="shared" si="36"/>
        <v>927976.06810711697</v>
      </c>
    </row>
    <row r="127" spans="1:24">
      <c r="B127" s="4" t="str">
        <f t="shared" si="33"/>
        <v>Works &amp; Asset Management</v>
      </c>
      <c r="D127" s="31" t="s">
        <v>60</v>
      </c>
      <c r="P127" s="35"/>
      <c r="Q127" s="35">
        <f t="shared" ref="Q127:V127" si="39">Q81+Q104</f>
        <v>365697.29635145306</v>
      </c>
      <c r="R127" s="35">
        <f t="shared" si="39"/>
        <v>173782.54044206598</v>
      </c>
      <c r="S127" s="35">
        <f t="shared" si="39"/>
        <v>650317.1575144385</v>
      </c>
      <c r="T127" s="35">
        <f t="shared" si="39"/>
        <v>2328000.7077799165</v>
      </c>
      <c r="U127" s="35">
        <f t="shared" si="39"/>
        <v>598275.49325228296</v>
      </c>
      <c r="V127" s="35">
        <f t="shared" si="39"/>
        <v>850378.77535557991</v>
      </c>
      <c r="X127" s="40">
        <f t="shared" si="36"/>
        <v>4600754.6743442845</v>
      </c>
    </row>
    <row r="128" spans="1:24">
      <c r="B128" s="4" t="str">
        <f t="shared" si="33"/>
        <v>EAM / ERP</v>
      </c>
      <c r="D128" s="31" t="s">
        <v>60</v>
      </c>
      <c r="P128" s="35"/>
      <c r="Q128" s="35">
        <f t="shared" ref="Q128:V128" si="40">Q82+Q105</f>
        <v>0</v>
      </c>
      <c r="R128" s="35">
        <f t="shared" si="40"/>
        <v>0</v>
      </c>
      <c r="S128" s="35">
        <f t="shared" si="40"/>
        <v>0</v>
      </c>
      <c r="T128" s="35">
        <f t="shared" si="40"/>
        <v>0</v>
      </c>
      <c r="U128" s="35">
        <f t="shared" si="40"/>
        <v>0</v>
      </c>
      <c r="V128" s="35">
        <f t="shared" si="40"/>
        <v>0</v>
      </c>
      <c r="X128" s="40">
        <f t="shared" si="36"/>
        <v>0</v>
      </c>
    </row>
    <row r="129" spans="1:24">
      <c r="B129" s="4" t="str">
        <f t="shared" si="33"/>
        <v>Metering &amp; Customer Services</v>
      </c>
      <c r="D129" s="31" t="s">
        <v>60</v>
      </c>
      <c r="P129" s="35"/>
      <c r="Q129" s="35">
        <f t="shared" ref="Q129:V129" si="41">Q83+Q106</f>
        <v>213340.47414781424</v>
      </c>
      <c r="R129" s="35">
        <f t="shared" si="41"/>
        <v>554394.85328304279</v>
      </c>
      <c r="S129" s="35">
        <f t="shared" si="41"/>
        <v>1343844.7209838019</v>
      </c>
      <c r="T129" s="35">
        <f t="shared" si="41"/>
        <v>887886.15380726138</v>
      </c>
      <c r="U129" s="35">
        <f t="shared" si="41"/>
        <v>65948.124797910597</v>
      </c>
      <c r="V129" s="35">
        <f t="shared" si="41"/>
        <v>0</v>
      </c>
      <c r="X129" s="40">
        <f t="shared" si="36"/>
        <v>2852073.8528720164</v>
      </c>
    </row>
    <row r="130" spans="1:24">
      <c r="B130" s="4" t="str">
        <f t="shared" si="33"/>
        <v>Information Technology</v>
      </c>
      <c r="D130" s="31" t="s">
        <v>60</v>
      </c>
      <c r="P130" s="35"/>
      <c r="Q130" s="35">
        <f t="shared" ref="Q130:V131" si="42">Q84+Q107</f>
        <v>626123.81301758415</v>
      </c>
      <c r="R130" s="35">
        <f t="shared" si="42"/>
        <v>2045135.7872289689</v>
      </c>
      <c r="S130" s="35">
        <f t="shared" si="42"/>
        <v>1784428.2476907452</v>
      </c>
      <c r="T130" s="35">
        <f t="shared" si="42"/>
        <v>1178135.3903796063</v>
      </c>
      <c r="U130" s="35">
        <f t="shared" si="42"/>
        <v>1568263.5983517529</v>
      </c>
      <c r="V130" s="35">
        <f t="shared" si="42"/>
        <v>925556.65150123311</v>
      </c>
      <c r="X130" s="40">
        <f t="shared" si="36"/>
        <v>7501519.6751523055</v>
      </c>
    </row>
    <row r="131" spans="1:24">
      <c r="B131" s="4" t="str">
        <f t="shared" si="33"/>
        <v>Comms</v>
      </c>
      <c r="Q131" s="35">
        <f t="shared" si="42"/>
        <v>49876.046626008945</v>
      </c>
      <c r="R131" s="35">
        <f t="shared" si="42"/>
        <v>0</v>
      </c>
      <c r="S131" s="35">
        <f t="shared" si="42"/>
        <v>0</v>
      </c>
      <c r="T131" s="35">
        <f t="shared" si="42"/>
        <v>0</v>
      </c>
      <c r="U131" s="35">
        <f t="shared" si="42"/>
        <v>0</v>
      </c>
      <c r="V131" s="35">
        <f t="shared" si="42"/>
        <v>0</v>
      </c>
      <c r="X131" s="40">
        <f t="shared" si="36"/>
        <v>0</v>
      </c>
    </row>
    <row r="132" spans="1:24">
      <c r="B132" s="4" t="str">
        <f t="shared" si="33"/>
        <v>[blank]</v>
      </c>
      <c r="X132" s="40">
        <f t="shared" si="36"/>
        <v>0</v>
      </c>
    </row>
    <row r="133" spans="1:24">
      <c r="B133" s="4" t="str">
        <f t="shared" si="33"/>
        <v>[blank]</v>
      </c>
      <c r="X133" s="40">
        <f t="shared" si="36"/>
        <v>0</v>
      </c>
    </row>
    <row r="134" spans="1:24">
      <c r="B134" s="4" t="str">
        <f t="shared" si="33"/>
        <v>[blank]</v>
      </c>
      <c r="X134" s="40">
        <f t="shared" si="36"/>
        <v>0</v>
      </c>
    </row>
    <row r="135" spans="1:24">
      <c r="B135" s="4" t="str">
        <f t="shared" si="33"/>
        <v>[blank]</v>
      </c>
      <c r="X135" s="40">
        <f t="shared" si="36"/>
        <v>0</v>
      </c>
    </row>
    <row r="136" spans="1:24">
      <c r="B136" s="4" t="str">
        <f t="shared" si="33"/>
        <v>[blank]</v>
      </c>
      <c r="X136" s="40">
        <f t="shared" si="36"/>
        <v>0</v>
      </c>
    </row>
    <row r="137" spans="1:24">
      <c r="B137" s="4" t="str">
        <f t="shared" si="33"/>
        <v>[blank]</v>
      </c>
      <c r="X137" s="40">
        <f t="shared" si="36"/>
        <v>0</v>
      </c>
    </row>
    <row r="139" spans="1:24" ht="12.75" thickBot="1">
      <c r="B139" s="5" t="s">
        <v>85</v>
      </c>
      <c r="H139" s="36"/>
      <c r="I139" s="36"/>
      <c r="J139" s="36"/>
      <c r="K139" s="36"/>
      <c r="L139" s="36"/>
      <c r="M139" s="36"/>
      <c r="N139" s="36"/>
      <c r="O139" s="36"/>
      <c r="P139" s="37"/>
      <c r="Q139" s="37">
        <f t="shared" ref="Q139:V139" si="43">SUM(Q123:Q137)</f>
        <v>3032466.5760308821</v>
      </c>
      <c r="R139" s="37">
        <f t="shared" si="43"/>
        <v>5472153.5001390409</v>
      </c>
      <c r="S139" s="37">
        <f t="shared" si="43"/>
        <v>6646219.8345427234</v>
      </c>
      <c r="T139" s="37">
        <f t="shared" si="43"/>
        <v>5969084.9791009724</v>
      </c>
      <c r="U139" s="37">
        <f t="shared" si="43"/>
        <v>3750373.065995431</v>
      </c>
      <c r="V139" s="37">
        <f t="shared" si="43"/>
        <v>3038990.8832325153</v>
      </c>
      <c r="X139" s="37">
        <f t="shared" ref="X139" si="44">SUM(R139:V139)</f>
        <v>24876822.263010684</v>
      </c>
    </row>
    <row r="141" spans="1:24" s="1" customFormat="1">
      <c r="A141" s="4"/>
      <c r="B141" s="2" t="s">
        <v>86</v>
      </c>
    </row>
    <row r="143" spans="1:24">
      <c r="H143" s="190" t="s">
        <v>52</v>
      </c>
      <c r="I143" s="190"/>
      <c r="J143" s="190"/>
      <c r="K143" s="190"/>
      <c r="L143" s="190"/>
      <c r="M143" s="190" t="s">
        <v>53</v>
      </c>
      <c r="N143" s="190"/>
      <c r="O143" s="190"/>
      <c r="P143" s="190"/>
      <c r="Q143" s="190"/>
      <c r="R143" s="190" t="s">
        <v>54</v>
      </c>
      <c r="S143" s="190"/>
      <c r="T143" s="190"/>
      <c r="U143" s="190"/>
      <c r="V143" s="190"/>
      <c r="X143" s="38"/>
    </row>
    <row r="144" spans="1:24">
      <c r="B144" s="44" t="s">
        <v>50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63</v>
      </c>
    </row>
    <row r="145" spans="2:24">
      <c r="B145" s="5" t="s">
        <v>46</v>
      </c>
      <c r="D145" s="29" t="s">
        <v>55</v>
      </c>
      <c r="H145" s="16" t="s">
        <v>12</v>
      </c>
      <c r="I145" s="16" t="s">
        <v>12</v>
      </c>
      <c r="J145" s="16" t="s">
        <v>12</v>
      </c>
      <c r="K145" s="16" t="s">
        <v>12</v>
      </c>
      <c r="L145" s="16" t="s">
        <v>12</v>
      </c>
      <c r="M145" s="16" t="s">
        <v>12</v>
      </c>
      <c r="N145" s="16" t="s">
        <v>12</v>
      </c>
      <c r="O145" s="16" t="s">
        <v>12</v>
      </c>
      <c r="P145" s="16" t="s">
        <v>13</v>
      </c>
      <c r="Q145" s="16" t="s">
        <v>13</v>
      </c>
      <c r="R145" s="16" t="s">
        <v>13</v>
      </c>
      <c r="S145" s="16" t="s">
        <v>13</v>
      </c>
      <c r="T145" s="16" t="s">
        <v>13</v>
      </c>
      <c r="U145" s="16" t="s">
        <v>13</v>
      </c>
      <c r="V145" s="16" t="s">
        <v>13</v>
      </c>
      <c r="X145" s="34" t="s">
        <v>13</v>
      </c>
    </row>
    <row r="146" spans="2:24">
      <c r="B146" s="4" t="str">
        <f t="shared" ref="B146:B160" si="45">IF(B10&lt;&gt;"",B10,"[blank]")</f>
        <v>Corporate</v>
      </c>
      <c r="D146" s="31" t="s">
        <v>60</v>
      </c>
      <c r="O146" s="35"/>
      <c r="P146" s="35"/>
      <c r="Q146" s="35">
        <f t="shared" ref="Q146:V146" si="46">$G10*Q53</f>
        <v>51178.739135198237</v>
      </c>
      <c r="R146" s="35">
        <f t="shared" si="46"/>
        <v>63927.714380602178</v>
      </c>
      <c r="S146" s="35">
        <f t="shared" si="46"/>
        <v>53593.476039600231</v>
      </c>
      <c r="T146" s="35">
        <f t="shared" si="46"/>
        <v>14452.621830494432</v>
      </c>
      <c r="U146" s="35">
        <f t="shared" si="46"/>
        <v>8308.4985671270006</v>
      </c>
      <c r="V146" s="35">
        <f t="shared" si="46"/>
        <v>7175.8754471434431</v>
      </c>
      <c r="X146" s="40">
        <f>SUM(R146:V146)</f>
        <v>147458.18626496731</v>
      </c>
    </row>
    <row r="147" spans="2:24">
      <c r="B147" s="4" t="str">
        <f t="shared" si="45"/>
        <v>Information Management</v>
      </c>
      <c r="D147" s="31" t="s">
        <v>60</v>
      </c>
      <c r="O147" s="50"/>
      <c r="P147" s="35"/>
      <c r="Q147" s="35">
        <f t="shared" ref="Q147:V147" si="47">$G11*Q54</f>
        <v>377999.05856052221</v>
      </c>
      <c r="R147" s="35">
        <f t="shared" si="47"/>
        <v>517505.25240625447</v>
      </c>
      <c r="S147" s="35">
        <f t="shared" si="47"/>
        <v>1061841.4391303393</v>
      </c>
      <c r="T147" s="35">
        <f t="shared" si="47"/>
        <v>647713.11596982449</v>
      </c>
      <c r="U147" s="35">
        <f t="shared" si="47"/>
        <v>689015.95186225651</v>
      </c>
      <c r="V147" s="35">
        <f t="shared" si="47"/>
        <v>694544.02401050553</v>
      </c>
      <c r="X147" s="40">
        <f t="shared" ref="X147:X160" si="48">SUM(R147:V147)</f>
        <v>3610619.7833791804</v>
      </c>
    </row>
    <row r="148" spans="2:24">
      <c r="B148" s="4" t="str">
        <f t="shared" si="45"/>
        <v>Information Security</v>
      </c>
      <c r="D148" s="31" t="s">
        <v>60</v>
      </c>
      <c r="P148" s="35"/>
      <c r="Q148" s="35">
        <f t="shared" ref="Q148:V148" si="49">$G12*Q55</f>
        <v>477665.49053595302</v>
      </c>
      <c r="R148" s="35">
        <f t="shared" si="49"/>
        <v>640240.84842096211</v>
      </c>
      <c r="S148" s="35">
        <f t="shared" si="49"/>
        <v>549955.81748064747</v>
      </c>
      <c r="T148" s="35">
        <f t="shared" si="49"/>
        <v>1046920.8561537549</v>
      </c>
      <c r="U148" s="35">
        <f t="shared" si="49"/>
        <v>970436.48230399552</v>
      </c>
      <c r="V148" s="35">
        <f t="shared" si="49"/>
        <v>222439.88342982208</v>
      </c>
      <c r="X148" s="40">
        <f t="shared" si="48"/>
        <v>3429993.8877891824</v>
      </c>
    </row>
    <row r="149" spans="2:24">
      <c r="B149" s="4" t="str">
        <f t="shared" si="45"/>
        <v>Network Management</v>
      </c>
      <c r="D149" s="31" t="s">
        <v>60</v>
      </c>
      <c r="P149" s="35"/>
      <c r="Q149" s="35">
        <f t="shared" ref="Q149:V149" si="50">$G13*Q56</f>
        <v>389085.17812677665</v>
      </c>
      <c r="R149" s="35">
        <f t="shared" si="50"/>
        <v>1115971.3578755865</v>
      </c>
      <c r="S149" s="35">
        <f t="shared" si="50"/>
        <v>350408.39392682409</v>
      </c>
      <c r="T149" s="35">
        <f t="shared" si="50"/>
        <v>2087.9963604553436</v>
      </c>
      <c r="U149" s="35">
        <f t="shared" si="50"/>
        <v>2099.4072720120394</v>
      </c>
      <c r="V149" s="35">
        <f t="shared" si="50"/>
        <v>12673.557491102945</v>
      </c>
      <c r="X149" s="40">
        <f t="shared" si="48"/>
        <v>1483240.7129259808</v>
      </c>
    </row>
    <row r="150" spans="2:24">
      <c r="B150" s="4" t="str">
        <f t="shared" si="45"/>
        <v>Works &amp; Asset Management</v>
      </c>
      <c r="D150" s="31" t="s">
        <v>60</v>
      </c>
      <c r="P150" s="35"/>
      <c r="Q150" s="35">
        <f t="shared" ref="Q150:V150" si="51">$G14*Q57</f>
        <v>73405.753653450156</v>
      </c>
      <c r="R150" s="35">
        <f t="shared" si="51"/>
        <v>34883.05349870916</v>
      </c>
      <c r="S150" s="35">
        <f t="shared" si="51"/>
        <v>130536.98109717277</v>
      </c>
      <c r="T150" s="35">
        <f t="shared" si="51"/>
        <v>467295.35100559716</v>
      </c>
      <c r="U150" s="35">
        <f t="shared" si="51"/>
        <v>120090.7524138959</v>
      </c>
      <c r="V150" s="35">
        <f t="shared" si="51"/>
        <v>170694.98604081298</v>
      </c>
      <c r="X150" s="40">
        <f t="shared" si="48"/>
        <v>923501.12405618792</v>
      </c>
    </row>
    <row r="151" spans="2:24">
      <c r="B151" s="4" t="str">
        <f t="shared" si="45"/>
        <v>EAM / ERP</v>
      </c>
      <c r="D151" s="31" t="s">
        <v>60</v>
      </c>
      <c r="P151" s="35"/>
      <c r="Q151" s="35">
        <f t="shared" ref="Q151:V151" si="52">$G15*Q58</f>
        <v>49253.636123244454</v>
      </c>
      <c r="R151" s="35">
        <f t="shared" si="52"/>
        <v>0</v>
      </c>
      <c r="S151" s="35">
        <f t="shared" si="52"/>
        <v>0</v>
      </c>
      <c r="T151" s="35">
        <f t="shared" si="52"/>
        <v>0</v>
      </c>
      <c r="U151" s="35">
        <f t="shared" si="52"/>
        <v>0</v>
      </c>
      <c r="V151" s="35">
        <f t="shared" si="52"/>
        <v>0</v>
      </c>
      <c r="X151" s="40">
        <f t="shared" si="48"/>
        <v>0</v>
      </c>
    </row>
    <row r="152" spans="2:24">
      <c r="B152" s="4" t="str">
        <f t="shared" si="45"/>
        <v>Metering &amp; Customer Services</v>
      </c>
      <c r="D152" s="31" t="s">
        <v>60</v>
      </c>
      <c r="P152" s="35"/>
      <c r="Q152" s="35">
        <f t="shared" ref="Q152:V152" si="53">$G16*Q59</f>
        <v>239614.64578481769</v>
      </c>
      <c r="R152" s="35">
        <f t="shared" si="53"/>
        <v>622671.93754478346</v>
      </c>
      <c r="S152" s="35">
        <f t="shared" si="53"/>
        <v>1509347.3383078158</v>
      </c>
      <c r="T152" s="35">
        <f t="shared" si="53"/>
        <v>997234.71175172145</v>
      </c>
      <c r="U152" s="35">
        <f t="shared" si="53"/>
        <v>74070.03582768685</v>
      </c>
      <c r="V152" s="35">
        <f t="shared" si="53"/>
        <v>0</v>
      </c>
      <c r="X152" s="40">
        <f t="shared" si="48"/>
        <v>3203324.0234320075</v>
      </c>
    </row>
    <row r="153" spans="2:24">
      <c r="B153" s="4" t="str">
        <f t="shared" si="45"/>
        <v>Information Technology</v>
      </c>
      <c r="D153" s="31" t="s">
        <v>60</v>
      </c>
      <c r="P153" s="35"/>
      <c r="Q153" s="35">
        <f t="shared" ref="Q153:V154" si="54">$G17*Q60</f>
        <v>1501083.6728120607</v>
      </c>
      <c r="R153" s="35">
        <f t="shared" si="54"/>
        <v>4903055.713689697</v>
      </c>
      <c r="S153" s="35">
        <f t="shared" si="54"/>
        <v>4278029.4443744272</v>
      </c>
      <c r="T153" s="35">
        <f t="shared" si="54"/>
        <v>2824488.9622353716</v>
      </c>
      <c r="U153" s="35">
        <f t="shared" si="54"/>
        <v>3759791.3275424242</v>
      </c>
      <c r="V153" s="35">
        <f t="shared" si="54"/>
        <v>2218950.8671379746</v>
      </c>
      <c r="X153" s="40">
        <f t="shared" si="48"/>
        <v>17984316.314979896</v>
      </c>
    </row>
    <row r="154" spans="2:24">
      <c r="B154" s="4" t="str">
        <f t="shared" si="45"/>
        <v>Comms</v>
      </c>
      <c r="Q154" s="35">
        <f t="shared" si="54"/>
        <v>116377.44212735421</v>
      </c>
      <c r="R154" s="35">
        <f t="shared" si="54"/>
        <v>0</v>
      </c>
      <c r="S154" s="35">
        <f t="shared" si="54"/>
        <v>0</v>
      </c>
      <c r="T154" s="35">
        <f t="shared" si="54"/>
        <v>0</v>
      </c>
      <c r="U154" s="35">
        <f t="shared" si="54"/>
        <v>0</v>
      </c>
      <c r="V154" s="35">
        <f t="shared" si="54"/>
        <v>0</v>
      </c>
      <c r="X154" s="40">
        <f t="shared" si="48"/>
        <v>0</v>
      </c>
    </row>
    <row r="155" spans="2:24">
      <c r="B155" s="4" t="str">
        <f t="shared" si="45"/>
        <v>[blank]</v>
      </c>
      <c r="X155" s="40">
        <f t="shared" si="48"/>
        <v>0</v>
      </c>
    </row>
    <row r="156" spans="2:24">
      <c r="B156" s="4" t="str">
        <f t="shared" si="45"/>
        <v>[blank]</v>
      </c>
      <c r="X156" s="40">
        <f t="shared" si="48"/>
        <v>0</v>
      </c>
    </row>
    <row r="157" spans="2:24">
      <c r="B157" s="4" t="str">
        <f t="shared" si="45"/>
        <v>[blank]</v>
      </c>
      <c r="X157" s="40">
        <f t="shared" si="48"/>
        <v>0</v>
      </c>
    </row>
    <row r="158" spans="2:24">
      <c r="B158" s="4" t="str">
        <f t="shared" si="45"/>
        <v>[blank]</v>
      </c>
      <c r="X158" s="40">
        <f t="shared" si="48"/>
        <v>0</v>
      </c>
    </row>
    <row r="159" spans="2:24">
      <c r="B159" s="4" t="str">
        <f t="shared" si="45"/>
        <v>[blank]</v>
      </c>
      <c r="X159" s="40">
        <f t="shared" si="48"/>
        <v>0</v>
      </c>
    </row>
    <row r="160" spans="2:24">
      <c r="B160" s="4" t="str">
        <f t="shared" si="45"/>
        <v>[blank]</v>
      </c>
      <c r="X160" s="40">
        <f t="shared" si="48"/>
        <v>0</v>
      </c>
    </row>
    <row r="162" spans="1:24" ht="12.75" thickBot="1">
      <c r="B162" s="5" t="s">
        <v>87</v>
      </c>
      <c r="H162" s="36"/>
      <c r="I162" s="36"/>
      <c r="J162" s="36"/>
      <c r="K162" s="36"/>
      <c r="L162" s="36"/>
      <c r="M162" s="36"/>
      <c r="N162" s="36"/>
      <c r="O162" s="36"/>
      <c r="P162" s="37"/>
      <c r="Q162" s="37">
        <f t="shared" ref="Q162:V162" si="55">SUM(Q146:Q160)</f>
        <v>3275663.6168593774</v>
      </c>
      <c r="R162" s="37">
        <f t="shared" si="55"/>
        <v>7898255.8778165951</v>
      </c>
      <c r="S162" s="37">
        <f t="shared" si="55"/>
        <v>7933712.8903568275</v>
      </c>
      <c r="T162" s="37">
        <f t="shared" si="55"/>
        <v>6000193.6153072193</v>
      </c>
      <c r="U162" s="37">
        <f t="shared" si="55"/>
        <v>5623812.4557893984</v>
      </c>
      <c r="V162" s="37">
        <f t="shared" si="55"/>
        <v>3326479.1935573616</v>
      </c>
      <c r="X162" s="37">
        <f t="shared" ref="X162" si="56">SUM(R162:V162)</f>
        <v>30782454.032827403</v>
      </c>
    </row>
    <row r="164" spans="1:24" s="1" customFormat="1">
      <c r="A164" s="2">
        <v>5</v>
      </c>
      <c r="B164" s="2" t="s">
        <v>89</v>
      </c>
    </row>
    <row r="166" spans="1:24">
      <c r="H166" s="190" t="s">
        <v>52</v>
      </c>
      <c r="I166" s="190"/>
      <c r="J166" s="190"/>
      <c r="K166" s="190"/>
      <c r="L166" s="190"/>
      <c r="M166" s="190" t="s">
        <v>53</v>
      </c>
      <c r="N166" s="190"/>
      <c r="O166" s="190"/>
      <c r="P166" s="190"/>
      <c r="Q166" s="190"/>
      <c r="R166" s="190" t="s">
        <v>54</v>
      </c>
      <c r="S166" s="190"/>
      <c r="T166" s="190"/>
      <c r="U166" s="190"/>
      <c r="V166" s="190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63</v>
      </c>
    </row>
    <row r="168" spans="1:24">
      <c r="B168" s="5" t="s">
        <v>46</v>
      </c>
      <c r="D168" s="29" t="s">
        <v>55</v>
      </c>
      <c r="H168" s="16" t="s">
        <v>12</v>
      </c>
      <c r="I168" s="16" t="s">
        <v>12</v>
      </c>
      <c r="J168" s="16" t="s">
        <v>12</v>
      </c>
      <c r="K168" s="16" t="s">
        <v>12</v>
      </c>
      <c r="L168" s="16" t="s">
        <v>12</v>
      </c>
      <c r="M168" s="16" t="s">
        <v>12</v>
      </c>
      <c r="N168" s="16" t="s">
        <v>12</v>
      </c>
      <c r="O168" s="16" t="s">
        <v>12</v>
      </c>
      <c r="P168" s="16" t="s">
        <v>13</v>
      </c>
      <c r="Q168" s="16" t="s">
        <v>13</v>
      </c>
      <c r="R168" s="16" t="s">
        <v>13</v>
      </c>
      <c r="S168" s="16" t="s">
        <v>13</v>
      </c>
      <c r="T168" s="16" t="s">
        <v>13</v>
      </c>
      <c r="U168" s="16" t="s">
        <v>13</v>
      </c>
      <c r="V168" s="16" t="s">
        <v>13</v>
      </c>
      <c r="X168" s="34" t="s">
        <v>13</v>
      </c>
    </row>
    <row r="169" spans="1:24">
      <c r="B169" s="4" t="str">
        <f t="shared" ref="B169:B183" si="57">IF(B10&lt;&gt;"",B10,"[blank]")</f>
        <v>Corporate</v>
      </c>
      <c r="D169" s="31" t="s">
        <v>60</v>
      </c>
      <c r="O169" s="35"/>
      <c r="P169" s="35"/>
      <c r="Q169" s="35">
        <f t="shared" ref="Q169:V169" si="58">Q53*Q$188</f>
        <v>98929.966168024534</v>
      </c>
      <c r="R169" s="35">
        <f t="shared" si="58"/>
        <v>58630.781339802255</v>
      </c>
      <c r="S169" s="35">
        <f t="shared" si="58"/>
        <v>45365.822045743756</v>
      </c>
      <c r="T169" s="35">
        <f t="shared" si="58"/>
        <v>15020.866269583063</v>
      </c>
      <c r="U169" s="35">
        <f t="shared" si="58"/>
        <v>11133.363700472111</v>
      </c>
      <c r="V169" s="35">
        <f t="shared" si="58"/>
        <v>14315.337342606636</v>
      </c>
      <c r="X169" s="40">
        <f>SUM(R169:V169)</f>
        <v>144466.1706982078</v>
      </c>
    </row>
    <row r="170" spans="1:24">
      <c r="B170" s="4" t="str">
        <f t="shared" si="57"/>
        <v>Information Management</v>
      </c>
      <c r="D170" s="31" t="s">
        <v>60</v>
      </c>
      <c r="O170" s="50"/>
      <c r="P170" s="35"/>
      <c r="Q170" s="35">
        <f t="shared" ref="Q170:V170" si="59">Q54*Q$188</f>
        <v>112768.22597509889</v>
      </c>
      <c r="R170" s="35">
        <f t="shared" si="59"/>
        <v>73250.234323938916</v>
      </c>
      <c r="S170" s="35">
        <f t="shared" si="59"/>
        <v>138718.4669702985</v>
      </c>
      <c r="T170" s="35">
        <f t="shared" si="59"/>
        <v>103893.59728529736</v>
      </c>
      <c r="U170" s="35">
        <f t="shared" si="59"/>
        <v>142492.12913612893</v>
      </c>
      <c r="V170" s="35">
        <f t="shared" si="59"/>
        <v>213837.67578026582</v>
      </c>
      <c r="X170" s="40">
        <f t="shared" ref="X170:X183" si="60">SUM(R170:V170)</f>
        <v>672192.10349592951</v>
      </c>
    </row>
    <row r="171" spans="1:24">
      <c r="B171" s="4" t="str">
        <f t="shared" si="57"/>
        <v>Information Security</v>
      </c>
      <c r="D171" s="31" t="s">
        <v>60</v>
      </c>
      <c r="P171" s="35"/>
      <c r="Q171" s="35">
        <f t="shared" ref="Q171:V171" si="61">Q55*Q$188</f>
        <v>75056.796265687037</v>
      </c>
      <c r="R171" s="35">
        <f t="shared" si="61"/>
        <v>47731.794501718832</v>
      </c>
      <c r="S171" s="35">
        <f t="shared" si="61"/>
        <v>37841.865478001375</v>
      </c>
      <c r="T171" s="35">
        <f t="shared" si="61"/>
        <v>88448.418219970656</v>
      </c>
      <c r="U171" s="35">
        <f t="shared" si="61"/>
        <v>105705.80563849586</v>
      </c>
      <c r="V171" s="35">
        <f t="shared" si="61"/>
        <v>36071.751612795379</v>
      </c>
      <c r="X171" s="40">
        <f t="shared" si="60"/>
        <v>315799.63545098214</v>
      </c>
    </row>
    <row r="172" spans="1:24">
      <c r="B172" s="4" t="str">
        <f t="shared" si="57"/>
        <v>Network Management</v>
      </c>
      <c r="D172" s="31" t="s">
        <v>60</v>
      </c>
      <c r="P172" s="35"/>
      <c r="Q172" s="35">
        <f t="shared" ref="Q172:V172" si="62">Q56*Q$188</f>
        <v>74308.78372057098</v>
      </c>
      <c r="R172" s="35">
        <f t="shared" si="62"/>
        <v>101122.25373959918</v>
      </c>
      <c r="S172" s="35">
        <f t="shared" si="62"/>
        <v>29305.460306360321</v>
      </c>
      <c r="T172" s="35">
        <f t="shared" si="62"/>
        <v>214.4051759296436</v>
      </c>
      <c r="U172" s="35">
        <f t="shared" si="62"/>
        <v>277.94427436345177</v>
      </c>
      <c r="V172" s="35">
        <f t="shared" si="62"/>
        <v>2497.9424095591071</v>
      </c>
      <c r="X172" s="40">
        <f t="shared" si="60"/>
        <v>133418.0059058117</v>
      </c>
    </row>
    <row r="173" spans="1:24">
      <c r="B173" s="4" t="str">
        <f t="shared" si="57"/>
        <v>Works &amp; Asset Management</v>
      </c>
      <c r="D173" s="31" t="s">
        <v>60</v>
      </c>
      <c r="P173" s="35"/>
      <c r="Q173" s="35">
        <f t="shared" ref="Q173:V173" si="63">Q57*Q$188</f>
        <v>51586.64688868673</v>
      </c>
      <c r="R173" s="35">
        <f t="shared" si="63"/>
        <v>11631.076658451182</v>
      </c>
      <c r="S173" s="35">
        <f t="shared" si="63"/>
        <v>40171.619736471381</v>
      </c>
      <c r="T173" s="35">
        <f t="shared" si="63"/>
        <v>176566.66760676258</v>
      </c>
      <c r="U173" s="35">
        <f t="shared" si="63"/>
        <v>58503.565203111953</v>
      </c>
      <c r="V173" s="35">
        <f t="shared" si="63"/>
        <v>123798.78393690722</v>
      </c>
      <c r="X173" s="40">
        <f t="shared" si="60"/>
        <v>410671.71314170433</v>
      </c>
    </row>
    <row r="174" spans="1:24">
      <c r="B174" s="4" t="str">
        <f t="shared" si="57"/>
        <v>EAM / ERP</v>
      </c>
      <c r="D174" s="31" t="s">
        <v>60</v>
      </c>
      <c r="P174" s="35"/>
      <c r="Q174" s="35">
        <f t="shared" ref="Q174:V174" si="64">Q58*Q$188</f>
        <v>5786.4092145233444</v>
      </c>
      <c r="R174" s="35">
        <f t="shared" si="64"/>
        <v>0</v>
      </c>
      <c r="S174" s="35">
        <f t="shared" si="64"/>
        <v>0</v>
      </c>
      <c r="T174" s="35">
        <f t="shared" si="64"/>
        <v>0</v>
      </c>
      <c r="U174" s="35">
        <f t="shared" si="64"/>
        <v>0</v>
      </c>
      <c r="V174" s="35">
        <f t="shared" si="64"/>
        <v>0</v>
      </c>
      <c r="X174" s="40">
        <f t="shared" si="60"/>
        <v>0</v>
      </c>
    </row>
    <row r="175" spans="1:24">
      <c r="B175" s="4" t="str">
        <f t="shared" si="57"/>
        <v>Metering &amp; Customer Services</v>
      </c>
      <c r="D175" s="31" t="s">
        <v>60</v>
      </c>
      <c r="P175" s="35"/>
      <c r="Q175" s="35">
        <f t="shared" ref="Q175:V175" si="65">Q59*Q$188</f>
        <v>53214.013949860993</v>
      </c>
      <c r="R175" s="35">
        <f t="shared" si="65"/>
        <v>65610.021363279055</v>
      </c>
      <c r="S175" s="35">
        <f t="shared" si="65"/>
        <v>146784.57956920943</v>
      </c>
      <c r="T175" s="35">
        <f t="shared" si="65"/>
        <v>119074.86801678542</v>
      </c>
      <c r="U175" s="35">
        <f t="shared" si="65"/>
        <v>11403.043557792691</v>
      </c>
      <c r="V175" s="35">
        <f t="shared" si="65"/>
        <v>0</v>
      </c>
      <c r="X175" s="40">
        <f t="shared" si="60"/>
        <v>342872.5125070666</v>
      </c>
    </row>
    <row r="176" spans="1:24">
      <c r="B176" s="4" t="str">
        <f t="shared" si="57"/>
        <v>Information Technology</v>
      </c>
      <c r="D176" s="31" t="s">
        <v>60</v>
      </c>
      <c r="P176" s="35"/>
      <c r="Q176" s="35">
        <f t="shared" ref="Q176:V177" si="66">Q60*Q$188</f>
        <v>249908.31065564134</v>
      </c>
      <c r="R176" s="35">
        <f t="shared" si="66"/>
        <v>387294.07401836175</v>
      </c>
      <c r="S176" s="35">
        <f t="shared" si="66"/>
        <v>311887.6279596971</v>
      </c>
      <c r="T176" s="35">
        <f t="shared" si="66"/>
        <v>252828.33330003641</v>
      </c>
      <c r="U176" s="35">
        <f t="shared" si="66"/>
        <v>433915.44444539776</v>
      </c>
      <c r="V176" s="35">
        <f t="shared" si="66"/>
        <v>381251.7974760395</v>
      </c>
      <c r="X176" s="40">
        <f t="shared" si="60"/>
        <v>1767177.2771995324</v>
      </c>
    </row>
    <row r="177" spans="2:24">
      <c r="B177" s="4" t="str">
        <f t="shared" si="57"/>
        <v>Comms</v>
      </c>
      <c r="Q177" s="35">
        <f t="shared" si="66"/>
        <v>19531.770545060499</v>
      </c>
      <c r="R177" s="35">
        <f t="shared" si="66"/>
        <v>0</v>
      </c>
      <c r="S177" s="35">
        <f t="shared" si="66"/>
        <v>0</v>
      </c>
      <c r="T177" s="35">
        <f t="shared" si="66"/>
        <v>0</v>
      </c>
      <c r="U177" s="35">
        <f t="shared" si="66"/>
        <v>0</v>
      </c>
      <c r="V177" s="35">
        <f t="shared" si="66"/>
        <v>0</v>
      </c>
      <c r="X177" s="40">
        <f t="shared" si="60"/>
        <v>0</v>
      </c>
    </row>
    <row r="178" spans="2:24">
      <c r="B178" s="4" t="str">
        <f t="shared" si="57"/>
        <v>[blank]</v>
      </c>
      <c r="X178" s="40">
        <f t="shared" si="60"/>
        <v>0</v>
      </c>
    </row>
    <row r="179" spans="2:24">
      <c r="B179" s="4" t="str">
        <f t="shared" si="57"/>
        <v>[blank]</v>
      </c>
      <c r="X179" s="40">
        <f t="shared" si="60"/>
        <v>0</v>
      </c>
    </row>
    <row r="180" spans="2:24">
      <c r="B180" s="4" t="str">
        <f t="shared" si="57"/>
        <v>[blank]</v>
      </c>
      <c r="X180" s="40">
        <f t="shared" si="60"/>
        <v>0</v>
      </c>
    </row>
    <row r="181" spans="2:24">
      <c r="B181" s="4" t="str">
        <f t="shared" si="57"/>
        <v>[blank]</v>
      </c>
      <c r="X181" s="40">
        <f t="shared" si="60"/>
        <v>0</v>
      </c>
    </row>
    <row r="182" spans="2:24">
      <c r="B182" s="4" t="str">
        <f t="shared" si="57"/>
        <v>[blank]</v>
      </c>
      <c r="X182" s="40">
        <f t="shared" si="60"/>
        <v>0</v>
      </c>
    </row>
    <row r="183" spans="2:24">
      <c r="B183" s="4" t="str">
        <f t="shared" si="57"/>
        <v>[blank]</v>
      </c>
      <c r="X183" s="40">
        <f t="shared" si="60"/>
        <v>0</v>
      </c>
    </row>
    <row r="185" spans="2:24" ht="12.75" thickBot="1">
      <c r="B185" s="5" t="s">
        <v>88</v>
      </c>
      <c r="H185" s="36"/>
      <c r="I185" s="36"/>
      <c r="J185" s="36"/>
      <c r="K185" s="36"/>
      <c r="L185" s="36"/>
      <c r="M185" s="36"/>
      <c r="N185" s="36"/>
      <c r="O185" s="36"/>
      <c r="P185" s="37"/>
      <c r="Q185" s="37">
        <f t="shared" ref="Q185:V185" si="67">SUM(Q169:Q183)</f>
        <v>741090.92338315432</v>
      </c>
      <c r="R185" s="37">
        <f t="shared" si="67"/>
        <v>745270.23594515119</v>
      </c>
      <c r="S185" s="37">
        <f t="shared" si="67"/>
        <v>750075.44206578191</v>
      </c>
      <c r="T185" s="37">
        <f t="shared" si="67"/>
        <v>756047.15587436513</v>
      </c>
      <c r="U185" s="37">
        <f t="shared" si="67"/>
        <v>763431.29595576273</v>
      </c>
      <c r="V185" s="37">
        <f t="shared" si="67"/>
        <v>771773.28855817369</v>
      </c>
      <c r="X185" s="37">
        <f t="shared" ref="X185" si="68">SUM(R185:V185)</f>
        <v>3786597.4183992343</v>
      </c>
    </row>
    <row r="187" spans="2:24">
      <c r="B187" s="4" t="s">
        <v>92</v>
      </c>
      <c r="H187" s="7"/>
      <c r="I187" s="7"/>
      <c r="J187" s="7"/>
      <c r="K187" s="7"/>
      <c r="L187" s="7"/>
      <c r="M187" s="7"/>
      <c r="N187" s="7"/>
      <c r="O187" s="7"/>
      <c r="P187" s="45"/>
      <c r="Q187" s="45">
        <f t="shared" ref="Q187:X187" si="69">Q69</f>
        <v>6308130.1928902604</v>
      </c>
      <c r="R187" s="45">
        <f t="shared" si="69"/>
        <v>13370409.377955636</v>
      </c>
      <c r="S187" s="45">
        <f t="shared" si="69"/>
        <v>14579932.724899549</v>
      </c>
      <c r="T187" s="45">
        <f t="shared" si="69"/>
        <v>11969278.594408192</v>
      </c>
      <c r="U187" s="45">
        <f t="shared" si="69"/>
        <v>9374185.521784829</v>
      </c>
      <c r="V187" s="45">
        <f t="shared" si="69"/>
        <v>6365470.0767898764</v>
      </c>
      <c r="W187" s="45"/>
      <c r="X187" s="40">
        <f t="shared" si="69"/>
        <v>55659276.29583808</v>
      </c>
    </row>
    <row r="188" spans="2:24">
      <c r="B188" s="4" t="s">
        <v>90</v>
      </c>
      <c r="H188" s="21" t="str">
        <f>IFERROR(H192/H187,"")</f>
        <v/>
      </c>
      <c r="I188" s="21" t="str">
        <f t="shared" ref="I188:O188" si="70">IFERROR(I192/I187,"")</f>
        <v/>
      </c>
      <c r="J188" s="21" t="str">
        <f t="shared" si="70"/>
        <v/>
      </c>
      <c r="K188" s="21" t="str">
        <f t="shared" si="70"/>
        <v/>
      </c>
      <c r="L188" s="21" t="str">
        <f t="shared" si="70"/>
        <v/>
      </c>
      <c r="M188" s="21" t="str">
        <f t="shared" si="70"/>
        <v/>
      </c>
      <c r="N188" s="21" t="str">
        <f t="shared" si="70"/>
        <v/>
      </c>
      <c r="O188" s="21" t="str">
        <f t="shared" si="70"/>
        <v/>
      </c>
      <c r="P188" s="21"/>
      <c r="Q188" s="21">
        <f>'General assumptions'!T72</f>
        <v>0.11748186875065134</v>
      </c>
      <c r="R188" s="21">
        <f>'General assumptions'!U72</f>
        <v>5.5740270539053949E-2</v>
      </c>
      <c r="S188" s="21">
        <f>'General assumptions'!V72</f>
        <v>5.1445740952206595E-2</v>
      </c>
      <c r="T188" s="21">
        <f>'General assumptions'!W72</f>
        <v>6.3165641096162239E-2</v>
      </c>
      <c r="U188" s="21">
        <f>'General assumptions'!X72</f>
        <v>8.1439746864579526E-2</v>
      </c>
      <c r="V188" s="21">
        <f>'General assumptions'!Y72</f>
        <v>0.12124372265486809</v>
      </c>
      <c r="W188" s="21"/>
    </row>
    <row r="190" spans="2:24" ht="12.75" thickBot="1">
      <c r="B190" s="5" t="s">
        <v>91</v>
      </c>
      <c r="H190" s="37">
        <f t="shared" ref="H190:N190" si="71">IF(H168="forecast",H187*(1+H188),H187+H192)</f>
        <v>0</v>
      </c>
      <c r="I190" s="37">
        <f t="shared" si="71"/>
        <v>0</v>
      </c>
      <c r="J190" s="37">
        <f t="shared" si="71"/>
        <v>0</v>
      </c>
      <c r="K190" s="37">
        <f t="shared" si="71"/>
        <v>0</v>
      </c>
      <c r="L190" s="37">
        <f t="shared" si="71"/>
        <v>0</v>
      </c>
      <c r="M190" s="37">
        <f t="shared" si="71"/>
        <v>0</v>
      </c>
      <c r="N190" s="37">
        <f t="shared" si="71"/>
        <v>0</v>
      </c>
      <c r="O190" s="37">
        <f>IF(O168="forecast",O187*(1+O188),O187+O192)</f>
        <v>0</v>
      </c>
      <c r="P190" s="37"/>
      <c r="Q190" s="37">
        <f t="shared" ref="Q190:V190" si="72">IF(Q168="forecast",Q187*(1+Q188),Q187+Q192)</f>
        <v>7049221.1162734153</v>
      </c>
      <c r="R190" s="37">
        <f t="shared" si="72"/>
        <v>14115679.613900786</v>
      </c>
      <c r="S190" s="37">
        <f t="shared" si="72"/>
        <v>15330008.166965332</v>
      </c>
      <c r="T190" s="37">
        <f t="shared" si="72"/>
        <v>12725325.750282558</v>
      </c>
      <c r="U190" s="37">
        <f t="shared" si="72"/>
        <v>10137616.817740591</v>
      </c>
      <c r="V190" s="37">
        <f t="shared" si="72"/>
        <v>7137243.3653480504</v>
      </c>
    </row>
    <row r="192" spans="2:24">
      <c r="B192" s="4" t="s">
        <v>18</v>
      </c>
      <c r="H192" s="7"/>
      <c r="I192" s="7"/>
      <c r="J192" s="7"/>
      <c r="K192" s="7"/>
      <c r="L192" s="7"/>
      <c r="M192" s="7"/>
      <c r="N192" s="7"/>
      <c r="O192" s="7"/>
      <c r="P192" s="45"/>
      <c r="Q192" s="45">
        <f t="shared" ref="Q192:V192" si="73">Q190-Q187</f>
        <v>741090.92338315491</v>
      </c>
      <c r="R192" s="45">
        <f t="shared" si="73"/>
        <v>745270.23594515026</v>
      </c>
      <c r="S192" s="45">
        <f t="shared" si="73"/>
        <v>750075.44206578285</v>
      </c>
      <c r="T192" s="45">
        <f t="shared" si="73"/>
        <v>756047.15587436594</v>
      </c>
      <c r="U192" s="45">
        <f t="shared" si="73"/>
        <v>763431.29595576227</v>
      </c>
      <c r="V192" s="45">
        <f t="shared" si="73"/>
        <v>771773.28855817392</v>
      </c>
    </row>
    <row r="194" spans="1:22" s="1" customFormat="1">
      <c r="A194" s="2">
        <v>6</v>
      </c>
      <c r="B194" s="2" t="s">
        <v>74</v>
      </c>
    </row>
    <row r="196" spans="1:22">
      <c r="H196" s="190" t="s">
        <v>52</v>
      </c>
      <c r="I196" s="190"/>
      <c r="J196" s="190"/>
      <c r="K196" s="190"/>
      <c r="L196" s="190"/>
      <c r="M196" s="190" t="s">
        <v>53</v>
      </c>
      <c r="N196" s="190"/>
      <c r="O196" s="190"/>
      <c r="P196" s="190"/>
      <c r="Q196" s="190"/>
      <c r="R196" s="190" t="s">
        <v>54</v>
      </c>
      <c r="S196" s="190"/>
      <c r="T196" s="190"/>
      <c r="U196" s="190"/>
      <c r="V196" s="190"/>
    </row>
    <row r="197" spans="1:22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</row>
    <row r="198" spans="1:22">
      <c r="D198" s="29" t="s">
        <v>55</v>
      </c>
      <c r="H198" s="16" t="s">
        <v>12</v>
      </c>
      <c r="I198" s="16" t="s">
        <v>12</v>
      </c>
      <c r="J198" s="16" t="s">
        <v>12</v>
      </c>
      <c r="K198" s="16" t="s">
        <v>12</v>
      </c>
      <c r="L198" s="16" t="s">
        <v>12</v>
      </c>
      <c r="M198" s="16" t="s">
        <v>12</v>
      </c>
      <c r="N198" s="16" t="s">
        <v>12</v>
      </c>
      <c r="O198" s="16" t="s">
        <v>12</v>
      </c>
      <c r="P198" s="16" t="s">
        <v>13</v>
      </c>
      <c r="Q198" s="16" t="s">
        <v>13</v>
      </c>
      <c r="R198" s="16" t="s">
        <v>13</v>
      </c>
      <c r="S198" s="16" t="s">
        <v>13</v>
      </c>
      <c r="T198" s="16" t="s">
        <v>13</v>
      </c>
      <c r="U198" s="16" t="s">
        <v>13</v>
      </c>
      <c r="V198" s="16" t="s">
        <v>13</v>
      </c>
    </row>
    <row r="199" spans="1:22">
      <c r="B199" s="5" t="s">
        <v>94</v>
      </c>
      <c r="D199" s="31" t="s">
        <v>105</v>
      </c>
      <c r="H199" s="4" t="str">
        <f t="shared" ref="H199:O199" si="74">IFERROR(-H218/H190,"")</f>
        <v/>
      </c>
      <c r="I199" s="4" t="str">
        <f t="shared" si="74"/>
        <v/>
      </c>
      <c r="J199" s="4" t="str">
        <f t="shared" si="74"/>
        <v/>
      </c>
      <c r="K199" s="4" t="str">
        <f t="shared" si="74"/>
        <v/>
      </c>
      <c r="L199" s="4" t="str">
        <f t="shared" si="74"/>
        <v/>
      </c>
      <c r="M199" s="4" t="str">
        <f t="shared" si="74"/>
        <v/>
      </c>
      <c r="N199" s="4" t="str">
        <f t="shared" si="74"/>
        <v/>
      </c>
      <c r="O199" s="4" t="str">
        <f t="shared" si="74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</row>
    <row r="200" spans="1:22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2">
      <c r="B201" s="5" t="s">
        <v>46</v>
      </c>
      <c r="D201" s="29"/>
      <c r="P201" s="46"/>
      <c r="Q201" s="46"/>
      <c r="R201" s="46"/>
      <c r="S201" s="46"/>
      <c r="T201" s="46"/>
      <c r="U201" s="46"/>
      <c r="V201" s="46"/>
    </row>
    <row r="202" spans="1:22">
      <c r="B202" s="4" t="str">
        <f t="shared" ref="B202:B216" si="75">IF(B10&lt;&gt;"",B10,"[blank]")</f>
        <v>Corporate</v>
      </c>
      <c r="D202" s="31" t="s">
        <v>60</v>
      </c>
      <c r="P202" s="45"/>
      <c r="Q202" s="45">
        <f t="shared" ref="Q202:V202" si="76">(-Q53*(1+Q$188))*Q$199</f>
        <v>0</v>
      </c>
      <c r="R202" s="45">
        <f t="shared" si="76"/>
        <v>0</v>
      </c>
      <c r="S202" s="45">
        <f t="shared" si="76"/>
        <v>0</v>
      </c>
      <c r="T202" s="45">
        <f t="shared" si="76"/>
        <v>0</v>
      </c>
      <c r="U202" s="45">
        <f t="shared" si="76"/>
        <v>0</v>
      </c>
      <c r="V202" s="45">
        <f t="shared" si="76"/>
        <v>0</v>
      </c>
    </row>
    <row r="203" spans="1:22">
      <c r="B203" s="4" t="str">
        <f t="shared" si="75"/>
        <v>Information Management</v>
      </c>
      <c r="D203" s="31" t="s">
        <v>60</v>
      </c>
      <c r="P203" s="45"/>
      <c r="Q203" s="45">
        <f t="shared" ref="Q203:V203" si="77">(-Q54*(1+Q$188))*Q$199</f>
        <v>0</v>
      </c>
      <c r="R203" s="45">
        <f t="shared" si="77"/>
        <v>0</v>
      </c>
      <c r="S203" s="45">
        <f t="shared" si="77"/>
        <v>0</v>
      </c>
      <c r="T203" s="45">
        <f t="shared" si="77"/>
        <v>0</v>
      </c>
      <c r="U203" s="45">
        <f t="shared" si="77"/>
        <v>0</v>
      </c>
      <c r="V203" s="45">
        <f t="shared" si="77"/>
        <v>0</v>
      </c>
    </row>
    <row r="204" spans="1:22">
      <c r="B204" s="4" t="str">
        <f t="shared" si="75"/>
        <v>Information Security</v>
      </c>
      <c r="D204" s="31" t="s">
        <v>60</v>
      </c>
      <c r="P204" s="45"/>
      <c r="Q204" s="45">
        <f t="shared" ref="Q204:V204" si="78">(-Q55*(1+Q$188))*Q$199</f>
        <v>0</v>
      </c>
      <c r="R204" s="45">
        <f t="shared" si="78"/>
        <v>0</v>
      </c>
      <c r="S204" s="45">
        <f t="shared" si="78"/>
        <v>0</v>
      </c>
      <c r="T204" s="45">
        <f t="shared" si="78"/>
        <v>0</v>
      </c>
      <c r="U204" s="45">
        <f t="shared" si="78"/>
        <v>0</v>
      </c>
      <c r="V204" s="45">
        <f t="shared" si="78"/>
        <v>0</v>
      </c>
    </row>
    <row r="205" spans="1:22">
      <c r="B205" s="4" t="str">
        <f t="shared" si="75"/>
        <v>Network Management</v>
      </c>
      <c r="D205" s="31" t="s">
        <v>60</v>
      </c>
      <c r="P205" s="45"/>
      <c r="Q205" s="45">
        <f t="shared" ref="Q205:V205" si="79">(-Q56*(1+Q$188))*Q$199</f>
        <v>0</v>
      </c>
      <c r="R205" s="45">
        <f t="shared" si="79"/>
        <v>0</v>
      </c>
      <c r="S205" s="45">
        <f t="shared" si="79"/>
        <v>0</v>
      </c>
      <c r="T205" s="45">
        <f t="shared" si="79"/>
        <v>0</v>
      </c>
      <c r="U205" s="45">
        <f t="shared" si="79"/>
        <v>0</v>
      </c>
      <c r="V205" s="45">
        <f t="shared" si="79"/>
        <v>0</v>
      </c>
    </row>
    <row r="206" spans="1:22">
      <c r="B206" s="4" t="str">
        <f t="shared" si="75"/>
        <v>Works &amp; Asset Management</v>
      </c>
      <c r="D206" s="31" t="s">
        <v>60</v>
      </c>
      <c r="P206" s="45"/>
      <c r="Q206" s="45">
        <f t="shared" ref="Q206:V206" si="80">(-Q57*(1+Q$188))*Q$199</f>
        <v>0</v>
      </c>
      <c r="R206" s="45">
        <f t="shared" si="80"/>
        <v>0</v>
      </c>
      <c r="S206" s="45">
        <f t="shared" si="80"/>
        <v>0</v>
      </c>
      <c r="T206" s="45">
        <f t="shared" si="80"/>
        <v>0</v>
      </c>
      <c r="U206" s="45">
        <f t="shared" si="80"/>
        <v>0</v>
      </c>
      <c r="V206" s="45">
        <f t="shared" si="80"/>
        <v>0</v>
      </c>
    </row>
    <row r="207" spans="1:22">
      <c r="B207" s="4" t="str">
        <f t="shared" si="75"/>
        <v>EAM / ERP</v>
      </c>
      <c r="D207" s="31" t="s">
        <v>60</v>
      </c>
      <c r="P207" s="45"/>
      <c r="Q207" s="45">
        <f t="shared" ref="Q207:V207" si="81">(-Q58*(1+Q$188))*Q$199</f>
        <v>0</v>
      </c>
      <c r="R207" s="45">
        <f t="shared" si="81"/>
        <v>0</v>
      </c>
      <c r="S207" s="45">
        <f t="shared" si="81"/>
        <v>0</v>
      </c>
      <c r="T207" s="45">
        <f t="shared" si="81"/>
        <v>0</v>
      </c>
      <c r="U207" s="45">
        <f t="shared" si="81"/>
        <v>0</v>
      </c>
      <c r="V207" s="45">
        <f t="shared" si="81"/>
        <v>0</v>
      </c>
    </row>
    <row r="208" spans="1:22">
      <c r="B208" s="4" t="str">
        <f t="shared" si="75"/>
        <v>Metering &amp; Customer Services</v>
      </c>
      <c r="D208" s="31" t="s">
        <v>60</v>
      </c>
      <c r="P208" s="45"/>
      <c r="Q208" s="45">
        <f t="shared" ref="Q208:V208" si="82">(-Q59*(1+Q$188))*Q$199</f>
        <v>0</v>
      </c>
      <c r="R208" s="45">
        <f t="shared" si="82"/>
        <v>0</v>
      </c>
      <c r="S208" s="45">
        <f t="shared" si="82"/>
        <v>0</v>
      </c>
      <c r="T208" s="45">
        <f t="shared" si="82"/>
        <v>0</v>
      </c>
      <c r="U208" s="45">
        <f t="shared" si="82"/>
        <v>0</v>
      </c>
      <c r="V208" s="45">
        <f t="shared" si="82"/>
        <v>0</v>
      </c>
    </row>
    <row r="209" spans="1:22">
      <c r="B209" s="4" t="str">
        <f t="shared" si="75"/>
        <v>Information Technology</v>
      </c>
      <c r="D209" s="31" t="s">
        <v>60</v>
      </c>
      <c r="P209" s="45"/>
      <c r="Q209" s="45">
        <f t="shared" ref="Q209:V210" si="83">(-Q60*(1+Q$188))*Q$199</f>
        <v>0</v>
      </c>
      <c r="R209" s="45">
        <f t="shared" si="83"/>
        <v>0</v>
      </c>
      <c r="S209" s="45">
        <f t="shared" si="83"/>
        <v>0</v>
      </c>
      <c r="T209" s="45">
        <f t="shared" si="83"/>
        <v>0</v>
      </c>
      <c r="U209" s="45">
        <f t="shared" si="83"/>
        <v>0</v>
      </c>
      <c r="V209" s="45">
        <f t="shared" si="83"/>
        <v>0</v>
      </c>
    </row>
    <row r="210" spans="1:22">
      <c r="B210" s="4" t="str">
        <f t="shared" si="75"/>
        <v>Comms</v>
      </c>
      <c r="P210" s="45"/>
      <c r="Q210" s="45">
        <f t="shared" si="83"/>
        <v>0</v>
      </c>
      <c r="R210" s="45">
        <f t="shared" si="83"/>
        <v>0</v>
      </c>
      <c r="S210" s="45">
        <f t="shared" si="83"/>
        <v>0</v>
      </c>
      <c r="T210" s="45">
        <f t="shared" si="83"/>
        <v>0</v>
      </c>
      <c r="U210" s="45">
        <f t="shared" si="83"/>
        <v>0</v>
      </c>
      <c r="V210" s="45">
        <f t="shared" si="83"/>
        <v>0</v>
      </c>
    </row>
    <row r="211" spans="1:22">
      <c r="B211" s="4" t="str">
        <f t="shared" si="75"/>
        <v>[blank]</v>
      </c>
      <c r="P211" s="45"/>
      <c r="Q211" s="45"/>
      <c r="R211" s="45"/>
      <c r="S211" s="45"/>
      <c r="T211" s="45"/>
      <c r="U211" s="45"/>
      <c r="V211" s="45"/>
    </row>
    <row r="212" spans="1:22">
      <c r="B212" s="4" t="str">
        <f t="shared" si="75"/>
        <v>[blank]</v>
      </c>
      <c r="P212" s="45"/>
      <c r="Q212" s="45"/>
      <c r="R212" s="45"/>
      <c r="S212" s="45"/>
      <c r="T212" s="45"/>
      <c r="U212" s="45"/>
      <c r="V212" s="45"/>
    </row>
    <row r="213" spans="1:22">
      <c r="B213" s="4" t="str">
        <f t="shared" si="75"/>
        <v>[blank]</v>
      </c>
      <c r="P213" s="45"/>
      <c r="Q213" s="45"/>
      <c r="R213" s="45"/>
      <c r="S213" s="45"/>
      <c r="T213" s="45"/>
      <c r="U213" s="45"/>
      <c r="V213" s="45"/>
    </row>
    <row r="214" spans="1:22">
      <c r="B214" s="4" t="str">
        <f t="shared" si="75"/>
        <v>[blank]</v>
      </c>
      <c r="P214" s="45"/>
      <c r="Q214" s="45"/>
      <c r="R214" s="45"/>
      <c r="S214" s="45"/>
      <c r="T214" s="45"/>
      <c r="U214" s="45"/>
      <c r="V214" s="45"/>
    </row>
    <row r="215" spans="1:22">
      <c r="B215" s="4" t="str">
        <f t="shared" si="75"/>
        <v>[blank]</v>
      </c>
      <c r="P215" s="45"/>
      <c r="Q215" s="45"/>
      <c r="R215" s="45"/>
      <c r="S215" s="45"/>
      <c r="T215" s="45"/>
      <c r="U215" s="45"/>
      <c r="V215" s="45"/>
    </row>
    <row r="216" spans="1:22">
      <c r="B216" s="4" t="str">
        <f t="shared" si="75"/>
        <v>[blank]</v>
      </c>
      <c r="P216" s="45"/>
      <c r="Q216" s="45"/>
      <c r="R216" s="45"/>
      <c r="S216" s="45"/>
      <c r="T216" s="45"/>
      <c r="U216" s="45"/>
      <c r="V216" s="45"/>
    </row>
    <row r="218" spans="1:22" ht="12.75" thickBot="1">
      <c r="B218" s="5" t="s">
        <v>93</v>
      </c>
      <c r="H218" s="7"/>
      <c r="I218" s="7"/>
      <c r="J218" s="7"/>
      <c r="K218" s="7"/>
      <c r="L218" s="7"/>
      <c r="M218" s="7"/>
      <c r="N218" s="7"/>
      <c r="O218" s="7"/>
      <c r="P218" s="37"/>
      <c r="Q218" s="37">
        <f t="shared" ref="Q218:V218" si="84">-Q199*Q190</f>
        <v>0</v>
      </c>
      <c r="R218" s="37">
        <f t="shared" si="84"/>
        <v>0</v>
      </c>
      <c r="S218" s="37">
        <f t="shared" si="84"/>
        <v>0</v>
      </c>
      <c r="T218" s="37">
        <f t="shared" si="84"/>
        <v>0</v>
      </c>
      <c r="U218" s="37">
        <f t="shared" si="84"/>
        <v>0</v>
      </c>
      <c r="V218" s="37">
        <f t="shared" si="84"/>
        <v>0</v>
      </c>
    </row>
    <row r="220" spans="1:22" s="1" customFormat="1">
      <c r="A220" s="2">
        <v>7</v>
      </c>
      <c r="B220" s="2" t="s">
        <v>75</v>
      </c>
    </row>
    <row r="222" spans="1:22">
      <c r="H222" s="190" t="s">
        <v>52</v>
      </c>
      <c r="I222" s="190"/>
      <c r="J222" s="190"/>
      <c r="K222" s="190"/>
      <c r="L222" s="190"/>
      <c r="M222" s="190" t="s">
        <v>53</v>
      </c>
      <c r="N222" s="190"/>
      <c r="O222" s="190"/>
      <c r="P222" s="190"/>
      <c r="Q222" s="190"/>
      <c r="R222" s="190" t="s">
        <v>54</v>
      </c>
      <c r="S222" s="190"/>
      <c r="T222" s="190"/>
      <c r="U222" s="190"/>
      <c r="V222" s="190"/>
    </row>
    <row r="223" spans="1:22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</row>
    <row r="224" spans="1:22">
      <c r="D224" s="29" t="s">
        <v>55</v>
      </c>
      <c r="H224" s="16" t="s">
        <v>12</v>
      </c>
      <c r="I224" s="16" t="s">
        <v>12</v>
      </c>
      <c r="J224" s="16" t="s">
        <v>12</v>
      </c>
      <c r="K224" s="16" t="s">
        <v>12</v>
      </c>
      <c r="L224" s="16" t="s">
        <v>12</v>
      </c>
      <c r="M224" s="16" t="s">
        <v>12</v>
      </c>
      <c r="N224" s="16" t="s">
        <v>12</v>
      </c>
      <c r="O224" s="16" t="s">
        <v>12</v>
      </c>
      <c r="P224" s="16" t="s">
        <v>13</v>
      </c>
      <c r="Q224" s="16" t="s">
        <v>13</v>
      </c>
      <c r="R224" s="16" t="s">
        <v>13</v>
      </c>
      <c r="S224" s="16" t="s">
        <v>13</v>
      </c>
      <c r="T224" s="16" t="s">
        <v>13</v>
      </c>
      <c r="U224" s="16" t="s">
        <v>13</v>
      </c>
      <c r="V224" s="16" t="s">
        <v>13</v>
      </c>
    </row>
    <row r="225" spans="1:22">
      <c r="B225" s="38" t="s">
        <v>96</v>
      </c>
      <c r="D225" s="31"/>
    </row>
    <row r="226" spans="1:22">
      <c r="B226" s="47" t="s">
        <v>97</v>
      </c>
      <c r="D226" s="31" t="s">
        <v>60</v>
      </c>
      <c r="P226" s="33"/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</row>
    <row r="227" spans="1:22">
      <c r="B227" s="47" t="s">
        <v>98</v>
      </c>
      <c r="D227" s="31" t="s">
        <v>60</v>
      </c>
      <c r="P227" s="33"/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</row>
    <row r="228" spans="1:22">
      <c r="B228" s="47" t="s">
        <v>99</v>
      </c>
      <c r="D228" s="31" t="s">
        <v>60</v>
      </c>
      <c r="P228" s="33"/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</row>
    <row r="229" spans="1:22">
      <c r="B229" s="47" t="s">
        <v>100</v>
      </c>
      <c r="D229" s="31" t="s">
        <v>60</v>
      </c>
      <c r="P229" s="33"/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</row>
    <row r="230" spans="1:22">
      <c r="B230" s="47" t="s">
        <v>101</v>
      </c>
      <c r="D230" s="31" t="s">
        <v>60</v>
      </c>
      <c r="P230" s="33"/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</row>
    <row r="232" spans="1:22" ht="12.75" thickBot="1">
      <c r="B232" s="5" t="s">
        <v>102</v>
      </c>
      <c r="H232" s="48"/>
      <c r="I232" s="48"/>
      <c r="J232" s="48"/>
      <c r="K232" s="48"/>
      <c r="L232" s="48"/>
      <c r="M232" s="48"/>
      <c r="N232" s="48"/>
      <c r="O232" s="48"/>
      <c r="P232" s="49"/>
      <c r="Q232" s="49">
        <f t="shared" ref="Q232:V232" si="85">SUM(Q226:Q230)</f>
        <v>0</v>
      </c>
      <c r="R232" s="49">
        <f t="shared" si="85"/>
        <v>0</v>
      </c>
      <c r="S232" s="49">
        <f t="shared" si="85"/>
        <v>0</v>
      </c>
      <c r="T232" s="49">
        <f t="shared" si="85"/>
        <v>0</v>
      </c>
      <c r="U232" s="49">
        <f t="shared" si="85"/>
        <v>0</v>
      </c>
      <c r="V232" s="49">
        <f t="shared" si="85"/>
        <v>0</v>
      </c>
    </row>
    <row r="234" spans="1:22" s="1" customFormat="1">
      <c r="A234" s="2">
        <v>8</v>
      </c>
      <c r="B234" s="2" t="s">
        <v>103</v>
      </c>
    </row>
    <row r="236" spans="1:22">
      <c r="H236" s="190" t="s">
        <v>52</v>
      </c>
      <c r="I236" s="190"/>
      <c r="J236" s="190"/>
      <c r="K236" s="190"/>
      <c r="L236" s="190"/>
      <c r="M236" s="190" t="s">
        <v>53</v>
      </c>
      <c r="N236" s="190"/>
      <c r="O236" s="190"/>
      <c r="P236" s="190"/>
      <c r="Q236" s="190"/>
      <c r="R236" s="190" t="s">
        <v>54</v>
      </c>
      <c r="S236" s="190"/>
      <c r="T236" s="190"/>
      <c r="U236" s="190"/>
      <c r="V236" s="190"/>
    </row>
    <row r="237" spans="1:22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</row>
    <row r="238" spans="1:22">
      <c r="D238" s="29" t="s">
        <v>55</v>
      </c>
      <c r="H238" s="16" t="s">
        <v>12</v>
      </c>
      <c r="I238" s="16" t="s">
        <v>12</v>
      </c>
      <c r="J238" s="16" t="s">
        <v>12</v>
      </c>
      <c r="K238" s="16" t="s">
        <v>12</v>
      </c>
      <c r="L238" s="16" t="s">
        <v>12</v>
      </c>
      <c r="M238" s="16" t="s">
        <v>12</v>
      </c>
      <c r="N238" s="16" t="s">
        <v>12</v>
      </c>
      <c r="O238" s="16" t="s">
        <v>12</v>
      </c>
      <c r="P238" s="16" t="s">
        <v>13</v>
      </c>
      <c r="Q238" s="16" t="s">
        <v>13</v>
      </c>
      <c r="R238" s="16" t="s">
        <v>13</v>
      </c>
      <c r="S238" s="16" t="s">
        <v>13</v>
      </c>
      <c r="T238" s="16" t="s">
        <v>13</v>
      </c>
      <c r="U238" s="16" t="s">
        <v>13</v>
      </c>
      <c r="V238" s="16" t="s">
        <v>13</v>
      </c>
    </row>
    <row r="239" spans="1:22">
      <c r="B239" s="4" t="s">
        <v>104</v>
      </c>
      <c r="D239" s="31" t="s">
        <v>60</v>
      </c>
      <c r="H239" s="45">
        <f t="shared" ref="H239:V239" si="86">H190</f>
        <v>0</v>
      </c>
      <c r="I239" s="45">
        <f t="shared" si="86"/>
        <v>0</v>
      </c>
      <c r="J239" s="45">
        <f t="shared" si="86"/>
        <v>0</v>
      </c>
      <c r="K239" s="45">
        <f t="shared" si="86"/>
        <v>0</v>
      </c>
      <c r="L239" s="45">
        <f t="shared" si="86"/>
        <v>0</v>
      </c>
      <c r="M239" s="45">
        <f t="shared" si="86"/>
        <v>0</v>
      </c>
      <c r="N239" s="45">
        <f t="shared" si="86"/>
        <v>0</v>
      </c>
      <c r="O239" s="45">
        <f t="shared" si="86"/>
        <v>0</v>
      </c>
      <c r="P239" s="45">
        <f t="shared" si="86"/>
        <v>0</v>
      </c>
      <c r="Q239" s="45">
        <f t="shared" si="86"/>
        <v>7049221.1162734153</v>
      </c>
      <c r="R239" s="45">
        <f t="shared" si="86"/>
        <v>14115679.613900786</v>
      </c>
      <c r="S239" s="45">
        <f t="shared" si="86"/>
        <v>15330008.166965332</v>
      </c>
      <c r="T239" s="45">
        <f t="shared" si="86"/>
        <v>12725325.750282558</v>
      </c>
      <c r="U239" s="45">
        <f t="shared" si="86"/>
        <v>10137616.817740591</v>
      </c>
      <c r="V239" s="45">
        <f t="shared" si="86"/>
        <v>7137243.3653480504</v>
      </c>
    </row>
    <row r="240" spans="1:22">
      <c r="B240" s="4" t="s">
        <v>74</v>
      </c>
      <c r="D240" s="31" t="s">
        <v>60</v>
      </c>
      <c r="H240" s="45">
        <f>H218</f>
        <v>0</v>
      </c>
      <c r="I240" s="45">
        <f t="shared" ref="I240:V240" si="87">I218</f>
        <v>0</v>
      </c>
      <c r="J240" s="45">
        <f t="shared" si="87"/>
        <v>0</v>
      </c>
      <c r="K240" s="45">
        <f t="shared" si="87"/>
        <v>0</v>
      </c>
      <c r="L240" s="45">
        <f t="shared" si="87"/>
        <v>0</v>
      </c>
      <c r="M240" s="45">
        <f t="shared" si="87"/>
        <v>0</v>
      </c>
      <c r="N240" s="45">
        <f t="shared" si="87"/>
        <v>0</v>
      </c>
      <c r="O240" s="45">
        <f t="shared" si="87"/>
        <v>0</v>
      </c>
      <c r="P240" s="45">
        <f t="shared" si="87"/>
        <v>0</v>
      </c>
      <c r="Q240" s="45">
        <f t="shared" si="87"/>
        <v>0</v>
      </c>
      <c r="R240" s="45">
        <f t="shared" si="87"/>
        <v>0</v>
      </c>
      <c r="S240" s="45">
        <f t="shared" si="87"/>
        <v>0</v>
      </c>
      <c r="T240" s="45">
        <f t="shared" si="87"/>
        <v>0</v>
      </c>
      <c r="U240" s="45">
        <f t="shared" si="87"/>
        <v>0</v>
      </c>
      <c r="V240" s="45">
        <f t="shared" si="87"/>
        <v>0</v>
      </c>
    </row>
    <row r="241" spans="1:22">
      <c r="B241" s="4" t="s">
        <v>75</v>
      </c>
      <c r="D241" s="31" t="s">
        <v>60</v>
      </c>
      <c r="H241" s="45">
        <f>H232</f>
        <v>0</v>
      </c>
      <c r="I241" s="45">
        <f t="shared" ref="I241:V241" si="88">I232</f>
        <v>0</v>
      </c>
      <c r="J241" s="45">
        <f t="shared" si="88"/>
        <v>0</v>
      </c>
      <c r="K241" s="45">
        <f t="shared" si="88"/>
        <v>0</v>
      </c>
      <c r="L241" s="45">
        <f t="shared" si="88"/>
        <v>0</v>
      </c>
      <c r="M241" s="45">
        <f t="shared" si="88"/>
        <v>0</v>
      </c>
      <c r="N241" s="45">
        <f t="shared" si="88"/>
        <v>0</v>
      </c>
      <c r="O241" s="45">
        <f t="shared" si="88"/>
        <v>0</v>
      </c>
      <c r="P241" s="45">
        <f t="shared" si="88"/>
        <v>0</v>
      </c>
      <c r="Q241" s="45">
        <f t="shared" si="88"/>
        <v>0</v>
      </c>
      <c r="R241" s="45">
        <f t="shared" si="88"/>
        <v>0</v>
      </c>
      <c r="S241" s="45">
        <f t="shared" si="88"/>
        <v>0</v>
      </c>
      <c r="T241" s="45">
        <f t="shared" si="88"/>
        <v>0</v>
      </c>
      <c r="U241" s="45">
        <f t="shared" si="88"/>
        <v>0</v>
      </c>
      <c r="V241" s="45">
        <f t="shared" si="88"/>
        <v>0</v>
      </c>
    </row>
    <row r="242" spans="1:22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2" ht="12.75" thickBot="1">
      <c r="B243" s="5" t="s">
        <v>103</v>
      </c>
      <c r="D243" s="31" t="s">
        <v>60</v>
      </c>
      <c r="H243" s="37">
        <f>SUM(H239:H241)</f>
        <v>0</v>
      </c>
      <c r="I243" s="37">
        <f t="shared" ref="I243:V243" si="89">SUM(I239:I241)</f>
        <v>0</v>
      </c>
      <c r="J243" s="37">
        <f t="shared" si="89"/>
        <v>0</v>
      </c>
      <c r="K243" s="37">
        <f t="shared" si="89"/>
        <v>0</v>
      </c>
      <c r="L243" s="37">
        <f t="shared" si="89"/>
        <v>0</v>
      </c>
      <c r="M243" s="37">
        <f t="shared" si="89"/>
        <v>0</v>
      </c>
      <c r="N243" s="37">
        <f t="shared" si="89"/>
        <v>0</v>
      </c>
      <c r="O243" s="37">
        <f t="shared" si="89"/>
        <v>0</v>
      </c>
      <c r="P243" s="37">
        <f t="shared" si="89"/>
        <v>0</v>
      </c>
      <c r="Q243" s="37">
        <f t="shared" si="89"/>
        <v>7049221.1162734153</v>
      </c>
      <c r="R243" s="37">
        <f t="shared" si="89"/>
        <v>14115679.613900786</v>
      </c>
      <c r="S243" s="37">
        <f t="shared" si="89"/>
        <v>15330008.166965332</v>
      </c>
      <c r="T243" s="37">
        <f t="shared" si="89"/>
        <v>12725325.750282558</v>
      </c>
      <c r="U243" s="37">
        <f t="shared" si="89"/>
        <v>10137616.817740591</v>
      </c>
      <c r="V243" s="37">
        <f t="shared" si="89"/>
        <v>7137243.3653480504</v>
      </c>
    </row>
    <row r="244" spans="1:22">
      <c r="D244" s="31"/>
    </row>
    <row r="246" spans="1:22" s="66" customFormat="1">
      <c r="A246" s="65">
        <v>9</v>
      </c>
      <c r="B246" s="65" t="s">
        <v>121</v>
      </c>
    </row>
    <row r="268" spans="2:22">
      <c r="B268" s="69" t="s">
        <v>120</v>
      </c>
      <c r="C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338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90">IFERROR(SUMPRODUCT($Z$53:$Z$67,Q$53:Q$67)/SUM(Q$53:Q$67)*Q$69,0)</f>
        <v>0</v>
      </c>
      <c r="R276" s="57">
        <f t="shared" si="90"/>
        <v>0</v>
      </c>
      <c r="S276" s="57">
        <f t="shared" si="90"/>
        <v>0</v>
      </c>
      <c r="T276" s="57">
        <f t="shared" si="90"/>
        <v>0</v>
      </c>
      <c r="U276" s="57">
        <f t="shared" si="90"/>
        <v>0</v>
      </c>
      <c r="V276" s="62">
        <f t="shared" si="90"/>
        <v>0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91">IFERROR(SUMPRODUCT($AA$53:$AA$67,Q$53:Q$67)/SUM(Q$53:Q$67)*Q$69,0)</f>
        <v>0</v>
      </c>
      <c r="R277" s="57">
        <f t="shared" si="91"/>
        <v>0</v>
      </c>
      <c r="S277" s="57">
        <f t="shared" si="91"/>
        <v>0</v>
      </c>
      <c r="T277" s="57">
        <f t="shared" si="91"/>
        <v>0</v>
      </c>
      <c r="U277" s="57">
        <f t="shared" si="91"/>
        <v>0</v>
      </c>
      <c r="V277" s="62">
        <f t="shared" si="91"/>
        <v>0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92">IFERROR(SUMPRODUCT($AB$53:$AB$67,Q$53:Q$67)/SUM(Q$53:Q$67)*Q$69,0)</f>
        <v>0</v>
      </c>
      <c r="R278" s="57">
        <f t="shared" si="92"/>
        <v>0</v>
      </c>
      <c r="S278" s="57">
        <f t="shared" si="92"/>
        <v>0</v>
      </c>
      <c r="T278" s="57">
        <f t="shared" si="92"/>
        <v>0</v>
      </c>
      <c r="U278" s="57">
        <f t="shared" si="92"/>
        <v>0</v>
      </c>
      <c r="V278" s="62">
        <f t="shared" si="92"/>
        <v>0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93">IFERROR(SUMPRODUCT($AC$53:$AC$67,Q$53:Q$67)/SUM(Q$53:Q$67)*Q$69,0)</f>
        <v>0</v>
      </c>
      <c r="R279" s="57">
        <f t="shared" si="93"/>
        <v>0</v>
      </c>
      <c r="S279" s="57">
        <f t="shared" si="93"/>
        <v>0</v>
      </c>
      <c r="T279" s="57">
        <f t="shared" si="93"/>
        <v>0</v>
      </c>
      <c r="U279" s="57">
        <f t="shared" si="93"/>
        <v>0</v>
      </c>
      <c r="V279" s="62">
        <f t="shared" si="93"/>
        <v>0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94">IFERROR(SUMPRODUCT($AD$53:$AD$67,Q$53:Q$67)/SUM(Q$53:Q$67)*Q$69,0)</f>
        <v>0</v>
      </c>
      <c r="R280" s="57">
        <f t="shared" si="94"/>
        <v>0</v>
      </c>
      <c r="S280" s="57">
        <f t="shared" si="94"/>
        <v>0</v>
      </c>
      <c r="T280" s="57">
        <f t="shared" si="94"/>
        <v>0</v>
      </c>
      <c r="U280" s="57">
        <f t="shared" si="94"/>
        <v>0</v>
      </c>
      <c r="V280" s="62">
        <f t="shared" si="94"/>
        <v>0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95">IFERROR(SUMPRODUCT($AE$53:$AE$67,Q$53:Q$67)/SUM(Q$53:Q$67)*Q$69,0)</f>
        <v>0</v>
      </c>
      <c r="R281" s="57">
        <f t="shared" si="95"/>
        <v>0</v>
      </c>
      <c r="S281" s="57">
        <f t="shared" si="95"/>
        <v>0</v>
      </c>
      <c r="T281" s="57">
        <f t="shared" si="95"/>
        <v>0</v>
      </c>
      <c r="U281" s="57">
        <f t="shared" si="95"/>
        <v>0</v>
      </c>
      <c r="V281" s="62">
        <f t="shared" si="95"/>
        <v>0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96">IFERROR(SUMPRODUCT($AF$53:$AF$67,Q$53:Q$67)/SUM(Q$53:Q$67)*Q$69,0)</f>
        <v>0</v>
      </c>
      <c r="R282" s="57">
        <f t="shared" si="96"/>
        <v>0</v>
      </c>
      <c r="S282" s="57">
        <f t="shared" si="96"/>
        <v>0</v>
      </c>
      <c r="T282" s="57">
        <f t="shared" si="96"/>
        <v>0</v>
      </c>
      <c r="U282" s="57">
        <f t="shared" si="96"/>
        <v>0</v>
      </c>
      <c r="V282" s="62">
        <f t="shared" si="96"/>
        <v>0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97">IFERROR(SUMPRODUCT($AG$53:$AG$67,Q$53:Q$67)/SUM(Q$53:Q$67)*Q$69,0)</f>
        <v>0</v>
      </c>
      <c r="R283" s="57">
        <f t="shared" si="97"/>
        <v>0</v>
      </c>
      <c r="S283" s="57">
        <f t="shared" si="97"/>
        <v>0</v>
      </c>
      <c r="T283" s="57">
        <f t="shared" si="97"/>
        <v>0</v>
      </c>
      <c r="U283" s="57">
        <f t="shared" si="97"/>
        <v>0</v>
      </c>
      <c r="V283" s="62">
        <f t="shared" si="97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98">IFERROR(SUMPRODUCT($AH$53:$AH$67,Q$53:Q$67)/SUM(Q$53:Q$67)*Q$69,0)</f>
        <v>6308130.1928902604</v>
      </c>
      <c r="R284" s="57">
        <f t="shared" si="98"/>
        <v>13370409.377955636</v>
      </c>
      <c r="S284" s="57">
        <f t="shared" si="98"/>
        <v>14579932.724899549</v>
      </c>
      <c r="T284" s="57">
        <f t="shared" si="98"/>
        <v>11969278.594408192</v>
      </c>
      <c r="U284" s="57">
        <f t="shared" si="98"/>
        <v>9374185.521784829</v>
      </c>
      <c r="V284" s="62">
        <f t="shared" si="98"/>
        <v>6365470.0767898764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99">IFERROR(SUMPRODUCT($AI$53:$AI$67,Q$53:Q$67)/SUM(Q$53:Q$67)*Q$69,0)</f>
        <v>0</v>
      </c>
      <c r="R285" s="57">
        <f t="shared" si="99"/>
        <v>0</v>
      </c>
      <c r="S285" s="57">
        <f t="shared" si="99"/>
        <v>0</v>
      </c>
      <c r="T285" s="57">
        <f t="shared" si="99"/>
        <v>0</v>
      </c>
      <c r="U285" s="57">
        <f t="shared" si="99"/>
        <v>0</v>
      </c>
      <c r="V285" s="62">
        <f t="shared" si="99"/>
        <v>0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100">IFERROR(SUMPRODUCT($AJ$53:$AJ$67,Q$53:Q$67)/SUM(Q$53:Q$67)*Q$69,0)</f>
        <v>0</v>
      </c>
      <c r="R286" s="57">
        <f t="shared" si="100"/>
        <v>0</v>
      </c>
      <c r="S286" s="57">
        <f t="shared" si="100"/>
        <v>0</v>
      </c>
      <c r="T286" s="57">
        <f t="shared" si="100"/>
        <v>0</v>
      </c>
      <c r="U286" s="57">
        <f t="shared" si="100"/>
        <v>0</v>
      </c>
      <c r="V286" s="62">
        <f t="shared" si="100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101">SUM(Q276:Q286)</f>
        <v>6308130.1928902604</v>
      </c>
      <c r="R288" s="37">
        <f t="shared" si="101"/>
        <v>13370409.377955636</v>
      </c>
      <c r="S288" s="37">
        <f t="shared" si="101"/>
        <v>14579932.724899549</v>
      </c>
      <c r="T288" s="37">
        <f t="shared" si="101"/>
        <v>11969278.594408192</v>
      </c>
      <c r="U288" s="37">
        <f t="shared" si="101"/>
        <v>9374185.521784829</v>
      </c>
      <c r="V288" s="64">
        <f t="shared" si="101"/>
        <v>6365470.0767898764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129"/>
      <c r="S289" s="129"/>
      <c r="T289" s="129"/>
      <c r="U289" s="129"/>
      <c r="V289" s="12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309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102">P276*(1+P$188)</f>
        <v>0</v>
      </c>
      <c r="Q297" s="57">
        <f t="shared" si="102"/>
        <v>0</v>
      </c>
      <c r="R297" s="57">
        <f t="shared" si="102"/>
        <v>0</v>
      </c>
      <c r="S297" s="57">
        <f t="shared" si="102"/>
        <v>0</v>
      </c>
      <c r="T297" s="57">
        <f t="shared" si="102"/>
        <v>0</v>
      </c>
      <c r="U297" s="57">
        <f t="shared" si="102"/>
        <v>0</v>
      </c>
      <c r="V297" s="62">
        <f t="shared" si="102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102"/>
        <v>0</v>
      </c>
      <c r="Q298" s="57">
        <f t="shared" si="102"/>
        <v>0</v>
      </c>
      <c r="R298" s="57">
        <f t="shared" si="102"/>
        <v>0</v>
      </c>
      <c r="S298" s="57">
        <f t="shared" si="102"/>
        <v>0</v>
      </c>
      <c r="T298" s="57">
        <f t="shared" si="102"/>
        <v>0</v>
      </c>
      <c r="U298" s="57">
        <f t="shared" si="102"/>
        <v>0</v>
      </c>
      <c r="V298" s="62">
        <f t="shared" si="102"/>
        <v>0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102"/>
        <v>0</v>
      </c>
      <c r="Q299" s="57">
        <f t="shared" si="102"/>
        <v>0</v>
      </c>
      <c r="R299" s="57">
        <f t="shared" si="102"/>
        <v>0</v>
      </c>
      <c r="S299" s="57">
        <f t="shared" si="102"/>
        <v>0</v>
      </c>
      <c r="T299" s="57">
        <f t="shared" si="102"/>
        <v>0</v>
      </c>
      <c r="U299" s="57">
        <f t="shared" si="102"/>
        <v>0</v>
      </c>
      <c r="V299" s="62">
        <f t="shared" si="102"/>
        <v>0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102"/>
        <v>0</v>
      </c>
      <c r="Q300" s="57">
        <f t="shared" si="102"/>
        <v>0</v>
      </c>
      <c r="R300" s="57">
        <f t="shared" si="102"/>
        <v>0</v>
      </c>
      <c r="S300" s="57">
        <f t="shared" si="102"/>
        <v>0</v>
      </c>
      <c r="T300" s="57">
        <f t="shared" si="102"/>
        <v>0</v>
      </c>
      <c r="U300" s="57">
        <f t="shared" si="102"/>
        <v>0</v>
      </c>
      <c r="V300" s="62">
        <f t="shared" si="102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102"/>
        <v>0</v>
      </c>
      <c r="Q301" s="57">
        <f t="shared" si="102"/>
        <v>0</v>
      </c>
      <c r="R301" s="57">
        <f t="shared" si="102"/>
        <v>0</v>
      </c>
      <c r="S301" s="57">
        <f t="shared" si="102"/>
        <v>0</v>
      </c>
      <c r="T301" s="57">
        <f t="shared" si="102"/>
        <v>0</v>
      </c>
      <c r="U301" s="57">
        <f t="shared" si="102"/>
        <v>0</v>
      </c>
      <c r="V301" s="62">
        <f t="shared" si="102"/>
        <v>0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102"/>
        <v>0</v>
      </c>
      <c r="Q302" s="57">
        <f t="shared" si="102"/>
        <v>0</v>
      </c>
      <c r="R302" s="57">
        <f t="shared" si="102"/>
        <v>0</v>
      </c>
      <c r="S302" s="57">
        <f t="shared" si="102"/>
        <v>0</v>
      </c>
      <c r="T302" s="57">
        <f t="shared" si="102"/>
        <v>0</v>
      </c>
      <c r="U302" s="57">
        <f t="shared" si="102"/>
        <v>0</v>
      </c>
      <c r="V302" s="62">
        <f t="shared" si="102"/>
        <v>0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102"/>
        <v>0</v>
      </c>
      <c r="Q303" s="57">
        <f t="shared" si="102"/>
        <v>0</v>
      </c>
      <c r="R303" s="57">
        <f t="shared" si="102"/>
        <v>0</v>
      </c>
      <c r="S303" s="57">
        <f t="shared" si="102"/>
        <v>0</v>
      </c>
      <c r="T303" s="57">
        <f t="shared" si="102"/>
        <v>0</v>
      </c>
      <c r="U303" s="57">
        <f t="shared" si="102"/>
        <v>0</v>
      </c>
      <c r="V303" s="62">
        <f t="shared" si="102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102"/>
        <v>0</v>
      </c>
      <c r="Q304" s="57">
        <f t="shared" si="102"/>
        <v>0</v>
      </c>
      <c r="R304" s="57">
        <f t="shared" si="102"/>
        <v>0</v>
      </c>
      <c r="S304" s="57">
        <f t="shared" si="102"/>
        <v>0</v>
      </c>
      <c r="T304" s="57">
        <f t="shared" si="102"/>
        <v>0</v>
      </c>
      <c r="U304" s="57">
        <f t="shared" si="102"/>
        <v>0</v>
      </c>
      <c r="V304" s="62">
        <f t="shared" si="102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102"/>
        <v>0</v>
      </c>
      <c r="Q305" s="57">
        <f t="shared" si="102"/>
        <v>7049221.1162734153</v>
      </c>
      <c r="R305" s="57">
        <f t="shared" si="102"/>
        <v>14115679.613900786</v>
      </c>
      <c r="S305" s="57">
        <f t="shared" si="102"/>
        <v>15330008.166965332</v>
      </c>
      <c r="T305" s="57">
        <f t="shared" si="102"/>
        <v>12725325.750282558</v>
      </c>
      <c r="U305" s="57">
        <f t="shared" si="102"/>
        <v>10137616.817740591</v>
      </c>
      <c r="V305" s="62">
        <f t="shared" si="102"/>
        <v>7137243.3653480504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102"/>
        <v>0</v>
      </c>
      <c r="Q306" s="57">
        <f t="shared" si="102"/>
        <v>0</v>
      </c>
      <c r="R306" s="57">
        <f t="shared" si="102"/>
        <v>0</v>
      </c>
      <c r="S306" s="57">
        <f t="shared" si="102"/>
        <v>0</v>
      </c>
      <c r="T306" s="57">
        <f t="shared" si="102"/>
        <v>0</v>
      </c>
      <c r="U306" s="57">
        <f t="shared" si="102"/>
        <v>0</v>
      </c>
      <c r="V306" s="62">
        <f t="shared" si="102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102"/>
        <v>0</v>
      </c>
      <c r="Q307" s="57">
        <f t="shared" si="102"/>
        <v>0</v>
      </c>
      <c r="R307" s="57">
        <f t="shared" si="102"/>
        <v>0</v>
      </c>
      <c r="S307" s="57">
        <f t="shared" si="102"/>
        <v>0</v>
      </c>
      <c r="T307" s="57">
        <f t="shared" si="102"/>
        <v>0</v>
      </c>
      <c r="U307" s="57">
        <f t="shared" si="102"/>
        <v>0</v>
      </c>
      <c r="V307" s="62">
        <f t="shared" si="102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103">SUM(Q297:Q307)</f>
        <v>7049221.1162734153</v>
      </c>
      <c r="R309" s="37">
        <f t="shared" si="103"/>
        <v>14115679.613900786</v>
      </c>
      <c r="S309" s="37">
        <f t="shared" si="103"/>
        <v>15330008.166965332</v>
      </c>
      <c r="T309" s="37">
        <f t="shared" si="103"/>
        <v>12725325.750282558</v>
      </c>
      <c r="U309" s="37">
        <f t="shared" si="103"/>
        <v>10137616.817740591</v>
      </c>
      <c r="V309" s="64">
        <f t="shared" si="103"/>
        <v>7137243.3653480504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130"/>
      <c r="T310" s="130"/>
      <c r="U310" s="130"/>
      <c r="V310" s="130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310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104">P297*(1-P$199)</f>
        <v>0</v>
      </c>
      <c r="Q318" s="57">
        <f t="shared" si="104"/>
        <v>0</v>
      </c>
      <c r="R318" s="57">
        <f t="shared" si="104"/>
        <v>0</v>
      </c>
      <c r="S318" s="57">
        <f t="shared" si="104"/>
        <v>0</v>
      </c>
      <c r="T318" s="57">
        <f t="shared" si="104"/>
        <v>0</v>
      </c>
      <c r="U318" s="57">
        <f t="shared" si="104"/>
        <v>0</v>
      </c>
      <c r="V318" s="62">
        <f t="shared" si="104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104"/>
        <v>0</v>
      </c>
      <c r="Q319" s="57">
        <f t="shared" si="104"/>
        <v>0</v>
      </c>
      <c r="R319" s="57">
        <f t="shared" si="104"/>
        <v>0</v>
      </c>
      <c r="S319" s="57">
        <f t="shared" si="104"/>
        <v>0</v>
      </c>
      <c r="T319" s="57">
        <f t="shared" si="104"/>
        <v>0</v>
      </c>
      <c r="U319" s="57">
        <f t="shared" si="104"/>
        <v>0</v>
      </c>
      <c r="V319" s="62">
        <f t="shared" si="104"/>
        <v>0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104"/>
        <v>0</v>
      </c>
      <c r="Q320" s="57">
        <f t="shared" si="104"/>
        <v>0</v>
      </c>
      <c r="R320" s="57">
        <f t="shared" si="104"/>
        <v>0</v>
      </c>
      <c r="S320" s="57">
        <f t="shared" si="104"/>
        <v>0</v>
      </c>
      <c r="T320" s="57">
        <f t="shared" si="104"/>
        <v>0</v>
      </c>
      <c r="U320" s="57">
        <f t="shared" si="104"/>
        <v>0</v>
      </c>
      <c r="V320" s="62">
        <f t="shared" si="104"/>
        <v>0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104"/>
        <v>0</v>
      </c>
      <c r="Q321" s="57">
        <f t="shared" si="104"/>
        <v>0</v>
      </c>
      <c r="R321" s="57">
        <f t="shared" si="104"/>
        <v>0</v>
      </c>
      <c r="S321" s="57">
        <f t="shared" si="104"/>
        <v>0</v>
      </c>
      <c r="T321" s="57">
        <f t="shared" si="104"/>
        <v>0</v>
      </c>
      <c r="U321" s="57">
        <f t="shared" si="104"/>
        <v>0</v>
      </c>
      <c r="V321" s="62">
        <f t="shared" si="104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104"/>
        <v>0</v>
      </c>
      <c r="Q322" s="57">
        <f t="shared" si="104"/>
        <v>0</v>
      </c>
      <c r="R322" s="57">
        <f t="shared" si="104"/>
        <v>0</v>
      </c>
      <c r="S322" s="57">
        <f t="shared" si="104"/>
        <v>0</v>
      </c>
      <c r="T322" s="57">
        <f t="shared" si="104"/>
        <v>0</v>
      </c>
      <c r="U322" s="57">
        <f t="shared" si="104"/>
        <v>0</v>
      </c>
      <c r="V322" s="62">
        <f t="shared" si="104"/>
        <v>0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104"/>
        <v>0</v>
      </c>
      <c r="Q323" s="57">
        <f t="shared" si="104"/>
        <v>0</v>
      </c>
      <c r="R323" s="57">
        <f t="shared" si="104"/>
        <v>0</v>
      </c>
      <c r="S323" s="57">
        <f t="shared" si="104"/>
        <v>0</v>
      </c>
      <c r="T323" s="57">
        <f t="shared" si="104"/>
        <v>0</v>
      </c>
      <c r="U323" s="57">
        <f t="shared" si="104"/>
        <v>0</v>
      </c>
      <c r="V323" s="62">
        <f t="shared" si="104"/>
        <v>0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104"/>
        <v>0</v>
      </c>
      <c r="Q324" s="57">
        <f t="shared" si="104"/>
        <v>0</v>
      </c>
      <c r="R324" s="57">
        <f t="shared" si="104"/>
        <v>0</v>
      </c>
      <c r="S324" s="57">
        <f t="shared" si="104"/>
        <v>0</v>
      </c>
      <c r="T324" s="57">
        <f t="shared" si="104"/>
        <v>0</v>
      </c>
      <c r="U324" s="57">
        <f t="shared" si="104"/>
        <v>0</v>
      </c>
      <c r="V324" s="62">
        <f t="shared" si="104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104"/>
        <v>0</v>
      </c>
      <c r="Q325" s="57">
        <f t="shared" si="104"/>
        <v>0</v>
      </c>
      <c r="R325" s="57">
        <f t="shared" si="104"/>
        <v>0</v>
      </c>
      <c r="S325" s="57">
        <f t="shared" si="104"/>
        <v>0</v>
      </c>
      <c r="T325" s="57">
        <f t="shared" si="104"/>
        <v>0</v>
      </c>
      <c r="U325" s="57">
        <f t="shared" si="104"/>
        <v>0</v>
      </c>
      <c r="V325" s="62">
        <f t="shared" si="104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104"/>
        <v>0</v>
      </c>
      <c r="Q326" s="57">
        <f t="shared" si="104"/>
        <v>7049221.1162734153</v>
      </c>
      <c r="R326" s="57">
        <f t="shared" si="104"/>
        <v>14115679.613900786</v>
      </c>
      <c r="S326" s="57">
        <f t="shared" si="104"/>
        <v>15330008.166965332</v>
      </c>
      <c r="T326" s="57">
        <f t="shared" si="104"/>
        <v>12725325.750282558</v>
      </c>
      <c r="U326" s="57">
        <f t="shared" si="104"/>
        <v>10137616.817740591</v>
      </c>
      <c r="V326" s="62">
        <f t="shared" si="104"/>
        <v>7137243.3653480504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104"/>
        <v>0</v>
      </c>
      <c r="Q327" s="57">
        <f t="shared" si="104"/>
        <v>0</v>
      </c>
      <c r="R327" s="57">
        <f t="shared" si="104"/>
        <v>0</v>
      </c>
      <c r="S327" s="57">
        <f t="shared" si="104"/>
        <v>0</v>
      </c>
      <c r="T327" s="57">
        <f t="shared" si="104"/>
        <v>0</v>
      </c>
      <c r="U327" s="57">
        <f t="shared" si="104"/>
        <v>0</v>
      </c>
      <c r="V327" s="62">
        <f t="shared" si="104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104"/>
        <v>0</v>
      </c>
      <c r="Q328" s="57">
        <f t="shared" si="104"/>
        <v>0</v>
      </c>
      <c r="R328" s="57">
        <f t="shared" si="104"/>
        <v>0</v>
      </c>
      <c r="S328" s="57">
        <f t="shared" si="104"/>
        <v>0</v>
      </c>
      <c r="T328" s="57">
        <f t="shared" si="104"/>
        <v>0</v>
      </c>
      <c r="U328" s="57">
        <f t="shared" si="104"/>
        <v>0</v>
      </c>
      <c r="V328" s="62">
        <f t="shared" si="104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105">SUM(Q318:Q328)</f>
        <v>7049221.1162734153</v>
      </c>
      <c r="R330" s="37">
        <f t="shared" si="105"/>
        <v>14115679.613900786</v>
      </c>
      <c r="S330" s="37">
        <f t="shared" si="105"/>
        <v>15330008.166965332</v>
      </c>
      <c r="T330" s="37">
        <f t="shared" si="105"/>
        <v>12725325.750282558</v>
      </c>
      <c r="U330" s="37">
        <f t="shared" si="105"/>
        <v>10137616.817740591</v>
      </c>
      <c r="V330" s="64">
        <f t="shared" si="105"/>
        <v>7137243.3653480504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311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106">Q297*Q$199</f>
        <v>0</v>
      </c>
      <c r="R339" s="57">
        <f t="shared" si="106"/>
        <v>0</v>
      </c>
      <c r="S339" s="57">
        <f t="shared" si="106"/>
        <v>0</v>
      </c>
      <c r="T339" s="57">
        <f t="shared" si="106"/>
        <v>0</v>
      </c>
      <c r="U339" s="57">
        <f t="shared" si="106"/>
        <v>0</v>
      </c>
      <c r="V339" s="62">
        <f t="shared" si="106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107">P298*P$199</f>
        <v>0</v>
      </c>
      <c r="Q340" s="57">
        <f t="shared" si="106"/>
        <v>0</v>
      </c>
      <c r="R340" s="57">
        <f t="shared" si="106"/>
        <v>0</v>
      </c>
      <c r="S340" s="57">
        <f t="shared" si="106"/>
        <v>0</v>
      </c>
      <c r="T340" s="57">
        <f t="shared" si="106"/>
        <v>0</v>
      </c>
      <c r="U340" s="57">
        <f t="shared" si="106"/>
        <v>0</v>
      </c>
      <c r="V340" s="62">
        <f t="shared" si="106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107"/>
        <v>0</v>
      </c>
      <c r="Q341" s="57">
        <f t="shared" si="106"/>
        <v>0</v>
      </c>
      <c r="R341" s="57">
        <f t="shared" si="106"/>
        <v>0</v>
      </c>
      <c r="S341" s="57">
        <f t="shared" si="106"/>
        <v>0</v>
      </c>
      <c r="T341" s="57">
        <f t="shared" si="106"/>
        <v>0</v>
      </c>
      <c r="U341" s="57">
        <f t="shared" si="106"/>
        <v>0</v>
      </c>
      <c r="V341" s="62">
        <f t="shared" si="106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107"/>
        <v>0</v>
      </c>
      <c r="Q342" s="57">
        <f t="shared" si="106"/>
        <v>0</v>
      </c>
      <c r="R342" s="57">
        <f t="shared" si="106"/>
        <v>0</v>
      </c>
      <c r="S342" s="57">
        <f t="shared" si="106"/>
        <v>0</v>
      </c>
      <c r="T342" s="57">
        <f t="shared" si="106"/>
        <v>0</v>
      </c>
      <c r="U342" s="57">
        <f t="shared" si="106"/>
        <v>0</v>
      </c>
      <c r="V342" s="62">
        <f t="shared" si="106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107"/>
        <v>0</v>
      </c>
      <c r="Q343" s="57">
        <f t="shared" si="106"/>
        <v>0</v>
      </c>
      <c r="R343" s="57">
        <f t="shared" si="106"/>
        <v>0</v>
      </c>
      <c r="S343" s="57">
        <f t="shared" si="106"/>
        <v>0</v>
      </c>
      <c r="T343" s="57">
        <f t="shared" si="106"/>
        <v>0</v>
      </c>
      <c r="U343" s="57">
        <f t="shared" si="106"/>
        <v>0</v>
      </c>
      <c r="V343" s="62">
        <f t="shared" si="106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107"/>
        <v>0</v>
      </c>
      <c r="Q344" s="57">
        <f t="shared" si="106"/>
        <v>0</v>
      </c>
      <c r="R344" s="57">
        <f t="shared" si="106"/>
        <v>0</v>
      </c>
      <c r="S344" s="57">
        <f t="shared" si="106"/>
        <v>0</v>
      </c>
      <c r="T344" s="57">
        <f t="shared" si="106"/>
        <v>0</v>
      </c>
      <c r="U344" s="57">
        <f t="shared" si="106"/>
        <v>0</v>
      </c>
      <c r="V344" s="62">
        <f t="shared" si="106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107"/>
        <v>0</v>
      </c>
      <c r="Q345" s="57">
        <f t="shared" si="106"/>
        <v>0</v>
      </c>
      <c r="R345" s="57">
        <f t="shared" si="106"/>
        <v>0</v>
      </c>
      <c r="S345" s="57">
        <f t="shared" si="106"/>
        <v>0</v>
      </c>
      <c r="T345" s="57">
        <f t="shared" si="106"/>
        <v>0</v>
      </c>
      <c r="U345" s="57">
        <f t="shared" si="106"/>
        <v>0</v>
      </c>
      <c r="V345" s="62">
        <f t="shared" si="106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107"/>
        <v>0</v>
      </c>
      <c r="Q346" s="57">
        <f t="shared" si="106"/>
        <v>0</v>
      </c>
      <c r="R346" s="57">
        <f t="shared" si="106"/>
        <v>0</v>
      </c>
      <c r="S346" s="57">
        <f t="shared" si="106"/>
        <v>0</v>
      </c>
      <c r="T346" s="57">
        <f t="shared" si="106"/>
        <v>0</v>
      </c>
      <c r="U346" s="57">
        <f t="shared" si="106"/>
        <v>0</v>
      </c>
      <c r="V346" s="62">
        <f t="shared" si="106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107"/>
        <v>0</v>
      </c>
      <c r="Q347" s="57">
        <f t="shared" si="106"/>
        <v>0</v>
      </c>
      <c r="R347" s="57">
        <f t="shared" si="106"/>
        <v>0</v>
      </c>
      <c r="S347" s="57">
        <f t="shared" si="106"/>
        <v>0</v>
      </c>
      <c r="T347" s="57">
        <f t="shared" si="106"/>
        <v>0</v>
      </c>
      <c r="U347" s="57">
        <f t="shared" si="106"/>
        <v>0</v>
      </c>
      <c r="V347" s="62">
        <f t="shared" si="106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107"/>
        <v>0</v>
      </c>
      <c r="Q348" s="57">
        <f t="shared" si="106"/>
        <v>0</v>
      </c>
      <c r="R348" s="57">
        <f t="shared" si="106"/>
        <v>0</v>
      </c>
      <c r="S348" s="57">
        <f t="shared" si="106"/>
        <v>0</v>
      </c>
      <c r="T348" s="57">
        <f t="shared" si="106"/>
        <v>0</v>
      </c>
      <c r="U348" s="57">
        <f t="shared" si="106"/>
        <v>0</v>
      </c>
      <c r="V348" s="62">
        <f t="shared" si="106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107"/>
        <v>0</v>
      </c>
      <c r="Q349" s="57">
        <f t="shared" si="106"/>
        <v>0</v>
      </c>
      <c r="R349" s="57">
        <f t="shared" si="106"/>
        <v>0</v>
      </c>
      <c r="S349" s="57">
        <f t="shared" si="106"/>
        <v>0</v>
      </c>
      <c r="T349" s="57">
        <f t="shared" si="106"/>
        <v>0</v>
      </c>
      <c r="U349" s="57">
        <f t="shared" si="106"/>
        <v>0</v>
      </c>
      <c r="V349" s="62">
        <f t="shared" si="106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108">SUM(Q339:Q349)</f>
        <v>0</v>
      </c>
      <c r="R351" s="37">
        <f t="shared" si="108"/>
        <v>0</v>
      </c>
      <c r="S351" s="37">
        <f t="shared" si="108"/>
        <v>0</v>
      </c>
      <c r="T351" s="37">
        <f t="shared" si="108"/>
        <v>0</v>
      </c>
      <c r="U351" s="37">
        <f t="shared" si="108"/>
        <v>0</v>
      </c>
      <c r="V351" s="64">
        <f t="shared" si="108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309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109">IFERROR(SUMPRODUCT($AM$53:$AM$67,Q$53:Q$67)/SUM(Q$53:Q$67)*Q$69,0)</f>
        <v>0</v>
      </c>
      <c r="R362" s="57">
        <f t="shared" si="109"/>
        <v>0</v>
      </c>
      <c r="S362" s="57">
        <f t="shared" si="109"/>
        <v>0</v>
      </c>
      <c r="T362" s="57">
        <f t="shared" si="109"/>
        <v>0</v>
      </c>
      <c r="U362" s="57">
        <f t="shared" si="109"/>
        <v>0</v>
      </c>
      <c r="V362" s="62">
        <f t="shared" si="109"/>
        <v>0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110">IFERROR(SUMPRODUCT($AN$53:$AN$67,Q$53:Q$67)/SUM(Q$53:Q$67)*Q$69,0)</f>
        <v>0</v>
      </c>
      <c r="R363" s="57">
        <f t="shared" si="110"/>
        <v>0</v>
      </c>
      <c r="S363" s="57">
        <f t="shared" si="110"/>
        <v>0</v>
      </c>
      <c r="T363" s="57">
        <f t="shared" si="110"/>
        <v>0</v>
      </c>
      <c r="U363" s="57">
        <f t="shared" si="110"/>
        <v>0</v>
      </c>
      <c r="V363" s="62">
        <f t="shared" si="110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111">IFERROR(SUMPRODUCT($AO$53:$AO$67,Q$53:Q$67)/SUM(Q$53:Q$67)*Q$69,0)</f>
        <v>0</v>
      </c>
      <c r="R364" s="57">
        <f t="shared" si="111"/>
        <v>0</v>
      </c>
      <c r="S364" s="57">
        <f t="shared" si="111"/>
        <v>0</v>
      </c>
      <c r="T364" s="57">
        <f t="shared" si="111"/>
        <v>0</v>
      </c>
      <c r="U364" s="57">
        <f t="shared" si="111"/>
        <v>0</v>
      </c>
      <c r="V364" s="62">
        <f t="shared" si="111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112">IFERROR(SUMPRODUCT($AP$53:$AP$67,Q$53:Q$67)/SUM(Q$53:Q$67)*Q$69,0)</f>
        <v>0</v>
      </c>
      <c r="R365" s="57">
        <f t="shared" si="112"/>
        <v>0</v>
      </c>
      <c r="S365" s="57">
        <f t="shared" si="112"/>
        <v>0</v>
      </c>
      <c r="T365" s="57">
        <f t="shared" si="112"/>
        <v>0</v>
      </c>
      <c r="U365" s="57">
        <f t="shared" si="112"/>
        <v>0</v>
      </c>
      <c r="V365" s="62">
        <f t="shared" si="112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113">IFERROR(SUMPRODUCT($AQ$53:$AQ$67,Q$53:Q$67)/SUM(Q$53:Q$67)*Q$69,0)</f>
        <v>0</v>
      </c>
      <c r="R366" s="57">
        <f t="shared" si="113"/>
        <v>0</v>
      </c>
      <c r="S366" s="57">
        <f t="shared" si="113"/>
        <v>0</v>
      </c>
      <c r="T366" s="57">
        <f t="shared" si="113"/>
        <v>0</v>
      </c>
      <c r="U366" s="57">
        <f t="shared" si="113"/>
        <v>0</v>
      </c>
      <c r="V366" s="62">
        <f t="shared" si="113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114">IFERROR(SUMPRODUCT($AR$53:$AR$67,Q$53:Q$67)/SUM(Q$53:Q$67)*Q$69,0)</f>
        <v>0</v>
      </c>
      <c r="R367" s="57">
        <f t="shared" si="114"/>
        <v>0</v>
      </c>
      <c r="S367" s="57">
        <f t="shared" si="114"/>
        <v>0</v>
      </c>
      <c r="T367" s="57">
        <f t="shared" si="114"/>
        <v>0</v>
      </c>
      <c r="U367" s="57">
        <f t="shared" si="114"/>
        <v>0</v>
      </c>
      <c r="V367" s="62">
        <f t="shared" si="114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115">IFERROR(SUMPRODUCT($AS$53:$AS$67,Q$53:Q$67)/SUM(Q$53:Q$67)*Q$69,0)</f>
        <v>6308130.1928902604</v>
      </c>
      <c r="R368" s="57">
        <f t="shared" si="115"/>
        <v>13370409.377955636</v>
      </c>
      <c r="S368" s="57">
        <f t="shared" si="115"/>
        <v>14579932.724899549</v>
      </c>
      <c r="T368" s="57">
        <f t="shared" si="115"/>
        <v>11969278.594408192</v>
      </c>
      <c r="U368" s="57">
        <f t="shared" si="115"/>
        <v>9374185.521784829</v>
      </c>
      <c r="V368" s="62">
        <f t="shared" si="115"/>
        <v>6365470.0767898764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116">IFERROR(SUMPRODUCT($AT$53:$AT$67,Q$53:Q$67)/SUM(Q$53:Q$67)*Q$69,0)</f>
        <v>0</v>
      </c>
      <c r="R369" s="57">
        <f t="shared" si="116"/>
        <v>0</v>
      </c>
      <c r="S369" s="57">
        <f t="shared" si="116"/>
        <v>0</v>
      </c>
      <c r="T369" s="57">
        <f t="shared" si="116"/>
        <v>0</v>
      </c>
      <c r="U369" s="57">
        <f t="shared" si="116"/>
        <v>0</v>
      </c>
      <c r="V369" s="62">
        <f t="shared" si="116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117">IFERROR(SUMPRODUCT($AU$53:$AU$67,Q$53:Q$67)/SUM(Q$53:Q$67)*Q$69,0)</f>
        <v>0</v>
      </c>
      <c r="R370" s="57">
        <f t="shared" si="117"/>
        <v>0</v>
      </c>
      <c r="S370" s="57">
        <f t="shared" si="117"/>
        <v>0</v>
      </c>
      <c r="T370" s="57">
        <f t="shared" si="117"/>
        <v>0</v>
      </c>
      <c r="U370" s="57">
        <f t="shared" si="117"/>
        <v>0</v>
      </c>
      <c r="V370" s="62">
        <f t="shared" si="117"/>
        <v>0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118">IFERROR(SUMPRODUCT($AV$53:$AV$67,Q$53:Q$67)/SUM(Q$53:Q$67)*Q$69,0)</f>
        <v>0</v>
      </c>
      <c r="R371" s="57">
        <f t="shared" si="118"/>
        <v>0</v>
      </c>
      <c r="S371" s="57">
        <f t="shared" si="118"/>
        <v>0</v>
      </c>
      <c r="T371" s="57">
        <f t="shared" si="118"/>
        <v>0</v>
      </c>
      <c r="U371" s="57">
        <f t="shared" si="118"/>
        <v>0</v>
      </c>
      <c r="V371" s="62">
        <f t="shared" si="118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119">IFERROR(SUMPRODUCT($AW$53:$AW$67,Q$53:Q$67)/SUM(Q$53:Q$67)*Q$69,0)</f>
        <v>0</v>
      </c>
      <c r="R372" s="57">
        <f t="shared" si="119"/>
        <v>0</v>
      </c>
      <c r="S372" s="57">
        <f t="shared" si="119"/>
        <v>0</v>
      </c>
      <c r="T372" s="57">
        <f t="shared" si="119"/>
        <v>0</v>
      </c>
      <c r="U372" s="57">
        <f t="shared" si="119"/>
        <v>0</v>
      </c>
      <c r="V372" s="62">
        <f t="shared" si="119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120">Q218</f>
        <v>0</v>
      </c>
      <c r="R373" s="57">
        <f t="shared" si="120"/>
        <v>0</v>
      </c>
      <c r="S373" s="57">
        <f t="shared" si="120"/>
        <v>0</v>
      </c>
      <c r="T373" s="57">
        <f t="shared" si="120"/>
        <v>0</v>
      </c>
      <c r="U373" s="57">
        <f t="shared" si="120"/>
        <v>0</v>
      </c>
      <c r="V373" s="62">
        <f t="shared" si="120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121">Q232</f>
        <v>0</v>
      </c>
      <c r="R374" s="57">
        <f t="shared" si="121"/>
        <v>0</v>
      </c>
      <c r="S374" s="57">
        <f t="shared" si="121"/>
        <v>0</v>
      </c>
      <c r="T374" s="57">
        <f t="shared" si="121"/>
        <v>0</v>
      </c>
      <c r="U374" s="57">
        <f t="shared" si="121"/>
        <v>0</v>
      </c>
      <c r="V374" s="62">
        <f t="shared" si="121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122">SUM(Q362:Q372)*Q188</f>
        <v>741090.92338315444</v>
      </c>
      <c r="R375" s="57">
        <f t="shared" si="122"/>
        <v>745270.23594515119</v>
      </c>
      <c r="S375" s="57">
        <f t="shared" si="122"/>
        <v>750075.4420657818</v>
      </c>
      <c r="T375" s="57">
        <f t="shared" si="122"/>
        <v>756047.15587436513</v>
      </c>
      <c r="U375" s="57">
        <f t="shared" si="122"/>
        <v>763431.29595576285</v>
      </c>
      <c r="V375" s="62">
        <f t="shared" si="122"/>
        <v>771773.28855817369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23">SUM(P362:P375)</f>
        <v>0</v>
      </c>
      <c r="Q377" s="37">
        <f t="shared" si="123"/>
        <v>7049221.1162734143</v>
      </c>
      <c r="R377" s="37">
        <f t="shared" si="123"/>
        <v>14115679.613900788</v>
      </c>
      <c r="S377" s="37">
        <f t="shared" si="123"/>
        <v>15330008.16696533</v>
      </c>
      <c r="T377" s="37">
        <f t="shared" si="123"/>
        <v>12725325.750282558</v>
      </c>
      <c r="U377" s="37">
        <f t="shared" si="123"/>
        <v>10137616.817740591</v>
      </c>
      <c r="V377" s="64">
        <f t="shared" si="123"/>
        <v>7137243.3653480504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309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124">IFERROR(SUMPRODUCT($BB$53:$BB$67,Q$53:Q$67)/SUM(Q$53:Q$67)*Q$69*(1+Q$188),0)</f>
        <v>0</v>
      </c>
      <c r="R388" s="57">
        <f t="shared" si="124"/>
        <v>0</v>
      </c>
      <c r="S388" s="57">
        <f t="shared" si="124"/>
        <v>0</v>
      </c>
      <c r="T388" s="57">
        <f t="shared" si="124"/>
        <v>0</v>
      </c>
      <c r="U388" s="57">
        <f t="shared" si="124"/>
        <v>0</v>
      </c>
      <c r="V388" s="62">
        <f t="shared" si="124"/>
        <v>0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125">IFERROR(SUMPRODUCT($BC$53:$BC$67,Q$53:Q$67)/SUM(Q$53:Q$67)*Q$69*(1+Q$188),0)</f>
        <v>0</v>
      </c>
      <c r="R389" s="57">
        <f t="shared" si="125"/>
        <v>0</v>
      </c>
      <c r="S389" s="57">
        <f t="shared" si="125"/>
        <v>0</v>
      </c>
      <c r="T389" s="57">
        <f t="shared" si="125"/>
        <v>0</v>
      </c>
      <c r="U389" s="57">
        <f t="shared" si="125"/>
        <v>0</v>
      </c>
      <c r="V389" s="62">
        <f t="shared" si="125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126">IFERROR(SUMPRODUCT($BD$53:$BD$67,Q$53:Q$67)/SUM(Q$53:Q$67)*Q$69*(1+Q$188),0)</f>
        <v>0</v>
      </c>
      <c r="R390" s="57">
        <f t="shared" si="126"/>
        <v>0</v>
      </c>
      <c r="S390" s="57">
        <f t="shared" si="126"/>
        <v>0</v>
      </c>
      <c r="T390" s="57">
        <f t="shared" si="126"/>
        <v>0</v>
      </c>
      <c r="U390" s="57">
        <f t="shared" si="126"/>
        <v>0</v>
      </c>
      <c r="V390" s="62">
        <f t="shared" si="126"/>
        <v>0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127">IFERROR(SUMPRODUCT($BE$53:$BE$67,Q$53:Q$67)/SUM(Q$53:Q$67)*Q$69*(1+Q$188),0)</f>
        <v>0</v>
      </c>
      <c r="R391" s="57">
        <f t="shared" si="127"/>
        <v>0</v>
      </c>
      <c r="S391" s="57">
        <f t="shared" si="127"/>
        <v>0</v>
      </c>
      <c r="T391" s="57">
        <f t="shared" si="127"/>
        <v>0</v>
      </c>
      <c r="U391" s="57">
        <f t="shared" si="127"/>
        <v>0</v>
      </c>
      <c r="V391" s="62">
        <f t="shared" si="127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128">IFERROR(SUMPRODUCT($BF$53:$BF$67,Q$53:Q$67)/SUM(Q$53:Q$67)*Q$69*(1+Q$188),0)</f>
        <v>7049221.1162734153</v>
      </c>
      <c r="R392" s="57">
        <f t="shared" si="128"/>
        <v>14115679.613900786</v>
      </c>
      <c r="S392" s="57">
        <f t="shared" si="128"/>
        <v>15330008.166965332</v>
      </c>
      <c r="T392" s="57">
        <f t="shared" si="128"/>
        <v>12725325.750282558</v>
      </c>
      <c r="U392" s="57">
        <f t="shared" si="128"/>
        <v>10137616.817740591</v>
      </c>
      <c r="V392" s="62">
        <f t="shared" si="128"/>
        <v>7137243.3653480504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129">IFERROR(SUMPRODUCT($BG$53:$BG$67,Q$53:Q$67)/SUM(Q$53:Q$67)*Q$69*(1+Q$188),0)</f>
        <v>0</v>
      </c>
      <c r="R393" s="57">
        <f t="shared" si="129"/>
        <v>0</v>
      </c>
      <c r="S393" s="57">
        <f t="shared" si="129"/>
        <v>0</v>
      </c>
      <c r="T393" s="57">
        <f t="shared" si="129"/>
        <v>0</v>
      </c>
      <c r="U393" s="57">
        <f t="shared" si="129"/>
        <v>0</v>
      </c>
      <c r="V393" s="62">
        <f t="shared" si="129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130">IFERROR(SUMPRODUCT($BH$53:$BH$67,Q$53:Q$67)/SUM(Q$53:Q$67)*Q$69*(1+Q$188),0)</f>
        <v>0</v>
      </c>
      <c r="R394" s="57">
        <f t="shared" si="130"/>
        <v>0</v>
      </c>
      <c r="S394" s="57">
        <f t="shared" si="130"/>
        <v>0</v>
      </c>
      <c r="T394" s="57">
        <f t="shared" si="130"/>
        <v>0</v>
      </c>
      <c r="U394" s="57">
        <f t="shared" si="130"/>
        <v>0</v>
      </c>
      <c r="V394" s="62">
        <f t="shared" si="130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31">SUM(P388:P394)</f>
        <v>0</v>
      </c>
      <c r="Q396" s="37">
        <f t="shared" si="131"/>
        <v>7049221.1162734153</v>
      </c>
      <c r="R396" s="37">
        <f t="shared" si="131"/>
        <v>14115679.613900786</v>
      </c>
      <c r="S396" s="37">
        <f t="shared" si="131"/>
        <v>15330008.166965332</v>
      </c>
      <c r="T396" s="37">
        <f t="shared" si="131"/>
        <v>12725325.750282558</v>
      </c>
      <c r="U396" s="37">
        <f t="shared" si="131"/>
        <v>10137616.817740591</v>
      </c>
      <c r="V396" s="64">
        <f t="shared" si="131"/>
        <v>7137243.3653480504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  <row r="401" spans="16:22">
      <c r="P401" s="45"/>
      <c r="Q401" s="45"/>
      <c r="R401" s="45"/>
      <c r="S401" s="45"/>
      <c r="T401" s="45"/>
      <c r="U401" s="45"/>
      <c r="V401" s="45"/>
    </row>
  </sheetData>
  <mergeCells count="48"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73:L273"/>
    <mergeCell ref="M273:Q273"/>
    <mergeCell ref="R273:V273"/>
    <mergeCell ref="H294:L294"/>
    <mergeCell ref="M294:Q294"/>
    <mergeCell ref="R294:V294"/>
    <mergeCell ref="H222:L222"/>
    <mergeCell ref="M222:Q222"/>
    <mergeCell ref="R222:V222"/>
    <mergeCell ref="H236:L236"/>
    <mergeCell ref="M236:Q236"/>
    <mergeCell ref="R236:V236"/>
    <mergeCell ref="H166:L166"/>
    <mergeCell ref="M166:Q166"/>
    <mergeCell ref="R166:V166"/>
    <mergeCell ref="H196:L196"/>
    <mergeCell ref="M196:Q196"/>
    <mergeCell ref="R196:V196"/>
    <mergeCell ref="H120:L120"/>
    <mergeCell ref="M120:Q120"/>
    <mergeCell ref="R120:V120"/>
    <mergeCell ref="H143:L143"/>
    <mergeCell ref="M143:Q143"/>
    <mergeCell ref="R143:V143"/>
    <mergeCell ref="H74:L74"/>
    <mergeCell ref="M74:Q74"/>
    <mergeCell ref="R74:V74"/>
    <mergeCell ref="H97:L97"/>
    <mergeCell ref="M97:Q97"/>
    <mergeCell ref="R97:V97"/>
    <mergeCell ref="H28:L28"/>
    <mergeCell ref="M28:Q28"/>
    <mergeCell ref="R28:V28"/>
    <mergeCell ref="H50:L50"/>
    <mergeCell ref="M50:Q50"/>
    <mergeCell ref="R50:V50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I399"/>
  <sheetViews>
    <sheetView topLeftCell="D1" workbookViewId="0">
      <selection activeCell="P17" sqref="P17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6" s="3" customFormat="1">
      <c r="A1" s="2" t="s">
        <v>2</v>
      </c>
    </row>
    <row r="2" spans="1:16" s="1" customFormat="1">
      <c r="A2" s="3" t="s">
        <v>217</v>
      </c>
    </row>
    <row r="3" spans="1:16" s="1" customFormat="1">
      <c r="A3" s="3" t="s">
        <v>95</v>
      </c>
    </row>
    <row r="4" spans="1:16" s="1" customFormat="1">
      <c r="A4" s="22" t="s">
        <v>43</v>
      </c>
    </row>
    <row r="6" spans="1:16" s="1" customFormat="1">
      <c r="A6" s="2">
        <v>2</v>
      </c>
      <c r="B6" s="2" t="s">
        <v>45</v>
      </c>
    </row>
    <row r="8" spans="1:16">
      <c r="H8" s="94"/>
      <c r="I8" s="94"/>
      <c r="J8" s="94"/>
      <c r="K8" s="94"/>
      <c r="L8" s="94"/>
      <c r="M8" s="94"/>
      <c r="N8" s="94"/>
      <c r="O8" s="94"/>
      <c r="P8" s="94"/>
    </row>
    <row r="9" spans="1:16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  <c r="H9" s="94"/>
      <c r="I9" s="94"/>
      <c r="J9" s="94"/>
      <c r="K9" s="94"/>
      <c r="L9" s="94"/>
      <c r="M9" s="94"/>
      <c r="N9" s="94"/>
      <c r="O9" s="94"/>
      <c r="P9" s="94"/>
    </row>
    <row r="10" spans="1:16">
      <c r="B10" s="8" t="s">
        <v>218</v>
      </c>
      <c r="D10" s="10">
        <v>0.04</v>
      </c>
      <c r="E10" s="10">
        <v>0.04</v>
      </c>
      <c r="F10" s="26">
        <f>D10+E10</f>
        <v>0.08</v>
      </c>
      <c r="G10" s="26">
        <f>1-F10</f>
        <v>0.92</v>
      </c>
      <c r="H10" s="94"/>
      <c r="I10" s="95"/>
      <c r="J10" s="95"/>
      <c r="K10" s="94"/>
      <c r="L10" s="94"/>
      <c r="M10" s="94"/>
      <c r="N10" s="94"/>
      <c r="O10" s="94"/>
      <c r="P10" s="94"/>
    </row>
    <row r="11" spans="1:16">
      <c r="B11" s="8"/>
      <c r="D11" s="10"/>
      <c r="E11" s="10"/>
      <c r="F11" s="26"/>
      <c r="G11" s="26"/>
      <c r="H11" s="94"/>
      <c r="I11" s="94"/>
      <c r="J11" s="94"/>
      <c r="K11" s="94"/>
      <c r="L11" s="94"/>
      <c r="M11" s="94"/>
      <c r="N11" s="94"/>
      <c r="O11" s="94"/>
      <c r="P11" s="94"/>
    </row>
    <row r="12" spans="1:16">
      <c r="B12" s="8"/>
      <c r="D12" s="10"/>
      <c r="E12" s="10"/>
      <c r="F12" s="26"/>
      <c r="G12" s="26"/>
      <c r="H12" s="94"/>
      <c r="I12" s="95"/>
      <c r="J12" s="95"/>
      <c r="K12" s="94"/>
      <c r="L12" s="94"/>
      <c r="M12" s="94"/>
      <c r="N12" s="94"/>
      <c r="O12" s="94"/>
      <c r="P12" s="94"/>
    </row>
    <row r="13" spans="1:16">
      <c r="B13" s="8"/>
      <c r="D13" s="10"/>
      <c r="E13" s="10"/>
      <c r="F13" s="26"/>
      <c r="G13" s="26"/>
      <c r="H13" s="94"/>
      <c r="I13" s="94"/>
      <c r="J13" s="94"/>
      <c r="K13" s="94"/>
      <c r="L13" s="94"/>
      <c r="M13" s="94"/>
      <c r="N13" s="94"/>
      <c r="O13" s="94"/>
      <c r="P13" s="94"/>
    </row>
    <row r="14" spans="1:16">
      <c r="B14" s="8"/>
      <c r="D14" s="10"/>
      <c r="E14" s="10"/>
      <c r="F14" s="26"/>
      <c r="G14" s="26"/>
      <c r="H14" s="94"/>
      <c r="I14" s="94"/>
      <c r="J14" s="94"/>
      <c r="K14" s="94"/>
      <c r="L14" s="94"/>
      <c r="M14" s="94"/>
      <c r="N14" s="94"/>
      <c r="O14" s="94"/>
      <c r="P14" s="94"/>
    </row>
    <row r="15" spans="1:16">
      <c r="B15" s="8"/>
      <c r="D15" s="10"/>
      <c r="E15" s="10"/>
      <c r="F15" s="26"/>
      <c r="G15" s="26"/>
      <c r="I15" s="94"/>
      <c r="J15" s="94"/>
      <c r="K15" s="94"/>
      <c r="L15" s="94"/>
      <c r="M15" s="94"/>
    </row>
    <row r="16" spans="1:16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203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87" t="s">
        <v>52</v>
      </c>
      <c r="I28" s="189"/>
      <c r="J28" s="189"/>
      <c r="K28" s="189"/>
      <c r="L28" s="188"/>
      <c r="M28" s="187" t="s">
        <v>53</v>
      </c>
      <c r="N28" s="189"/>
      <c r="O28" s="189"/>
      <c r="P28" s="189"/>
      <c r="Q28" s="188"/>
      <c r="R28" s="187" t="s">
        <v>54</v>
      </c>
      <c r="S28" s="189"/>
      <c r="T28" s="189"/>
      <c r="U28" s="189"/>
      <c r="V28" s="188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>IF(B10&lt;&gt;"",B10,"[blank]")</f>
        <v>Other non-IT</v>
      </c>
      <c r="D31" s="31" t="s">
        <v>60</v>
      </c>
      <c r="E31" s="31"/>
      <c r="P31" s="105"/>
      <c r="Q31" s="33">
        <f>'AMP inputs'!U72*'General assumptions'!$S$21*($D10*'General assumptions'!T$35+$E10*'General assumptions'!T$36+$G10*'General assumptions'!T$42)</f>
        <v>360884.56107599498</v>
      </c>
      <c r="R31" s="33">
        <f>'AMP inputs'!V72*'General assumptions'!$S$21*($D10*'General assumptions'!U$35+$E10*'General assumptions'!U$36+$G10*'General assumptions'!U$42)</f>
        <v>361106.8530761415</v>
      </c>
      <c r="S31" s="33">
        <f>'AMP inputs'!W72*'General assumptions'!$S$21*($D10*'General assumptions'!V$35+$E10*'General assumptions'!V$36+$G10*'General assumptions'!V$42)</f>
        <v>361374.37818639638</v>
      </c>
      <c r="T31" s="33">
        <f>'AMP inputs'!X72*'General assumptions'!$S$21*($D10*'General assumptions'!W$35+$E10*'General assumptions'!W$36+$G10*'General assumptions'!W$42)</f>
        <v>361713.63426546141</v>
      </c>
      <c r="U31" s="33">
        <f>'AMP inputs'!Y72*'General assumptions'!$S$21*($D10*'General assumptions'!X$35+$E10*'General assumptions'!X$36+$G10*'General assumptions'!X$42)</f>
        <v>362148.24670595548</v>
      </c>
      <c r="V31" s="33">
        <f>'AMP inputs'!Z72*'General assumptions'!$S$21*($D10*'General assumptions'!Y$35+$E10*'General assumptions'!Y$36+$G10*'General assumptions'!Y$42)</f>
        <v>362629.0484818432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61</v>
      </c>
    </row>
    <row r="49" spans="2:61">
      <c r="Z49" s="5" t="s">
        <v>73</v>
      </c>
      <c r="AM49" s="5" t="s">
        <v>110</v>
      </c>
      <c r="BB49" s="5" t="s">
        <v>133</v>
      </c>
    </row>
    <row r="50" spans="2:61">
      <c r="H50" s="190" t="s">
        <v>52</v>
      </c>
      <c r="I50" s="190"/>
      <c r="J50" s="190"/>
      <c r="K50" s="190"/>
      <c r="L50" s="190"/>
      <c r="M50" s="190" t="s">
        <v>53</v>
      </c>
      <c r="N50" s="190"/>
      <c r="O50" s="190"/>
      <c r="P50" s="190"/>
      <c r="Q50" s="190"/>
      <c r="R50" s="190" t="s">
        <v>54</v>
      </c>
      <c r="S50" s="190"/>
      <c r="T50" s="190"/>
      <c r="U50" s="190"/>
      <c r="V50" s="190"/>
      <c r="X50" s="38"/>
      <c r="Z50" s="39" t="s">
        <v>69</v>
      </c>
      <c r="AA50" s="39" t="s">
        <v>70</v>
      </c>
      <c r="AB50" s="39" t="s">
        <v>71</v>
      </c>
      <c r="AC50" s="39" t="s">
        <v>72</v>
      </c>
      <c r="AD50" s="39" t="s">
        <v>64</v>
      </c>
      <c r="AE50" s="39" t="s">
        <v>65</v>
      </c>
      <c r="AF50" s="39" t="s">
        <v>66</v>
      </c>
      <c r="AG50" s="39" t="s">
        <v>107</v>
      </c>
      <c r="AH50" s="39" t="s">
        <v>67</v>
      </c>
      <c r="AI50" s="39" t="s">
        <v>68</v>
      </c>
      <c r="AJ50" s="39" t="s">
        <v>108</v>
      </c>
      <c r="AM50" s="39" t="s">
        <v>111</v>
      </c>
      <c r="AN50" s="39" t="s">
        <v>112</v>
      </c>
      <c r="AO50" s="39" t="s">
        <v>113</v>
      </c>
      <c r="AP50" s="39" t="s">
        <v>114</v>
      </c>
      <c r="AQ50" s="39" t="s">
        <v>115</v>
      </c>
      <c r="AR50" s="39" t="s">
        <v>36</v>
      </c>
      <c r="AS50" s="39" t="s">
        <v>116</v>
      </c>
      <c r="AT50" s="39" t="s">
        <v>35</v>
      </c>
      <c r="AU50" s="39" t="s">
        <v>117</v>
      </c>
      <c r="AV50" s="39" t="s">
        <v>118</v>
      </c>
      <c r="AW50" s="39" t="s">
        <v>119</v>
      </c>
      <c r="AX50" s="39" t="s">
        <v>74</v>
      </c>
      <c r="AY50" s="39" t="s">
        <v>75</v>
      </c>
      <c r="BB50" s="39" t="s">
        <v>134</v>
      </c>
      <c r="BC50" s="39" t="s">
        <v>135</v>
      </c>
      <c r="BD50" s="39" t="s">
        <v>136</v>
      </c>
      <c r="BE50" s="39" t="s">
        <v>107</v>
      </c>
      <c r="BF50" s="39" t="s">
        <v>137</v>
      </c>
      <c r="BG50" s="39" t="s">
        <v>138</v>
      </c>
      <c r="BH50" s="39" t="s">
        <v>108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63</v>
      </c>
    </row>
    <row r="52" spans="2:61">
      <c r="B52" s="5" t="s">
        <v>46</v>
      </c>
      <c r="D52" s="29" t="s">
        <v>55</v>
      </c>
      <c r="H52" s="16" t="s">
        <v>12</v>
      </c>
      <c r="I52" s="16" t="s">
        <v>12</v>
      </c>
      <c r="J52" s="16" t="s">
        <v>12</v>
      </c>
      <c r="K52" s="16" t="s">
        <v>12</v>
      </c>
      <c r="L52" s="16" t="s">
        <v>12</v>
      </c>
      <c r="M52" s="16" t="s">
        <v>12</v>
      </c>
      <c r="N52" s="16" t="s">
        <v>12</v>
      </c>
      <c r="O52" s="16" t="s">
        <v>12</v>
      </c>
      <c r="P52" s="16" t="s">
        <v>13</v>
      </c>
      <c r="Q52" s="16" t="s">
        <v>13</v>
      </c>
      <c r="R52" s="16" t="s">
        <v>13</v>
      </c>
      <c r="S52" s="16" t="s">
        <v>13</v>
      </c>
      <c r="T52" s="16" t="s">
        <v>13</v>
      </c>
      <c r="U52" s="16" t="s">
        <v>13</v>
      </c>
      <c r="V52" s="16" t="s">
        <v>13</v>
      </c>
      <c r="X52" s="34" t="s">
        <v>13</v>
      </c>
    </row>
    <row r="53" spans="2:61">
      <c r="B53" s="4" t="str">
        <f t="shared" ref="B53:B67" si="1">IF(B10&lt;&gt;"",B10,"[blank]")</f>
        <v>Other non-IT</v>
      </c>
      <c r="D53" s="31" t="s">
        <v>60</v>
      </c>
      <c r="O53" s="35"/>
      <c r="P53" s="35">
        <f>P31*($D10*'General assumptions'!S$35+$E10*'General assumptions'!S$36+$G10*'General assumptions'!S$42)</f>
        <v>0</v>
      </c>
      <c r="Q53" s="35">
        <f>Q31*($D10*'General assumptions'!T$35+$E10*'General assumptions'!T$36+$G10*'General assumptions'!T$42)</f>
        <v>360914.01009034616</v>
      </c>
      <c r="R53" s="35">
        <f>R31*($D10*'General assumptions'!U$35+$E10*'General assumptions'!U$36+$G10*'General assumptions'!U$42)</f>
        <v>361358.76730482717</v>
      </c>
      <c r="S53" s="35">
        <f>S31*($D10*'General assumptions'!V$35+$E10*'General assumptions'!V$36+$G10*'General assumptions'!V$42)</f>
        <v>361894.38911896548</v>
      </c>
      <c r="T53" s="35">
        <f>T31*($D10*'General assumptions'!W$35+$E10*'General assumptions'!W$36+$G10*'General assumptions'!W$42)</f>
        <v>362574.19659318496</v>
      </c>
      <c r="U53" s="35">
        <f>U31*($D10*'General assumptions'!X$35+$E10*'General assumptions'!X$36+$G10*'General assumptions'!X$42)</f>
        <v>363446.01291519118</v>
      </c>
      <c r="V53" s="35">
        <f>V31*($D10*'General assumptions'!Y$35+$E10*'General assumptions'!Y$36+$G10*'General assumptions'!Y$42)</f>
        <v>364411.70301263226</v>
      </c>
      <c r="W53" s="35"/>
      <c r="X53" s="40">
        <f>SUM(R53:V53)</f>
        <v>1813685.0689448011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>
        <v>1</v>
      </c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>
        <v>1</v>
      </c>
      <c r="AV53" s="10"/>
      <c r="AW53" s="10"/>
      <c r="AX53" s="10"/>
      <c r="AY53" s="10"/>
      <c r="AZ53" s="41">
        <f t="shared" ref="AZ53:AZ67" si="3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62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360914.01009034616</v>
      </c>
      <c r="R69" s="37">
        <f t="shared" si="6"/>
        <v>361358.76730482717</v>
      </c>
      <c r="S69" s="37">
        <f t="shared" si="6"/>
        <v>361894.38911896548</v>
      </c>
      <c r="T69" s="37">
        <f t="shared" si="6"/>
        <v>362574.19659318496</v>
      </c>
      <c r="U69" s="37">
        <f t="shared" si="6"/>
        <v>363446.01291519118</v>
      </c>
      <c r="V69" s="37">
        <f t="shared" si="6"/>
        <v>364411.70301263226</v>
      </c>
      <c r="X69" s="37">
        <f t="shared" si="5"/>
        <v>1813685.0689448011</v>
      </c>
    </row>
    <row r="71" spans="1:61">
      <c r="B71" s="5" t="s">
        <v>76</v>
      </c>
    </row>
    <row r="72" spans="1:61" s="1" customFormat="1">
      <c r="A72" s="4"/>
      <c r="B72" s="2" t="s">
        <v>77</v>
      </c>
    </row>
    <row r="74" spans="1:61">
      <c r="H74" s="190" t="s">
        <v>52</v>
      </c>
      <c r="I74" s="190"/>
      <c r="J74" s="190"/>
      <c r="K74" s="190"/>
      <c r="L74" s="190"/>
      <c r="M74" s="190" t="s">
        <v>53</v>
      </c>
      <c r="N74" s="190"/>
      <c r="O74" s="190"/>
      <c r="P74" s="190"/>
      <c r="Q74" s="190"/>
      <c r="R74" s="190" t="s">
        <v>54</v>
      </c>
      <c r="S74" s="190"/>
      <c r="T74" s="190"/>
      <c r="U74" s="190"/>
      <c r="V74" s="190"/>
      <c r="X74" s="38"/>
    </row>
    <row r="75" spans="1:61">
      <c r="B75" s="42" t="s">
        <v>79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63</v>
      </c>
    </row>
    <row r="76" spans="1:61">
      <c r="B76" s="5" t="s">
        <v>46</v>
      </c>
      <c r="D76" s="29" t="s">
        <v>55</v>
      </c>
      <c r="H76" s="16" t="s">
        <v>12</v>
      </c>
      <c r="I76" s="16" t="s">
        <v>12</v>
      </c>
      <c r="J76" s="16" t="s">
        <v>12</v>
      </c>
      <c r="K76" s="16" t="s">
        <v>12</v>
      </c>
      <c r="L76" s="16" t="s">
        <v>12</v>
      </c>
      <c r="M76" s="16" t="s">
        <v>12</v>
      </c>
      <c r="N76" s="16" t="s">
        <v>12</v>
      </c>
      <c r="O76" s="16" t="s">
        <v>12</v>
      </c>
      <c r="P76" s="16" t="s">
        <v>13</v>
      </c>
      <c r="Q76" s="16" t="s">
        <v>13</v>
      </c>
      <c r="R76" s="16" t="s">
        <v>13</v>
      </c>
      <c r="S76" s="16" t="s">
        <v>13</v>
      </c>
      <c r="T76" s="16" t="s">
        <v>13</v>
      </c>
      <c r="U76" s="16" t="s">
        <v>13</v>
      </c>
      <c r="V76" s="16" t="s">
        <v>13</v>
      </c>
      <c r="X76" s="34" t="s">
        <v>13</v>
      </c>
    </row>
    <row r="77" spans="1:61">
      <c r="B77" s="4" t="str">
        <f t="shared" ref="B77:B91" si="7">IF(B10&lt;&gt;"",B10,"[blank]")</f>
        <v>Other non-IT</v>
      </c>
      <c r="D77" s="31" t="s">
        <v>60</v>
      </c>
      <c r="O77" s="35"/>
      <c r="P77" s="35">
        <f t="shared" ref="P77:V77" si="8">$D10*P53</f>
        <v>0</v>
      </c>
      <c r="Q77" s="35">
        <f t="shared" si="8"/>
        <v>14436.560403613847</v>
      </c>
      <c r="R77" s="35">
        <f t="shared" si="8"/>
        <v>14454.350692193088</v>
      </c>
      <c r="S77" s="35">
        <f t="shared" si="8"/>
        <v>14475.77556475862</v>
      </c>
      <c r="T77" s="35">
        <f t="shared" si="8"/>
        <v>14502.967863727399</v>
      </c>
      <c r="U77" s="35">
        <f t="shared" si="8"/>
        <v>14537.840516607648</v>
      </c>
      <c r="V77" s="35">
        <f t="shared" si="8"/>
        <v>14576.468120505291</v>
      </c>
      <c r="X77" s="40">
        <f>SUM(R77:V77)</f>
        <v>72547.402757792035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78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14436.560403613847</v>
      </c>
      <c r="R93" s="37">
        <f t="shared" si="10"/>
        <v>14454.350692193088</v>
      </c>
      <c r="S93" s="37">
        <f t="shared" si="10"/>
        <v>14475.77556475862</v>
      </c>
      <c r="T93" s="37">
        <f t="shared" si="10"/>
        <v>14502.967863727399</v>
      </c>
      <c r="U93" s="37">
        <f t="shared" si="10"/>
        <v>14537.840516607648</v>
      </c>
      <c r="V93" s="37">
        <f t="shared" si="10"/>
        <v>14576.468120505291</v>
      </c>
      <c r="X93" s="37">
        <f t="shared" ref="X93" si="11">SUM(R93:V93)</f>
        <v>72547.402757792035</v>
      </c>
    </row>
    <row r="95" spans="1:24" s="1" customFormat="1">
      <c r="A95" s="4"/>
      <c r="B95" s="2" t="s">
        <v>80</v>
      </c>
    </row>
    <row r="97" spans="2:24">
      <c r="H97" s="190" t="s">
        <v>52</v>
      </c>
      <c r="I97" s="190"/>
      <c r="J97" s="190"/>
      <c r="K97" s="190"/>
      <c r="L97" s="190"/>
      <c r="M97" s="190" t="s">
        <v>53</v>
      </c>
      <c r="N97" s="190"/>
      <c r="O97" s="190"/>
      <c r="P97" s="190"/>
      <c r="Q97" s="190"/>
      <c r="R97" s="190" t="s">
        <v>54</v>
      </c>
      <c r="S97" s="190"/>
      <c r="T97" s="190"/>
      <c r="U97" s="190"/>
      <c r="V97" s="190"/>
      <c r="X97" s="38"/>
    </row>
    <row r="98" spans="2:24">
      <c r="B98" s="43" t="s">
        <v>81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63</v>
      </c>
    </row>
    <row r="99" spans="2:24">
      <c r="B99" s="5" t="s">
        <v>46</v>
      </c>
      <c r="D99" s="29" t="s">
        <v>55</v>
      </c>
      <c r="H99" s="16" t="s">
        <v>12</v>
      </c>
      <c r="I99" s="16" t="s">
        <v>12</v>
      </c>
      <c r="J99" s="16" t="s">
        <v>12</v>
      </c>
      <c r="K99" s="16" t="s">
        <v>12</v>
      </c>
      <c r="L99" s="16" t="s">
        <v>12</v>
      </c>
      <c r="M99" s="16" t="s">
        <v>12</v>
      </c>
      <c r="N99" s="16" t="s">
        <v>12</v>
      </c>
      <c r="O99" s="16" t="s">
        <v>12</v>
      </c>
      <c r="P99" s="16" t="s">
        <v>13</v>
      </c>
      <c r="Q99" s="16" t="s">
        <v>13</v>
      </c>
      <c r="R99" s="16" t="s">
        <v>13</v>
      </c>
      <c r="S99" s="16" t="s">
        <v>13</v>
      </c>
      <c r="T99" s="16" t="s">
        <v>13</v>
      </c>
      <c r="U99" s="16" t="s">
        <v>13</v>
      </c>
      <c r="V99" s="16" t="s">
        <v>13</v>
      </c>
      <c r="X99" s="34" t="s">
        <v>13</v>
      </c>
    </row>
    <row r="100" spans="2:24">
      <c r="B100" s="4" t="str">
        <f t="shared" ref="B100:B114" si="12">IF(B10&lt;&gt;"",B10,"[blank]")</f>
        <v>Other non-IT</v>
      </c>
      <c r="D100" s="31" t="s">
        <v>60</v>
      </c>
      <c r="O100" s="35"/>
      <c r="P100" s="35">
        <f t="shared" ref="P100:V100" si="13">$E10*P53</f>
        <v>0</v>
      </c>
      <c r="Q100" s="35">
        <f t="shared" si="13"/>
        <v>14436.560403613847</v>
      </c>
      <c r="R100" s="35">
        <f t="shared" si="13"/>
        <v>14454.350692193088</v>
      </c>
      <c r="S100" s="35">
        <f t="shared" si="13"/>
        <v>14475.77556475862</v>
      </c>
      <c r="T100" s="35">
        <f t="shared" si="13"/>
        <v>14502.967863727399</v>
      </c>
      <c r="U100" s="35">
        <f t="shared" si="13"/>
        <v>14537.840516607648</v>
      </c>
      <c r="V100" s="35">
        <f t="shared" si="13"/>
        <v>14576.468120505291</v>
      </c>
      <c r="X100" s="40">
        <f>SUM(R100:V100)</f>
        <v>72547.402757792035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82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14436.560403613847</v>
      </c>
      <c r="R116" s="37">
        <f t="shared" si="15"/>
        <v>14454.350692193088</v>
      </c>
      <c r="S116" s="37">
        <f t="shared" si="15"/>
        <v>14475.77556475862</v>
      </c>
      <c r="T116" s="37">
        <f t="shared" si="15"/>
        <v>14502.967863727399</v>
      </c>
      <c r="U116" s="37">
        <f t="shared" si="15"/>
        <v>14537.840516607648</v>
      </c>
      <c r="V116" s="37">
        <f t="shared" si="15"/>
        <v>14576.468120505291</v>
      </c>
      <c r="X116" s="37">
        <f t="shared" ref="X116" si="16">SUM(R116:V116)</f>
        <v>72547.402757792035</v>
      </c>
    </row>
    <row r="118" spans="1:24" s="1" customFormat="1">
      <c r="A118" s="4"/>
      <c r="B118" s="2" t="s">
        <v>83</v>
      </c>
    </row>
    <row r="120" spans="1:24">
      <c r="H120" s="190" t="s">
        <v>52</v>
      </c>
      <c r="I120" s="190"/>
      <c r="J120" s="190"/>
      <c r="K120" s="190"/>
      <c r="L120" s="190"/>
      <c r="M120" s="190" t="s">
        <v>53</v>
      </c>
      <c r="N120" s="190"/>
      <c r="O120" s="190"/>
      <c r="P120" s="190"/>
      <c r="Q120" s="190"/>
      <c r="R120" s="190" t="s">
        <v>54</v>
      </c>
      <c r="S120" s="190"/>
      <c r="T120" s="190"/>
      <c r="U120" s="190"/>
      <c r="V120" s="190"/>
      <c r="X120" s="38"/>
    </row>
    <row r="121" spans="1:24">
      <c r="B121" s="43" t="s">
        <v>84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63</v>
      </c>
    </row>
    <row r="122" spans="1:24">
      <c r="B122" s="5" t="s">
        <v>46</v>
      </c>
      <c r="D122" s="29" t="s">
        <v>55</v>
      </c>
      <c r="H122" s="16" t="s">
        <v>12</v>
      </c>
      <c r="I122" s="16" t="s">
        <v>12</v>
      </c>
      <c r="J122" s="16" t="s">
        <v>12</v>
      </c>
      <c r="K122" s="16" t="s">
        <v>12</v>
      </c>
      <c r="L122" s="16" t="s">
        <v>12</v>
      </c>
      <c r="M122" s="16" t="s">
        <v>12</v>
      </c>
      <c r="N122" s="16" t="s">
        <v>12</v>
      </c>
      <c r="O122" s="16" t="s">
        <v>12</v>
      </c>
      <c r="P122" s="16" t="s">
        <v>13</v>
      </c>
      <c r="Q122" s="16" t="s">
        <v>13</v>
      </c>
      <c r="R122" s="16" t="s">
        <v>13</v>
      </c>
      <c r="S122" s="16" t="s">
        <v>13</v>
      </c>
      <c r="T122" s="16" t="s">
        <v>13</v>
      </c>
      <c r="U122" s="16" t="s">
        <v>13</v>
      </c>
      <c r="V122" s="16" t="s">
        <v>13</v>
      </c>
      <c r="X122" s="34" t="s">
        <v>13</v>
      </c>
    </row>
    <row r="123" spans="1:24">
      <c r="B123" s="4" t="str">
        <f t="shared" ref="B123:B137" si="17">IF(B10&lt;&gt;"",B10,"[blank]")</f>
        <v>Other non-IT</v>
      </c>
      <c r="D123" s="31" t="s">
        <v>60</v>
      </c>
      <c r="O123" s="35"/>
      <c r="P123" s="35">
        <f>P77+P100</f>
        <v>0</v>
      </c>
      <c r="Q123" s="35">
        <f t="shared" ref="Q123:V123" si="18">Q77+Q100</f>
        <v>28873.120807227693</v>
      </c>
      <c r="R123" s="35">
        <f t="shared" si="18"/>
        <v>28908.701384386175</v>
      </c>
      <c r="S123" s="35">
        <f t="shared" si="18"/>
        <v>28951.55112951724</v>
      </c>
      <c r="T123" s="35">
        <f t="shared" si="18"/>
        <v>29005.935727454798</v>
      </c>
      <c r="U123" s="35">
        <f t="shared" si="18"/>
        <v>29075.681033215296</v>
      </c>
      <c r="V123" s="35">
        <f t="shared" si="18"/>
        <v>29152.936241010582</v>
      </c>
      <c r="X123" s="40">
        <f>SUM(R123:V123)</f>
        <v>145094.80551558407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85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28873.120807227693</v>
      </c>
      <c r="R139" s="37">
        <f t="shared" si="20"/>
        <v>28908.701384386175</v>
      </c>
      <c r="S139" s="37">
        <f t="shared" si="20"/>
        <v>28951.55112951724</v>
      </c>
      <c r="T139" s="37">
        <f t="shared" si="20"/>
        <v>29005.935727454798</v>
      </c>
      <c r="U139" s="37">
        <f t="shared" si="20"/>
        <v>29075.681033215296</v>
      </c>
      <c r="V139" s="37">
        <f t="shared" si="20"/>
        <v>29152.936241010582</v>
      </c>
      <c r="X139" s="37">
        <f t="shared" ref="X139" si="21">SUM(R139:V139)</f>
        <v>145094.80551558407</v>
      </c>
    </row>
    <row r="141" spans="1:24" s="1" customFormat="1">
      <c r="A141" s="4"/>
      <c r="B141" s="2" t="s">
        <v>86</v>
      </c>
    </row>
    <row r="143" spans="1:24">
      <c r="H143" s="190" t="s">
        <v>52</v>
      </c>
      <c r="I143" s="190"/>
      <c r="J143" s="190"/>
      <c r="K143" s="190"/>
      <c r="L143" s="190"/>
      <c r="M143" s="190" t="s">
        <v>53</v>
      </c>
      <c r="N143" s="190"/>
      <c r="O143" s="190"/>
      <c r="P143" s="190"/>
      <c r="Q143" s="190"/>
      <c r="R143" s="190" t="s">
        <v>54</v>
      </c>
      <c r="S143" s="190"/>
      <c r="T143" s="190"/>
      <c r="U143" s="190"/>
      <c r="V143" s="190"/>
      <c r="X143" s="38"/>
    </row>
    <row r="144" spans="1:24">
      <c r="B144" s="44" t="s">
        <v>50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63</v>
      </c>
    </row>
    <row r="145" spans="2:24">
      <c r="B145" s="5" t="s">
        <v>46</v>
      </c>
      <c r="D145" s="29" t="s">
        <v>55</v>
      </c>
      <c r="H145" s="16" t="s">
        <v>12</v>
      </c>
      <c r="I145" s="16" t="s">
        <v>12</v>
      </c>
      <c r="J145" s="16" t="s">
        <v>12</v>
      </c>
      <c r="K145" s="16" t="s">
        <v>12</v>
      </c>
      <c r="L145" s="16" t="s">
        <v>12</v>
      </c>
      <c r="M145" s="16" t="s">
        <v>12</v>
      </c>
      <c r="N145" s="16" t="s">
        <v>12</v>
      </c>
      <c r="O145" s="16" t="s">
        <v>12</v>
      </c>
      <c r="P145" s="16" t="s">
        <v>13</v>
      </c>
      <c r="Q145" s="16" t="s">
        <v>13</v>
      </c>
      <c r="R145" s="16" t="s">
        <v>13</v>
      </c>
      <c r="S145" s="16" t="s">
        <v>13</v>
      </c>
      <c r="T145" s="16" t="s">
        <v>13</v>
      </c>
      <c r="U145" s="16" t="s">
        <v>13</v>
      </c>
      <c r="V145" s="16" t="s">
        <v>13</v>
      </c>
      <c r="X145" s="34" t="s">
        <v>13</v>
      </c>
    </row>
    <row r="146" spans="2:24">
      <c r="B146" s="4" t="str">
        <f t="shared" ref="B146:B160" si="22">IF(B10&lt;&gt;"",B10,"[blank]")</f>
        <v>Other non-IT</v>
      </c>
      <c r="D146" s="31" t="s">
        <v>60</v>
      </c>
      <c r="O146" s="35"/>
      <c r="P146" s="35">
        <f t="shared" ref="P146:V146" si="23">$G10*P53</f>
        <v>0</v>
      </c>
      <c r="Q146" s="35">
        <f t="shared" si="23"/>
        <v>332040.88928311848</v>
      </c>
      <c r="R146" s="35">
        <f t="shared" si="23"/>
        <v>332450.065920441</v>
      </c>
      <c r="S146" s="35">
        <f t="shared" si="23"/>
        <v>332942.83798944828</v>
      </c>
      <c r="T146" s="35">
        <f t="shared" si="23"/>
        <v>333568.26086573018</v>
      </c>
      <c r="U146" s="35">
        <f t="shared" si="23"/>
        <v>334370.33188197593</v>
      </c>
      <c r="V146" s="35">
        <f t="shared" si="23"/>
        <v>335258.76677162171</v>
      </c>
      <c r="X146" s="40">
        <f>SUM(R146:V146)</f>
        <v>1668590.2634292173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87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332040.88928311848</v>
      </c>
      <c r="R162" s="37">
        <f t="shared" si="25"/>
        <v>332450.065920441</v>
      </c>
      <c r="S162" s="37">
        <f t="shared" si="25"/>
        <v>332942.83798944828</v>
      </c>
      <c r="T162" s="37">
        <f t="shared" si="25"/>
        <v>333568.26086573018</v>
      </c>
      <c r="U162" s="37">
        <f t="shared" si="25"/>
        <v>334370.33188197593</v>
      </c>
      <c r="V162" s="37">
        <f t="shared" si="25"/>
        <v>335258.76677162171</v>
      </c>
      <c r="X162" s="37">
        <f t="shared" ref="X162" si="26">SUM(R162:V162)</f>
        <v>1668590.2634292173</v>
      </c>
    </row>
    <row r="164" spans="1:24" s="1" customFormat="1">
      <c r="A164" s="2">
        <v>5</v>
      </c>
      <c r="B164" s="2" t="s">
        <v>89</v>
      </c>
    </row>
    <row r="166" spans="1:24">
      <c r="H166" s="190" t="s">
        <v>52</v>
      </c>
      <c r="I166" s="190"/>
      <c r="J166" s="190"/>
      <c r="K166" s="190"/>
      <c r="L166" s="190"/>
      <c r="M166" s="190" t="s">
        <v>53</v>
      </c>
      <c r="N166" s="190"/>
      <c r="O166" s="190"/>
      <c r="P166" s="190"/>
      <c r="Q166" s="190"/>
      <c r="R166" s="190" t="s">
        <v>54</v>
      </c>
      <c r="S166" s="190"/>
      <c r="T166" s="190"/>
      <c r="U166" s="190"/>
      <c r="V166" s="190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63</v>
      </c>
    </row>
    <row r="168" spans="1:24">
      <c r="B168" s="5" t="s">
        <v>46</v>
      </c>
      <c r="D168" s="29" t="s">
        <v>55</v>
      </c>
      <c r="H168" s="16" t="s">
        <v>12</v>
      </c>
      <c r="I168" s="16" t="s">
        <v>12</v>
      </c>
      <c r="J168" s="16" t="s">
        <v>12</v>
      </c>
      <c r="K168" s="16" t="s">
        <v>12</v>
      </c>
      <c r="L168" s="16" t="s">
        <v>12</v>
      </c>
      <c r="M168" s="16" t="s">
        <v>12</v>
      </c>
      <c r="N168" s="16" t="s">
        <v>12</v>
      </c>
      <c r="O168" s="16" t="s">
        <v>12</v>
      </c>
      <c r="P168" s="16" t="s">
        <v>13</v>
      </c>
      <c r="Q168" s="16" t="s">
        <v>13</v>
      </c>
      <c r="R168" s="16" t="s">
        <v>13</v>
      </c>
      <c r="S168" s="16" t="s">
        <v>13</v>
      </c>
      <c r="T168" s="16" t="s">
        <v>13</v>
      </c>
      <c r="U168" s="16" t="s">
        <v>13</v>
      </c>
      <c r="V168" s="16" t="s">
        <v>13</v>
      </c>
      <c r="X168" s="34" t="s">
        <v>13</v>
      </c>
    </row>
    <row r="169" spans="1:24">
      <c r="B169" s="4" t="str">
        <f t="shared" ref="B169:B183" si="27">IF(B10&lt;&gt;"",B10,"[blank]")</f>
        <v>Other non-IT</v>
      </c>
      <c r="D169" s="31" t="s">
        <v>60</v>
      </c>
      <c r="O169" s="35"/>
      <c r="P169" s="35">
        <f>P53*P$188</f>
        <v>0</v>
      </c>
      <c r="Q169" s="35">
        <f t="shared" ref="Q169:V169" si="28">Q53*Q$188</f>
        <v>0</v>
      </c>
      <c r="R169" s="35">
        <f t="shared" si="28"/>
        <v>0</v>
      </c>
      <c r="S169" s="35">
        <f t="shared" si="28"/>
        <v>0</v>
      </c>
      <c r="T169" s="35">
        <f t="shared" si="28"/>
        <v>0</v>
      </c>
      <c r="U169" s="35">
        <f t="shared" si="28"/>
        <v>0</v>
      </c>
      <c r="V169" s="35">
        <f t="shared" si="28"/>
        <v>0</v>
      </c>
      <c r="X169" s="40">
        <f>SUM(R169:V169)</f>
        <v>0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88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0</v>
      </c>
      <c r="R185" s="37">
        <f t="shared" si="30"/>
        <v>0</v>
      </c>
      <c r="S185" s="37">
        <f t="shared" si="30"/>
        <v>0</v>
      </c>
      <c r="T185" s="37">
        <f t="shared" si="30"/>
        <v>0</v>
      </c>
      <c r="U185" s="37">
        <f t="shared" si="30"/>
        <v>0</v>
      </c>
      <c r="V185" s="37">
        <f t="shared" si="30"/>
        <v>0</v>
      </c>
      <c r="X185" s="37">
        <f t="shared" ref="X185" si="31">SUM(R185:V185)</f>
        <v>0</v>
      </c>
    </row>
    <row r="187" spans="2:24">
      <c r="B187" s="4" t="s">
        <v>92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360914.01009034616</v>
      </c>
      <c r="R187" s="45">
        <f t="shared" si="32"/>
        <v>361358.76730482717</v>
      </c>
      <c r="S187" s="45">
        <f t="shared" si="32"/>
        <v>361894.38911896548</v>
      </c>
      <c r="T187" s="45">
        <f t="shared" si="32"/>
        <v>362574.19659318496</v>
      </c>
      <c r="U187" s="45">
        <f t="shared" si="32"/>
        <v>363446.01291519118</v>
      </c>
      <c r="V187" s="45">
        <f t="shared" si="32"/>
        <v>364411.70301263226</v>
      </c>
      <c r="W187" s="45"/>
      <c r="X187" s="40">
        <f t="shared" si="32"/>
        <v>1813685.0689448011</v>
      </c>
    </row>
    <row r="188" spans="2:24">
      <c r="B188" s="4" t="s">
        <v>90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assumptions'!S73</f>
        <v>0</v>
      </c>
      <c r="Q188" s="21">
        <f>'General assumptions'!T73</f>
        <v>0</v>
      </c>
      <c r="R188" s="21">
        <f>'General assumptions'!U73</f>
        <v>0</v>
      </c>
      <c r="S188" s="21">
        <f>'General assumptions'!V73</f>
        <v>0</v>
      </c>
      <c r="T188" s="21">
        <f>'General assumptions'!W73</f>
        <v>0</v>
      </c>
      <c r="U188" s="21">
        <f>'General assumptions'!X73</f>
        <v>0</v>
      </c>
      <c r="V188" s="21">
        <f>'General assumptions'!Y73</f>
        <v>0</v>
      </c>
      <c r="W188" s="21"/>
      <c r="X188" s="75">
        <f>X185/X187</f>
        <v>0</v>
      </c>
    </row>
    <row r="190" spans="2:24" ht="12.75" thickBot="1">
      <c r="B190" s="5" t="s">
        <v>91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5">IF(Q168="forecast",Q187*(1+Q188),Q187+Q192)</f>
        <v>360914.01009034616</v>
      </c>
      <c r="R190" s="37">
        <f t="shared" si="35"/>
        <v>361358.76730482717</v>
      </c>
      <c r="S190" s="37">
        <f t="shared" si="35"/>
        <v>361894.38911896548</v>
      </c>
      <c r="T190" s="37">
        <f t="shared" si="35"/>
        <v>362574.19659318496</v>
      </c>
      <c r="U190" s="37">
        <f t="shared" si="35"/>
        <v>363446.01291519118</v>
      </c>
      <c r="V190" s="37">
        <f t="shared" si="35"/>
        <v>364411.70301263226</v>
      </c>
      <c r="X190" s="37">
        <f t="shared" ref="X190" si="36">IF(X168="forecast",X187*(1+X188),X187+X192)</f>
        <v>1813685.0689448011</v>
      </c>
    </row>
    <row r="192" spans="2:24">
      <c r="B192" s="4" t="s">
        <v>18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0</v>
      </c>
      <c r="R192" s="45">
        <f t="shared" si="37"/>
        <v>0</v>
      </c>
      <c r="S192" s="45">
        <f t="shared" si="37"/>
        <v>0</v>
      </c>
      <c r="T192" s="45">
        <f t="shared" si="37"/>
        <v>0</v>
      </c>
      <c r="U192" s="45">
        <f t="shared" si="37"/>
        <v>0</v>
      </c>
      <c r="V192" s="45">
        <f t="shared" si="37"/>
        <v>0</v>
      </c>
      <c r="X192" s="40">
        <f t="shared" ref="X192" si="38">X190-X187</f>
        <v>0</v>
      </c>
    </row>
    <row r="194" spans="1:24" s="1" customFormat="1">
      <c r="A194" s="2">
        <v>6</v>
      </c>
      <c r="B194" s="2" t="s">
        <v>74</v>
      </c>
    </row>
    <row r="196" spans="1:24">
      <c r="H196" s="190" t="s">
        <v>52</v>
      </c>
      <c r="I196" s="190"/>
      <c r="J196" s="190"/>
      <c r="K196" s="190"/>
      <c r="L196" s="190"/>
      <c r="M196" s="190" t="s">
        <v>53</v>
      </c>
      <c r="N196" s="190"/>
      <c r="O196" s="190"/>
      <c r="P196" s="190"/>
      <c r="Q196" s="190"/>
      <c r="R196" s="190" t="s">
        <v>54</v>
      </c>
      <c r="S196" s="190"/>
      <c r="T196" s="190"/>
      <c r="U196" s="190"/>
      <c r="V196" s="190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63</v>
      </c>
    </row>
    <row r="198" spans="1:24">
      <c r="D198" s="29" t="s">
        <v>55</v>
      </c>
      <c r="H198" s="16" t="s">
        <v>12</v>
      </c>
      <c r="I198" s="16" t="s">
        <v>12</v>
      </c>
      <c r="J198" s="16" t="s">
        <v>12</v>
      </c>
      <c r="K198" s="16" t="s">
        <v>12</v>
      </c>
      <c r="L198" s="16" t="s">
        <v>12</v>
      </c>
      <c r="M198" s="16" t="s">
        <v>12</v>
      </c>
      <c r="N198" s="16" t="s">
        <v>12</v>
      </c>
      <c r="O198" s="16" t="s">
        <v>12</v>
      </c>
      <c r="P198" s="16" t="s">
        <v>13</v>
      </c>
      <c r="Q198" s="16" t="s">
        <v>13</v>
      </c>
      <c r="R198" s="16" t="s">
        <v>13</v>
      </c>
      <c r="S198" s="16" t="s">
        <v>13</v>
      </c>
      <c r="T198" s="16" t="s">
        <v>13</v>
      </c>
      <c r="U198" s="16" t="s">
        <v>13</v>
      </c>
      <c r="V198" s="16" t="s">
        <v>13</v>
      </c>
      <c r="X198" s="34" t="s">
        <v>13</v>
      </c>
    </row>
    <row r="199" spans="1:24">
      <c r="B199" s="5" t="s">
        <v>94</v>
      </c>
      <c r="D199" s="31" t="s">
        <v>105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46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Other non-IT</v>
      </c>
      <c r="D202" s="31" t="s">
        <v>60</v>
      </c>
      <c r="P202" s="45">
        <f>(-P53*(1+P$188))*P$199</f>
        <v>0</v>
      </c>
      <c r="Q202" s="45">
        <f t="shared" ref="Q202:V202" si="41">(-Q53*(1+Q$188))*Q$199</f>
        <v>0</v>
      </c>
      <c r="R202" s="45">
        <f t="shared" si="41"/>
        <v>0</v>
      </c>
      <c r="S202" s="45">
        <f t="shared" si="41"/>
        <v>0</v>
      </c>
      <c r="T202" s="45">
        <f t="shared" si="41"/>
        <v>0</v>
      </c>
      <c r="U202" s="45">
        <f t="shared" si="41"/>
        <v>0</v>
      </c>
      <c r="V202" s="45">
        <f t="shared" si="41"/>
        <v>0</v>
      </c>
      <c r="X202" s="40">
        <f t="shared" ref="X202" si="42">SUM(R202:V202)</f>
        <v>0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93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0</v>
      </c>
      <c r="R218" s="37">
        <f t="shared" si="43"/>
        <v>0</v>
      </c>
      <c r="S218" s="37">
        <f t="shared" si="43"/>
        <v>0</v>
      </c>
      <c r="T218" s="37">
        <f t="shared" si="43"/>
        <v>0</v>
      </c>
      <c r="U218" s="37">
        <f t="shared" si="43"/>
        <v>0</v>
      </c>
      <c r="V218" s="37">
        <f t="shared" si="43"/>
        <v>0</v>
      </c>
      <c r="X218" s="37">
        <f t="shared" ref="X218" si="44">SUM(R218:V218)</f>
        <v>0</v>
      </c>
    </row>
    <row r="220" spans="1:24" s="1" customFormat="1">
      <c r="A220" s="2">
        <v>7</v>
      </c>
      <c r="B220" s="2" t="s">
        <v>75</v>
      </c>
    </row>
    <row r="222" spans="1:24">
      <c r="H222" s="190" t="s">
        <v>52</v>
      </c>
      <c r="I222" s="190"/>
      <c r="J222" s="190"/>
      <c r="K222" s="190"/>
      <c r="L222" s="190"/>
      <c r="M222" s="190" t="s">
        <v>53</v>
      </c>
      <c r="N222" s="190"/>
      <c r="O222" s="190"/>
      <c r="P222" s="190"/>
      <c r="Q222" s="190"/>
      <c r="R222" s="190" t="s">
        <v>54</v>
      </c>
      <c r="S222" s="190"/>
      <c r="T222" s="190"/>
      <c r="U222" s="190"/>
      <c r="V222" s="190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63</v>
      </c>
    </row>
    <row r="224" spans="1:24">
      <c r="D224" s="29" t="s">
        <v>55</v>
      </c>
      <c r="H224" s="16" t="s">
        <v>12</v>
      </c>
      <c r="I224" s="16" t="s">
        <v>12</v>
      </c>
      <c r="J224" s="16" t="s">
        <v>12</v>
      </c>
      <c r="K224" s="16" t="s">
        <v>12</v>
      </c>
      <c r="L224" s="16" t="s">
        <v>12</v>
      </c>
      <c r="M224" s="16" t="s">
        <v>12</v>
      </c>
      <c r="N224" s="16" t="s">
        <v>12</v>
      </c>
      <c r="O224" s="16" t="s">
        <v>12</v>
      </c>
      <c r="P224" s="16" t="s">
        <v>13</v>
      </c>
      <c r="Q224" s="16" t="s">
        <v>13</v>
      </c>
      <c r="R224" s="16" t="s">
        <v>13</v>
      </c>
      <c r="S224" s="16" t="s">
        <v>13</v>
      </c>
      <c r="T224" s="16" t="s">
        <v>13</v>
      </c>
      <c r="U224" s="16" t="s">
        <v>13</v>
      </c>
      <c r="V224" s="16" t="s">
        <v>13</v>
      </c>
      <c r="X224" s="34" t="s">
        <v>13</v>
      </c>
    </row>
    <row r="225" spans="1:24">
      <c r="B225" s="38" t="s">
        <v>96</v>
      </c>
      <c r="D225" s="31"/>
      <c r="X225" s="40"/>
    </row>
    <row r="226" spans="1:24">
      <c r="B226" s="47" t="s">
        <v>97</v>
      </c>
      <c r="D226" s="31" t="s">
        <v>60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98</v>
      </c>
      <c r="D227" s="31" t="s">
        <v>60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99</v>
      </c>
      <c r="D228" s="31" t="s">
        <v>60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100</v>
      </c>
      <c r="D229" s="31" t="s">
        <v>60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101</v>
      </c>
      <c r="D230" s="31" t="s">
        <v>60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102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103</v>
      </c>
    </row>
    <row r="236" spans="1:24">
      <c r="H236" s="190" t="s">
        <v>52</v>
      </c>
      <c r="I236" s="190"/>
      <c r="J236" s="190"/>
      <c r="K236" s="190"/>
      <c r="L236" s="190"/>
      <c r="M236" s="190" t="s">
        <v>53</v>
      </c>
      <c r="N236" s="190"/>
      <c r="O236" s="190"/>
      <c r="P236" s="190"/>
      <c r="Q236" s="190"/>
      <c r="R236" s="190" t="s">
        <v>54</v>
      </c>
      <c r="S236" s="190"/>
      <c r="T236" s="190"/>
      <c r="U236" s="190"/>
      <c r="V236" s="190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63</v>
      </c>
    </row>
    <row r="238" spans="1:24">
      <c r="D238" s="29" t="s">
        <v>55</v>
      </c>
      <c r="H238" s="16" t="s">
        <v>12</v>
      </c>
      <c r="I238" s="16" t="s">
        <v>12</v>
      </c>
      <c r="J238" s="16" t="s">
        <v>12</v>
      </c>
      <c r="K238" s="16" t="s">
        <v>12</v>
      </c>
      <c r="L238" s="16" t="s">
        <v>12</v>
      </c>
      <c r="M238" s="16" t="s">
        <v>12</v>
      </c>
      <c r="N238" s="16" t="s">
        <v>12</v>
      </c>
      <c r="O238" s="16" t="s">
        <v>12</v>
      </c>
      <c r="P238" s="16" t="s">
        <v>13</v>
      </c>
      <c r="Q238" s="16" t="s">
        <v>13</v>
      </c>
      <c r="R238" s="16" t="s">
        <v>13</v>
      </c>
      <c r="S238" s="16" t="s">
        <v>13</v>
      </c>
      <c r="T238" s="16" t="s">
        <v>13</v>
      </c>
      <c r="U238" s="16" t="s">
        <v>13</v>
      </c>
      <c r="V238" s="16" t="s">
        <v>13</v>
      </c>
      <c r="X238" s="34" t="s">
        <v>13</v>
      </c>
    </row>
    <row r="239" spans="1:24">
      <c r="B239" s="4" t="s">
        <v>104</v>
      </c>
      <c r="D239" s="31" t="s">
        <v>60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360914.01009034616</v>
      </c>
      <c r="R239" s="45">
        <f t="shared" si="47"/>
        <v>361358.76730482717</v>
      </c>
      <c r="S239" s="45">
        <f t="shared" si="47"/>
        <v>361894.38911896548</v>
      </c>
      <c r="T239" s="45">
        <f t="shared" si="47"/>
        <v>362574.19659318496</v>
      </c>
      <c r="U239" s="45">
        <f t="shared" si="47"/>
        <v>363446.01291519118</v>
      </c>
      <c r="V239" s="45">
        <f t="shared" si="47"/>
        <v>364411.70301263226</v>
      </c>
      <c r="X239" s="40">
        <f t="shared" ref="X239:X241" si="48">SUM(R239:V239)</f>
        <v>1813685.0689448011</v>
      </c>
    </row>
    <row r="240" spans="1:24">
      <c r="B240" s="4" t="s">
        <v>74</v>
      </c>
      <c r="D240" s="31" t="s">
        <v>60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0</v>
      </c>
      <c r="R240" s="45">
        <f t="shared" si="49"/>
        <v>0</v>
      </c>
      <c r="S240" s="45">
        <f t="shared" si="49"/>
        <v>0</v>
      </c>
      <c r="T240" s="45">
        <f t="shared" si="49"/>
        <v>0</v>
      </c>
      <c r="U240" s="45">
        <f t="shared" si="49"/>
        <v>0</v>
      </c>
      <c r="V240" s="45">
        <f t="shared" si="49"/>
        <v>0</v>
      </c>
      <c r="X240" s="40">
        <f t="shared" si="48"/>
        <v>0</v>
      </c>
    </row>
    <row r="241" spans="1:24">
      <c r="B241" s="4" t="s">
        <v>75</v>
      </c>
      <c r="D241" s="31" t="s">
        <v>60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103</v>
      </c>
      <c r="D243" s="31" t="s">
        <v>60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360914.01009034616</v>
      </c>
      <c r="R243" s="37">
        <f t="shared" si="51"/>
        <v>361358.76730482717</v>
      </c>
      <c r="S243" s="37">
        <f t="shared" si="51"/>
        <v>361894.38911896548</v>
      </c>
      <c r="T243" s="37">
        <f t="shared" si="51"/>
        <v>362574.19659318496</v>
      </c>
      <c r="U243" s="37">
        <f t="shared" si="51"/>
        <v>363446.01291519118</v>
      </c>
      <c r="V243" s="37">
        <f t="shared" si="51"/>
        <v>364411.70301263226</v>
      </c>
      <c r="X243" s="37">
        <f t="shared" ref="X243" si="52">SUM(R243:V243)</f>
        <v>1813685.0689448011</v>
      </c>
    </row>
    <row r="244" spans="1:24">
      <c r="D244" s="31"/>
    </row>
    <row r="246" spans="1:24" s="66" customFormat="1">
      <c r="A246" s="65">
        <v>9</v>
      </c>
      <c r="B246" s="65" t="s">
        <v>121</v>
      </c>
    </row>
    <row r="268" spans="2:22">
      <c r="B268" s="69" t="s">
        <v>120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339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3">IFERROR(SUMPRODUCT($Z$53:$Z$67,Q$53:Q$67)/SUM(Q$53:Q$67)*Q$69,0)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62">
        <f t="shared" si="53"/>
        <v>0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0</v>
      </c>
      <c r="R277" s="57">
        <f t="shared" si="54"/>
        <v>0</v>
      </c>
      <c r="S277" s="57">
        <f t="shared" si="54"/>
        <v>0</v>
      </c>
      <c r="T277" s="57">
        <f t="shared" si="54"/>
        <v>0</v>
      </c>
      <c r="U277" s="57">
        <f t="shared" si="54"/>
        <v>0</v>
      </c>
      <c r="V277" s="62">
        <f t="shared" si="54"/>
        <v>0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0</v>
      </c>
      <c r="R278" s="57">
        <f t="shared" si="55"/>
        <v>0</v>
      </c>
      <c r="S278" s="57">
        <f t="shared" si="55"/>
        <v>0</v>
      </c>
      <c r="T278" s="57">
        <f t="shared" si="55"/>
        <v>0</v>
      </c>
      <c r="U278" s="57">
        <f t="shared" si="55"/>
        <v>0</v>
      </c>
      <c r="V278" s="62">
        <f t="shared" si="55"/>
        <v>0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0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360914.01009034616</v>
      </c>
      <c r="R285" s="57">
        <f t="shared" si="62"/>
        <v>361358.76730482717</v>
      </c>
      <c r="S285" s="57">
        <f t="shared" si="62"/>
        <v>361894.38911896548</v>
      </c>
      <c r="T285" s="57">
        <f t="shared" si="62"/>
        <v>362574.19659318496</v>
      </c>
      <c r="U285" s="57">
        <f t="shared" si="62"/>
        <v>363446.01291519118</v>
      </c>
      <c r="V285" s="62">
        <f t="shared" si="62"/>
        <v>364411.70301263226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360914.01009034616</v>
      </c>
      <c r="R288" s="37">
        <f t="shared" si="64"/>
        <v>361358.76730482717</v>
      </c>
      <c r="S288" s="37">
        <f t="shared" si="64"/>
        <v>361894.38911896548</v>
      </c>
      <c r="T288" s="37">
        <f t="shared" si="64"/>
        <v>362574.19659318496</v>
      </c>
      <c r="U288" s="37">
        <f t="shared" si="64"/>
        <v>363446.01291519118</v>
      </c>
      <c r="V288" s="64">
        <f t="shared" si="64"/>
        <v>364411.70301263226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312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0</v>
      </c>
      <c r="R298" s="57">
        <f t="shared" si="65"/>
        <v>0</v>
      </c>
      <c r="S298" s="57">
        <f t="shared" si="65"/>
        <v>0</v>
      </c>
      <c r="T298" s="57">
        <f t="shared" si="65"/>
        <v>0</v>
      </c>
      <c r="U298" s="57">
        <f t="shared" si="65"/>
        <v>0</v>
      </c>
      <c r="V298" s="62">
        <f t="shared" si="65"/>
        <v>0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0</v>
      </c>
      <c r="R299" s="57">
        <f t="shared" si="65"/>
        <v>0</v>
      </c>
      <c r="S299" s="57">
        <f t="shared" si="65"/>
        <v>0</v>
      </c>
      <c r="T299" s="57">
        <f t="shared" si="65"/>
        <v>0</v>
      </c>
      <c r="U299" s="57">
        <f t="shared" si="65"/>
        <v>0</v>
      </c>
      <c r="V299" s="62">
        <f t="shared" si="65"/>
        <v>0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0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360914.01009034616</v>
      </c>
      <c r="R306" s="57">
        <f t="shared" si="65"/>
        <v>361358.76730482717</v>
      </c>
      <c r="S306" s="57">
        <f t="shared" si="65"/>
        <v>361894.38911896548</v>
      </c>
      <c r="T306" s="57">
        <f t="shared" si="65"/>
        <v>362574.19659318496</v>
      </c>
      <c r="U306" s="57">
        <f t="shared" si="65"/>
        <v>363446.01291519118</v>
      </c>
      <c r="V306" s="62">
        <f t="shared" si="65"/>
        <v>364411.70301263226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360914.01009034616</v>
      </c>
      <c r="R309" s="37">
        <f t="shared" si="66"/>
        <v>361358.76730482717</v>
      </c>
      <c r="S309" s="37">
        <f t="shared" si="66"/>
        <v>361894.38911896548</v>
      </c>
      <c r="T309" s="37">
        <f t="shared" si="66"/>
        <v>362574.19659318496</v>
      </c>
      <c r="U309" s="37">
        <f t="shared" si="66"/>
        <v>363446.01291519118</v>
      </c>
      <c r="V309" s="64">
        <f t="shared" si="66"/>
        <v>364411.70301263226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313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P297*(1-P$199)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0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0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0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360914.01009034616</v>
      </c>
      <c r="R327" s="57">
        <f t="shared" si="67"/>
        <v>361358.76730482717</v>
      </c>
      <c r="S327" s="57">
        <f t="shared" si="67"/>
        <v>361894.38911896548</v>
      </c>
      <c r="T327" s="57">
        <f t="shared" si="67"/>
        <v>362574.19659318496</v>
      </c>
      <c r="U327" s="57">
        <f t="shared" si="67"/>
        <v>363446.01291519118</v>
      </c>
      <c r="V327" s="62">
        <f t="shared" si="67"/>
        <v>364411.70301263226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360914.01009034616</v>
      </c>
      <c r="R330" s="37">
        <f t="shared" si="68"/>
        <v>361358.76730482717</v>
      </c>
      <c r="S330" s="37">
        <f t="shared" si="68"/>
        <v>361894.38911896548</v>
      </c>
      <c r="T330" s="37">
        <f t="shared" si="68"/>
        <v>362574.19659318496</v>
      </c>
      <c r="U330" s="37">
        <f t="shared" si="68"/>
        <v>363446.01291519118</v>
      </c>
      <c r="V330" s="64">
        <f t="shared" si="68"/>
        <v>364411.70301263226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314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69">Q297*Q$199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P298*P$199</f>
        <v>0</v>
      </c>
      <c r="Q340" s="57">
        <f t="shared" si="69"/>
        <v>0</v>
      </c>
      <c r="R340" s="57">
        <f t="shared" si="69"/>
        <v>0</v>
      </c>
      <c r="S340" s="57">
        <f t="shared" si="69"/>
        <v>0</v>
      </c>
      <c r="T340" s="57">
        <f t="shared" si="69"/>
        <v>0</v>
      </c>
      <c r="U340" s="57">
        <f t="shared" si="69"/>
        <v>0</v>
      </c>
      <c r="V340" s="62">
        <f t="shared" si="69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0</v>
      </c>
      <c r="R341" s="57">
        <f t="shared" si="69"/>
        <v>0</v>
      </c>
      <c r="S341" s="57">
        <f t="shared" si="69"/>
        <v>0</v>
      </c>
      <c r="T341" s="57">
        <f t="shared" si="69"/>
        <v>0</v>
      </c>
      <c r="U341" s="57">
        <f t="shared" si="69"/>
        <v>0</v>
      </c>
      <c r="V341" s="62">
        <f t="shared" si="69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0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0</v>
      </c>
      <c r="R344" s="57">
        <f t="shared" si="69"/>
        <v>0</v>
      </c>
      <c r="S344" s="57">
        <f t="shared" si="69"/>
        <v>0</v>
      </c>
      <c r="T344" s="57">
        <f t="shared" si="69"/>
        <v>0</v>
      </c>
      <c r="U344" s="57">
        <f t="shared" si="69"/>
        <v>0</v>
      </c>
      <c r="V344" s="62">
        <f t="shared" si="69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0</v>
      </c>
      <c r="R351" s="37">
        <f t="shared" si="71"/>
        <v>0</v>
      </c>
      <c r="S351" s="37">
        <f t="shared" si="71"/>
        <v>0</v>
      </c>
      <c r="T351" s="37">
        <f t="shared" si="71"/>
        <v>0</v>
      </c>
      <c r="U351" s="37">
        <f t="shared" si="71"/>
        <v>0</v>
      </c>
      <c r="V351" s="64">
        <f t="shared" si="7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312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2">IFERROR(SUMPRODUCT($AM$53:$AM$67,Q$53:Q$67)/SUM(Q$53:Q$67)*Q$69,0)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3">IFERROR(SUMPRODUCT($AN$53:$AN$67,Q$53:Q$67)/SUM(Q$53:Q$67)*Q$69,0)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4">IFERROR(SUMPRODUCT($AO$53:$AO$67,Q$53:Q$67)/SUM(Q$53:Q$67)*Q$69,0)</f>
        <v>0</v>
      </c>
      <c r="R364" s="57">
        <f t="shared" si="74"/>
        <v>0</v>
      </c>
      <c r="S364" s="57">
        <f t="shared" si="74"/>
        <v>0</v>
      </c>
      <c r="T364" s="57">
        <f t="shared" si="74"/>
        <v>0</v>
      </c>
      <c r="U364" s="57">
        <f t="shared" si="74"/>
        <v>0</v>
      </c>
      <c r="V364" s="62">
        <f t="shared" si="74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5">IFERROR(SUMPRODUCT($AP$53:$AP$67,Q$53:Q$67)/SUM(Q$53:Q$67)*Q$69,0)</f>
        <v>0</v>
      </c>
      <c r="R365" s="57">
        <f t="shared" si="75"/>
        <v>0</v>
      </c>
      <c r="S365" s="57">
        <f t="shared" si="75"/>
        <v>0</v>
      </c>
      <c r="T365" s="57">
        <f t="shared" si="75"/>
        <v>0</v>
      </c>
      <c r="U365" s="57">
        <f t="shared" si="75"/>
        <v>0</v>
      </c>
      <c r="V365" s="62">
        <f t="shared" si="75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6">IFERROR(SUMPRODUCT($AQ$53:$AQ$67,Q$53:Q$67)/SUM(Q$53:Q$67)*Q$69,0)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77">IFERROR(SUMPRODUCT($AR$53:$AR$67,Q$53:Q$67)/SUM(Q$53:Q$67)*Q$69,0)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78">IFERROR(SUMPRODUCT($AS$53:$AS$67,Q$53:Q$67)/SUM(Q$53:Q$67)*Q$69,0)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79">IFERROR(SUMPRODUCT($AT$53:$AT$67,Q$53:Q$67)/SUM(Q$53:Q$67)*Q$69,0)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0">IFERROR(SUMPRODUCT($AU$53:$AU$67,Q$53:Q$67)/SUM(Q$53:Q$67)*Q$69,0)</f>
        <v>360914.01009034616</v>
      </c>
      <c r="R370" s="57">
        <f t="shared" si="80"/>
        <v>361358.76730482717</v>
      </c>
      <c r="S370" s="57">
        <f t="shared" si="80"/>
        <v>361894.38911896548</v>
      </c>
      <c r="T370" s="57">
        <f t="shared" si="80"/>
        <v>362574.19659318496</v>
      </c>
      <c r="U370" s="57">
        <f t="shared" si="80"/>
        <v>363446.01291519118</v>
      </c>
      <c r="V370" s="62">
        <f t="shared" si="80"/>
        <v>364411.70301263226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1">IFERROR(SUMPRODUCT($AV$53:$AV$67,Q$53:Q$67)/SUM(Q$53:Q$67)*Q$69,0)</f>
        <v>0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2">IFERROR(SUMPRODUCT($AW$53:$AW$67,Q$53:Q$67)/SUM(Q$53:Q$67)*Q$69,0)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3">Q218</f>
        <v>0</v>
      </c>
      <c r="R373" s="57">
        <f t="shared" si="83"/>
        <v>0</v>
      </c>
      <c r="S373" s="57">
        <f t="shared" si="83"/>
        <v>0</v>
      </c>
      <c r="T373" s="57">
        <f t="shared" si="83"/>
        <v>0</v>
      </c>
      <c r="U373" s="57">
        <f t="shared" si="83"/>
        <v>0</v>
      </c>
      <c r="V373" s="62">
        <f t="shared" si="83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4">Q232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5">SUM(Q362:Q372)*Q188</f>
        <v>0</v>
      </c>
      <c r="R375" s="57">
        <f t="shared" si="85"/>
        <v>0</v>
      </c>
      <c r="S375" s="57">
        <f t="shared" si="85"/>
        <v>0</v>
      </c>
      <c r="T375" s="57">
        <f t="shared" si="85"/>
        <v>0</v>
      </c>
      <c r="U375" s="57">
        <f t="shared" si="85"/>
        <v>0</v>
      </c>
      <c r="V375" s="62">
        <f t="shared" si="85"/>
        <v>0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360914.01009034616</v>
      </c>
      <c r="R377" s="37">
        <f t="shared" si="86"/>
        <v>361358.76730482717</v>
      </c>
      <c r="S377" s="37">
        <f t="shared" si="86"/>
        <v>361894.38911896548</v>
      </c>
      <c r="T377" s="37">
        <f t="shared" si="86"/>
        <v>362574.19659318496</v>
      </c>
      <c r="U377" s="37">
        <f t="shared" si="86"/>
        <v>363446.01291519118</v>
      </c>
      <c r="V377" s="64">
        <f t="shared" si="86"/>
        <v>364411.70301263226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312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87">IFERROR(SUMPRODUCT($BB$53:$BB$67,Q$53:Q$67)/SUM(Q$53:Q$67)*Q$69*(1+Q$188),0)</f>
        <v>0</v>
      </c>
      <c r="R388" s="57">
        <f t="shared" si="87"/>
        <v>0</v>
      </c>
      <c r="S388" s="57">
        <f t="shared" si="87"/>
        <v>0</v>
      </c>
      <c r="T388" s="57">
        <f t="shared" si="87"/>
        <v>0</v>
      </c>
      <c r="U388" s="57">
        <f t="shared" si="87"/>
        <v>0</v>
      </c>
      <c r="V388" s="62">
        <f t="shared" si="87"/>
        <v>0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88">IFERROR(SUMPRODUCT($BC$53:$BC$67,Q$53:Q$67)/SUM(Q$53:Q$67)*Q$69*(1+Q$188),0)</f>
        <v>0</v>
      </c>
      <c r="R389" s="57">
        <f t="shared" si="88"/>
        <v>0</v>
      </c>
      <c r="S389" s="57">
        <f t="shared" si="88"/>
        <v>0</v>
      </c>
      <c r="T389" s="57">
        <f t="shared" si="88"/>
        <v>0</v>
      </c>
      <c r="U389" s="57">
        <f t="shared" si="88"/>
        <v>0</v>
      </c>
      <c r="V389" s="62">
        <f t="shared" si="88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89">IFERROR(SUMPRODUCT($BD$53:$BD$67,Q$53:Q$67)/SUM(Q$53:Q$67)*Q$69*(1+Q$188),0)</f>
        <v>0</v>
      </c>
      <c r="R390" s="57">
        <f t="shared" si="89"/>
        <v>0</v>
      </c>
      <c r="S390" s="57">
        <f t="shared" si="89"/>
        <v>0</v>
      </c>
      <c r="T390" s="57">
        <f t="shared" si="89"/>
        <v>0</v>
      </c>
      <c r="U390" s="57">
        <f t="shared" si="89"/>
        <v>0</v>
      </c>
      <c r="V390" s="62">
        <f t="shared" si="89"/>
        <v>0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0">IFERROR(SUMPRODUCT($BE$53:$BE$67,Q$53:Q$67)/SUM(Q$53:Q$67)*Q$69*(1+Q$188),0)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62">
        <f t="shared" si="90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1">IFERROR(SUMPRODUCT($BF$53:$BF$67,Q$53:Q$67)/SUM(Q$53:Q$67)*Q$69*(1+Q$188),0)</f>
        <v>360914.01009034616</v>
      </c>
      <c r="R392" s="57">
        <f t="shared" si="91"/>
        <v>361358.76730482717</v>
      </c>
      <c r="S392" s="57">
        <f t="shared" si="91"/>
        <v>361894.38911896548</v>
      </c>
      <c r="T392" s="57">
        <f t="shared" si="91"/>
        <v>362574.19659318496</v>
      </c>
      <c r="U392" s="57">
        <f t="shared" si="91"/>
        <v>363446.01291519118</v>
      </c>
      <c r="V392" s="62">
        <f t="shared" si="91"/>
        <v>364411.70301263226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2">IFERROR(SUMPRODUCT($BG$53:$BG$67,Q$53:Q$67)/SUM(Q$53:Q$67)*Q$69*(1+Q$188),0)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62">
        <f t="shared" si="92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3">IFERROR(SUMPRODUCT($BH$53:$BH$67,Q$53:Q$67)/SUM(Q$53:Q$67)*Q$69*(1+Q$188),0)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62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360914.01009034616</v>
      </c>
      <c r="R396" s="37">
        <f t="shared" si="94"/>
        <v>361358.76730482717</v>
      </c>
      <c r="S396" s="37">
        <f t="shared" si="94"/>
        <v>361894.38911896548</v>
      </c>
      <c r="T396" s="37">
        <f t="shared" si="94"/>
        <v>362574.19659318496</v>
      </c>
      <c r="U396" s="37">
        <f t="shared" si="94"/>
        <v>363446.01291519118</v>
      </c>
      <c r="V396" s="64">
        <f t="shared" si="94"/>
        <v>364411.70301263226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48">
    <mergeCell ref="H28:L28"/>
    <mergeCell ref="M28:Q28"/>
    <mergeCell ref="R28:V28"/>
    <mergeCell ref="H50:L50"/>
    <mergeCell ref="M50:Q50"/>
    <mergeCell ref="R50:V50"/>
    <mergeCell ref="H74:L74"/>
    <mergeCell ref="M74:Q74"/>
    <mergeCell ref="R74:V74"/>
    <mergeCell ref="H97:L97"/>
    <mergeCell ref="M97:Q97"/>
    <mergeCell ref="R97:V97"/>
    <mergeCell ref="H120:L120"/>
    <mergeCell ref="M120:Q120"/>
    <mergeCell ref="R120:V120"/>
    <mergeCell ref="H143:L143"/>
    <mergeCell ref="M143:Q143"/>
    <mergeCell ref="R143:V143"/>
    <mergeCell ref="H166:L166"/>
    <mergeCell ref="M166:Q166"/>
    <mergeCell ref="R166:V166"/>
    <mergeCell ref="H196:L196"/>
    <mergeCell ref="M196:Q196"/>
    <mergeCell ref="R196:V196"/>
    <mergeCell ref="H222:L222"/>
    <mergeCell ref="M222:Q222"/>
    <mergeCell ref="R222:V222"/>
    <mergeCell ref="H236:L236"/>
    <mergeCell ref="M236:Q236"/>
    <mergeCell ref="R236:V23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36:L336"/>
    <mergeCell ref="M336:Q336"/>
    <mergeCell ref="R336:V336"/>
    <mergeCell ref="H359:L359"/>
    <mergeCell ref="M359:Q359"/>
    <mergeCell ref="R359:V359"/>
    <mergeCell ref="H385:L385"/>
    <mergeCell ref="M385:Q385"/>
    <mergeCell ref="R385:V385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A1:V235"/>
  <sheetViews>
    <sheetView topLeftCell="A136" workbookViewId="0">
      <selection activeCell="V16" sqref="V16"/>
    </sheetView>
  </sheetViews>
  <sheetFormatPr defaultColWidth="9.140625" defaultRowHeight="12"/>
  <cols>
    <col min="1" max="1" width="3.85546875" style="4" customWidth="1"/>
    <col min="2" max="2" width="13" style="4" customWidth="1"/>
    <col min="3" max="3" width="3.28515625" style="4" customWidth="1"/>
    <col min="4" max="7" width="9.140625" style="4"/>
    <col min="8" max="14" width="12.28515625" style="4" customWidth="1"/>
    <col min="15" max="15" width="4.42578125" style="4" customWidth="1"/>
    <col min="16" max="16" width="13" style="4" customWidth="1"/>
    <col min="17" max="17" width="13.5703125" style="4" bestFit="1" customWidth="1"/>
    <col min="18" max="18" width="13.5703125" style="4" customWidth="1"/>
    <col min="19" max="19" width="15.5703125" style="4" customWidth="1"/>
    <col min="20" max="20" width="13.5703125" style="4" customWidth="1"/>
    <col min="21" max="21" width="10.140625" style="4" customWidth="1"/>
    <col min="22" max="22" width="14.140625" style="4" customWidth="1"/>
    <col min="23" max="16384" width="9.140625" style="4"/>
  </cols>
  <sheetData>
    <row r="1" spans="1:22" s="3" customFormat="1">
      <c r="A1" s="2" t="s">
        <v>2</v>
      </c>
    </row>
    <row r="2" spans="1:22" s="1" customFormat="1">
      <c r="A2" s="3" t="s">
        <v>222</v>
      </c>
    </row>
    <row r="3" spans="1:22" s="1" customFormat="1">
      <c r="A3" s="3" t="s">
        <v>95</v>
      </c>
    </row>
    <row r="4" spans="1:22" s="1" customFormat="1">
      <c r="A4" s="22" t="s">
        <v>43</v>
      </c>
    </row>
    <row r="6" spans="1:22">
      <c r="B6" s="4" t="s">
        <v>228</v>
      </c>
      <c r="E6" s="83" t="str">
        <f>'General assumptions'!F27</f>
        <v>Yes</v>
      </c>
    </row>
    <row r="8" spans="1:22" s="1" customFormat="1">
      <c r="A8" s="2">
        <v>1</v>
      </c>
      <c r="B8" s="2" t="s">
        <v>223</v>
      </c>
    </row>
    <row r="9" spans="1:22">
      <c r="H9" s="30"/>
      <c r="I9" s="30"/>
      <c r="J9" s="30"/>
      <c r="K9" s="30"/>
      <c r="L9" s="30"/>
      <c r="M9" s="30"/>
      <c r="N9" s="30"/>
    </row>
    <row r="10" spans="1:22">
      <c r="H10" s="187" t="s">
        <v>53</v>
      </c>
      <c r="I10" s="188"/>
      <c r="J10" s="187" t="s">
        <v>54</v>
      </c>
      <c r="K10" s="189"/>
      <c r="L10" s="189"/>
      <c r="M10" s="189"/>
      <c r="N10" s="188"/>
    </row>
    <row r="11" spans="1:22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63</v>
      </c>
      <c r="R11" s="191" t="s">
        <v>437</v>
      </c>
      <c r="S11" s="191"/>
      <c r="T11" s="191"/>
    </row>
    <row r="12" spans="1:22" ht="12.75" customHeight="1">
      <c r="B12" s="5" t="s">
        <v>19</v>
      </c>
      <c r="D12" s="29"/>
      <c r="E12" s="29"/>
      <c r="H12" s="16" t="s">
        <v>13</v>
      </c>
      <c r="I12" s="16" t="s">
        <v>13</v>
      </c>
      <c r="J12" s="16" t="s">
        <v>13</v>
      </c>
      <c r="K12" s="16" t="s">
        <v>13</v>
      </c>
      <c r="L12" s="16" t="s">
        <v>13</v>
      </c>
      <c r="M12" s="16" t="s">
        <v>13</v>
      </c>
      <c r="N12" s="16" t="s">
        <v>13</v>
      </c>
      <c r="P12" s="34" t="s">
        <v>13</v>
      </c>
      <c r="R12" s="180" t="s">
        <v>436</v>
      </c>
      <c r="S12" s="180" t="s">
        <v>435</v>
      </c>
      <c r="T12" s="180" t="s">
        <v>438</v>
      </c>
    </row>
    <row r="13" spans="1:22">
      <c r="D13" s="31"/>
      <c r="E13" s="31"/>
      <c r="P13" s="20"/>
    </row>
    <row r="14" spans="1:22">
      <c r="B14" s="20" t="s">
        <v>19</v>
      </c>
      <c r="C14" s="20" t="s">
        <v>6</v>
      </c>
      <c r="E14" s="31"/>
      <c r="H14" s="94"/>
      <c r="P14" s="20"/>
    </row>
    <row r="15" spans="1:22">
      <c r="B15" s="8">
        <v>3001</v>
      </c>
      <c r="C15" s="4" t="s">
        <v>20</v>
      </c>
      <c r="H15" s="45"/>
      <c r="I15" s="45">
        <f>'Capex forecast - 3001'!Q207</f>
        <v>25487728.895799998</v>
      </c>
      <c r="J15" s="45">
        <f>'Capex forecast - 3001'!R207</f>
        <v>20400610.577420548</v>
      </c>
      <c r="K15" s="45">
        <f>'Capex forecast - 3001'!S207</f>
        <v>19296620.015438259</v>
      </c>
      <c r="L15" s="45">
        <f>'Capex forecast - 3001'!T207</f>
        <v>20199900.529734783</v>
      </c>
      <c r="M15" s="45">
        <f>'Capex forecast - 3001'!U207</f>
        <v>17416355.670833822</v>
      </c>
      <c r="N15" s="45">
        <f>'Capex forecast - 3001'!V207</f>
        <v>16710005.905501248</v>
      </c>
      <c r="P15" s="40">
        <f>SUM(J15:N15)</f>
        <v>94023492.698928654</v>
      </c>
      <c r="Q15" s="98"/>
      <c r="R15" s="45">
        <v>20919676.467008591</v>
      </c>
      <c r="S15" s="45">
        <f>I15</f>
        <v>25487728.895799998</v>
      </c>
      <c r="T15" s="178">
        <f>S15-R15</f>
        <v>4568052.4287914075</v>
      </c>
      <c r="V15" s="101"/>
    </row>
    <row r="16" spans="1:22">
      <c r="B16" s="8">
        <v>3002</v>
      </c>
      <c r="C16" s="4" t="s">
        <v>21</v>
      </c>
      <c r="H16" s="45"/>
      <c r="I16" s="45">
        <f>'Capex forecast - 3002'!Q207</f>
        <v>499130.23025149328</v>
      </c>
      <c r="J16" s="45">
        <f>'Capex forecast - 3002'!R207</f>
        <v>730852.26890403777</v>
      </c>
      <c r="K16" s="45">
        <f>'Capex forecast - 3002'!S207</f>
        <v>736234.01720847329</v>
      </c>
      <c r="L16" s="45">
        <f>'Capex forecast - 3002'!T207</f>
        <v>743181.98720925045</v>
      </c>
      <c r="M16" s="45">
        <f>'Capex forecast - 3002'!U207</f>
        <v>752351.8145906328</v>
      </c>
      <c r="N16" s="45">
        <f>'Capex forecast - 3002'!V207</f>
        <v>762321.21972529846</v>
      </c>
      <c r="P16" s="40">
        <f t="shared" ref="P16:P43" si="0">SUM(J16:N16)</f>
        <v>3724941.3076376934</v>
      </c>
      <c r="Q16" s="98"/>
      <c r="R16" s="45">
        <v>743514.68085422867</v>
      </c>
      <c r="S16" s="45">
        <f t="shared" ref="S16:S43" si="1">I16</f>
        <v>499130.23025149328</v>
      </c>
      <c r="T16" s="178">
        <f t="shared" ref="T16:T43" si="2">S16-R16</f>
        <v>-244384.45060273539</v>
      </c>
      <c r="V16" s="101"/>
    </row>
    <row r="17" spans="2:22">
      <c r="B17" s="8">
        <v>3003</v>
      </c>
      <c r="C17" s="4" t="s">
        <v>22</v>
      </c>
      <c r="H17" s="45"/>
      <c r="I17" s="45">
        <f>'Capex forecast - 3003'!Q207</f>
        <v>3187922.1780000003</v>
      </c>
      <c r="J17" s="45">
        <f>'Capex forecast - 3003'!R207</f>
        <v>5233619.5125490818</v>
      </c>
      <c r="K17" s="45">
        <f>'Capex forecast - 3003'!S207</f>
        <v>4299895.7545377072</v>
      </c>
      <c r="L17" s="45">
        <f>'Capex forecast - 3003'!T207</f>
        <v>5155969.5012362013</v>
      </c>
      <c r="M17" s="45">
        <f>'Capex forecast - 3003'!U207</f>
        <v>1285208.7741383412</v>
      </c>
      <c r="N17" s="45">
        <f>'Capex forecast - 3003'!V207</f>
        <v>1921899.8889497076</v>
      </c>
      <c r="P17" s="40">
        <f t="shared" si="0"/>
        <v>17896593.431411039</v>
      </c>
      <c r="Q17" s="98"/>
      <c r="R17" s="45">
        <v>5104102.978336161</v>
      </c>
      <c r="S17" s="45">
        <f t="shared" si="1"/>
        <v>3187922.1780000003</v>
      </c>
      <c r="T17" s="178">
        <f t="shared" si="2"/>
        <v>-1916180.8003361607</v>
      </c>
      <c r="V17" s="101"/>
    </row>
    <row r="18" spans="2:22">
      <c r="B18" s="8">
        <v>3004</v>
      </c>
      <c r="C18" s="4" t="s">
        <v>23</v>
      </c>
      <c r="H18" s="45"/>
      <c r="I18" s="45">
        <f>'Capex forecast - 3004'!Q207</f>
        <v>146007.33178541195</v>
      </c>
      <c r="J18" s="45">
        <f>'Capex forecast - 3004'!R207</f>
        <v>144227.16200855482</v>
      </c>
      <c r="K18" s="45">
        <f>'Capex forecast - 3004'!S207</f>
        <v>145289.20192772624</v>
      </c>
      <c r="L18" s="45">
        <f>'Capex forecast - 3004'!T207</f>
        <v>146660.32169784798</v>
      </c>
      <c r="M18" s="45">
        <f>'Capex forecast - 3004'!U207</f>
        <v>148469.90516032852</v>
      </c>
      <c r="N18" s="45">
        <f>'Capex forecast - 3004'!V207</f>
        <v>150437.27814480662</v>
      </c>
      <c r="P18" s="40">
        <f t="shared" si="0"/>
        <v>735083.86893926421</v>
      </c>
      <c r="Q18" s="98"/>
      <c r="R18" s="45">
        <v>146007.33178541195</v>
      </c>
      <c r="S18" s="45">
        <f t="shared" si="1"/>
        <v>146007.33178541195</v>
      </c>
      <c r="T18" s="178">
        <f t="shared" si="2"/>
        <v>0</v>
      </c>
      <c r="V18" s="101"/>
    </row>
    <row r="19" spans="2:22">
      <c r="B19" s="8">
        <v>3005</v>
      </c>
      <c r="C19" s="4" t="s">
        <v>24</v>
      </c>
      <c r="H19" s="45"/>
      <c r="I19" s="45">
        <f>'Capex forecast - 3005'!Q207</f>
        <v>0</v>
      </c>
      <c r="J19" s="45">
        <f>'Capex forecast - 3005'!R207</f>
        <v>0</v>
      </c>
      <c r="K19" s="45">
        <f>'Capex forecast - 3005'!S207</f>
        <v>0</v>
      </c>
      <c r="L19" s="45">
        <f>'Capex forecast - 3005'!T207</f>
        <v>0</v>
      </c>
      <c r="M19" s="45">
        <f>'Capex forecast - 3005'!U207</f>
        <v>0</v>
      </c>
      <c r="N19" s="45">
        <f>'Capex forecast - 3005'!V207</f>
        <v>0</v>
      </c>
      <c r="P19" s="40">
        <f t="shared" si="0"/>
        <v>0</v>
      </c>
      <c r="Q19" s="98"/>
      <c r="R19" s="45">
        <v>0</v>
      </c>
      <c r="S19" s="45">
        <f t="shared" si="1"/>
        <v>0</v>
      </c>
      <c r="T19" s="178">
        <f t="shared" si="2"/>
        <v>0</v>
      </c>
      <c r="V19" s="101"/>
    </row>
    <row r="20" spans="2:22">
      <c r="B20" s="8">
        <v>3006</v>
      </c>
      <c r="C20" s="4" t="s">
        <v>25</v>
      </c>
      <c r="H20" s="45"/>
      <c r="I20" s="45">
        <f>'Capex forecast - 3006'!Q207</f>
        <v>347062.38151174854</v>
      </c>
      <c r="J20" s="45">
        <f>'Capex forecast - 3006'!R207</f>
        <v>143772.78599311394</v>
      </c>
      <c r="K20" s="45">
        <f>'Capex forecast - 3006'!S207</f>
        <v>144831.48004136901</v>
      </c>
      <c r="L20" s="45">
        <f>'Capex forecast - 3006'!T207</f>
        <v>146198.28020948818</v>
      </c>
      <c r="M20" s="45">
        <f>'Capex forecast - 3006'!U207</f>
        <v>148002.16272554611</v>
      </c>
      <c r="N20" s="45">
        <f>'Capex forecast - 3006'!V207</f>
        <v>149963.33766046737</v>
      </c>
      <c r="O20" s="45"/>
      <c r="P20" s="40">
        <f t="shared" si="0"/>
        <v>732768.04662998463</v>
      </c>
      <c r="Q20" s="98"/>
      <c r="R20" s="45">
        <v>144327.44389266707</v>
      </c>
      <c r="S20" s="45">
        <f t="shared" si="1"/>
        <v>347062.38151174854</v>
      </c>
      <c r="T20" s="178">
        <f t="shared" si="2"/>
        <v>202734.93761908147</v>
      </c>
      <c r="V20" s="101"/>
    </row>
    <row r="21" spans="2:22">
      <c r="B21" s="8">
        <v>3007</v>
      </c>
      <c r="C21" s="4" t="s">
        <v>26</v>
      </c>
      <c r="H21" s="45"/>
      <c r="I21" s="45">
        <f>'Capex forecast - 3007'!Q207</f>
        <v>3771017.271964727</v>
      </c>
      <c r="J21" s="45">
        <f>'Capex forecast - 3007'!R207</f>
        <v>4149338.1349980109</v>
      </c>
      <c r="K21" s="45">
        <f>'Capex forecast - 3007'!S207</f>
        <v>4531254.2662881799</v>
      </c>
      <c r="L21" s="45">
        <f>'Capex forecast - 3007'!T207</f>
        <v>3913256.7305968711</v>
      </c>
      <c r="M21" s="45">
        <f>'Capex forecast - 3007'!U207</f>
        <v>3568245.0437512002</v>
      </c>
      <c r="N21" s="45">
        <f>'Capex forecast - 3007'!V207</f>
        <v>4309156.7121026181</v>
      </c>
      <c r="P21" s="40">
        <f t="shared" si="0"/>
        <v>20471250.887736879</v>
      </c>
      <c r="Q21" s="98"/>
      <c r="R21" s="45">
        <v>3771017.271964727</v>
      </c>
      <c r="S21" s="45">
        <f t="shared" si="1"/>
        <v>3771017.271964727</v>
      </c>
      <c r="T21" s="178">
        <f t="shared" si="2"/>
        <v>0</v>
      </c>
      <c r="V21" s="101"/>
    </row>
    <row r="22" spans="2:22">
      <c r="B22" s="8">
        <v>3008</v>
      </c>
      <c r="C22" s="4" t="s">
        <v>27</v>
      </c>
      <c r="H22" s="45"/>
      <c r="I22" s="45">
        <f>'Capex forecast - 3008'!Q207</f>
        <v>634226.46500729397</v>
      </c>
      <c r="J22" s="45">
        <f>'Capex forecast - 3008'!R207</f>
        <v>653218.51099310943</v>
      </c>
      <c r="K22" s="45">
        <f>'Capex forecast - 3008'!S207</f>
        <v>673409.94245660317</v>
      </c>
      <c r="L22" s="45">
        <f>'Capex forecast - 3008'!T207</f>
        <v>695447.25342974497</v>
      </c>
      <c r="M22" s="45">
        <f>'Capex forecast - 3008'!U207</f>
        <v>719943.54010496044</v>
      </c>
      <c r="N22" s="45">
        <f>'Capex forecast - 3008'!V207</f>
        <v>745889.74022034253</v>
      </c>
      <c r="P22" s="40">
        <f t="shared" si="0"/>
        <v>3487908.9872047603</v>
      </c>
      <c r="Q22" s="98"/>
      <c r="R22" s="45">
        <v>634226.46500729397</v>
      </c>
      <c r="S22" s="45">
        <f t="shared" si="1"/>
        <v>634226.46500729397</v>
      </c>
      <c r="T22" s="178">
        <f t="shared" si="2"/>
        <v>0</v>
      </c>
      <c r="V22" s="101"/>
    </row>
    <row r="23" spans="2:22">
      <c r="B23" s="8">
        <v>3009</v>
      </c>
      <c r="C23" s="4" t="s">
        <v>28</v>
      </c>
      <c r="H23" s="45"/>
      <c r="I23" s="45">
        <f>'Capex forecast - 3009'!Q207</f>
        <v>615153.98046793579</v>
      </c>
      <c r="J23" s="45">
        <f>'Capex forecast - 3009'!R207</f>
        <v>697913.97740609862</v>
      </c>
      <c r="K23" s="45">
        <f>'Capex forecast - 3009'!S207</f>
        <v>791933.63403170288</v>
      </c>
      <c r="L23" s="45">
        <f>'Capex forecast - 3009'!T207</f>
        <v>732792.10195605806</v>
      </c>
      <c r="M23" s="45">
        <f>'Capex forecast - 3009'!U207</f>
        <v>624084.40514359297</v>
      </c>
      <c r="N23" s="45">
        <f>'Capex forecast - 3009'!V207</f>
        <v>543172.61477197823</v>
      </c>
      <c r="P23" s="40">
        <f t="shared" si="0"/>
        <v>3389896.733309431</v>
      </c>
      <c r="Q23" s="98"/>
      <c r="R23" s="45">
        <v>615153.98046793579</v>
      </c>
      <c r="S23" s="45">
        <f t="shared" si="1"/>
        <v>615153.98046793579</v>
      </c>
      <c r="T23" s="178">
        <f t="shared" si="2"/>
        <v>0</v>
      </c>
      <c r="V23" s="101"/>
    </row>
    <row r="24" spans="2:22">
      <c r="B24" s="8">
        <v>3010</v>
      </c>
      <c r="C24" s="4" t="s">
        <v>29</v>
      </c>
      <c r="H24" s="45"/>
      <c r="I24" s="45">
        <f>'Capex forecast - 3010'!Q207</f>
        <v>237104.93040533355</v>
      </c>
      <c r="J24" s="45">
        <f>'Capex forecast - 3010'!R207</f>
        <v>245845.46473367678</v>
      </c>
      <c r="K24" s="45">
        <f>'Capex forecast - 3010'!S207</f>
        <v>256127.2641409841</v>
      </c>
      <c r="L24" s="45">
        <f>'Capex forecast - 3010'!T207</f>
        <v>266641.24724115978</v>
      </c>
      <c r="M24" s="45">
        <f>'Capex forecast - 3010'!U207</f>
        <v>278883.13800746459</v>
      </c>
      <c r="N24" s="45">
        <f>'Capex forecast - 3010'!V207</f>
        <v>289917.10117547819</v>
      </c>
      <c r="P24" s="40">
        <f t="shared" si="0"/>
        <v>1337414.2152987635</v>
      </c>
      <c r="Q24" s="98"/>
      <c r="R24" s="45">
        <v>237104.93040533355</v>
      </c>
      <c r="S24" s="45">
        <f t="shared" si="1"/>
        <v>237104.93040533355</v>
      </c>
      <c r="T24" s="178">
        <f t="shared" si="2"/>
        <v>0</v>
      </c>
      <c r="V24" s="101"/>
    </row>
    <row r="25" spans="2:22">
      <c r="B25" s="8">
        <v>3011</v>
      </c>
      <c r="C25" s="4" t="s">
        <v>30</v>
      </c>
      <c r="H25" s="45"/>
      <c r="I25" s="45">
        <f>'Capex forecast - 3011'!Q207</f>
        <v>673895.08301830629</v>
      </c>
      <c r="J25" s="45">
        <f>'Capex forecast - 3011'!R207</f>
        <v>1720424.3023658565</v>
      </c>
      <c r="K25" s="45">
        <f>'Capex forecast - 3011'!S207</f>
        <v>2024850.1777942614</v>
      </c>
      <c r="L25" s="45">
        <f>'Capex forecast - 3011'!T207</f>
        <v>1280577.3087173998</v>
      </c>
      <c r="M25" s="45">
        <f>'Capex forecast - 3011'!U207</f>
        <v>1091123.6526041785</v>
      </c>
      <c r="N25" s="45">
        <f>'Capex forecast - 3011'!V207</f>
        <v>889243.50487057702</v>
      </c>
      <c r="P25" s="40">
        <f t="shared" si="0"/>
        <v>7006218.9463522732</v>
      </c>
      <c r="Q25" s="98"/>
      <c r="R25" s="45">
        <v>673895.08301830629</v>
      </c>
      <c r="S25" s="45">
        <f t="shared" si="1"/>
        <v>673895.08301830629</v>
      </c>
      <c r="T25" s="178">
        <f t="shared" si="2"/>
        <v>0</v>
      </c>
      <c r="V25" s="101"/>
    </row>
    <row r="26" spans="2:22">
      <c r="B26" s="8">
        <v>3012</v>
      </c>
      <c r="C26" s="4" t="s">
        <v>31</v>
      </c>
      <c r="H26" s="45"/>
      <c r="I26" s="45">
        <f>'Capex forecast - 3012'!Q187</f>
        <v>153157.97341325143</v>
      </c>
      <c r="J26" s="45">
        <f>'Capex forecast - 3012'!R187</f>
        <v>153609.31271123717</v>
      </c>
      <c r="K26" s="45">
        <f>'Capex forecast - 3012'!S187</f>
        <v>154176.40947672041</v>
      </c>
      <c r="L26" s="45">
        <f>'Capex forecast - 3012'!T187</f>
        <v>154908.54540936288</v>
      </c>
      <c r="M26" s="45">
        <f>'Capex forecast - 3012'!U187</f>
        <v>155874.80751488262</v>
      </c>
      <c r="N26" s="45">
        <f>'Capex forecast - 3012'!V187</f>
        <v>156925.32438892536</v>
      </c>
      <c r="P26" s="40">
        <f t="shared" si="0"/>
        <v>775494.39950112847</v>
      </c>
      <c r="Q26" s="98"/>
      <c r="R26" s="45">
        <v>153157.97341325143</v>
      </c>
      <c r="S26" s="45">
        <f t="shared" si="1"/>
        <v>153157.97341325143</v>
      </c>
      <c r="T26" s="178">
        <f t="shared" si="2"/>
        <v>0</v>
      </c>
      <c r="V26" s="101"/>
    </row>
    <row r="27" spans="2:22">
      <c r="B27" s="8">
        <v>3013</v>
      </c>
      <c r="C27" s="4" t="s">
        <v>32</v>
      </c>
      <c r="H27" s="45"/>
      <c r="I27" s="45">
        <f>'Capex forecast - 3013'!Q207</f>
        <v>1265176.7551775048</v>
      </c>
      <c r="J27" s="45">
        <f>'Capex forecast - 3013'!R207</f>
        <v>1302171.7454052761</v>
      </c>
      <c r="K27" s="45">
        <f>'Capex forecast - 3013'!S207</f>
        <v>1209637.273472453</v>
      </c>
      <c r="L27" s="45">
        <f>'Capex forecast - 3013'!T207</f>
        <v>1362146.98511179</v>
      </c>
      <c r="M27" s="45">
        <f>'Capex forecast - 3013'!U207</f>
        <v>1152143.4439193378</v>
      </c>
      <c r="N27" s="45">
        <f>'Capex forecast - 3013'!V207</f>
        <v>1319004.4290862344</v>
      </c>
      <c r="P27" s="40">
        <f t="shared" si="0"/>
        <v>6345103.8769950904</v>
      </c>
      <c r="Q27" s="98"/>
      <c r="R27" s="45">
        <v>1265176.7551775048</v>
      </c>
      <c r="S27" s="45">
        <f t="shared" si="1"/>
        <v>1265176.7551775048</v>
      </c>
      <c r="T27" s="178">
        <f t="shared" si="2"/>
        <v>0</v>
      </c>
      <c r="V27" s="101"/>
    </row>
    <row r="28" spans="2:22">
      <c r="B28" s="8">
        <v>3014</v>
      </c>
      <c r="C28" s="4" t="s">
        <v>33</v>
      </c>
      <c r="H28" s="45"/>
      <c r="I28" s="45">
        <f>'Capex forecast - 3014'!Q207</f>
        <v>1208681.8840511367</v>
      </c>
      <c r="J28" s="45">
        <f>'Capex forecast - 3014'!R207</f>
        <v>1242719.8210756036</v>
      </c>
      <c r="K28" s="45">
        <f>'Capex forecast - 3014'!S207</f>
        <v>1278142.9914166091</v>
      </c>
      <c r="L28" s="45">
        <f>'Capex forecast - 3014'!T207</f>
        <v>1316763.944925027</v>
      </c>
      <c r="M28" s="45">
        <f>'Capex forecast - 3014'!U207</f>
        <v>1358978.9218377527</v>
      </c>
      <c r="N28" s="45">
        <f>'Capex forecast - 3014'!V207</f>
        <v>1403456.4078282076</v>
      </c>
      <c r="P28" s="40">
        <f t="shared" si="0"/>
        <v>6600062.0870832</v>
      </c>
      <c r="Q28" s="98"/>
      <c r="R28" s="45">
        <v>1208681.8840511367</v>
      </c>
      <c r="S28" s="45">
        <f t="shared" si="1"/>
        <v>1208681.8840511367</v>
      </c>
      <c r="T28" s="178">
        <f t="shared" si="2"/>
        <v>0</v>
      </c>
      <c r="V28" s="101"/>
    </row>
    <row r="29" spans="2:22">
      <c r="B29" s="8">
        <v>3015</v>
      </c>
      <c r="C29" s="4" t="s">
        <v>34</v>
      </c>
      <c r="H29" s="45"/>
      <c r="I29" s="45">
        <f>'Capex forecast - 3015'!Q207</f>
        <v>296037.97274349735</v>
      </c>
      <c r="J29" s="45">
        <f>'Capex forecast - 3015'!R207</f>
        <v>403034.09279218095</v>
      </c>
      <c r="K29" s="45">
        <f>'Capex forecast - 3015'!S207</f>
        <v>406001.89919820975</v>
      </c>
      <c r="L29" s="45">
        <f>'Capex forecast - 3015'!T207</f>
        <v>411921.73369026947</v>
      </c>
      <c r="M29" s="45">
        <f>'Capex forecast - 3015'!U207</f>
        <v>417004.2723653033</v>
      </c>
      <c r="N29" s="45">
        <f>'Capex forecast - 3015'!V207</f>
        <v>422529.99112276814</v>
      </c>
      <c r="P29" s="40">
        <f t="shared" si="0"/>
        <v>2060491.9891687315</v>
      </c>
      <c r="Q29" s="98"/>
      <c r="R29" s="45">
        <v>296037.97274349735</v>
      </c>
      <c r="S29" s="45">
        <f t="shared" si="1"/>
        <v>296037.97274349735</v>
      </c>
      <c r="T29" s="178">
        <f t="shared" si="2"/>
        <v>0</v>
      </c>
      <c r="V29" s="101"/>
    </row>
    <row r="30" spans="2:22">
      <c r="B30" s="8">
        <v>3016</v>
      </c>
      <c r="C30" s="4" t="s">
        <v>35</v>
      </c>
      <c r="H30" s="45"/>
      <c r="I30" s="45">
        <f>'Capex forecast - 3016'!Q207</f>
        <v>439002.85662744858</v>
      </c>
      <c r="J30" s="45">
        <f>'Capex forecast - 3016'!R207</f>
        <v>403616.2003721004</v>
      </c>
      <c r="K30" s="45">
        <f>'Capex forecast - 3016'!S207</f>
        <v>362197.83226479194</v>
      </c>
      <c r="L30" s="45">
        <f>'Capex forecast - 3016'!T207</f>
        <v>329809.36843843543</v>
      </c>
      <c r="M30" s="45">
        <f>'Capex forecast - 3016'!U207</f>
        <v>1319197.6312437584</v>
      </c>
      <c r="N30" s="45">
        <f>'Capex forecast - 3016'!V207</f>
        <v>1422401.8446578321</v>
      </c>
      <c r="P30" s="40">
        <f t="shared" si="0"/>
        <v>3837222.8769769184</v>
      </c>
      <c r="Q30" s="98"/>
      <c r="R30" s="45">
        <v>439002.85662744858</v>
      </c>
      <c r="S30" s="45">
        <f t="shared" si="1"/>
        <v>439002.85662744858</v>
      </c>
      <c r="T30" s="178">
        <f t="shared" si="2"/>
        <v>0</v>
      </c>
      <c r="V30" s="101"/>
    </row>
    <row r="31" spans="2:22">
      <c r="B31" s="8">
        <v>3017</v>
      </c>
      <c r="C31" s="4" t="s">
        <v>36</v>
      </c>
      <c r="H31" s="45"/>
      <c r="I31" s="45">
        <f>'Capex forecast - 3017'!Q187</f>
        <v>930000</v>
      </c>
      <c r="J31" s="45">
        <f>'Capex forecast - 3017'!R187</f>
        <v>6710401.5008526985</v>
      </c>
      <c r="K31" s="45">
        <f>'Capex forecast - 3017'!S187</f>
        <v>2921122.1105312486</v>
      </c>
      <c r="L31" s="45">
        <f>'Capex forecast - 3017'!T187</f>
        <v>583586.67918931914</v>
      </c>
      <c r="M31" s="45">
        <f>'Capex forecast - 3017'!U187</f>
        <v>2015380.1127946689</v>
      </c>
      <c r="N31" s="45">
        <f>'Capex forecast - 3017'!V187</f>
        <v>1071051.9420095519</v>
      </c>
      <c r="P31" s="40">
        <f t="shared" si="0"/>
        <v>13301542.345377486</v>
      </c>
      <c r="Q31" s="98"/>
      <c r="R31" s="45">
        <v>4236667.1024927627</v>
      </c>
      <c r="S31" s="45">
        <f t="shared" si="1"/>
        <v>930000</v>
      </c>
      <c r="T31" s="178">
        <f t="shared" si="2"/>
        <v>-3306667.1024927627</v>
      </c>
      <c r="V31" s="101"/>
    </row>
    <row r="32" spans="2:22">
      <c r="B32" s="8">
        <v>3018</v>
      </c>
      <c r="C32" s="4" t="s">
        <v>37</v>
      </c>
      <c r="H32" s="45"/>
      <c r="I32" s="45">
        <f>'Capex forecast - 3018'!Q187</f>
        <v>0</v>
      </c>
      <c r="J32" s="45">
        <f>'Capex forecast - 3018'!R187</f>
        <v>15392.492898084103</v>
      </c>
      <c r="K32" s="45">
        <f>'Capex forecast - 3018'!S187</f>
        <v>20655.6492643376</v>
      </c>
      <c r="L32" s="45">
        <f>'Capex forecast - 3018'!T187</f>
        <v>20826.436468809108</v>
      </c>
      <c r="M32" s="45">
        <f>'Capex forecast - 3018'!U187</f>
        <v>21051.735634854442</v>
      </c>
      <c r="N32" s="45">
        <f>'Capex forecast - 3018'!V187</f>
        <v>21296.745315063003</v>
      </c>
      <c r="P32" s="40">
        <f t="shared" si="0"/>
        <v>99223.059581148249</v>
      </c>
      <c r="Q32" s="98"/>
      <c r="R32" s="45">
        <v>0</v>
      </c>
      <c r="S32" s="45">
        <f t="shared" si="1"/>
        <v>0</v>
      </c>
      <c r="T32" s="178">
        <f t="shared" si="2"/>
        <v>0</v>
      </c>
      <c r="V32" s="101"/>
    </row>
    <row r="33" spans="1:22">
      <c r="B33" s="8">
        <v>3019</v>
      </c>
      <c r="C33" s="4" t="s">
        <v>219</v>
      </c>
      <c r="H33" s="45"/>
      <c r="I33" s="45">
        <f>'Capex forecast - 3019'!Q207</f>
        <v>30510428.780999999</v>
      </c>
      <c r="J33" s="45">
        <f>'Capex forecast - 3019'!R207</f>
        <v>34652225.142321877</v>
      </c>
      <c r="K33" s="45">
        <f>'Capex forecast - 3019'!S207</f>
        <v>35499039.433977008</v>
      </c>
      <c r="L33" s="45">
        <f>'Capex forecast - 3019'!T207</f>
        <v>36546489.877752036</v>
      </c>
      <c r="M33" s="45">
        <f>'Capex forecast - 3019'!U207</f>
        <v>37814969.175557077</v>
      </c>
      <c r="N33" s="45">
        <f>'Capex forecast - 3019'!V207</f>
        <v>36434911.643230163</v>
      </c>
      <c r="P33" s="40">
        <f t="shared" si="0"/>
        <v>180947635.27283818</v>
      </c>
      <c r="Q33" s="98"/>
      <c r="R33" s="45">
        <v>30239692.628705665</v>
      </c>
      <c r="S33" s="45">
        <f t="shared" si="1"/>
        <v>30510428.780999999</v>
      </c>
      <c r="T33" s="178">
        <f t="shared" si="2"/>
        <v>270736.15229433402</v>
      </c>
      <c r="V33" s="101"/>
    </row>
    <row r="34" spans="1:22">
      <c r="B34" s="8">
        <v>3020</v>
      </c>
      <c r="C34" s="4" t="s">
        <v>220</v>
      </c>
      <c r="H34" s="45"/>
      <c r="I34" s="45">
        <f>'Capex forecast - 3020'!Q207</f>
        <v>3716964.523</v>
      </c>
      <c r="J34" s="45">
        <f>'Capex forecast - 3020'!R207</f>
        <v>4923250.8144867392</v>
      </c>
      <c r="K34" s="45">
        <f>'Capex forecast - 3020'!S207</f>
        <v>5049196.2949967319</v>
      </c>
      <c r="L34" s="45">
        <f>'Capex forecast - 3020'!T207</f>
        <v>5181335.7396465158</v>
      </c>
      <c r="M34" s="45">
        <f>'Capex forecast - 3020'!U207</f>
        <v>5341234.336794626</v>
      </c>
      <c r="N34" s="45">
        <f>'Capex forecast - 3020'!V207</f>
        <v>5222513.5594408037</v>
      </c>
      <c r="P34" s="40">
        <f t="shared" si="0"/>
        <v>25717530.745365415</v>
      </c>
      <c r="Q34" s="98"/>
      <c r="R34" s="45">
        <v>4574959.5784594929</v>
      </c>
      <c r="S34" s="45">
        <f t="shared" si="1"/>
        <v>3716964.523</v>
      </c>
      <c r="T34" s="178">
        <f t="shared" si="2"/>
        <v>-857995.05545949284</v>
      </c>
      <c r="V34" s="101"/>
    </row>
    <row r="35" spans="1:22">
      <c r="B35" s="8">
        <v>3021</v>
      </c>
      <c r="C35" s="4" t="s">
        <v>221</v>
      </c>
      <c r="H35" s="45"/>
      <c r="I35" s="45">
        <f>'Capex forecast - 3021'!Q187</f>
        <v>893512.473</v>
      </c>
      <c r="J35" s="45">
        <f>'Capex forecast - 3021'!R187</f>
        <v>1296896.966105795</v>
      </c>
      <c r="K35" s="45">
        <f>'Capex forecast - 3021'!S187</f>
        <v>1306446.8756365322</v>
      </c>
      <c r="L35" s="45">
        <f>'Capex forecast - 3021'!T187</f>
        <v>1318776.0447422315</v>
      </c>
      <c r="M35" s="45">
        <f>'Capex forecast - 3021'!U187</f>
        <v>1335047.8985991839</v>
      </c>
      <c r="N35" s="45">
        <f>'Capex forecast - 3021'!V187</f>
        <v>1352738.6027580639</v>
      </c>
      <c r="P35" s="40">
        <f t="shared" si="0"/>
        <v>6609906.3878418067</v>
      </c>
      <c r="Q35" s="98"/>
      <c r="R35" s="45">
        <v>1289296.4123277145</v>
      </c>
      <c r="S35" s="45">
        <f t="shared" si="1"/>
        <v>893512.473</v>
      </c>
      <c r="T35" s="178">
        <f t="shared" si="2"/>
        <v>-395783.9393277145</v>
      </c>
      <c r="V35" s="101"/>
    </row>
    <row r="36" spans="1:22">
      <c r="B36" s="8">
        <v>3022</v>
      </c>
      <c r="C36" s="4" t="s">
        <v>38</v>
      </c>
      <c r="H36" s="45"/>
      <c r="I36" s="45">
        <f>'Capex forecast - 3022'!Q187</f>
        <v>1634704.9739999997</v>
      </c>
      <c r="J36" s="45">
        <f>'Capex forecast - 3022'!R187</f>
        <v>1186571.369400962</v>
      </c>
      <c r="K36" s="45">
        <f>'Capex forecast - 3022'!S187</f>
        <v>1193133.5137330822</v>
      </c>
      <c r="L36" s="45">
        <f>'Capex forecast - 3022'!T187</f>
        <v>1201588.6896133644</v>
      </c>
      <c r="M36" s="45">
        <f>'Capex forecast - 3022'!U187</f>
        <v>1212711.869633341</v>
      </c>
      <c r="N36" s="45">
        <f>'Capex forecast - 3022'!V187</f>
        <v>1224827.5812136193</v>
      </c>
      <c r="P36" s="40">
        <f t="shared" si="0"/>
        <v>6018833.0235943692</v>
      </c>
      <c r="Q36" s="98"/>
      <c r="R36" s="45">
        <v>1181323.127987423</v>
      </c>
      <c r="S36" s="45">
        <f t="shared" si="1"/>
        <v>1634704.9739999997</v>
      </c>
      <c r="T36" s="178">
        <f t="shared" si="2"/>
        <v>453381.84601257672</v>
      </c>
      <c r="V36" s="101"/>
    </row>
    <row r="37" spans="1:22">
      <c r="B37" s="8">
        <v>3023</v>
      </c>
      <c r="C37" s="4" t="s">
        <v>39</v>
      </c>
      <c r="H37" s="45"/>
      <c r="I37" s="45">
        <f>'Capex forecast - 3023'!Q187</f>
        <v>5672032</v>
      </c>
      <c r="J37" s="45">
        <f>'Capex forecast - 3023'!R187</f>
        <v>0</v>
      </c>
      <c r="K37" s="45">
        <f>'Capex forecast - 3023'!S187</f>
        <v>0</v>
      </c>
      <c r="L37" s="45">
        <f>'Capex forecast - 3023'!T187</f>
        <v>0</v>
      </c>
      <c r="M37" s="45">
        <f>'Capex forecast - 3023'!U187</f>
        <v>0</v>
      </c>
      <c r="N37" s="45">
        <f>'Capex forecast - 3023'!V187</f>
        <v>0</v>
      </c>
      <c r="P37" s="40">
        <f t="shared" si="0"/>
        <v>0</v>
      </c>
      <c r="Q37" s="98"/>
      <c r="R37" s="45">
        <v>2793730.7651922978</v>
      </c>
      <c r="S37" s="45">
        <f t="shared" si="1"/>
        <v>5672032</v>
      </c>
      <c r="T37" s="178">
        <f t="shared" si="2"/>
        <v>2878301.2348077022</v>
      </c>
      <c r="V37" s="101"/>
    </row>
    <row r="38" spans="1:22">
      <c r="B38" s="8">
        <v>3024</v>
      </c>
      <c r="C38" s="4" t="s">
        <v>40</v>
      </c>
      <c r="H38" s="45"/>
      <c r="I38" s="45">
        <f>'Capex forecast - 3024'!Q187</f>
        <v>0</v>
      </c>
      <c r="J38" s="45">
        <f>'Capex forecast - 3024'!R187</f>
        <v>0</v>
      </c>
      <c r="K38" s="45">
        <f>'Capex forecast - 3024'!S187</f>
        <v>0</v>
      </c>
      <c r="L38" s="45">
        <f>'Capex forecast - 3024'!T187</f>
        <v>0</v>
      </c>
      <c r="M38" s="45">
        <f>'Capex forecast - 3024'!U187</f>
        <v>0</v>
      </c>
      <c r="N38" s="45">
        <f>'Capex forecast - 3024'!V187</f>
        <v>0</v>
      </c>
      <c r="P38" s="40">
        <f t="shared" si="0"/>
        <v>0</v>
      </c>
      <c r="Q38" s="98"/>
      <c r="R38" s="45">
        <v>0</v>
      </c>
      <c r="S38" s="45">
        <f t="shared" si="1"/>
        <v>0</v>
      </c>
      <c r="T38" s="178">
        <f t="shared" si="2"/>
        <v>0</v>
      </c>
      <c r="V38" s="101"/>
    </row>
    <row r="39" spans="1:22">
      <c r="B39" s="8">
        <v>3025</v>
      </c>
      <c r="C39" s="4" t="s">
        <v>41</v>
      </c>
      <c r="H39" s="45"/>
      <c r="I39" s="45">
        <f>'Capex forecast - 3025'!Q187</f>
        <v>539771.78354504344</v>
      </c>
      <c r="J39" s="45">
        <f>'Capex forecast - 3025'!R187</f>
        <v>0</v>
      </c>
      <c r="K39" s="45">
        <f>'Capex forecast - 3025'!S187</f>
        <v>0</v>
      </c>
      <c r="L39" s="45">
        <f>'Capex forecast - 3025'!T187</f>
        <v>0</v>
      </c>
      <c r="M39" s="45">
        <f>'Capex forecast - 3025'!U187</f>
        <v>0</v>
      </c>
      <c r="N39" s="45">
        <f>'Capex forecast - 3025'!V187</f>
        <v>0</v>
      </c>
      <c r="P39" s="40">
        <f t="shared" si="0"/>
        <v>0</v>
      </c>
      <c r="Q39" s="98"/>
      <c r="R39" s="45">
        <v>539771.78354504344</v>
      </c>
      <c r="S39" s="45">
        <f t="shared" si="1"/>
        <v>539771.78354504344</v>
      </c>
      <c r="T39" s="178">
        <f t="shared" si="2"/>
        <v>0</v>
      </c>
      <c r="V39" s="101"/>
    </row>
    <row r="40" spans="1:22">
      <c r="B40" s="8">
        <v>3027</v>
      </c>
      <c r="C40" s="4" t="s">
        <v>225</v>
      </c>
      <c r="H40" s="45"/>
      <c r="I40" s="45">
        <f>'Capex forecast - IT'!Q187</f>
        <v>6308130.1928902604</v>
      </c>
      <c r="J40" s="45">
        <f>'Capex forecast - IT'!R187</f>
        <v>13370409.377955636</v>
      </c>
      <c r="K40" s="45">
        <f>'Capex forecast - IT'!S187</f>
        <v>14579932.724899549</v>
      </c>
      <c r="L40" s="45">
        <f>'Capex forecast - IT'!T187</f>
        <v>11969278.594408192</v>
      </c>
      <c r="M40" s="45">
        <f>'Capex forecast - IT'!U187</f>
        <v>9374185.521784829</v>
      </c>
      <c r="N40" s="45">
        <f>'Capex forecast - IT'!V187</f>
        <v>6365470.0767898764</v>
      </c>
      <c r="P40" s="40">
        <f t="shared" si="0"/>
        <v>55659276.29583808</v>
      </c>
      <c r="Q40" s="98"/>
      <c r="R40" s="45">
        <v>12616260.385780521</v>
      </c>
      <c r="S40" s="45">
        <f t="shared" si="1"/>
        <v>6308130.1928902604</v>
      </c>
      <c r="T40" s="178">
        <f t="shared" si="2"/>
        <v>-6308130.1928902604</v>
      </c>
    </row>
    <row r="41" spans="1:22">
      <c r="B41" s="8">
        <v>3031</v>
      </c>
      <c r="C41" s="4" t="s">
        <v>218</v>
      </c>
      <c r="H41" s="45"/>
      <c r="I41" s="45">
        <f>'Capex forecast - other non-IT'!Q187</f>
        <v>360914.01009034616</v>
      </c>
      <c r="J41" s="45">
        <f>'Capex forecast - other non-IT'!R187</f>
        <v>361358.76730482717</v>
      </c>
      <c r="K41" s="45">
        <f>'Capex forecast - other non-IT'!S187</f>
        <v>361894.38911896548</v>
      </c>
      <c r="L41" s="45">
        <f>'Capex forecast - other non-IT'!T187</f>
        <v>362574.19659318496</v>
      </c>
      <c r="M41" s="45">
        <f>'Capex forecast - other non-IT'!U187</f>
        <v>363446.01291519118</v>
      </c>
      <c r="N41" s="45">
        <f>'Capex forecast - other non-IT'!V187</f>
        <v>364411.70301263226</v>
      </c>
      <c r="P41" s="40">
        <f t="shared" si="0"/>
        <v>1813685.0689448011</v>
      </c>
      <c r="Q41" s="98"/>
      <c r="R41" s="45">
        <v>360914.01009034616</v>
      </c>
      <c r="S41" s="45">
        <f t="shared" si="1"/>
        <v>360914.01009034616</v>
      </c>
      <c r="T41" s="178">
        <f t="shared" si="2"/>
        <v>0</v>
      </c>
    </row>
    <row r="42" spans="1:22">
      <c r="B42" s="80"/>
      <c r="H42" s="45"/>
      <c r="I42" s="45"/>
      <c r="J42" s="45"/>
      <c r="K42" s="45"/>
      <c r="L42" s="45"/>
      <c r="M42" s="45"/>
      <c r="N42" s="45"/>
      <c r="R42" s="45"/>
      <c r="S42" s="45"/>
      <c r="T42" s="178"/>
    </row>
    <row r="43" spans="1:22" ht="12.75" thickBot="1">
      <c r="B43" s="81" t="s">
        <v>92</v>
      </c>
      <c r="H43" s="37"/>
      <c r="I43" s="37">
        <f t="shared" ref="I43:N43" si="3">SUM(I15:I41)</f>
        <v>89527764.927750751</v>
      </c>
      <c r="J43" s="37">
        <f t="shared" si="3"/>
        <v>100141480.30105509</v>
      </c>
      <c r="K43" s="37">
        <f t="shared" si="3"/>
        <v>97242023.15185152</v>
      </c>
      <c r="L43" s="37">
        <f t="shared" si="3"/>
        <v>94040632.09801732</v>
      </c>
      <c r="M43" s="37">
        <f t="shared" si="3"/>
        <v>87913893.847654879</v>
      </c>
      <c r="N43" s="37">
        <f t="shared" si="3"/>
        <v>83253547.153976262</v>
      </c>
      <c r="P43" s="37">
        <f t="shared" si="0"/>
        <v>462591576.55255508</v>
      </c>
      <c r="R43" s="40">
        <v>94183699.869334787</v>
      </c>
      <c r="S43" s="40">
        <f t="shared" si="1"/>
        <v>89527764.927750751</v>
      </c>
      <c r="T43" s="179">
        <f t="shared" si="2"/>
        <v>-4655934.9415840358</v>
      </c>
    </row>
    <row r="44" spans="1:22">
      <c r="B44" s="81"/>
      <c r="H44" s="82"/>
      <c r="I44" s="82"/>
      <c r="J44" s="82"/>
      <c r="K44" s="82"/>
      <c r="L44" s="82"/>
      <c r="M44" s="82"/>
      <c r="N44" s="82"/>
    </row>
    <row r="45" spans="1:22" s="1" customFormat="1">
      <c r="A45" s="2">
        <v>2</v>
      </c>
      <c r="B45" s="2" t="s">
        <v>18</v>
      </c>
    </row>
    <row r="46" spans="1:22">
      <c r="H46" s="30"/>
      <c r="I46" s="30"/>
      <c r="J46" s="30"/>
      <c r="K46" s="30"/>
      <c r="L46" s="30"/>
      <c r="M46" s="30"/>
      <c r="N46" s="30"/>
    </row>
    <row r="47" spans="1:22">
      <c r="H47" s="187" t="s">
        <v>53</v>
      </c>
      <c r="I47" s="188"/>
      <c r="J47" s="187" t="s">
        <v>54</v>
      </c>
      <c r="K47" s="189"/>
      <c r="L47" s="189"/>
      <c r="M47" s="189"/>
      <c r="N47" s="188"/>
    </row>
    <row r="48" spans="1:22">
      <c r="B48" s="5"/>
      <c r="H48" s="18">
        <v>2016</v>
      </c>
      <c r="I48" s="18">
        <v>2017</v>
      </c>
      <c r="J48" s="18">
        <v>2018</v>
      </c>
      <c r="K48" s="18">
        <v>2019</v>
      </c>
      <c r="L48" s="18">
        <v>2020</v>
      </c>
      <c r="M48" s="18">
        <v>2021</v>
      </c>
      <c r="N48" s="18">
        <v>2022</v>
      </c>
      <c r="P48" s="29" t="s">
        <v>63</v>
      </c>
    </row>
    <row r="49" spans="2:16">
      <c r="B49" s="5" t="s">
        <v>19</v>
      </c>
      <c r="D49" s="29"/>
      <c r="E49" s="29"/>
      <c r="H49" s="16" t="s">
        <v>13</v>
      </c>
      <c r="I49" s="16" t="s">
        <v>13</v>
      </c>
      <c r="J49" s="16" t="s">
        <v>13</v>
      </c>
      <c r="K49" s="16" t="s">
        <v>13</v>
      </c>
      <c r="L49" s="16" t="s">
        <v>13</v>
      </c>
      <c r="M49" s="16" t="s">
        <v>13</v>
      </c>
      <c r="N49" s="16" t="s">
        <v>13</v>
      </c>
      <c r="P49" s="34" t="s">
        <v>13</v>
      </c>
    </row>
    <row r="50" spans="2:16">
      <c r="D50" s="31"/>
      <c r="E50" s="31"/>
    </row>
    <row r="51" spans="2:16">
      <c r="B51" s="20" t="s">
        <v>19</v>
      </c>
      <c r="C51" s="20" t="s">
        <v>6</v>
      </c>
      <c r="E51" s="31"/>
    </row>
    <row r="52" spans="2:16">
      <c r="B52" s="8">
        <v>3001</v>
      </c>
      <c r="C52" s="4" t="s">
        <v>20</v>
      </c>
      <c r="H52" s="45"/>
      <c r="I52" s="45">
        <f>'Capex forecast - 3001'!Q212</f>
        <v>1907544.8852188922</v>
      </c>
      <c r="J52" s="45">
        <f>'Capex forecast - 3001'!R212</f>
        <v>1472328.5745070055</v>
      </c>
      <c r="K52" s="45">
        <f>'Capex forecast - 3001'!S212</f>
        <v>1471619.9891775064</v>
      </c>
      <c r="L52" s="45">
        <f>'Capex forecast - 3001'!T212</f>
        <v>1564010.8044143468</v>
      </c>
      <c r="M52" s="45">
        <f>'Capex forecast - 3001'!U212</f>
        <v>1423189.3933447637</v>
      </c>
      <c r="N52" s="45">
        <f>'Capex forecast - 3001'!V212</f>
        <v>1410200.7432332169</v>
      </c>
      <c r="P52" s="40">
        <f t="shared" ref="P52:P80" si="4">SUM(J52:N52)</f>
        <v>7341349.5046768393</v>
      </c>
    </row>
    <row r="53" spans="2:16">
      <c r="B53" s="8">
        <v>3002</v>
      </c>
      <c r="C53" s="4" t="s">
        <v>21</v>
      </c>
      <c r="H53" s="45"/>
      <c r="I53" s="45">
        <f>'Capex forecast - 3002'!Q212</f>
        <v>37355.753494822304</v>
      </c>
      <c r="J53" s="45">
        <f>'Capex forecast - 3002'!R212</f>
        <v>52746.199686869746</v>
      </c>
      <c r="K53" s="45">
        <f>'Capex forecast - 3002'!S212</f>
        <v>56147.485703176237</v>
      </c>
      <c r="L53" s="45">
        <f>'Capex forecast - 3002'!T212</f>
        <v>57542.098087581806</v>
      </c>
      <c r="M53" s="45">
        <f>'Capex forecast - 3002'!U212</f>
        <v>61478.942140701693</v>
      </c>
      <c r="N53" s="45">
        <f>'Capex forecast - 3002'!V212</f>
        <v>64334.265153380344</v>
      </c>
      <c r="P53" s="40">
        <f t="shared" si="4"/>
        <v>292248.99077170982</v>
      </c>
    </row>
    <row r="54" spans="2:16">
      <c r="B54" s="8">
        <v>3003</v>
      </c>
      <c r="C54" s="4" t="s">
        <v>22</v>
      </c>
      <c r="H54" s="45"/>
      <c r="I54" s="45">
        <f>'Capex forecast - 3003'!Q212</f>
        <v>238589.50595326861</v>
      </c>
      <c r="J54" s="45">
        <f>'Capex forecast - 3003'!R212</f>
        <v>377714.55551198218</v>
      </c>
      <c r="K54" s="45">
        <f>'Capex forecast - 3003'!S212</f>
        <v>327923.36371315829</v>
      </c>
      <c r="L54" s="45">
        <f>'Capex forecast - 3003'!T212</f>
        <v>399209.49092268385</v>
      </c>
      <c r="M54" s="45">
        <f>'Capex forecast - 3003'!U212</f>
        <v>105021.71235802188</v>
      </c>
      <c r="N54" s="45">
        <f>'Capex forecast - 3003'!V212</f>
        <v>162194.11693471926</v>
      </c>
      <c r="P54" s="40">
        <f t="shared" si="4"/>
        <v>1372063.2394405655</v>
      </c>
    </row>
    <row r="55" spans="2:16">
      <c r="B55" s="8">
        <v>3004</v>
      </c>
      <c r="C55" s="4" t="s">
        <v>23</v>
      </c>
      <c r="H55" s="45"/>
      <c r="I55" s="45">
        <f>'Capex forecast - 3004'!Q212</f>
        <v>10927.436496612121</v>
      </c>
      <c r="J55" s="45">
        <f>'Capex forecast - 3004'!R212</f>
        <v>10408.990997567278</v>
      </c>
      <c r="K55" s="45">
        <f>'Capex forecast - 3004'!S212</f>
        <v>11080.204387992795</v>
      </c>
      <c r="L55" s="45">
        <f>'Capex forecast - 3004'!T212</f>
        <v>11355.418675288383</v>
      </c>
      <c r="M55" s="45">
        <f>'Capex forecast - 3004'!U212</f>
        <v>12132.319656800275</v>
      </c>
      <c r="N55" s="45">
        <f>'Capex forecast - 3004'!V212</f>
        <v>12695.792128951085</v>
      </c>
      <c r="P55" s="40">
        <f t="shared" si="4"/>
        <v>57672.725846599817</v>
      </c>
    </row>
    <row r="56" spans="2:16">
      <c r="B56" s="8">
        <v>3005</v>
      </c>
      <c r="C56" s="4" t="s">
        <v>24</v>
      </c>
      <c r="H56" s="45"/>
      <c r="I56" s="45">
        <f>'Capex forecast - 3005'!Q212</f>
        <v>0</v>
      </c>
      <c r="J56" s="45">
        <f>'Capex forecast - 3005'!R212</f>
        <v>0</v>
      </c>
      <c r="K56" s="45">
        <f>'Capex forecast - 3005'!S212</f>
        <v>0</v>
      </c>
      <c r="L56" s="45">
        <f>'Capex forecast - 3005'!T212</f>
        <v>0</v>
      </c>
      <c r="M56" s="45">
        <f>'Capex forecast - 3005'!U212</f>
        <v>0</v>
      </c>
      <c r="N56" s="45">
        <f>'Capex forecast - 3005'!V212</f>
        <v>0</v>
      </c>
      <c r="P56" s="40">
        <f t="shared" si="4"/>
        <v>0</v>
      </c>
    </row>
    <row r="57" spans="2:16">
      <c r="B57" s="8">
        <v>3006</v>
      </c>
      <c r="C57" s="4" t="s">
        <v>25</v>
      </c>
      <c r="H57" s="45"/>
      <c r="I57" s="45">
        <f>'Capex forecast - 3006'!Q212</f>
        <v>25974.737624179514</v>
      </c>
      <c r="J57" s="45">
        <f>'Capex forecast - 3006'!R212</f>
        <v>10376.198312830442</v>
      </c>
      <c r="K57" s="45">
        <f>'Capex forecast - 3006'!S212</f>
        <v>11045.297099726333</v>
      </c>
      <c r="L57" s="45">
        <f>'Capex forecast - 3006'!T212</f>
        <v>11319.644346656482</v>
      </c>
      <c r="M57" s="45">
        <f>'Capex forecast - 3006'!U212</f>
        <v>12094.097764426202</v>
      </c>
      <c r="N57" s="45">
        <f>'Capex forecast - 3006'!V212</f>
        <v>12655.795062101242</v>
      </c>
      <c r="P57" s="40">
        <f t="shared" si="4"/>
        <v>57491.032585740701</v>
      </c>
    </row>
    <row r="58" spans="2:16">
      <c r="B58" s="8">
        <v>3007</v>
      </c>
      <c r="C58" s="4" t="s">
        <v>26</v>
      </c>
      <c r="H58" s="45"/>
      <c r="I58" s="45">
        <f>'Capex forecast - 3007'!Q212</f>
        <v>282229.33234329009</v>
      </c>
      <c r="J58" s="45">
        <f>'Capex forecast - 3007'!R212</f>
        <v>299461.09104258148</v>
      </c>
      <c r="K58" s="45">
        <f>'Capex forecast - 3007'!S212</f>
        <v>345567.48015873134</v>
      </c>
      <c r="L58" s="45">
        <f>'Capex forecast - 3007'!T212</f>
        <v>302990.39334828965</v>
      </c>
      <c r="M58" s="45">
        <f>'Capex forecast - 3007'!U212</f>
        <v>291581.57970016915</v>
      </c>
      <c r="N58" s="45">
        <f>'Capex forecast - 3007'!V212</f>
        <v>363660.91265802179</v>
      </c>
      <c r="P58" s="40">
        <f t="shared" si="4"/>
        <v>1603261.4569077934</v>
      </c>
    </row>
    <row r="59" spans="2:16">
      <c r="B59" s="8">
        <v>3008</v>
      </c>
      <c r="C59" s="4" t="s">
        <v>27</v>
      </c>
      <c r="H59" s="45"/>
      <c r="I59" s="45">
        <f>'Capex forecast - 3008'!Q212</f>
        <v>47466.584972758428</v>
      </c>
      <c r="J59" s="45">
        <f>'Capex forecast - 3008'!R212</f>
        <v>47143.308553546085</v>
      </c>
      <c r="K59" s="45">
        <f>'Capex forecast - 3008'!S212</f>
        <v>51356.327244727756</v>
      </c>
      <c r="L59" s="45">
        <f>'Capex forecast - 3008'!T212</f>
        <v>53846.157146333484</v>
      </c>
      <c r="M59" s="45">
        <f>'Capex forecast - 3008'!U212</f>
        <v>58830.677866801154</v>
      </c>
      <c r="N59" s="45">
        <f>'Capex forecast - 3008'!V212</f>
        <v>62947.569975571823</v>
      </c>
      <c r="P59" s="40">
        <f t="shared" si="4"/>
        <v>274124.0407869803</v>
      </c>
    </row>
    <row r="60" spans="2:16">
      <c r="B60" s="8">
        <v>3009</v>
      </c>
      <c r="C60" s="4" t="s">
        <v>28</v>
      </c>
      <c r="H60" s="45"/>
      <c r="I60" s="45">
        <f>'Capex forecast - 3009'!Q212</f>
        <v>46039.167862344068</v>
      </c>
      <c r="J60" s="45">
        <f>'Capex forecast - 3009'!R212</f>
        <v>50369.016534247319</v>
      </c>
      <c r="K60" s="45">
        <f>'Capex forecast - 3009'!S212</f>
        <v>60395.310941016534</v>
      </c>
      <c r="L60" s="45">
        <f>'Capex forecast - 3009'!T212</f>
        <v>56737.643987983698</v>
      </c>
      <c r="M60" s="45">
        <f>'Capex forecast - 3009'!U212</f>
        <v>50997.483212842257</v>
      </c>
      <c r="N60" s="45">
        <f>'Capex forecast - 3009'!V212</f>
        <v>45839.745921525871</v>
      </c>
      <c r="P60" s="40">
        <f t="shared" si="4"/>
        <v>264339.20059761568</v>
      </c>
    </row>
    <row r="61" spans="2:16">
      <c r="B61" s="8">
        <v>3010</v>
      </c>
      <c r="C61" s="4" t="s">
        <v>29</v>
      </c>
      <c r="H61" s="45"/>
      <c r="I61" s="45">
        <f>'Capex forecast - 3010'!Q212</f>
        <v>17745.335377033363</v>
      </c>
      <c r="J61" s="45">
        <f>'Capex forecast - 3010'!R212</f>
        <v>17742.866139554215</v>
      </c>
      <c r="K61" s="45">
        <f>'Capex forecast - 3010'!S212</f>
        <v>19533.058192660799</v>
      </c>
      <c r="L61" s="45">
        <f>'Capex forecast - 3010'!T212</f>
        <v>20645.14084976865</v>
      </c>
      <c r="M61" s="45">
        <f>'Capex forecast - 3010'!U212</f>
        <v>22789.126008697611</v>
      </c>
      <c r="N61" s="45">
        <f>'Capex forecast - 3010'!V212</f>
        <v>24466.856197763584</v>
      </c>
      <c r="P61" s="40">
        <f t="shared" si="4"/>
        <v>105177.04738844486</v>
      </c>
    </row>
    <row r="62" spans="2:16">
      <c r="B62" s="8">
        <v>3011</v>
      </c>
      <c r="C62" s="4" t="s">
        <v>30</v>
      </c>
      <c r="H62" s="45"/>
      <c r="I62" s="45">
        <f>'Capex forecast - 3011'!Q212</f>
        <v>50435.451665431028</v>
      </c>
      <c r="J62" s="45">
        <f>'Capex forecast - 3011'!R212</f>
        <v>124164.41415008903</v>
      </c>
      <c r="K62" s="45">
        <f>'Capex forecast - 3011'!S212</f>
        <v>154421.34396322584</v>
      </c>
      <c r="L62" s="45">
        <f>'Capex forecast - 3011'!T212</f>
        <v>99150.822241606191</v>
      </c>
      <c r="M62" s="45">
        <f>'Capex forecast - 3011'!U212</f>
        <v>89161.914154886967</v>
      </c>
      <c r="N62" s="45">
        <f>'Capex forecast - 3011'!V212</f>
        <v>75045.566026458167</v>
      </c>
      <c r="P62" s="40">
        <f t="shared" si="4"/>
        <v>541944.06053626619</v>
      </c>
    </row>
    <row r="63" spans="2:16">
      <c r="B63" s="8">
        <v>3012</v>
      </c>
      <c r="C63" s="4" t="s">
        <v>31</v>
      </c>
      <c r="H63" s="45"/>
      <c r="I63" s="45">
        <f>'Capex forecast - 3012'!Q192</f>
        <v>11462.602651234338</v>
      </c>
      <c r="J63" s="45">
        <f>'Capex forecast - 3012'!R192</f>
        <v>11086.108406257932</v>
      </c>
      <c r="K63" s="45">
        <f>'Capex forecast - 3012'!S192</f>
        <v>11757.970352529897</v>
      </c>
      <c r="L63" s="45">
        <f>'Capex forecast - 3012'!T192</f>
        <v>11994.051077613665</v>
      </c>
      <c r="M63" s="45">
        <f>'Capex forecast - 3012'!U192</f>
        <v>12737.416307840962</v>
      </c>
      <c r="N63" s="45">
        <f>'Capex forecast - 3012'!V192</f>
        <v>13243.335181139671</v>
      </c>
      <c r="P63" s="40">
        <f t="shared" si="4"/>
        <v>60818.881325382128</v>
      </c>
    </row>
    <row r="64" spans="2:16">
      <c r="B64" s="8">
        <v>3013</v>
      </c>
      <c r="C64" s="4" t="s">
        <v>32</v>
      </c>
      <c r="H64" s="45"/>
      <c r="I64" s="45">
        <f>'Capex forecast - 3013'!Q212</f>
        <v>94687.975460786372</v>
      </c>
      <c r="J64" s="45">
        <f>'Capex forecast - 3013'!R212</f>
        <v>93978.788644582964</v>
      </c>
      <c r="K64" s="45">
        <f>'Capex forecast - 3013'!S212</f>
        <v>92250.683791878866</v>
      </c>
      <c r="L64" s="45">
        <f>'Capex forecast - 3013'!T212</f>
        <v>105466.48973737494</v>
      </c>
      <c r="M64" s="45">
        <f>'Capex forecast - 3013'!U212</f>
        <v>94148.188058862928</v>
      </c>
      <c r="N64" s="45">
        <f>'Capex forecast - 3013'!V212</f>
        <v>111314.20519803325</v>
      </c>
      <c r="P64" s="40">
        <f t="shared" si="4"/>
        <v>497158.35543073295</v>
      </c>
    </row>
    <row r="65" spans="2:16">
      <c r="B65" s="8">
        <v>3014</v>
      </c>
      <c r="C65" s="4" t="s">
        <v>33</v>
      </c>
      <c r="H65" s="45"/>
      <c r="I65" s="45">
        <f>'Capex forecast - 3014'!Q212</f>
        <v>90459.803429500898</v>
      </c>
      <c r="J65" s="45">
        <f>'Capex forecast - 3014'!R212</f>
        <v>89688.095154414186</v>
      </c>
      <c r="K65" s="45">
        <f>'Capex forecast - 3014'!S212</f>
        <v>97475.141951853177</v>
      </c>
      <c r="L65" s="45">
        <f>'Capex forecast - 3014'!T212</f>
        <v>101952.63257333683</v>
      </c>
      <c r="M65" s="45">
        <f>'Capex forecast - 3014'!U212</f>
        <v>111049.8903382807</v>
      </c>
      <c r="N65" s="45">
        <f>'Capex forecast - 3014'!V212</f>
        <v>118441.32674801652</v>
      </c>
      <c r="P65" s="40">
        <f t="shared" si="4"/>
        <v>518607.08676590142</v>
      </c>
    </row>
    <row r="66" spans="2:16">
      <c r="B66" s="8">
        <v>3015</v>
      </c>
      <c r="C66" s="4" t="s">
        <v>34</v>
      </c>
      <c r="H66" s="45"/>
      <c r="I66" s="45">
        <f>'Capex forecast - 3015'!Q212</f>
        <v>22155.984279575525</v>
      </c>
      <c r="J66" s="45">
        <f>'Capex forecast - 3015'!R212</f>
        <v>29087.296630974917</v>
      </c>
      <c r="K66" s="45">
        <f>'Capex forecast - 3015'!S212</f>
        <v>30962.961908671132</v>
      </c>
      <c r="L66" s="45">
        <f>'Capex forecast - 3015'!T212</f>
        <v>31893.723492168589</v>
      </c>
      <c r="M66" s="45">
        <f>'Capex forecast - 3015'!U212</f>
        <v>34075.78879453009</v>
      </c>
      <c r="N66" s="45">
        <f>'Capex forecast - 3015'!V212</f>
        <v>35658.401971209794</v>
      </c>
      <c r="P66" s="40">
        <f t="shared" si="4"/>
        <v>161678.17279755452</v>
      </c>
    </row>
    <row r="67" spans="2:16">
      <c r="B67" s="8">
        <v>3016</v>
      </c>
      <c r="C67" s="4" t="s">
        <v>35</v>
      </c>
      <c r="H67" s="45"/>
      <c r="I67" s="45">
        <f>'Capex forecast - 3016'!Q212</f>
        <v>32855.718811971776</v>
      </c>
      <c r="J67" s="45">
        <f>'Capex forecast - 3016'!R212</f>
        <v>29129.307806086552</v>
      </c>
      <c r="K67" s="45">
        <f>'Capex forecast - 3016'!S212</f>
        <v>27622.328136802593</v>
      </c>
      <c r="L67" s="45">
        <f>'Capex forecast - 3016'!T212</f>
        <v>25536.037411445519</v>
      </c>
      <c r="M67" s="45">
        <f>'Capex forecast - 3016'!U212</f>
        <v>107799.1350197182</v>
      </c>
      <c r="N67" s="45">
        <f>'Capex forecast - 3016'!V212</f>
        <v>120040.18130552582</v>
      </c>
      <c r="P67" s="40">
        <f t="shared" si="4"/>
        <v>310126.98967957869</v>
      </c>
    </row>
    <row r="68" spans="2:16">
      <c r="B68" s="8">
        <v>3017</v>
      </c>
      <c r="C68" s="4" t="s">
        <v>36</v>
      </c>
      <c r="H68" s="45"/>
      <c r="I68" s="45">
        <f>'Capex forecast - 3017'!Q192</f>
        <v>69602.778282293351</v>
      </c>
      <c r="J68" s="45">
        <f>'Capex forecast - 3017'!R192</f>
        <v>484295.10668936744</v>
      </c>
      <c r="K68" s="45">
        <f>'Capex forecast - 3017'!S192</f>
        <v>222773.81661902042</v>
      </c>
      <c r="L68" s="45">
        <f>'Capex forecast - 3017'!T192</f>
        <v>45185.166640836396</v>
      </c>
      <c r="M68" s="45">
        <f>'Capex forecast - 3017'!U192</f>
        <v>164688.16176570533</v>
      </c>
      <c r="N68" s="45">
        <f>'Capex forecast - 3017'!V192</f>
        <v>90388.851638047723</v>
      </c>
      <c r="P68" s="40">
        <f t="shared" si="4"/>
        <v>1007331.1033529773</v>
      </c>
    </row>
    <row r="69" spans="2:16">
      <c r="B69" s="8">
        <v>3018</v>
      </c>
      <c r="C69" s="4" t="s">
        <v>37</v>
      </c>
      <c r="H69" s="45"/>
      <c r="I69" s="45">
        <f>'Capex forecast - 3018'!Q192</f>
        <v>0</v>
      </c>
      <c r="J69" s="45">
        <f>'Capex forecast - 3018'!R192</f>
        <v>1110.8886687846789</v>
      </c>
      <c r="K69" s="45">
        <f>'Capex forecast - 3018'!S192</f>
        <v>1575.2637675675578</v>
      </c>
      <c r="L69" s="45">
        <f>'Capex forecast - 3018'!T192</f>
        <v>1612.521388742407</v>
      </c>
      <c r="M69" s="45">
        <f>'Capex forecast - 3018'!U192</f>
        <v>1720.2569488860463</v>
      </c>
      <c r="N69" s="45">
        <f>'Capex forecast - 3018'!V192</f>
        <v>1797.2875797645938</v>
      </c>
      <c r="P69" s="40">
        <f t="shared" si="4"/>
        <v>7816.2183537452838</v>
      </c>
    </row>
    <row r="70" spans="2:16">
      <c r="B70" s="8">
        <v>3019</v>
      </c>
      <c r="C70" s="4" t="s">
        <v>219</v>
      </c>
      <c r="H70" s="45"/>
      <c r="I70" s="45">
        <f>'Capex forecast - 3019'!Q212</f>
        <v>2283452.2685394026</v>
      </c>
      <c r="J70" s="45">
        <f>'Capex forecast - 3019'!R212</f>
        <v>2500879.1307334229</v>
      </c>
      <c r="K70" s="45">
        <f>'Capex forecast - 3019'!S212</f>
        <v>2707266.660474509</v>
      </c>
      <c r="L70" s="45">
        <f>'Capex forecast - 3019'!T212</f>
        <v>2829672.5990350321</v>
      </c>
      <c r="M70" s="45">
        <f>'Capex forecast - 3019'!U212</f>
        <v>3090076.0214972943</v>
      </c>
      <c r="N70" s="45">
        <f>'Capex forecast - 3019'!V212</f>
        <v>3074836.7037981972</v>
      </c>
      <c r="P70" s="40">
        <f t="shared" si="4"/>
        <v>14202731.115538456</v>
      </c>
    </row>
    <row r="71" spans="2:16">
      <c r="B71" s="8">
        <v>3020</v>
      </c>
      <c r="C71" s="4" t="s">
        <v>220</v>
      </c>
      <c r="H71" s="45"/>
      <c r="I71" s="45">
        <f>'Capex forecast - 3020'!Q212</f>
        <v>278183.93287905306</v>
      </c>
      <c r="J71" s="45">
        <f>'Capex forecast - 3020'!R212</f>
        <v>355314.99540785979</v>
      </c>
      <c r="K71" s="45">
        <f>'Capex forecast - 3020'!S212</f>
        <v>385067.34293640126</v>
      </c>
      <c r="L71" s="45">
        <f>'Capex forecast - 3020'!T212</f>
        <v>401173.51400699001</v>
      </c>
      <c r="M71" s="45">
        <f>'Capex forecast - 3020'!U212</f>
        <v>436462.61015586089</v>
      </c>
      <c r="N71" s="45">
        <f>'Capex forecast - 3020'!V212</f>
        <v>440741.46620405186</v>
      </c>
      <c r="P71" s="40">
        <f t="shared" si="4"/>
        <v>2018759.9287111638</v>
      </c>
    </row>
    <row r="72" spans="2:16">
      <c r="B72" s="8">
        <v>3021</v>
      </c>
      <c r="C72" s="4" t="s">
        <v>221</v>
      </c>
      <c r="H72" s="45"/>
      <c r="I72" s="45">
        <f>'Capex forecast - 3021'!Q192</f>
        <v>66871.989839443704</v>
      </c>
      <c r="J72" s="45">
        <f>'Capex forecast - 3021'!R192</f>
        <v>93598.103553939611</v>
      </c>
      <c r="K72" s="45">
        <f>'Capex forecast - 3021'!S192</f>
        <v>99633.683797838632</v>
      </c>
      <c r="L72" s="45">
        <f>'Capex forecast - 3021'!T192</f>
        <v>102108.42273918609</v>
      </c>
      <c r="M72" s="45">
        <f>'Capex forecast - 3021'!U192</f>
        <v>109094.35043724091</v>
      </c>
      <c r="N72" s="45">
        <f>'Capex forecast - 3021'!V192</f>
        <v>114161.11961885402</v>
      </c>
      <c r="P72" s="40">
        <f t="shared" si="4"/>
        <v>518595.68014705926</v>
      </c>
    </row>
    <row r="73" spans="2:16">
      <c r="B73" s="8">
        <v>3022</v>
      </c>
      <c r="C73" s="4" t="s">
        <v>38</v>
      </c>
      <c r="H73" s="45"/>
      <c r="I73" s="45">
        <f>'Capex forecast - 3022'!Q192</f>
        <v>122344.09447557433</v>
      </c>
      <c r="J73" s="45">
        <f>'Capex forecast - 3022'!R192</f>
        <v>85635.815959084779</v>
      </c>
      <c r="K73" s="45">
        <f>'Capex forecast - 3022'!S192</f>
        <v>90992.055974696064</v>
      </c>
      <c r="L73" s="45">
        <f>'Capex forecast - 3022'!T192</f>
        <v>93034.997387784533</v>
      </c>
      <c r="M73" s="45">
        <f>'Capex forecast - 3022'!U192</f>
        <v>99097.578314604936</v>
      </c>
      <c r="N73" s="45">
        <f>'Capex forecast - 3022'!V192</f>
        <v>103366.3767163211</v>
      </c>
      <c r="O73" s="94"/>
      <c r="P73" s="40">
        <f t="shared" si="4"/>
        <v>472126.82435249141</v>
      </c>
    </row>
    <row r="74" spans="2:16">
      <c r="B74" s="8">
        <v>3023</v>
      </c>
      <c r="C74" s="4" t="s">
        <v>39</v>
      </c>
      <c r="H74" s="45"/>
      <c r="I74" s="45">
        <f>'Capex forecast - 3023'!Q192</f>
        <v>424504.50075921789</v>
      </c>
      <c r="J74" s="45">
        <f>'Capex forecast - 3023'!R192</f>
        <v>0</v>
      </c>
      <c r="K74" s="45">
        <f>'Capex forecast - 3023'!S192</f>
        <v>0</v>
      </c>
      <c r="L74" s="45">
        <f>'Capex forecast - 3023'!T192</f>
        <v>0</v>
      </c>
      <c r="M74" s="45">
        <f>'Capex forecast - 3023'!U192</f>
        <v>0</v>
      </c>
      <c r="N74" s="45">
        <f>'Capex forecast - 3023'!V192</f>
        <v>0</v>
      </c>
      <c r="P74" s="40">
        <f t="shared" si="4"/>
        <v>0</v>
      </c>
    </row>
    <row r="75" spans="2:16">
      <c r="B75" s="8">
        <v>3024</v>
      </c>
      <c r="C75" s="4" t="s">
        <v>40</v>
      </c>
      <c r="H75" s="45"/>
      <c r="I75" s="45">
        <f>'Capex forecast - 3024'!Q192</f>
        <v>0</v>
      </c>
      <c r="J75" s="45">
        <f>'Capex forecast - 3024'!R192</f>
        <v>0</v>
      </c>
      <c r="K75" s="45">
        <f>'Capex forecast - 3024'!S192</f>
        <v>0</v>
      </c>
      <c r="L75" s="45">
        <f>'Capex forecast - 3024'!T192</f>
        <v>0</v>
      </c>
      <c r="M75" s="45">
        <f>'Capex forecast - 3024'!U192</f>
        <v>0</v>
      </c>
      <c r="N75" s="45">
        <f>'Capex forecast - 3024'!V192</f>
        <v>0</v>
      </c>
      <c r="P75" s="40">
        <f t="shared" si="4"/>
        <v>0</v>
      </c>
    </row>
    <row r="76" spans="2:16">
      <c r="B76" s="8">
        <v>3025</v>
      </c>
      <c r="C76" s="4" t="s">
        <v>41</v>
      </c>
      <c r="H76" s="45"/>
      <c r="I76" s="45">
        <f>'Capex forecast - 3025'!Q192</f>
        <v>40397.436315186787</v>
      </c>
      <c r="J76" s="45">
        <f>'Capex forecast - 3025'!R192</f>
        <v>0</v>
      </c>
      <c r="K76" s="45">
        <f>'Capex forecast - 3025'!S192</f>
        <v>0</v>
      </c>
      <c r="L76" s="45">
        <f>'Capex forecast - 3025'!T192</f>
        <v>0</v>
      </c>
      <c r="M76" s="45">
        <f>'Capex forecast - 3025'!U192</f>
        <v>0</v>
      </c>
      <c r="N76" s="45">
        <f>'Capex forecast - 3025'!V192</f>
        <v>0</v>
      </c>
      <c r="P76" s="40">
        <f t="shared" si="4"/>
        <v>0</v>
      </c>
    </row>
    <row r="77" spans="2:16">
      <c r="B77" s="8">
        <v>3027</v>
      </c>
      <c r="C77" s="4" t="s">
        <v>225</v>
      </c>
      <c r="H77" s="45"/>
      <c r="I77" s="45">
        <f>'Capex forecast - IT'!Q192</f>
        <v>741090.92338315491</v>
      </c>
      <c r="J77" s="45">
        <f>'Capex forecast - IT'!R192</f>
        <v>745270.23594515026</v>
      </c>
      <c r="K77" s="45">
        <f>'Capex forecast - IT'!S192</f>
        <v>750075.44206578285</v>
      </c>
      <c r="L77" s="45">
        <f>'Capex forecast - IT'!T192</f>
        <v>756047.15587436594</v>
      </c>
      <c r="M77" s="45">
        <f>'Capex forecast - IT'!U192</f>
        <v>763431.29595576227</v>
      </c>
      <c r="N77" s="45">
        <f>'Capex forecast - IT'!V192</f>
        <v>771773.28855817392</v>
      </c>
      <c r="P77" s="40">
        <f t="shared" si="4"/>
        <v>3786597.4183992352</v>
      </c>
    </row>
    <row r="78" spans="2:16">
      <c r="B78" s="8">
        <v>3031</v>
      </c>
      <c r="C78" s="4" t="s">
        <v>218</v>
      </c>
      <c r="H78" s="45"/>
      <c r="I78" s="45">
        <f>'Capex forecast - other non-IT'!Q192</f>
        <v>0</v>
      </c>
      <c r="J78" s="45">
        <f>'Capex forecast - other non-IT'!R192</f>
        <v>0</v>
      </c>
      <c r="K78" s="45">
        <f>'Capex forecast - other non-IT'!S192</f>
        <v>0</v>
      </c>
      <c r="L78" s="45">
        <f>'Capex forecast - other non-IT'!T192</f>
        <v>0</v>
      </c>
      <c r="M78" s="45">
        <f>'Capex forecast - other non-IT'!U192</f>
        <v>0</v>
      </c>
      <c r="N78" s="45">
        <f>'Capex forecast - other non-IT'!V192</f>
        <v>0</v>
      </c>
      <c r="P78" s="40">
        <f t="shared" si="4"/>
        <v>0</v>
      </c>
    </row>
    <row r="79" spans="2:16">
      <c r="B79" s="80"/>
      <c r="H79" s="45"/>
      <c r="I79" s="45"/>
      <c r="J79" s="45"/>
      <c r="K79" s="45"/>
      <c r="L79" s="45"/>
      <c r="M79" s="45"/>
      <c r="N79" s="45"/>
    </row>
    <row r="80" spans="2:16" ht="12.75" thickBot="1">
      <c r="B80" s="81" t="s">
        <v>226</v>
      </c>
      <c r="H80" s="37"/>
      <c r="I80" s="37">
        <f t="shared" ref="I80:N80" si="5">SUM(I52:I78)</f>
        <v>6942378.2001150278</v>
      </c>
      <c r="J80" s="37">
        <f t="shared" si="5"/>
        <v>6981529.0890362002</v>
      </c>
      <c r="K80" s="37">
        <f t="shared" si="5"/>
        <v>7026543.212359475</v>
      </c>
      <c r="L80" s="37">
        <f t="shared" si="5"/>
        <v>7082484.9253854165</v>
      </c>
      <c r="M80" s="37">
        <f t="shared" si="5"/>
        <v>7151657.9398026988</v>
      </c>
      <c r="N80" s="37">
        <f t="shared" si="5"/>
        <v>7229803.9078090452</v>
      </c>
      <c r="P80" s="37">
        <f t="shared" si="4"/>
        <v>35472019.07439284</v>
      </c>
    </row>
    <row r="81" spans="1:18">
      <c r="B81" s="81"/>
      <c r="H81" s="82"/>
      <c r="I81" s="82"/>
      <c r="J81" s="82"/>
      <c r="K81" s="82"/>
      <c r="L81" s="82"/>
      <c r="M81" s="82"/>
      <c r="N81" s="82"/>
    </row>
    <row r="82" spans="1:18" s="1" customFormat="1">
      <c r="A82" s="2">
        <v>3</v>
      </c>
      <c r="B82" s="2" t="s">
        <v>227</v>
      </c>
    </row>
    <row r="83" spans="1:18">
      <c r="H83" s="30"/>
      <c r="I83" s="30"/>
      <c r="J83" s="30"/>
      <c r="K83" s="30"/>
      <c r="L83" s="30"/>
      <c r="M83" s="30"/>
      <c r="N83" s="30"/>
    </row>
    <row r="84" spans="1:18">
      <c r="H84" s="187" t="s">
        <v>53</v>
      </c>
      <c r="I84" s="188"/>
      <c r="J84" s="187" t="s">
        <v>54</v>
      </c>
      <c r="K84" s="189"/>
      <c r="L84" s="189"/>
      <c r="M84" s="189"/>
      <c r="N84" s="188"/>
    </row>
    <row r="85" spans="1:18">
      <c r="B85" s="5"/>
      <c r="H85" s="18">
        <v>2016</v>
      </c>
      <c r="I85" s="18">
        <v>2017</v>
      </c>
      <c r="J85" s="18">
        <v>2018</v>
      </c>
      <c r="K85" s="18">
        <v>2019</v>
      </c>
      <c r="L85" s="18">
        <v>2020</v>
      </c>
      <c r="M85" s="18">
        <v>2021</v>
      </c>
      <c r="N85" s="18">
        <v>2022</v>
      </c>
      <c r="P85" s="29" t="s">
        <v>63</v>
      </c>
    </row>
    <row r="86" spans="1:18">
      <c r="B86" s="5" t="s">
        <v>19</v>
      </c>
      <c r="D86" s="29"/>
      <c r="E86" s="29"/>
      <c r="H86" s="16" t="s">
        <v>13</v>
      </c>
      <c r="I86" s="16" t="s">
        <v>13</v>
      </c>
      <c r="J86" s="16" t="s">
        <v>13</v>
      </c>
      <c r="K86" s="16" t="s">
        <v>13</v>
      </c>
      <c r="L86" s="16" t="s">
        <v>13</v>
      </c>
      <c r="M86" s="16" t="s">
        <v>13</v>
      </c>
      <c r="N86" s="16" t="s">
        <v>13</v>
      </c>
      <c r="P86" s="34" t="s">
        <v>13</v>
      </c>
    </row>
    <row r="87" spans="1:18">
      <c r="D87" s="31"/>
      <c r="E87" s="31"/>
    </row>
    <row r="88" spans="1:18">
      <c r="B88" s="20" t="s">
        <v>19</v>
      </c>
      <c r="C88" s="20" t="s">
        <v>6</v>
      </c>
      <c r="E88" s="31"/>
    </row>
    <row r="89" spans="1:18">
      <c r="B89" s="8">
        <v>3001</v>
      </c>
      <c r="C89" s="4" t="s">
        <v>20</v>
      </c>
      <c r="H89" s="45"/>
      <c r="I89" s="45">
        <f t="shared" ref="I89:N98" si="6">I15+I52</f>
        <v>27395273.78101889</v>
      </c>
      <c r="J89" s="45">
        <f t="shared" si="6"/>
        <v>21872939.151927553</v>
      </c>
      <c r="K89" s="45">
        <f t="shared" si="6"/>
        <v>20768240.004615765</v>
      </c>
      <c r="L89" s="45">
        <f t="shared" si="6"/>
        <v>21763911.33414913</v>
      </c>
      <c r="M89" s="45">
        <f t="shared" si="6"/>
        <v>18839545.064178586</v>
      </c>
      <c r="N89" s="45">
        <f t="shared" si="6"/>
        <v>18120206.648734465</v>
      </c>
      <c r="P89" s="40">
        <f t="shared" ref="P89:P117" si="7">SUM(J89:N89)</f>
        <v>101364842.20360549</v>
      </c>
      <c r="R89" s="45"/>
    </row>
    <row r="90" spans="1:18">
      <c r="B90" s="8">
        <v>3002</v>
      </c>
      <c r="C90" s="4" t="s">
        <v>21</v>
      </c>
      <c r="H90" s="45"/>
      <c r="I90" s="45">
        <f t="shared" si="6"/>
        <v>536485.98374631559</v>
      </c>
      <c r="J90" s="45">
        <f t="shared" si="6"/>
        <v>783598.46859090752</v>
      </c>
      <c r="K90" s="45">
        <f t="shared" si="6"/>
        <v>792381.50291164953</v>
      </c>
      <c r="L90" s="45">
        <f t="shared" si="6"/>
        <v>800724.08529683226</v>
      </c>
      <c r="M90" s="45">
        <f t="shared" si="6"/>
        <v>813830.75673133449</v>
      </c>
      <c r="N90" s="45">
        <f t="shared" si="6"/>
        <v>826655.48487867881</v>
      </c>
      <c r="P90" s="40">
        <f t="shared" si="7"/>
        <v>4017190.2984094028</v>
      </c>
      <c r="R90" s="45"/>
    </row>
    <row r="91" spans="1:18">
      <c r="B91" s="8">
        <v>3003</v>
      </c>
      <c r="C91" s="4" t="s">
        <v>22</v>
      </c>
      <c r="H91" s="45"/>
      <c r="I91" s="45">
        <f t="shared" si="6"/>
        <v>3426511.6839532689</v>
      </c>
      <c r="J91" s="45">
        <f t="shared" si="6"/>
        <v>5611334.068061064</v>
      </c>
      <c r="K91" s="45">
        <f t="shared" si="6"/>
        <v>4627819.1182508655</v>
      </c>
      <c r="L91" s="45">
        <f t="shared" si="6"/>
        <v>5555178.9921588851</v>
      </c>
      <c r="M91" s="45">
        <f t="shared" si="6"/>
        <v>1390230.4864963631</v>
      </c>
      <c r="N91" s="45">
        <f t="shared" si="6"/>
        <v>2084094.0058844269</v>
      </c>
      <c r="P91" s="40">
        <f t="shared" si="7"/>
        <v>19268656.670851607</v>
      </c>
      <c r="R91" s="45"/>
    </row>
    <row r="92" spans="1:18">
      <c r="B92" s="8">
        <v>3004</v>
      </c>
      <c r="C92" s="4" t="s">
        <v>23</v>
      </c>
      <c r="H92" s="45"/>
      <c r="I92" s="45">
        <f t="shared" si="6"/>
        <v>156934.76828202407</v>
      </c>
      <c r="J92" s="45">
        <f t="shared" si="6"/>
        <v>154636.1530061221</v>
      </c>
      <c r="K92" s="45">
        <f t="shared" si="6"/>
        <v>156369.40631571904</v>
      </c>
      <c r="L92" s="45">
        <f t="shared" si="6"/>
        <v>158015.74037313636</v>
      </c>
      <c r="M92" s="45">
        <f t="shared" si="6"/>
        <v>160602.22481712879</v>
      </c>
      <c r="N92" s="45">
        <f t="shared" si="6"/>
        <v>163133.07027375771</v>
      </c>
      <c r="P92" s="40">
        <f t="shared" si="7"/>
        <v>792756.594785864</v>
      </c>
      <c r="R92" s="45"/>
    </row>
    <row r="93" spans="1:18">
      <c r="B93" s="8">
        <v>3005</v>
      </c>
      <c r="C93" s="4" t="s">
        <v>24</v>
      </c>
      <c r="H93" s="45"/>
      <c r="I93" s="45">
        <f t="shared" si="6"/>
        <v>0</v>
      </c>
      <c r="J93" s="45">
        <f t="shared" si="6"/>
        <v>0</v>
      </c>
      <c r="K93" s="45">
        <f t="shared" si="6"/>
        <v>0</v>
      </c>
      <c r="L93" s="45">
        <f t="shared" si="6"/>
        <v>0</v>
      </c>
      <c r="M93" s="45">
        <f t="shared" si="6"/>
        <v>0</v>
      </c>
      <c r="N93" s="45">
        <f t="shared" si="6"/>
        <v>0</v>
      </c>
      <c r="P93" s="40">
        <f t="shared" si="7"/>
        <v>0</v>
      </c>
      <c r="R93" s="45"/>
    </row>
    <row r="94" spans="1:18">
      <c r="B94" s="8">
        <v>3006</v>
      </c>
      <c r="C94" s="4" t="s">
        <v>25</v>
      </c>
      <c r="H94" s="45"/>
      <c r="I94" s="45">
        <f t="shared" si="6"/>
        <v>373037.11913592805</v>
      </c>
      <c r="J94" s="45">
        <f t="shared" si="6"/>
        <v>154148.98430594438</v>
      </c>
      <c r="K94" s="45">
        <f t="shared" si="6"/>
        <v>155876.77714109534</v>
      </c>
      <c r="L94" s="45">
        <f t="shared" si="6"/>
        <v>157517.92455614466</v>
      </c>
      <c r="M94" s="45">
        <f t="shared" si="6"/>
        <v>160096.26048997231</v>
      </c>
      <c r="N94" s="45">
        <f t="shared" si="6"/>
        <v>162619.13272256861</v>
      </c>
      <c r="P94" s="40">
        <f t="shared" si="7"/>
        <v>790259.0792157253</v>
      </c>
      <c r="R94" s="45"/>
    </row>
    <row r="95" spans="1:18">
      <c r="B95" s="8">
        <v>3007</v>
      </c>
      <c r="C95" s="4" t="s">
        <v>26</v>
      </c>
      <c r="H95" s="45"/>
      <c r="I95" s="45">
        <f t="shared" si="6"/>
        <v>4053246.6043080171</v>
      </c>
      <c r="J95" s="45">
        <f t="shared" si="6"/>
        <v>4448799.2260405924</v>
      </c>
      <c r="K95" s="45">
        <f t="shared" si="6"/>
        <v>4876821.7464469112</v>
      </c>
      <c r="L95" s="45">
        <f t="shared" si="6"/>
        <v>4216247.1239451608</v>
      </c>
      <c r="M95" s="45">
        <f t="shared" si="6"/>
        <v>3859826.6234513693</v>
      </c>
      <c r="N95" s="45">
        <f t="shared" si="6"/>
        <v>4672817.6247606399</v>
      </c>
      <c r="P95" s="40">
        <f t="shared" si="7"/>
        <v>22074512.344644673</v>
      </c>
      <c r="R95" s="45"/>
    </row>
    <row r="96" spans="1:18">
      <c r="B96" s="8">
        <v>3008</v>
      </c>
      <c r="C96" s="4" t="s">
        <v>27</v>
      </c>
      <c r="H96" s="45"/>
      <c r="I96" s="45">
        <f t="shared" si="6"/>
        <v>681693.0499800524</v>
      </c>
      <c r="J96" s="45">
        <f t="shared" si="6"/>
        <v>700361.81954665552</v>
      </c>
      <c r="K96" s="45">
        <f t="shared" si="6"/>
        <v>724766.26970133092</v>
      </c>
      <c r="L96" s="45">
        <f t="shared" si="6"/>
        <v>749293.41057607846</v>
      </c>
      <c r="M96" s="45">
        <f t="shared" si="6"/>
        <v>778774.21797176159</v>
      </c>
      <c r="N96" s="45">
        <f t="shared" si="6"/>
        <v>808837.31019591435</v>
      </c>
      <c r="P96" s="40">
        <f t="shared" si="7"/>
        <v>3762033.027991741</v>
      </c>
      <c r="R96" s="45"/>
    </row>
    <row r="97" spans="2:18">
      <c r="B97" s="8">
        <v>3009</v>
      </c>
      <c r="C97" s="4" t="s">
        <v>28</v>
      </c>
      <c r="H97" s="45"/>
      <c r="I97" s="45">
        <f t="shared" si="6"/>
        <v>661193.14833027986</v>
      </c>
      <c r="J97" s="45">
        <f t="shared" si="6"/>
        <v>748282.99394034594</v>
      </c>
      <c r="K97" s="45">
        <f t="shared" si="6"/>
        <v>852328.94497271942</v>
      </c>
      <c r="L97" s="45">
        <f t="shared" si="6"/>
        <v>789529.74594404176</v>
      </c>
      <c r="M97" s="45">
        <f t="shared" si="6"/>
        <v>675081.88835643523</v>
      </c>
      <c r="N97" s="45">
        <f t="shared" si="6"/>
        <v>589012.3606935041</v>
      </c>
      <c r="P97" s="40">
        <f t="shared" si="7"/>
        <v>3654235.9339070464</v>
      </c>
      <c r="R97" s="45"/>
    </row>
    <row r="98" spans="2:18">
      <c r="B98" s="8">
        <v>3010</v>
      </c>
      <c r="C98" s="4" t="s">
        <v>29</v>
      </c>
      <c r="H98" s="45"/>
      <c r="I98" s="45">
        <f t="shared" si="6"/>
        <v>254850.26578236691</v>
      </c>
      <c r="J98" s="45">
        <f t="shared" si="6"/>
        <v>263588.330873231</v>
      </c>
      <c r="K98" s="45">
        <f t="shared" si="6"/>
        <v>275660.3223336449</v>
      </c>
      <c r="L98" s="45">
        <f t="shared" si="6"/>
        <v>287286.38809092843</v>
      </c>
      <c r="M98" s="45">
        <f t="shared" si="6"/>
        <v>301672.2640161622</v>
      </c>
      <c r="N98" s="45">
        <f t="shared" si="6"/>
        <v>314383.95737324178</v>
      </c>
      <c r="P98" s="40">
        <f t="shared" si="7"/>
        <v>1442591.2626872081</v>
      </c>
      <c r="R98" s="45"/>
    </row>
    <row r="99" spans="2:18">
      <c r="B99" s="8">
        <v>3011</v>
      </c>
      <c r="C99" s="4" t="s">
        <v>30</v>
      </c>
      <c r="H99" s="45"/>
      <c r="I99" s="45">
        <f t="shared" ref="I99:N108" si="8">I25+I62</f>
        <v>724330.53468373732</v>
      </c>
      <c r="J99" s="45">
        <f t="shared" si="8"/>
        <v>1844588.7165159455</v>
      </c>
      <c r="K99" s="45">
        <f t="shared" si="8"/>
        <v>2179271.5217574872</v>
      </c>
      <c r="L99" s="45">
        <f t="shared" si="8"/>
        <v>1379728.130959006</v>
      </c>
      <c r="M99" s="45">
        <f t="shared" si="8"/>
        <v>1180285.5667590655</v>
      </c>
      <c r="N99" s="45">
        <f t="shared" si="8"/>
        <v>964289.07089703518</v>
      </c>
      <c r="P99" s="40">
        <f t="shared" si="7"/>
        <v>7548163.0068885395</v>
      </c>
      <c r="R99" s="45"/>
    </row>
    <row r="100" spans="2:18">
      <c r="B100" s="8">
        <v>3012</v>
      </c>
      <c r="C100" s="4" t="s">
        <v>31</v>
      </c>
      <c r="H100" s="45"/>
      <c r="I100" s="45">
        <f t="shared" si="8"/>
        <v>164620.57606448577</v>
      </c>
      <c r="J100" s="45">
        <f t="shared" si="8"/>
        <v>164695.42111749511</v>
      </c>
      <c r="K100" s="45">
        <f t="shared" si="8"/>
        <v>165934.37982925031</v>
      </c>
      <c r="L100" s="45">
        <f t="shared" si="8"/>
        <v>166902.59648697654</v>
      </c>
      <c r="M100" s="45">
        <f t="shared" si="8"/>
        <v>168612.22382272358</v>
      </c>
      <c r="N100" s="45">
        <f t="shared" si="8"/>
        <v>170168.65957006504</v>
      </c>
      <c r="P100" s="40">
        <f t="shared" si="7"/>
        <v>836313.28082651063</v>
      </c>
      <c r="R100" s="45"/>
    </row>
    <row r="101" spans="2:18">
      <c r="B101" s="8">
        <v>3013</v>
      </c>
      <c r="C101" s="4" t="s">
        <v>32</v>
      </c>
      <c r="H101" s="45"/>
      <c r="I101" s="45">
        <f t="shared" si="8"/>
        <v>1359864.7306382912</v>
      </c>
      <c r="J101" s="45">
        <f t="shared" si="8"/>
        <v>1396150.534049859</v>
      </c>
      <c r="K101" s="45">
        <f t="shared" si="8"/>
        <v>1301887.9572643319</v>
      </c>
      <c r="L101" s="45">
        <f t="shared" si="8"/>
        <v>1467613.474849165</v>
      </c>
      <c r="M101" s="45">
        <f t="shared" si="8"/>
        <v>1246291.6319782007</v>
      </c>
      <c r="N101" s="45">
        <f t="shared" si="8"/>
        <v>1430318.6342842677</v>
      </c>
      <c r="P101" s="40">
        <f t="shared" si="7"/>
        <v>6842262.2324258238</v>
      </c>
      <c r="R101" s="45"/>
    </row>
    <row r="102" spans="2:18">
      <c r="B102" s="8">
        <v>3014</v>
      </c>
      <c r="C102" s="4" t="s">
        <v>33</v>
      </c>
      <c r="H102" s="45"/>
      <c r="I102" s="45">
        <f t="shared" si="8"/>
        <v>1299141.6874806376</v>
      </c>
      <c r="J102" s="45">
        <f t="shared" si="8"/>
        <v>1332407.9162300178</v>
      </c>
      <c r="K102" s="45">
        <f t="shared" si="8"/>
        <v>1375618.1333684623</v>
      </c>
      <c r="L102" s="45">
        <f t="shared" si="8"/>
        <v>1418716.5774983638</v>
      </c>
      <c r="M102" s="45">
        <f t="shared" si="8"/>
        <v>1470028.8121760334</v>
      </c>
      <c r="N102" s="45">
        <f t="shared" si="8"/>
        <v>1521897.7345762241</v>
      </c>
      <c r="P102" s="40">
        <f t="shared" si="7"/>
        <v>7118669.1738491012</v>
      </c>
      <c r="R102" s="45"/>
    </row>
    <row r="103" spans="2:18">
      <c r="B103" s="8">
        <v>3015</v>
      </c>
      <c r="C103" s="4" t="s">
        <v>34</v>
      </c>
      <c r="H103" s="45"/>
      <c r="I103" s="45">
        <f t="shared" si="8"/>
        <v>318193.95702307287</v>
      </c>
      <c r="J103" s="45">
        <f t="shared" si="8"/>
        <v>432121.38942315587</v>
      </c>
      <c r="K103" s="45">
        <f t="shared" si="8"/>
        <v>436964.86110688088</v>
      </c>
      <c r="L103" s="45">
        <f t="shared" si="8"/>
        <v>443815.45718243805</v>
      </c>
      <c r="M103" s="45">
        <f t="shared" si="8"/>
        <v>451080.06115983339</v>
      </c>
      <c r="N103" s="45">
        <f t="shared" si="8"/>
        <v>458188.39309397794</v>
      </c>
      <c r="P103" s="40">
        <f t="shared" si="7"/>
        <v>2222170.1619662861</v>
      </c>
      <c r="R103" s="45"/>
    </row>
    <row r="104" spans="2:18">
      <c r="B104" s="8">
        <v>3016</v>
      </c>
      <c r="C104" s="4" t="s">
        <v>35</v>
      </c>
      <c r="H104" s="45"/>
      <c r="I104" s="45">
        <f t="shared" si="8"/>
        <v>471858.57543942035</v>
      </c>
      <c r="J104" s="45">
        <f t="shared" si="8"/>
        <v>432745.50817818695</v>
      </c>
      <c r="K104" s="45">
        <f t="shared" si="8"/>
        <v>389820.16040159453</v>
      </c>
      <c r="L104" s="45">
        <f t="shared" si="8"/>
        <v>355345.40584988095</v>
      </c>
      <c r="M104" s="45">
        <f t="shared" si="8"/>
        <v>1426996.7662634766</v>
      </c>
      <c r="N104" s="45">
        <f t="shared" si="8"/>
        <v>1542442.0259633579</v>
      </c>
      <c r="P104" s="40">
        <f t="shared" si="7"/>
        <v>4147349.8666564971</v>
      </c>
      <c r="R104" s="45"/>
    </row>
    <row r="105" spans="2:18">
      <c r="B105" s="8">
        <v>3017</v>
      </c>
      <c r="C105" s="4" t="s">
        <v>36</v>
      </c>
      <c r="H105" s="45"/>
      <c r="I105" s="45">
        <f t="shared" si="8"/>
        <v>999602.77828229335</v>
      </c>
      <c r="J105" s="45">
        <f t="shared" si="8"/>
        <v>7194696.6075420659</v>
      </c>
      <c r="K105" s="45">
        <f t="shared" si="8"/>
        <v>3143895.927150269</v>
      </c>
      <c r="L105" s="45">
        <f t="shared" si="8"/>
        <v>628771.84583015554</v>
      </c>
      <c r="M105" s="45">
        <f t="shared" si="8"/>
        <v>2180068.2745603742</v>
      </c>
      <c r="N105" s="45">
        <f t="shared" si="8"/>
        <v>1161440.7936475996</v>
      </c>
      <c r="P105" s="40">
        <f t="shared" si="7"/>
        <v>14308873.448730467</v>
      </c>
      <c r="R105" s="45"/>
    </row>
    <row r="106" spans="2:18">
      <c r="B106" s="8">
        <v>3018</v>
      </c>
      <c r="C106" s="4" t="s">
        <v>37</v>
      </c>
      <c r="H106" s="45"/>
      <c r="I106" s="45">
        <f t="shared" si="8"/>
        <v>0</v>
      </c>
      <c r="J106" s="45">
        <f t="shared" si="8"/>
        <v>16503.381566868782</v>
      </c>
      <c r="K106" s="45">
        <f t="shared" si="8"/>
        <v>22230.913031905158</v>
      </c>
      <c r="L106" s="45">
        <f t="shared" si="8"/>
        <v>22438.957857551515</v>
      </c>
      <c r="M106" s="45">
        <f t="shared" si="8"/>
        <v>22771.992583740488</v>
      </c>
      <c r="N106" s="45">
        <f t="shared" si="8"/>
        <v>23094.032894827596</v>
      </c>
      <c r="P106" s="40">
        <f t="shared" si="7"/>
        <v>107039.27793489354</v>
      </c>
      <c r="R106" s="45"/>
    </row>
    <row r="107" spans="2:18">
      <c r="B107" s="8">
        <v>3019</v>
      </c>
      <c r="C107" s="4" t="s">
        <v>219</v>
      </c>
      <c r="H107" s="45"/>
      <c r="I107" s="45">
        <f t="shared" si="8"/>
        <v>32793881.049539402</v>
      </c>
      <c r="J107" s="45">
        <f t="shared" si="8"/>
        <v>37153104.2730553</v>
      </c>
      <c r="K107" s="45">
        <f t="shared" si="8"/>
        <v>38206306.094451517</v>
      </c>
      <c r="L107" s="45">
        <f t="shared" si="8"/>
        <v>39376162.476787068</v>
      </c>
      <c r="M107" s="45">
        <f t="shared" si="8"/>
        <v>40905045.197054371</v>
      </c>
      <c r="N107" s="45">
        <f t="shared" si="8"/>
        <v>39509748.34702836</v>
      </c>
      <c r="P107" s="40">
        <f t="shared" si="7"/>
        <v>195150366.38837665</v>
      </c>
      <c r="R107" s="45"/>
    </row>
    <row r="108" spans="2:18">
      <c r="B108" s="8">
        <v>3020</v>
      </c>
      <c r="C108" s="4" t="s">
        <v>220</v>
      </c>
      <c r="H108" s="45"/>
      <c r="I108" s="45">
        <f t="shared" si="8"/>
        <v>3995148.4558790531</v>
      </c>
      <c r="J108" s="45">
        <f t="shared" si="8"/>
        <v>5278565.809894599</v>
      </c>
      <c r="K108" s="45">
        <f t="shared" si="8"/>
        <v>5434263.6379331332</v>
      </c>
      <c r="L108" s="45">
        <f t="shared" si="8"/>
        <v>5582509.2536535058</v>
      </c>
      <c r="M108" s="45">
        <f t="shared" si="8"/>
        <v>5777696.9469504869</v>
      </c>
      <c r="N108" s="45">
        <f t="shared" si="8"/>
        <v>5663255.0256448556</v>
      </c>
      <c r="P108" s="40">
        <f t="shared" si="7"/>
        <v>27736290.67407658</v>
      </c>
      <c r="R108" s="45"/>
    </row>
    <row r="109" spans="2:18">
      <c r="B109" s="8">
        <v>3021</v>
      </c>
      <c r="C109" s="4" t="s">
        <v>221</v>
      </c>
      <c r="H109" s="45"/>
      <c r="I109" s="45">
        <f t="shared" ref="I109:N115" si="9">I35+I72</f>
        <v>960384.4628394437</v>
      </c>
      <c r="J109" s="45">
        <f t="shared" si="9"/>
        <v>1390495.0696597346</v>
      </c>
      <c r="K109" s="45">
        <f t="shared" si="9"/>
        <v>1406080.5594343708</v>
      </c>
      <c r="L109" s="45">
        <f t="shared" si="9"/>
        <v>1420884.4674814176</v>
      </c>
      <c r="M109" s="45">
        <f t="shared" si="9"/>
        <v>1444142.2490364248</v>
      </c>
      <c r="N109" s="45">
        <f t="shared" si="9"/>
        <v>1466899.722376918</v>
      </c>
      <c r="P109" s="40">
        <f t="shared" si="7"/>
        <v>7128502.0679888651</v>
      </c>
      <c r="R109" s="45"/>
    </row>
    <row r="110" spans="2:18">
      <c r="B110" s="8">
        <v>3022</v>
      </c>
      <c r="C110" s="4" t="s">
        <v>38</v>
      </c>
      <c r="H110" s="45"/>
      <c r="I110" s="45">
        <f t="shared" si="9"/>
        <v>1757049.068475574</v>
      </c>
      <c r="J110" s="45">
        <f t="shared" si="9"/>
        <v>1272207.1853600468</v>
      </c>
      <c r="K110" s="45">
        <f t="shared" si="9"/>
        <v>1284125.5697077783</v>
      </c>
      <c r="L110" s="45">
        <f t="shared" si="9"/>
        <v>1294623.6870011489</v>
      </c>
      <c r="M110" s="45">
        <f t="shared" si="9"/>
        <v>1311809.4479479459</v>
      </c>
      <c r="N110" s="45">
        <f t="shared" si="9"/>
        <v>1328193.9579299404</v>
      </c>
      <c r="P110" s="40">
        <f t="shared" si="7"/>
        <v>6490959.8479468618</v>
      </c>
      <c r="R110" s="45"/>
    </row>
    <row r="111" spans="2:18">
      <c r="B111" s="8">
        <v>3023</v>
      </c>
      <c r="C111" s="4" t="s">
        <v>39</v>
      </c>
      <c r="H111" s="45"/>
      <c r="I111" s="45">
        <f t="shared" si="9"/>
        <v>6096536.5007592179</v>
      </c>
      <c r="J111" s="45">
        <f t="shared" si="9"/>
        <v>0</v>
      </c>
      <c r="K111" s="45">
        <f t="shared" si="9"/>
        <v>0</v>
      </c>
      <c r="L111" s="45">
        <f t="shared" si="9"/>
        <v>0</v>
      </c>
      <c r="M111" s="45">
        <f t="shared" si="9"/>
        <v>0</v>
      </c>
      <c r="N111" s="45">
        <f t="shared" si="9"/>
        <v>0</v>
      </c>
      <c r="P111" s="40">
        <f t="shared" si="7"/>
        <v>0</v>
      </c>
      <c r="R111" s="45"/>
    </row>
    <row r="112" spans="2:18">
      <c r="B112" s="8">
        <v>3024</v>
      </c>
      <c r="C112" s="4" t="s">
        <v>40</v>
      </c>
      <c r="H112" s="45"/>
      <c r="I112" s="45">
        <f t="shared" si="9"/>
        <v>0</v>
      </c>
      <c r="J112" s="45">
        <f t="shared" si="9"/>
        <v>0</v>
      </c>
      <c r="K112" s="45">
        <f t="shared" si="9"/>
        <v>0</v>
      </c>
      <c r="L112" s="45">
        <f t="shared" si="9"/>
        <v>0</v>
      </c>
      <c r="M112" s="45">
        <f t="shared" si="9"/>
        <v>0</v>
      </c>
      <c r="N112" s="45">
        <f t="shared" si="9"/>
        <v>0</v>
      </c>
      <c r="P112" s="40">
        <f t="shared" si="7"/>
        <v>0</v>
      </c>
      <c r="R112" s="45"/>
    </row>
    <row r="113" spans="1:18">
      <c r="B113" s="8">
        <v>3025</v>
      </c>
      <c r="C113" s="4" t="s">
        <v>41</v>
      </c>
      <c r="H113" s="45"/>
      <c r="I113" s="45">
        <f t="shared" si="9"/>
        <v>580169.21986023022</v>
      </c>
      <c r="J113" s="45">
        <f t="shared" si="9"/>
        <v>0</v>
      </c>
      <c r="K113" s="45">
        <f t="shared" si="9"/>
        <v>0</v>
      </c>
      <c r="L113" s="45">
        <f t="shared" si="9"/>
        <v>0</v>
      </c>
      <c r="M113" s="45">
        <f t="shared" si="9"/>
        <v>0</v>
      </c>
      <c r="N113" s="45">
        <f t="shared" si="9"/>
        <v>0</v>
      </c>
      <c r="P113" s="40">
        <f t="shared" si="7"/>
        <v>0</v>
      </c>
      <c r="R113" s="45"/>
    </row>
    <row r="114" spans="1:18">
      <c r="B114" s="8">
        <v>3027</v>
      </c>
      <c r="C114" s="4" t="s">
        <v>225</v>
      </c>
      <c r="H114" s="45"/>
      <c r="I114" s="45">
        <f t="shared" si="9"/>
        <v>7049221.1162734153</v>
      </c>
      <c r="J114" s="45">
        <f t="shared" si="9"/>
        <v>14115679.613900786</v>
      </c>
      <c r="K114" s="45">
        <f t="shared" si="9"/>
        <v>15330008.166965332</v>
      </c>
      <c r="L114" s="45">
        <f t="shared" si="9"/>
        <v>12725325.750282558</v>
      </c>
      <c r="M114" s="45">
        <f t="shared" si="9"/>
        <v>10137616.817740591</v>
      </c>
      <c r="N114" s="45">
        <f t="shared" si="9"/>
        <v>7137243.3653480504</v>
      </c>
      <c r="P114" s="40">
        <f t="shared" si="7"/>
        <v>59445873.71423731</v>
      </c>
      <c r="R114" s="45"/>
    </row>
    <row r="115" spans="1:18">
      <c r="B115" s="8">
        <v>3031</v>
      </c>
      <c r="C115" s="4" t="s">
        <v>218</v>
      </c>
      <c r="H115" s="45"/>
      <c r="I115" s="45">
        <f t="shared" si="9"/>
        <v>360914.01009034616</v>
      </c>
      <c r="J115" s="45">
        <f t="shared" si="9"/>
        <v>361358.76730482717</v>
      </c>
      <c r="K115" s="45">
        <f t="shared" si="9"/>
        <v>361894.38911896548</v>
      </c>
      <c r="L115" s="45">
        <f t="shared" si="9"/>
        <v>362574.19659318496</v>
      </c>
      <c r="M115" s="45">
        <f t="shared" si="9"/>
        <v>363446.01291519118</v>
      </c>
      <c r="N115" s="45">
        <f t="shared" si="9"/>
        <v>364411.70301263226</v>
      </c>
      <c r="P115" s="40">
        <f t="shared" si="7"/>
        <v>1813685.0689448011</v>
      </c>
      <c r="R115" s="45"/>
    </row>
    <row r="116" spans="1:18">
      <c r="B116" s="80"/>
      <c r="H116" s="45"/>
      <c r="I116" s="45"/>
      <c r="J116" s="45"/>
      <c r="K116" s="45"/>
      <c r="L116" s="45"/>
      <c r="M116" s="45"/>
      <c r="N116" s="45"/>
    </row>
    <row r="117" spans="1:18" ht="12.75" thickBot="1">
      <c r="B117" s="81" t="s">
        <v>229</v>
      </c>
      <c r="H117" s="37"/>
      <c r="I117" s="37">
        <f t="shared" ref="I117:N117" si="10">SUM(I89:I115)</f>
        <v>96470143.127865747</v>
      </c>
      <c r="J117" s="37">
        <f t="shared" si="10"/>
        <v>107123009.39009129</v>
      </c>
      <c r="K117" s="37">
        <f t="shared" si="10"/>
        <v>104268566.36421101</v>
      </c>
      <c r="L117" s="37">
        <f t="shared" si="10"/>
        <v>101123117.02340277</v>
      </c>
      <c r="M117" s="37">
        <f t="shared" si="10"/>
        <v>95065551.78745757</v>
      </c>
      <c r="N117" s="37">
        <f t="shared" si="10"/>
        <v>90483351.061785296</v>
      </c>
      <c r="P117" s="37">
        <f t="shared" si="7"/>
        <v>498063595.62694794</v>
      </c>
    </row>
    <row r="118" spans="1:18">
      <c r="I118" s="98"/>
      <c r="J118" s="98"/>
      <c r="K118" s="98"/>
      <c r="L118" s="98"/>
      <c r="M118" s="98"/>
      <c r="N118" s="98"/>
    </row>
    <row r="119" spans="1:18" s="1" customFormat="1">
      <c r="A119" s="2">
        <v>4</v>
      </c>
      <c r="B119" s="2" t="s">
        <v>74</v>
      </c>
    </row>
    <row r="120" spans="1:18">
      <c r="H120" s="30"/>
      <c r="I120" s="30"/>
      <c r="J120" s="30"/>
      <c r="K120" s="30"/>
      <c r="L120" s="30"/>
      <c r="M120" s="30"/>
      <c r="N120" s="30"/>
    </row>
    <row r="121" spans="1:18">
      <c r="H121" s="187" t="s">
        <v>53</v>
      </c>
      <c r="I121" s="188"/>
      <c r="J121" s="187" t="s">
        <v>54</v>
      </c>
      <c r="K121" s="189"/>
      <c r="L121" s="189"/>
      <c r="M121" s="189"/>
      <c r="N121" s="188"/>
    </row>
    <row r="122" spans="1:18">
      <c r="B122" s="5"/>
      <c r="H122" s="18">
        <v>2016</v>
      </c>
      <c r="I122" s="18">
        <v>2017</v>
      </c>
      <c r="J122" s="18">
        <v>2018</v>
      </c>
      <c r="K122" s="18">
        <v>2019</v>
      </c>
      <c r="L122" s="18">
        <v>2020</v>
      </c>
      <c r="M122" s="18">
        <v>2021</v>
      </c>
      <c r="N122" s="18">
        <v>2022</v>
      </c>
      <c r="P122" s="29" t="s">
        <v>63</v>
      </c>
    </row>
    <row r="123" spans="1:18">
      <c r="B123" s="5" t="s">
        <v>19</v>
      </c>
      <c r="D123" s="29"/>
      <c r="E123" s="29"/>
      <c r="H123" s="16" t="s">
        <v>13</v>
      </c>
      <c r="I123" s="16" t="s">
        <v>13</v>
      </c>
      <c r="J123" s="16" t="s">
        <v>13</v>
      </c>
      <c r="K123" s="16" t="s">
        <v>13</v>
      </c>
      <c r="L123" s="16" t="s">
        <v>13</v>
      </c>
      <c r="M123" s="16" t="s">
        <v>13</v>
      </c>
      <c r="N123" s="16" t="s">
        <v>13</v>
      </c>
      <c r="P123" s="34" t="s">
        <v>13</v>
      </c>
    </row>
    <row r="124" spans="1:18">
      <c r="D124" s="31"/>
      <c r="E124" s="31"/>
    </row>
    <row r="125" spans="1:18">
      <c r="B125" s="20" t="s">
        <v>19</v>
      </c>
      <c r="C125" s="20" t="s">
        <v>6</v>
      </c>
      <c r="E125" s="31"/>
    </row>
    <row r="126" spans="1:18">
      <c r="B126" s="8">
        <v>3001</v>
      </c>
      <c r="C126" s="4" t="s">
        <v>20</v>
      </c>
      <c r="H126" s="45"/>
      <c r="I126" s="45">
        <f>'Capex forecast - 3001'!Q238</f>
        <v>0</v>
      </c>
      <c r="J126" s="45">
        <f>'Capex forecast - 3001'!R238</f>
        <v>0</v>
      </c>
      <c r="K126" s="45">
        <f>'Capex forecast - 3001'!S238</f>
        <v>0</v>
      </c>
      <c r="L126" s="45">
        <f>'Capex forecast - 3001'!T238</f>
        <v>0</v>
      </c>
      <c r="M126" s="45">
        <f>'Capex forecast - 3001'!U238</f>
        <v>0</v>
      </c>
      <c r="N126" s="45">
        <f>'Capex forecast - 3001'!V238</f>
        <v>0</v>
      </c>
      <c r="P126" s="40">
        <f t="shared" ref="P126:P154" si="11">SUM(J126:N126)</f>
        <v>0</v>
      </c>
    </row>
    <row r="127" spans="1:18">
      <c r="B127" s="8">
        <v>3002</v>
      </c>
      <c r="C127" s="4" t="s">
        <v>21</v>
      </c>
      <c r="H127" s="45"/>
      <c r="I127" s="45">
        <f>'Capex forecast - 3002'!Q238</f>
        <v>0</v>
      </c>
      <c r="J127" s="45">
        <f>'Capex forecast - 3002'!R238</f>
        <v>0</v>
      </c>
      <c r="K127" s="45">
        <f>'Capex forecast - 3002'!S238</f>
        <v>0</v>
      </c>
      <c r="L127" s="45">
        <f>'Capex forecast - 3002'!T238</f>
        <v>0</v>
      </c>
      <c r="M127" s="45">
        <f>'Capex forecast - 3002'!U238</f>
        <v>0</v>
      </c>
      <c r="N127" s="45">
        <f>'Capex forecast - 3002'!V238</f>
        <v>0</v>
      </c>
      <c r="P127" s="40">
        <f t="shared" si="11"/>
        <v>0</v>
      </c>
    </row>
    <row r="128" spans="1:18">
      <c r="B128" s="8">
        <v>3003</v>
      </c>
      <c r="C128" s="4" t="s">
        <v>22</v>
      </c>
      <c r="H128" s="45"/>
      <c r="I128" s="45">
        <f>'Capex forecast - 3003'!Q238</f>
        <v>0</v>
      </c>
      <c r="J128" s="45">
        <f>'Capex forecast - 3003'!R238</f>
        <v>0</v>
      </c>
      <c r="K128" s="45">
        <f>'Capex forecast - 3003'!S238</f>
        <v>0</v>
      </c>
      <c r="L128" s="45">
        <f>'Capex forecast - 3003'!T238</f>
        <v>0</v>
      </c>
      <c r="M128" s="45">
        <f>'Capex forecast - 3003'!U238</f>
        <v>0</v>
      </c>
      <c r="N128" s="45">
        <f>'Capex forecast - 3003'!V238</f>
        <v>0</v>
      </c>
      <c r="P128" s="40">
        <f t="shared" si="11"/>
        <v>0</v>
      </c>
    </row>
    <row r="129" spans="2:16">
      <c r="B129" s="8">
        <v>3004</v>
      </c>
      <c r="C129" s="4" t="s">
        <v>23</v>
      </c>
      <c r="H129" s="45"/>
      <c r="I129" s="45">
        <f>'Capex forecast - 3004'!Q238</f>
        <v>0</v>
      </c>
      <c r="J129" s="45">
        <f>'Capex forecast - 3004'!R238</f>
        <v>0</v>
      </c>
      <c r="K129" s="45">
        <f>'Capex forecast - 3004'!S238</f>
        <v>0</v>
      </c>
      <c r="L129" s="45">
        <f>'Capex forecast - 3004'!T238</f>
        <v>0</v>
      </c>
      <c r="M129" s="45">
        <f>'Capex forecast - 3004'!U238</f>
        <v>0</v>
      </c>
      <c r="N129" s="45">
        <f>'Capex forecast - 3004'!V238</f>
        <v>0</v>
      </c>
      <c r="P129" s="40">
        <f t="shared" si="11"/>
        <v>0</v>
      </c>
    </row>
    <row r="130" spans="2:16">
      <c r="B130" s="8">
        <v>3005</v>
      </c>
      <c r="C130" s="4" t="s">
        <v>24</v>
      </c>
      <c r="H130" s="45"/>
      <c r="I130" s="45">
        <f>'Capex forecast - 3005'!Q238</f>
        <v>0</v>
      </c>
      <c r="J130" s="45">
        <f>'Capex forecast - 3005'!R238</f>
        <v>0</v>
      </c>
      <c r="K130" s="45">
        <f>'Capex forecast - 3005'!S238</f>
        <v>0</v>
      </c>
      <c r="L130" s="45">
        <f>'Capex forecast - 3005'!T238</f>
        <v>0</v>
      </c>
      <c r="M130" s="45">
        <f>'Capex forecast - 3005'!U238</f>
        <v>0</v>
      </c>
      <c r="N130" s="45">
        <f>'Capex forecast - 3005'!V238</f>
        <v>0</v>
      </c>
      <c r="P130" s="40">
        <f t="shared" si="11"/>
        <v>0</v>
      </c>
    </row>
    <row r="131" spans="2:16">
      <c r="B131" s="8">
        <v>3006</v>
      </c>
      <c r="C131" s="4" t="s">
        <v>25</v>
      </c>
      <c r="H131" s="45"/>
      <c r="I131" s="45">
        <f>'Capex forecast - 3006'!Q238</f>
        <v>0</v>
      </c>
      <c r="J131" s="45">
        <f>'Capex forecast - 3006'!R238</f>
        <v>0</v>
      </c>
      <c r="K131" s="45">
        <f>'Capex forecast - 3006'!S238</f>
        <v>0</v>
      </c>
      <c r="L131" s="45">
        <f>'Capex forecast - 3006'!T238</f>
        <v>0</v>
      </c>
      <c r="M131" s="45">
        <f>'Capex forecast - 3006'!U238</f>
        <v>0</v>
      </c>
      <c r="N131" s="45">
        <f>'Capex forecast - 3006'!V238</f>
        <v>0</v>
      </c>
      <c r="P131" s="40">
        <f t="shared" si="11"/>
        <v>0</v>
      </c>
    </row>
    <row r="132" spans="2:16">
      <c r="B132" s="8">
        <v>3007</v>
      </c>
      <c r="C132" s="4" t="s">
        <v>26</v>
      </c>
      <c r="H132" s="45"/>
      <c r="I132" s="45">
        <f>'Capex forecast - 3007'!Q238</f>
        <v>0</v>
      </c>
      <c r="J132" s="45">
        <f>'Capex forecast - 3007'!R238</f>
        <v>0</v>
      </c>
      <c r="K132" s="45">
        <f>'Capex forecast - 3007'!S238</f>
        <v>0</v>
      </c>
      <c r="L132" s="45">
        <f>'Capex forecast - 3007'!T238</f>
        <v>0</v>
      </c>
      <c r="M132" s="45">
        <f>'Capex forecast - 3007'!U238</f>
        <v>0</v>
      </c>
      <c r="N132" s="45">
        <f>'Capex forecast - 3007'!V238</f>
        <v>0</v>
      </c>
      <c r="P132" s="40">
        <f t="shared" si="11"/>
        <v>0</v>
      </c>
    </row>
    <row r="133" spans="2:16">
      <c r="B133" s="8">
        <v>3008</v>
      </c>
      <c r="C133" s="4" t="s">
        <v>27</v>
      </c>
      <c r="H133" s="45"/>
      <c r="I133" s="45">
        <f>'Capex forecast - 3008'!Q238</f>
        <v>0</v>
      </c>
      <c r="J133" s="45">
        <f>'Capex forecast - 3008'!R238</f>
        <v>0</v>
      </c>
      <c r="K133" s="45">
        <f>'Capex forecast - 3008'!S238</f>
        <v>0</v>
      </c>
      <c r="L133" s="45">
        <f>'Capex forecast - 3008'!T238</f>
        <v>0</v>
      </c>
      <c r="M133" s="45">
        <f>'Capex forecast - 3008'!U238</f>
        <v>0</v>
      </c>
      <c r="N133" s="45">
        <f>'Capex forecast - 3008'!V238</f>
        <v>0</v>
      </c>
      <c r="P133" s="40">
        <f t="shared" si="11"/>
        <v>0</v>
      </c>
    </row>
    <row r="134" spans="2:16">
      <c r="B134" s="8">
        <v>3009</v>
      </c>
      <c r="C134" s="4" t="s">
        <v>28</v>
      </c>
      <c r="H134" s="45"/>
      <c r="I134" s="45">
        <f>'Capex forecast - 3009'!Q238</f>
        <v>0</v>
      </c>
      <c r="J134" s="45">
        <f>'Capex forecast - 3009'!R238</f>
        <v>0</v>
      </c>
      <c r="K134" s="45">
        <f>'Capex forecast - 3009'!S238</f>
        <v>0</v>
      </c>
      <c r="L134" s="45">
        <f>'Capex forecast - 3009'!T238</f>
        <v>0</v>
      </c>
      <c r="M134" s="45">
        <f>'Capex forecast - 3009'!U238</f>
        <v>0</v>
      </c>
      <c r="N134" s="45">
        <f>'Capex forecast - 3009'!V238</f>
        <v>0</v>
      </c>
      <c r="P134" s="40">
        <f t="shared" si="11"/>
        <v>0</v>
      </c>
    </row>
    <row r="135" spans="2:16">
      <c r="B135" s="8">
        <v>3010</v>
      </c>
      <c r="C135" s="4" t="s">
        <v>29</v>
      </c>
      <c r="H135" s="45"/>
      <c r="I135" s="45">
        <f>'Capex forecast - 3010'!Q238</f>
        <v>0</v>
      </c>
      <c r="J135" s="45">
        <f>'Capex forecast - 3010'!R238</f>
        <v>0</v>
      </c>
      <c r="K135" s="45">
        <f>'Capex forecast - 3010'!S238</f>
        <v>0</v>
      </c>
      <c r="L135" s="45">
        <f>'Capex forecast - 3010'!T238</f>
        <v>0</v>
      </c>
      <c r="M135" s="45">
        <f>'Capex forecast - 3010'!U238</f>
        <v>0</v>
      </c>
      <c r="N135" s="45">
        <f>'Capex forecast - 3010'!V238</f>
        <v>0</v>
      </c>
      <c r="P135" s="40">
        <f t="shared" si="11"/>
        <v>0</v>
      </c>
    </row>
    <row r="136" spans="2:16">
      <c r="B136" s="8">
        <v>3011</v>
      </c>
      <c r="C136" s="4" t="s">
        <v>30</v>
      </c>
      <c r="H136" s="45"/>
      <c r="I136" s="45">
        <f>'Capex forecast - 3011'!Q238</f>
        <v>0</v>
      </c>
      <c r="J136" s="45">
        <f>'Capex forecast - 3011'!R238</f>
        <v>0</v>
      </c>
      <c r="K136" s="45">
        <f>'Capex forecast - 3011'!S238</f>
        <v>0</v>
      </c>
      <c r="L136" s="45">
        <f>'Capex forecast - 3011'!T238</f>
        <v>0</v>
      </c>
      <c r="M136" s="45">
        <f>'Capex forecast - 3011'!U238</f>
        <v>0</v>
      </c>
      <c r="N136" s="45">
        <f>'Capex forecast - 3011'!V238</f>
        <v>0</v>
      </c>
      <c r="P136" s="40">
        <f t="shared" si="11"/>
        <v>0</v>
      </c>
    </row>
    <row r="137" spans="2:16">
      <c r="B137" s="8">
        <v>3012</v>
      </c>
      <c r="C137" s="4" t="s">
        <v>31</v>
      </c>
      <c r="H137" s="45"/>
      <c r="I137" s="45">
        <f>'Capex forecast - 3012'!Q218</f>
        <v>0</v>
      </c>
      <c r="J137" s="45">
        <f>'Capex forecast - 3012'!R218</f>
        <v>0</v>
      </c>
      <c r="K137" s="45">
        <f>'Capex forecast - 3012'!S218</f>
        <v>0</v>
      </c>
      <c r="L137" s="45">
        <f>'Capex forecast - 3012'!T218</f>
        <v>0</v>
      </c>
      <c r="M137" s="45">
        <f>'Capex forecast - 3012'!U218</f>
        <v>0</v>
      </c>
      <c r="N137" s="45">
        <f>'Capex forecast - 3012'!V218</f>
        <v>0</v>
      </c>
      <c r="P137" s="40">
        <f t="shared" si="11"/>
        <v>0</v>
      </c>
    </row>
    <row r="138" spans="2:16">
      <c r="B138" s="8">
        <v>3013</v>
      </c>
      <c r="C138" s="4" t="s">
        <v>32</v>
      </c>
      <c r="H138" s="45"/>
      <c r="I138" s="45">
        <f>'Capex forecast - 3013'!Q238</f>
        <v>0</v>
      </c>
      <c r="J138" s="45">
        <f>'Capex forecast - 3013'!R238</f>
        <v>0</v>
      </c>
      <c r="K138" s="45">
        <f>'Capex forecast - 3013'!S238</f>
        <v>0</v>
      </c>
      <c r="L138" s="45">
        <f>'Capex forecast - 3013'!T238</f>
        <v>0</v>
      </c>
      <c r="M138" s="45">
        <f>'Capex forecast - 3013'!U238</f>
        <v>0</v>
      </c>
      <c r="N138" s="45">
        <f>'Capex forecast - 3013'!V238</f>
        <v>0</v>
      </c>
      <c r="P138" s="40">
        <f t="shared" si="11"/>
        <v>0</v>
      </c>
    </row>
    <row r="139" spans="2:16">
      <c r="B139" s="8">
        <v>3014</v>
      </c>
      <c r="C139" s="4" t="s">
        <v>33</v>
      </c>
      <c r="H139" s="45"/>
      <c r="I139" s="45">
        <f>'Capex forecast - 3014'!Q238</f>
        <v>0</v>
      </c>
      <c r="J139" s="45">
        <f>'Capex forecast - 3014'!R238</f>
        <v>0</v>
      </c>
      <c r="K139" s="45">
        <f>'Capex forecast - 3014'!S238</f>
        <v>0</v>
      </c>
      <c r="L139" s="45">
        <f>'Capex forecast - 3014'!T238</f>
        <v>0</v>
      </c>
      <c r="M139" s="45">
        <f>'Capex forecast - 3014'!U238</f>
        <v>0</v>
      </c>
      <c r="N139" s="45">
        <f>'Capex forecast - 3014'!V238</f>
        <v>0</v>
      </c>
      <c r="P139" s="40">
        <f t="shared" si="11"/>
        <v>0</v>
      </c>
    </row>
    <row r="140" spans="2:16">
      <c r="B140" s="8">
        <v>3015</v>
      </c>
      <c r="C140" s="4" t="s">
        <v>34</v>
      </c>
      <c r="H140" s="45"/>
      <c r="I140" s="45">
        <f>'Capex forecast - 3015'!Q238</f>
        <v>0</v>
      </c>
      <c r="J140" s="45">
        <f>'Capex forecast - 3015'!R238</f>
        <v>0</v>
      </c>
      <c r="K140" s="45">
        <f>'Capex forecast - 3015'!S238</f>
        <v>0</v>
      </c>
      <c r="L140" s="45">
        <f>'Capex forecast - 3015'!T238</f>
        <v>0</v>
      </c>
      <c r="M140" s="45">
        <f>'Capex forecast - 3015'!U238</f>
        <v>0</v>
      </c>
      <c r="N140" s="45">
        <f>'Capex forecast - 3015'!V238</f>
        <v>0</v>
      </c>
      <c r="P140" s="40">
        <f t="shared" si="11"/>
        <v>0</v>
      </c>
    </row>
    <row r="141" spans="2:16">
      <c r="B141" s="8">
        <v>3016</v>
      </c>
      <c r="C141" s="4" t="s">
        <v>35</v>
      </c>
      <c r="H141" s="45"/>
      <c r="I141" s="45">
        <f>'Capex forecast - 3016'!Q238</f>
        <v>0</v>
      </c>
      <c r="J141" s="45">
        <f>'Capex forecast - 3016'!R238</f>
        <v>0</v>
      </c>
      <c r="K141" s="45">
        <f>'Capex forecast - 3016'!S238</f>
        <v>0</v>
      </c>
      <c r="L141" s="45">
        <f>'Capex forecast - 3016'!T238</f>
        <v>0</v>
      </c>
      <c r="M141" s="45">
        <f>'Capex forecast - 3016'!U238</f>
        <v>0</v>
      </c>
      <c r="N141" s="45">
        <f>'Capex forecast - 3016'!V238</f>
        <v>0</v>
      </c>
      <c r="P141" s="40">
        <f t="shared" si="11"/>
        <v>0</v>
      </c>
    </row>
    <row r="142" spans="2:16">
      <c r="B142" s="8">
        <v>3017</v>
      </c>
      <c r="C142" s="4" t="s">
        <v>36</v>
      </c>
      <c r="H142" s="45"/>
      <c r="I142" s="45">
        <f>'Capex forecast - 3017'!Q218</f>
        <v>0</v>
      </c>
      <c r="J142" s="45">
        <f>'Capex forecast - 3017'!R218</f>
        <v>0</v>
      </c>
      <c r="K142" s="45">
        <f>'Capex forecast - 3017'!S218</f>
        <v>0</v>
      </c>
      <c r="L142" s="45">
        <f>'Capex forecast - 3017'!T218</f>
        <v>0</v>
      </c>
      <c r="M142" s="45">
        <f>'Capex forecast - 3017'!U218</f>
        <v>0</v>
      </c>
      <c r="N142" s="45">
        <f>'Capex forecast - 3017'!V218</f>
        <v>0</v>
      </c>
      <c r="P142" s="40">
        <f t="shared" si="11"/>
        <v>0</v>
      </c>
    </row>
    <row r="143" spans="2:16">
      <c r="B143" s="8">
        <v>3018</v>
      </c>
      <c r="C143" s="4" t="s">
        <v>37</v>
      </c>
      <c r="H143" s="45"/>
      <c r="I143" s="45">
        <f>'Capex forecast - 3018'!Q218</f>
        <v>0</v>
      </c>
      <c r="J143" s="45">
        <f>'Capex forecast - 3018'!R218</f>
        <v>0</v>
      </c>
      <c r="K143" s="45">
        <f>'Capex forecast - 3018'!S218</f>
        <v>0</v>
      </c>
      <c r="L143" s="45">
        <f>'Capex forecast - 3018'!T218</f>
        <v>0</v>
      </c>
      <c r="M143" s="45">
        <f>'Capex forecast - 3018'!U218</f>
        <v>0</v>
      </c>
      <c r="N143" s="45">
        <f>'Capex forecast - 3018'!V218</f>
        <v>0</v>
      </c>
      <c r="P143" s="40">
        <f t="shared" si="11"/>
        <v>0</v>
      </c>
    </row>
    <row r="144" spans="2:16">
      <c r="B144" s="8">
        <v>3019</v>
      </c>
      <c r="C144" s="4" t="s">
        <v>219</v>
      </c>
      <c r="H144" s="45"/>
      <c r="I144" s="45">
        <f>'Capex forecast - 3019'!Q238</f>
        <v>0</v>
      </c>
      <c r="J144" s="45">
        <f>'Capex forecast - 3019'!R238</f>
        <v>0</v>
      </c>
      <c r="K144" s="45">
        <f>'Capex forecast - 3019'!S238</f>
        <v>0</v>
      </c>
      <c r="L144" s="45">
        <f>'Capex forecast - 3019'!T238</f>
        <v>0</v>
      </c>
      <c r="M144" s="45">
        <f>'Capex forecast - 3019'!U238</f>
        <v>0</v>
      </c>
      <c r="N144" s="45">
        <f>'Capex forecast - 3019'!V238</f>
        <v>0</v>
      </c>
      <c r="P144" s="40">
        <f t="shared" si="11"/>
        <v>0</v>
      </c>
    </row>
    <row r="145" spans="1:16">
      <c r="B145" s="8">
        <v>3020</v>
      </c>
      <c r="C145" s="4" t="s">
        <v>220</v>
      </c>
      <c r="H145" s="45"/>
      <c r="I145" s="45">
        <f>'Capex forecast - 3020'!Q238</f>
        <v>-998787.11396976328</v>
      </c>
      <c r="J145" s="45">
        <f>'Capex forecast - 3020'!R238</f>
        <v>-1319641.4524736498</v>
      </c>
      <c r="K145" s="45">
        <f>'Capex forecast - 3020'!S238</f>
        <v>-1358565.9094832833</v>
      </c>
      <c r="L145" s="45">
        <f>'Capex forecast - 3020'!T238</f>
        <v>-1395627.3134133765</v>
      </c>
      <c r="M145" s="45">
        <f>'Capex forecast - 3020'!U238</f>
        <v>-1444424.2367376217</v>
      </c>
      <c r="N145" s="45">
        <f>'Capex forecast - 3020'!V238</f>
        <v>-1415813.7564112139</v>
      </c>
      <c r="P145" s="40">
        <f t="shared" si="11"/>
        <v>-6934072.6685191449</v>
      </c>
    </row>
    <row r="146" spans="1:16">
      <c r="B146" s="8">
        <v>3021</v>
      </c>
      <c r="C146" s="4" t="s">
        <v>221</v>
      </c>
      <c r="H146" s="45"/>
      <c r="I146" s="45">
        <f>'Capex forecast - 3021'!Q218</f>
        <v>-960384.4628394437</v>
      </c>
      <c r="J146" s="45">
        <f>'Capex forecast - 3021'!R218</f>
        <v>-1390495.0696597346</v>
      </c>
      <c r="K146" s="45">
        <f>'Capex forecast - 3021'!S218</f>
        <v>-1406080.5594343708</v>
      </c>
      <c r="L146" s="45">
        <f>'Capex forecast - 3021'!T218</f>
        <v>-1420884.4674814176</v>
      </c>
      <c r="M146" s="45">
        <f>'Capex forecast - 3021'!U218</f>
        <v>-1444142.2490364248</v>
      </c>
      <c r="N146" s="45">
        <f>'Capex forecast - 3021'!V218</f>
        <v>-1466899.722376918</v>
      </c>
      <c r="P146" s="40">
        <f t="shared" si="11"/>
        <v>-7128502.0679888651</v>
      </c>
    </row>
    <row r="147" spans="1:16">
      <c r="B147" s="8">
        <v>3022</v>
      </c>
      <c r="C147" s="4" t="s">
        <v>38</v>
      </c>
      <c r="H147" s="45"/>
      <c r="I147" s="45">
        <f>'Capex forecast - 3022'!Q218</f>
        <v>-1757049.068475574</v>
      </c>
      <c r="J147" s="45">
        <f>'Capex forecast - 3022'!R218</f>
        <v>-1272207.1853600468</v>
      </c>
      <c r="K147" s="45">
        <f>'Capex forecast - 3022'!S218</f>
        <v>-1284125.5697077783</v>
      </c>
      <c r="L147" s="45">
        <f>'Capex forecast - 3022'!T218</f>
        <v>-1294623.6870011489</v>
      </c>
      <c r="M147" s="45">
        <f>'Capex forecast - 3022'!U218</f>
        <v>-1311809.4479479459</v>
      </c>
      <c r="N147" s="45">
        <f>'Capex forecast - 3022'!V218</f>
        <v>-1328193.9579299404</v>
      </c>
      <c r="P147" s="40">
        <f t="shared" si="11"/>
        <v>-6490959.8479468618</v>
      </c>
    </row>
    <row r="148" spans="1:16">
      <c r="B148" s="8">
        <v>3023</v>
      </c>
      <c r="C148" s="4" t="s">
        <v>39</v>
      </c>
      <c r="H148" s="45"/>
      <c r="I148" s="45">
        <f>'Capex forecast - 3023'!Q218</f>
        <v>-7925497.4509869833</v>
      </c>
      <c r="J148" s="45">
        <f>'Capex forecast - 3023'!R218</f>
        <v>0</v>
      </c>
      <c r="K148" s="45">
        <f>'Capex forecast - 3023'!S218</f>
        <v>0</v>
      </c>
      <c r="L148" s="45">
        <f>'Capex forecast - 3023'!T218</f>
        <v>0</v>
      </c>
      <c r="M148" s="45">
        <f>'Capex forecast - 3023'!U218</f>
        <v>0</v>
      </c>
      <c r="N148" s="45">
        <f>'Capex forecast - 3023'!V218</f>
        <v>0</v>
      </c>
      <c r="P148" s="40">
        <f t="shared" si="11"/>
        <v>0</v>
      </c>
    </row>
    <row r="149" spans="1:16">
      <c r="B149" s="8">
        <v>3024</v>
      </c>
      <c r="C149" s="4" t="s">
        <v>40</v>
      </c>
      <c r="H149" s="45"/>
      <c r="I149" s="45">
        <f>'Capex forecast - 3024'!Q218</f>
        <v>0</v>
      </c>
      <c r="J149" s="45">
        <f>'Capex forecast - 3024'!R218</f>
        <v>0</v>
      </c>
      <c r="K149" s="45">
        <f>'Capex forecast - 3024'!S218</f>
        <v>0</v>
      </c>
      <c r="L149" s="45">
        <f>'Capex forecast - 3024'!T218</f>
        <v>0</v>
      </c>
      <c r="M149" s="45">
        <f>'Capex forecast - 3024'!U218</f>
        <v>0</v>
      </c>
      <c r="N149" s="45">
        <f>'Capex forecast - 3024'!V218</f>
        <v>0</v>
      </c>
      <c r="P149" s="40">
        <f t="shared" si="11"/>
        <v>0</v>
      </c>
    </row>
    <row r="150" spans="1:16">
      <c r="B150" s="8">
        <v>3025</v>
      </c>
      <c r="C150" s="4" t="s">
        <v>41</v>
      </c>
      <c r="H150" s="45"/>
      <c r="I150" s="45">
        <f>'Capex forecast - 3025'!Q218</f>
        <v>0</v>
      </c>
      <c r="J150" s="45">
        <f>'Capex forecast - 3025'!R218</f>
        <v>0</v>
      </c>
      <c r="K150" s="45">
        <f>'Capex forecast - 3025'!S218</f>
        <v>0</v>
      </c>
      <c r="L150" s="45">
        <f>'Capex forecast - 3025'!T218</f>
        <v>0</v>
      </c>
      <c r="M150" s="45">
        <f>'Capex forecast - 3025'!U218</f>
        <v>0</v>
      </c>
      <c r="N150" s="45">
        <f>'Capex forecast - 3025'!V218</f>
        <v>0</v>
      </c>
      <c r="P150" s="40">
        <f t="shared" si="11"/>
        <v>0</v>
      </c>
    </row>
    <row r="151" spans="1:16">
      <c r="B151" s="8">
        <v>3027</v>
      </c>
      <c r="C151" s="4" t="s">
        <v>225</v>
      </c>
      <c r="H151" s="45"/>
      <c r="I151" s="45">
        <f>'Capex forecast - IT'!Q218</f>
        <v>0</v>
      </c>
      <c r="J151" s="45">
        <f>'Capex forecast - IT'!R218</f>
        <v>0</v>
      </c>
      <c r="K151" s="45">
        <f>'Capex forecast - IT'!S218</f>
        <v>0</v>
      </c>
      <c r="L151" s="45">
        <f>'Capex forecast - IT'!T218</f>
        <v>0</v>
      </c>
      <c r="M151" s="45">
        <f>'Capex forecast - IT'!U218</f>
        <v>0</v>
      </c>
      <c r="N151" s="45">
        <f>'Capex forecast - IT'!V218</f>
        <v>0</v>
      </c>
      <c r="P151" s="40">
        <f t="shared" si="11"/>
        <v>0</v>
      </c>
    </row>
    <row r="152" spans="1:16">
      <c r="B152" s="8">
        <v>3031</v>
      </c>
      <c r="C152" s="4" t="s">
        <v>218</v>
      </c>
      <c r="H152" s="45"/>
      <c r="I152" s="45">
        <f>'Capex forecast - other non-IT'!Q218</f>
        <v>0</v>
      </c>
      <c r="J152" s="45">
        <f>'Capex forecast - other non-IT'!R218</f>
        <v>0</v>
      </c>
      <c r="K152" s="45">
        <f>'Capex forecast - other non-IT'!S218</f>
        <v>0</v>
      </c>
      <c r="L152" s="45">
        <f>'Capex forecast - other non-IT'!T218</f>
        <v>0</v>
      </c>
      <c r="M152" s="45">
        <f>'Capex forecast - other non-IT'!U218</f>
        <v>0</v>
      </c>
      <c r="N152" s="45">
        <f>'Capex forecast - other non-IT'!V218</f>
        <v>0</v>
      </c>
      <c r="P152" s="40">
        <f t="shared" si="11"/>
        <v>0</v>
      </c>
    </row>
    <row r="153" spans="1:16">
      <c r="B153" s="80"/>
      <c r="H153" s="45"/>
      <c r="I153" s="45"/>
      <c r="J153" s="45"/>
      <c r="K153" s="45"/>
      <c r="L153" s="45"/>
      <c r="M153" s="45"/>
      <c r="N153" s="45"/>
    </row>
    <row r="154" spans="1:16" ht="12.75" thickBot="1">
      <c r="B154" s="81" t="s">
        <v>93</v>
      </c>
      <c r="H154" s="37"/>
      <c r="I154" s="37">
        <f t="shared" ref="I154:N154" si="12">SUM(I126:I152)</f>
        <v>-11641718.096271764</v>
      </c>
      <c r="J154" s="37">
        <f t="shared" si="12"/>
        <v>-3982343.7074934309</v>
      </c>
      <c r="K154" s="37">
        <f t="shared" si="12"/>
        <v>-4048772.0386254322</v>
      </c>
      <c r="L154" s="37">
        <f t="shared" si="12"/>
        <v>-4111135.4678959427</v>
      </c>
      <c r="M154" s="37">
        <f t="shared" si="12"/>
        <v>-4200375.9337219931</v>
      </c>
      <c r="N154" s="37">
        <f t="shared" si="12"/>
        <v>-4210907.4367180727</v>
      </c>
      <c r="P154" s="37">
        <f t="shared" si="11"/>
        <v>-20553534.584454872</v>
      </c>
    </row>
    <row r="156" spans="1:16" s="1" customFormat="1">
      <c r="A156" s="2">
        <v>5</v>
      </c>
      <c r="B156" s="2" t="s">
        <v>75</v>
      </c>
    </row>
    <row r="157" spans="1:16">
      <c r="H157" s="30"/>
      <c r="I157" s="30"/>
      <c r="J157" s="30"/>
      <c r="K157" s="30"/>
      <c r="L157" s="30"/>
      <c r="M157" s="30"/>
      <c r="N157" s="30"/>
    </row>
    <row r="158" spans="1:16">
      <c r="H158" s="187" t="s">
        <v>53</v>
      </c>
      <c r="I158" s="188"/>
      <c r="J158" s="187" t="s">
        <v>54</v>
      </c>
      <c r="K158" s="189"/>
      <c r="L158" s="189"/>
      <c r="M158" s="189"/>
      <c r="N158" s="188"/>
    </row>
    <row r="159" spans="1:16">
      <c r="B159" s="5"/>
      <c r="H159" s="18">
        <v>2016</v>
      </c>
      <c r="I159" s="18">
        <v>2017</v>
      </c>
      <c r="J159" s="18">
        <v>2018</v>
      </c>
      <c r="K159" s="18">
        <v>2019</v>
      </c>
      <c r="L159" s="18">
        <v>2020</v>
      </c>
      <c r="M159" s="18">
        <v>2021</v>
      </c>
      <c r="N159" s="18">
        <v>2022</v>
      </c>
      <c r="P159" s="29" t="s">
        <v>63</v>
      </c>
    </row>
    <row r="160" spans="1:16">
      <c r="B160" s="5" t="s">
        <v>19</v>
      </c>
      <c r="D160" s="29"/>
      <c r="E160" s="29"/>
      <c r="H160" s="16" t="s">
        <v>13</v>
      </c>
      <c r="I160" s="16" t="s">
        <v>13</v>
      </c>
      <c r="J160" s="16" t="s">
        <v>13</v>
      </c>
      <c r="K160" s="16" t="s">
        <v>13</v>
      </c>
      <c r="L160" s="16" t="s">
        <v>13</v>
      </c>
      <c r="M160" s="16" t="s">
        <v>13</v>
      </c>
      <c r="N160" s="16" t="s">
        <v>13</v>
      </c>
      <c r="P160" s="34" t="s">
        <v>13</v>
      </c>
    </row>
    <row r="161" spans="2:16">
      <c r="D161" s="31"/>
      <c r="E161" s="31"/>
    </row>
    <row r="162" spans="2:16">
      <c r="B162" s="20" t="s">
        <v>19</v>
      </c>
      <c r="C162" s="20" t="s">
        <v>6</v>
      </c>
      <c r="E162" s="31"/>
    </row>
    <row r="163" spans="2:16">
      <c r="B163" s="8">
        <v>3001</v>
      </c>
      <c r="C163" s="4" t="s">
        <v>20</v>
      </c>
      <c r="H163" s="45"/>
      <c r="I163" s="45">
        <f>'Capex forecast - 3001'!Q252</f>
        <v>0</v>
      </c>
      <c r="J163" s="45">
        <f>'Capex forecast - 3001'!R252</f>
        <v>0</v>
      </c>
      <c r="K163" s="45">
        <f>'Capex forecast - 3001'!S252</f>
        <v>0</v>
      </c>
      <c r="L163" s="45">
        <f>'Capex forecast - 3001'!T252</f>
        <v>0</v>
      </c>
      <c r="M163" s="45">
        <f>'Capex forecast - 3001'!U252</f>
        <v>0</v>
      </c>
      <c r="N163" s="45">
        <f>'Capex forecast - 3001'!V252</f>
        <v>0</v>
      </c>
      <c r="P163" s="40">
        <f t="shared" ref="P163:P191" si="13">SUM(J163:N163)</f>
        <v>0</v>
      </c>
    </row>
    <row r="164" spans="2:16">
      <c r="B164" s="8">
        <v>3002</v>
      </c>
      <c r="C164" s="4" t="s">
        <v>21</v>
      </c>
      <c r="H164" s="45"/>
      <c r="I164" s="45">
        <f>'Capex forecast - 3002'!Q252</f>
        <v>0</v>
      </c>
      <c r="J164" s="45">
        <f>'Capex forecast - 3002'!R252</f>
        <v>0</v>
      </c>
      <c r="K164" s="45">
        <f>'Capex forecast - 3002'!S252</f>
        <v>0</v>
      </c>
      <c r="L164" s="45">
        <f>'Capex forecast - 3002'!T252</f>
        <v>0</v>
      </c>
      <c r="M164" s="45">
        <f>'Capex forecast - 3002'!U252</f>
        <v>0</v>
      </c>
      <c r="N164" s="45">
        <f>'Capex forecast - 3002'!V252</f>
        <v>0</v>
      </c>
      <c r="P164" s="40">
        <f t="shared" si="13"/>
        <v>0</v>
      </c>
    </row>
    <row r="165" spans="2:16">
      <c r="B165" s="8">
        <v>3003</v>
      </c>
      <c r="C165" s="4" t="s">
        <v>22</v>
      </c>
      <c r="H165" s="45"/>
      <c r="I165" s="45">
        <f>'Capex forecast - 3003'!Q252</f>
        <v>0</v>
      </c>
      <c r="J165" s="45">
        <f>'Capex forecast - 3003'!R252</f>
        <v>0</v>
      </c>
      <c r="K165" s="45">
        <f>'Capex forecast - 3003'!S252</f>
        <v>0</v>
      </c>
      <c r="L165" s="45">
        <f>'Capex forecast - 3003'!T252</f>
        <v>0</v>
      </c>
      <c r="M165" s="45">
        <f>'Capex forecast - 3003'!U252</f>
        <v>0</v>
      </c>
      <c r="N165" s="45">
        <f>'Capex forecast - 3003'!V252</f>
        <v>0</v>
      </c>
      <c r="P165" s="40">
        <f t="shared" si="13"/>
        <v>0</v>
      </c>
    </row>
    <row r="166" spans="2:16">
      <c r="B166" s="8">
        <v>3004</v>
      </c>
      <c r="C166" s="4" t="s">
        <v>23</v>
      </c>
      <c r="H166" s="45"/>
      <c r="I166" s="45">
        <f>'Capex forecast - 3004'!Q252</f>
        <v>0</v>
      </c>
      <c r="J166" s="45">
        <f>'Capex forecast - 3004'!R252</f>
        <v>0</v>
      </c>
      <c r="K166" s="45">
        <f>'Capex forecast - 3004'!S252</f>
        <v>0</v>
      </c>
      <c r="L166" s="45">
        <f>'Capex forecast - 3004'!T252</f>
        <v>0</v>
      </c>
      <c r="M166" s="45">
        <f>'Capex forecast - 3004'!U252</f>
        <v>0</v>
      </c>
      <c r="N166" s="45">
        <f>'Capex forecast - 3004'!V252</f>
        <v>0</v>
      </c>
      <c r="P166" s="40">
        <f t="shared" si="13"/>
        <v>0</v>
      </c>
    </row>
    <row r="167" spans="2:16">
      <c r="B167" s="8">
        <v>3005</v>
      </c>
      <c r="C167" s="4" t="s">
        <v>24</v>
      </c>
      <c r="H167" s="45"/>
      <c r="I167" s="45">
        <f>'Capex forecast - 3005'!Q252</f>
        <v>0</v>
      </c>
      <c r="J167" s="45">
        <f>'Capex forecast - 3005'!R252</f>
        <v>0</v>
      </c>
      <c r="K167" s="45">
        <f>'Capex forecast - 3005'!S252</f>
        <v>0</v>
      </c>
      <c r="L167" s="45">
        <f>'Capex forecast - 3005'!T252</f>
        <v>0</v>
      </c>
      <c r="M167" s="45">
        <f>'Capex forecast - 3005'!U252</f>
        <v>0</v>
      </c>
      <c r="N167" s="45">
        <f>'Capex forecast - 3005'!V252</f>
        <v>0</v>
      </c>
      <c r="P167" s="40">
        <f t="shared" si="13"/>
        <v>0</v>
      </c>
    </row>
    <row r="168" spans="2:16">
      <c r="B168" s="8">
        <v>3006</v>
      </c>
      <c r="C168" s="4" t="s">
        <v>25</v>
      </c>
      <c r="H168" s="45"/>
      <c r="I168" s="45">
        <f>'Capex forecast - 3006'!Q252</f>
        <v>0</v>
      </c>
      <c r="J168" s="45">
        <f>'Capex forecast - 3006'!R252</f>
        <v>0</v>
      </c>
      <c r="K168" s="45">
        <f>'Capex forecast - 3006'!S252</f>
        <v>0</v>
      </c>
      <c r="L168" s="45">
        <f>'Capex forecast - 3006'!T252</f>
        <v>0</v>
      </c>
      <c r="M168" s="45">
        <f>'Capex forecast - 3006'!U252</f>
        <v>0</v>
      </c>
      <c r="N168" s="45">
        <f>'Capex forecast - 3006'!V252</f>
        <v>0</v>
      </c>
      <c r="P168" s="40">
        <f t="shared" si="13"/>
        <v>0</v>
      </c>
    </row>
    <row r="169" spans="2:16">
      <c r="B169" s="8">
        <v>3007</v>
      </c>
      <c r="C169" s="4" t="s">
        <v>26</v>
      </c>
      <c r="H169" s="45"/>
      <c r="I169" s="45">
        <f>'Capex forecast - 3007'!Q252</f>
        <v>0</v>
      </c>
      <c r="J169" s="45">
        <f>'Capex forecast - 3007'!R252</f>
        <v>0</v>
      </c>
      <c r="K169" s="45">
        <f>'Capex forecast - 3007'!S252</f>
        <v>0</v>
      </c>
      <c r="L169" s="45">
        <f>'Capex forecast - 3007'!T252</f>
        <v>0</v>
      </c>
      <c r="M169" s="45">
        <f>'Capex forecast - 3007'!U252</f>
        <v>0</v>
      </c>
      <c r="N169" s="45">
        <f>'Capex forecast - 3007'!V252</f>
        <v>0</v>
      </c>
      <c r="P169" s="40">
        <f t="shared" si="13"/>
        <v>0</v>
      </c>
    </row>
    <row r="170" spans="2:16">
      <c r="B170" s="8">
        <v>3008</v>
      </c>
      <c r="C170" s="4" t="s">
        <v>27</v>
      </c>
      <c r="H170" s="45"/>
      <c r="I170" s="45">
        <f>'Capex forecast - 3008'!Q252</f>
        <v>0</v>
      </c>
      <c r="J170" s="45">
        <f>'Capex forecast - 3008'!R252</f>
        <v>0</v>
      </c>
      <c r="K170" s="45">
        <f>'Capex forecast - 3008'!S252</f>
        <v>0</v>
      </c>
      <c r="L170" s="45">
        <f>'Capex forecast - 3008'!T252</f>
        <v>0</v>
      </c>
      <c r="M170" s="45">
        <f>'Capex forecast - 3008'!U252</f>
        <v>0</v>
      </c>
      <c r="N170" s="45">
        <f>'Capex forecast - 3008'!V252</f>
        <v>0</v>
      </c>
      <c r="P170" s="40">
        <f t="shared" si="13"/>
        <v>0</v>
      </c>
    </row>
    <row r="171" spans="2:16">
      <c r="B171" s="8">
        <v>3009</v>
      </c>
      <c r="C171" s="4" t="s">
        <v>28</v>
      </c>
      <c r="H171" s="45"/>
      <c r="I171" s="45">
        <f>'Capex forecast - 3009'!Q252</f>
        <v>0</v>
      </c>
      <c r="J171" s="45">
        <f>'Capex forecast - 3009'!R252</f>
        <v>0</v>
      </c>
      <c r="K171" s="45">
        <f>'Capex forecast - 3009'!S252</f>
        <v>0</v>
      </c>
      <c r="L171" s="45">
        <f>'Capex forecast - 3009'!T252</f>
        <v>0</v>
      </c>
      <c r="M171" s="45">
        <f>'Capex forecast - 3009'!U252</f>
        <v>0</v>
      </c>
      <c r="N171" s="45">
        <f>'Capex forecast - 3009'!V252</f>
        <v>0</v>
      </c>
      <c r="P171" s="40">
        <f t="shared" si="13"/>
        <v>0</v>
      </c>
    </row>
    <row r="172" spans="2:16">
      <c r="B172" s="8">
        <v>3010</v>
      </c>
      <c r="C172" s="4" t="s">
        <v>29</v>
      </c>
      <c r="H172" s="45"/>
      <c r="I172" s="45">
        <f>'Capex forecast - 3010'!Q252</f>
        <v>0</v>
      </c>
      <c r="J172" s="45">
        <f>'Capex forecast - 3010'!R252</f>
        <v>0</v>
      </c>
      <c r="K172" s="45">
        <f>'Capex forecast - 3010'!S252</f>
        <v>0</v>
      </c>
      <c r="L172" s="45">
        <f>'Capex forecast - 3010'!T252</f>
        <v>0</v>
      </c>
      <c r="M172" s="45">
        <f>'Capex forecast - 3010'!U252</f>
        <v>0</v>
      </c>
      <c r="N172" s="45">
        <f>'Capex forecast - 3010'!V252</f>
        <v>0</v>
      </c>
      <c r="P172" s="40">
        <f t="shared" si="13"/>
        <v>0</v>
      </c>
    </row>
    <row r="173" spans="2:16">
      <c r="B173" s="8">
        <v>3011</v>
      </c>
      <c r="C173" s="4" t="s">
        <v>30</v>
      </c>
      <c r="H173" s="45"/>
      <c r="I173" s="45">
        <f>'Capex forecast - 3011'!Q252</f>
        <v>0</v>
      </c>
      <c r="J173" s="45">
        <f>'Capex forecast - 3011'!R252</f>
        <v>0</v>
      </c>
      <c r="K173" s="45">
        <f>'Capex forecast - 3011'!S252</f>
        <v>0</v>
      </c>
      <c r="L173" s="45">
        <f>'Capex forecast - 3011'!T252</f>
        <v>0</v>
      </c>
      <c r="M173" s="45">
        <f>'Capex forecast - 3011'!U252</f>
        <v>0</v>
      </c>
      <c r="N173" s="45">
        <f>'Capex forecast - 3011'!V252</f>
        <v>0</v>
      </c>
      <c r="P173" s="40">
        <f t="shared" si="13"/>
        <v>0</v>
      </c>
    </row>
    <row r="174" spans="2:16">
      <c r="B174" s="8">
        <v>3012</v>
      </c>
      <c r="C174" s="4" t="s">
        <v>31</v>
      </c>
      <c r="H174" s="45"/>
      <c r="I174" s="45">
        <f>'Capex forecast - 3012'!Q232</f>
        <v>0</v>
      </c>
      <c r="J174" s="45">
        <f>'Capex forecast - 3012'!R232</f>
        <v>0</v>
      </c>
      <c r="K174" s="45">
        <f>'Capex forecast - 3012'!S232</f>
        <v>0</v>
      </c>
      <c r="L174" s="45">
        <f>'Capex forecast - 3012'!T232</f>
        <v>0</v>
      </c>
      <c r="M174" s="45">
        <f>'Capex forecast - 3012'!U232</f>
        <v>0</v>
      </c>
      <c r="N174" s="45">
        <f>'Capex forecast - 3012'!V232</f>
        <v>0</v>
      </c>
      <c r="P174" s="40">
        <f t="shared" si="13"/>
        <v>0</v>
      </c>
    </row>
    <row r="175" spans="2:16">
      <c r="B175" s="8">
        <v>3013</v>
      </c>
      <c r="C175" s="4" t="s">
        <v>32</v>
      </c>
      <c r="H175" s="45"/>
      <c r="I175" s="45">
        <f>'Capex forecast - 3013'!Q252</f>
        <v>0</v>
      </c>
      <c r="J175" s="45">
        <f>'Capex forecast - 3013'!R252</f>
        <v>0</v>
      </c>
      <c r="K175" s="45">
        <f>'Capex forecast - 3013'!S252</f>
        <v>0</v>
      </c>
      <c r="L175" s="45">
        <f>'Capex forecast - 3013'!T252</f>
        <v>0</v>
      </c>
      <c r="M175" s="45">
        <f>'Capex forecast - 3013'!U252</f>
        <v>0</v>
      </c>
      <c r="N175" s="45">
        <f>'Capex forecast - 3013'!V252</f>
        <v>0</v>
      </c>
      <c r="P175" s="40">
        <f t="shared" si="13"/>
        <v>0</v>
      </c>
    </row>
    <row r="176" spans="2:16">
      <c r="B176" s="8">
        <v>3014</v>
      </c>
      <c r="C176" s="4" t="s">
        <v>33</v>
      </c>
      <c r="H176" s="45"/>
      <c r="I176" s="45">
        <f>'Capex forecast - 3014'!Q252</f>
        <v>0</v>
      </c>
      <c r="J176" s="45">
        <f>'Capex forecast - 3014'!R252</f>
        <v>0</v>
      </c>
      <c r="K176" s="45">
        <f>'Capex forecast - 3014'!S252</f>
        <v>0</v>
      </c>
      <c r="L176" s="45">
        <f>'Capex forecast - 3014'!T252</f>
        <v>0</v>
      </c>
      <c r="M176" s="45">
        <f>'Capex forecast - 3014'!U252</f>
        <v>0</v>
      </c>
      <c r="N176" s="45">
        <f>'Capex forecast - 3014'!V252</f>
        <v>0</v>
      </c>
      <c r="P176" s="40">
        <f t="shared" si="13"/>
        <v>0</v>
      </c>
    </row>
    <row r="177" spans="2:16">
      <c r="B177" s="8">
        <v>3015</v>
      </c>
      <c r="C177" s="4" t="s">
        <v>34</v>
      </c>
      <c r="H177" s="45"/>
      <c r="I177" s="45">
        <f>'Capex forecast - 3015'!Q252</f>
        <v>0</v>
      </c>
      <c r="J177" s="45">
        <f>'Capex forecast - 3015'!R252</f>
        <v>0</v>
      </c>
      <c r="K177" s="45">
        <f>'Capex forecast - 3015'!S252</f>
        <v>0</v>
      </c>
      <c r="L177" s="45">
        <f>'Capex forecast - 3015'!T252</f>
        <v>0</v>
      </c>
      <c r="M177" s="45">
        <f>'Capex forecast - 3015'!U252</f>
        <v>0</v>
      </c>
      <c r="N177" s="45">
        <f>'Capex forecast - 3015'!V252</f>
        <v>0</v>
      </c>
      <c r="P177" s="40">
        <f t="shared" si="13"/>
        <v>0</v>
      </c>
    </row>
    <row r="178" spans="2:16">
      <c r="B178" s="8">
        <v>3016</v>
      </c>
      <c r="C178" s="4" t="s">
        <v>35</v>
      </c>
      <c r="H178" s="45"/>
      <c r="I178" s="45">
        <f>'Capex forecast - 3016'!Q252</f>
        <v>0</v>
      </c>
      <c r="J178" s="45">
        <f>'Capex forecast - 3016'!R252</f>
        <v>0</v>
      </c>
      <c r="K178" s="45">
        <f>'Capex forecast - 3016'!S252</f>
        <v>0</v>
      </c>
      <c r="L178" s="45">
        <f>'Capex forecast - 3016'!T252</f>
        <v>0</v>
      </c>
      <c r="M178" s="45">
        <f>'Capex forecast - 3016'!U252</f>
        <v>0</v>
      </c>
      <c r="N178" s="45">
        <f>'Capex forecast - 3016'!V252</f>
        <v>0</v>
      </c>
      <c r="P178" s="40">
        <f t="shared" si="13"/>
        <v>0</v>
      </c>
    </row>
    <row r="179" spans="2:16">
      <c r="B179" s="8">
        <v>3017</v>
      </c>
      <c r="C179" s="4" t="s">
        <v>36</v>
      </c>
      <c r="H179" s="45"/>
      <c r="I179" s="45">
        <f>'Capex forecast - 3017'!Q232</f>
        <v>0</v>
      </c>
      <c r="J179" s="45">
        <f>'Capex forecast - 3017'!R232</f>
        <v>0</v>
      </c>
      <c r="K179" s="45">
        <f>'Capex forecast - 3017'!S232</f>
        <v>0</v>
      </c>
      <c r="L179" s="45">
        <f>'Capex forecast - 3017'!T232</f>
        <v>0</v>
      </c>
      <c r="M179" s="45">
        <f>'Capex forecast - 3017'!U232</f>
        <v>0</v>
      </c>
      <c r="N179" s="45">
        <f>'Capex forecast - 3017'!V232</f>
        <v>0</v>
      </c>
      <c r="P179" s="40">
        <f t="shared" si="13"/>
        <v>0</v>
      </c>
    </row>
    <row r="180" spans="2:16">
      <c r="B180" s="8">
        <v>3018</v>
      </c>
      <c r="C180" s="4" t="s">
        <v>37</v>
      </c>
      <c r="H180" s="45"/>
      <c r="I180" s="45">
        <f>'Capex forecast - 3018'!Q232</f>
        <v>0</v>
      </c>
      <c r="J180" s="45">
        <f>'Capex forecast - 3018'!R232</f>
        <v>0</v>
      </c>
      <c r="K180" s="45">
        <f>'Capex forecast - 3018'!S232</f>
        <v>0</v>
      </c>
      <c r="L180" s="45">
        <f>'Capex forecast - 3018'!T232</f>
        <v>0</v>
      </c>
      <c r="M180" s="45">
        <f>'Capex forecast - 3018'!U232</f>
        <v>0</v>
      </c>
      <c r="N180" s="45">
        <f>'Capex forecast - 3018'!V232</f>
        <v>0</v>
      </c>
      <c r="P180" s="40">
        <f t="shared" si="13"/>
        <v>0</v>
      </c>
    </row>
    <row r="181" spans="2:16">
      <c r="B181" s="8">
        <v>3019</v>
      </c>
      <c r="C181" s="4" t="s">
        <v>219</v>
      </c>
      <c r="H181" s="45"/>
      <c r="I181" s="45">
        <f>'Capex forecast - 3019'!Q252</f>
        <v>0</v>
      </c>
      <c r="J181" s="45">
        <f>'Capex forecast - 3019'!R252</f>
        <v>0</v>
      </c>
      <c r="K181" s="45">
        <f>'Capex forecast - 3019'!S252</f>
        <v>0</v>
      </c>
      <c r="L181" s="45">
        <f>'Capex forecast - 3019'!T252</f>
        <v>0</v>
      </c>
      <c r="M181" s="45">
        <f>'Capex forecast - 3019'!U252</f>
        <v>0</v>
      </c>
      <c r="N181" s="45">
        <f>'Capex forecast - 3019'!V252</f>
        <v>0</v>
      </c>
      <c r="P181" s="40">
        <f t="shared" si="13"/>
        <v>0</v>
      </c>
    </row>
    <row r="182" spans="2:16">
      <c r="B182" s="8">
        <v>3020</v>
      </c>
      <c r="C182" s="4" t="s">
        <v>220</v>
      </c>
      <c r="H182" s="45"/>
      <c r="I182" s="45">
        <f>'Capex forecast - 3020'!Q252</f>
        <v>0</v>
      </c>
      <c r="J182" s="45">
        <f>'Capex forecast - 3020'!R252</f>
        <v>0</v>
      </c>
      <c r="K182" s="45">
        <f>'Capex forecast - 3020'!S252</f>
        <v>0</v>
      </c>
      <c r="L182" s="45">
        <f>'Capex forecast - 3020'!T252</f>
        <v>0</v>
      </c>
      <c r="M182" s="45">
        <f>'Capex forecast - 3020'!U252</f>
        <v>0</v>
      </c>
      <c r="N182" s="45">
        <f>'Capex forecast - 3020'!V252</f>
        <v>0</v>
      </c>
      <c r="P182" s="40">
        <f t="shared" si="13"/>
        <v>0</v>
      </c>
    </row>
    <row r="183" spans="2:16">
      <c r="B183" s="8">
        <v>3021</v>
      </c>
      <c r="C183" s="4" t="s">
        <v>221</v>
      </c>
      <c r="H183" s="45"/>
      <c r="I183" s="45">
        <f>'Capex forecast - 3021'!Q232</f>
        <v>0</v>
      </c>
      <c r="J183" s="45">
        <f>'Capex forecast - 3021'!R232</f>
        <v>0</v>
      </c>
      <c r="K183" s="45">
        <f>'Capex forecast - 3021'!S232</f>
        <v>0</v>
      </c>
      <c r="L183" s="45">
        <f>'Capex forecast - 3021'!T232</f>
        <v>0</v>
      </c>
      <c r="M183" s="45">
        <f>'Capex forecast - 3021'!U232</f>
        <v>0</v>
      </c>
      <c r="N183" s="45">
        <f>'Capex forecast - 3021'!V232</f>
        <v>0</v>
      </c>
      <c r="P183" s="40">
        <f t="shared" si="13"/>
        <v>0</v>
      </c>
    </row>
    <row r="184" spans="2:16">
      <c r="B184" s="8">
        <v>3022</v>
      </c>
      <c r="C184" s="4" t="s">
        <v>38</v>
      </c>
      <c r="H184" s="45"/>
      <c r="I184" s="45">
        <f>'Capex forecast - 3022'!Q232</f>
        <v>0</v>
      </c>
      <c r="J184" s="45">
        <f>'Capex forecast - 3022'!R232</f>
        <v>0</v>
      </c>
      <c r="K184" s="45">
        <f>'Capex forecast - 3022'!S232</f>
        <v>0</v>
      </c>
      <c r="L184" s="45">
        <f>'Capex forecast - 3022'!T232</f>
        <v>0</v>
      </c>
      <c r="M184" s="45">
        <f>'Capex forecast - 3022'!U232</f>
        <v>0</v>
      </c>
      <c r="N184" s="45">
        <f>'Capex forecast - 3022'!V232</f>
        <v>0</v>
      </c>
      <c r="P184" s="40">
        <f t="shared" si="13"/>
        <v>0</v>
      </c>
    </row>
    <row r="185" spans="2:16">
      <c r="B185" s="8">
        <v>3023</v>
      </c>
      <c r="C185" s="4" t="s">
        <v>39</v>
      </c>
      <c r="H185" s="45"/>
      <c r="I185" s="45">
        <f>'Capex forecast - 3023'!Q232</f>
        <v>0</v>
      </c>
      <c r="J185" s="45">
        <f>'Capex forecast - 3023'!R232</f>
        <v>0</v>
      </c>
      <c r="K185" s="45">
        <f>'Capex forecast - 3023'!S232</f>
        <v>0</v>
      </c>
      <c r="L185" s="45">
        <f>'Capex forecast - 3023'!T232</f>
        <v>0</v>
      </c>
      <c r="M185" s="45">
        <f>'Capex forecast - 3023'!U232</f>
        <v>0</v>
      </c>
      <c r="N185" s="45">
        <f>'Capex forecast - 3023'!V232</f>
        <v>0</v>
      </c>
      <c r="P185" s="40">
        <f t="shared" si="13"/>
        <v>0</v>
      </c>
    </row>
    <row r="186" spans="2:16">
      <c r="B186" s="8">
        <v>3024</v>
      </c>
      <c r="C186" s="4" t="s">
        <v>40</v>
      </c>
      <c r="H186" s="45"/>
      <c r="I186" s="45">
        <f>'Capex forecast - 3024'!Q232</f>
        <v>0</v>
      </c>
      <c r="J186" s="45">
        <f>'Capex forecast - 3024'!R232</f>
        <v>0</v>
      </c>
      <c r="K186" s="45">
        <f>'Capex forecast - 3024'!S232</f>
        <v>0</v>
      </c>
      <c r="L186" s="45">
        <f>'Capex forecast - 3024'!T232</f>
        <v>0</v>
      </c>
      <c r="M186" s="45">
        <f>'Capex forecast - 3024'!U232</f>
        <v>0</v>
      </c>
      <c r="N186" s="45">
        <f>'Capex forecast - 3024'!V232</f>
        <v>0</v>
      </c>
      <c r="P186" s="40">
        <f t="shared" si="13"/>
        <v>0</v>
      </c>
    </row>
    <row r="187" spans="2:16">
      <c r="B187" s="8">
        <v>3025</v>
      </c>
      <c r="C187" s="4" t="s">
        <v>41</v>
      </c>
      <c r="H187" s="45"/>
      <c r="I187" s="45">
        <f>'Capex forecast - 3025'!Q232</f>
        <v>0</v>
      </c>
      <c r="J187" s="45">
        <f>'Capex forecast - 3025'!R232</f>
        <v>0</v>
      </c>
      <c r="K187" s="45">
        <f>'Capex forecast - 3025'!S232</f>
        <v>0</v>
      </c>
      <c r="L187" s="45">
        <f>'Capex forecast - 3025'!T232</f>
        <v>0</v>
      </c>
      <c r="M187" s="45">
        <f>'Capex forecast - 3025'!U232</f>
        <v>0</v>
      </c>
      <c r="N187" s="45">
        <f>'Capex forecast - 3025'!V232</f>
        <v>0</v>
      </c>
      <c r="P187" s="40">
        <f t="shared" si="13"/>
        <v>0</v>
      </c>
    </row>
    <row r="188" spans="2:16">
      <c r="B188" s="8">
        <v>3027</v>
      </c>
      <c r="C188" s="4" t="s">
        <v>225</v>
      </c>
      <c r="H188" s="45"/>
      <c r="I188" s="45">
        <f>'Capex forecast - IT'!Q232</f>
        <v>0</v>
      </c>
      <c r="J188" s="45">
        <f>'Capex forecast - IT'!R232</f>
        <v>0</v>
      </c>
      <c r="K188" s="45">
        <f>'Capex forecast - IT'!S232</f>
        <v>0</v>
      </c>
      <c r="L188" s="45">
        <f>'Capex forecast - IT'!T232</f>
        <v>0</v>
      </c>
      <c r="M188" s="45">
        <f>'Capex forecast - IT'!U232</f>
        <v>0</v>
      </c>
      <c r="N188" s="45">
        <f>'Capex forecast - IT'!V232</f>
        <v>0</v>
      </c>
      <c r="P188" s="40">
        <f t="shared" si="13"/>
        <v>0</v>
      </c>
    </row>
    <row r="189" spans="2:16">
      <c r="B189" s="8">
        <v>3031</v>
      </c>
      <c r="C189" s="4" t="s">
        <v>218</v>
      </c>
      <c r="H189" s="45"/>
      <c r="I189" s="45">
        <f>'Capex forecast - other non-IT'!Q232</f>
        <v>0</v>
      </c>
      <c r="J189" s="45">
        <f>'Capex forecast - other non-IT'!R232</f>
        <v>0</v>
      </c>
      <c r="K189" s="45">
        <f>'Capex forecast - other non-IT'!S232</f>
        <v>0</v>
      </c>
      <c r="L189" s="45">
        <f>'Capex forecast - other non-IT'!T232</f>
        <v>0</v>
      </c>
      <c r="M189" s="45">
        <f>'Capex forecast - other non-IT'!U232</f>
        <v>0</v>
      </c>
      <c r="N189" s="45">
        <f>'Capex forecast - other non-IT'!V232</f>
        <v>0</v>
      </c>
      <c r="P189" s="40">
        <f t="shared" si="13"/>
        <v>0</v>
      </c>
    </row>
    <row r="190" spans="2:16">
      <c r="B190" s="80"/>
      <c r="H190" s="45"/>
      <c r="I190" s="45"/>
      <c r="J190" s="45"/>
      <c r="K190" s="45"/>
      <c r="L190" s="45"/>
      <c r="M190" s="45"/>
      <c r="N190" s="45"/>
    </row>
    <row r="191" spans="2:16" ht="12.75" thickBot="1">
      <c r="B191" s="81" t="s">
        <v>102</v>
      </c>
      <c r="H191" s="37"/>
      <c r="I191" s="37">
        <f t="shared" ref="I191:N191" si="14">SUM(I163:I189)</f>
        <v>0</v>
      </c>
      <c r="J191" s="37">
        <f t="shared" si="14"/>
        <v>0</v>
      </c>
      <c r="K191" s="37">
        <f t="shared" si="14"/>
        <v>0</v>
      </c>
      <c r="L191" s="37">
        <f t="shared" si="14"/>
        <v>0</v>
      </c>
      <c r="M191" s="37">
        <f t="shared" si="14"/>
        <v>0</v>
      </c>
      <c r="N191" s="37">
        <f t="shared" si="14"/>
        <v>0</v>
      </c>
      <c r="P191" s="40">
        <f t="shared" si="13"/>
        <v>0</v>
      </c>
    </row>
    <row r="193" spans="1:16" s="1" customFormat="1">
      <c r="A193" s="2">
        <v>5</v>
      </c>
      <c r="B193" s="2" t="s">
        <v>230</v>
      </c>
    </row>
    <row r="194" spans="1:16">
      <c r="H194" s="30"/>
      <c r="I194" s="30"/>
      <c r="J194" s="30"/>
      <c r="K194" s="30"/>
      <c r="L194" s="30"/>
      <c r="M194" s="30"/>
      <c r="N194" s="30"/>
    </row>
    <row r="195" spans="1:16">
      <c r="H195" s="187" t="s">
        <v>53</v>
      </c>
      <c r="I195" s="188"/>
      <c r="J195" s="187" t="s">
        <v>54</v>
      </c>
      <c r="K195" s="189"/>
      <c r="L195" s="189"/>
      <c r="M195" s="189"/>
      <c r="N195" s="188"/>
    </row>
    <row r="196" spans="1:16">
      <c r="B196" s="5"/>
      <c r="H196" s="18">
        <v>2016</v>
      </c>
      <c r="I196" s="18">
        <v>2017</v>
      </c>
      <c r="J196" s="18">
        <v>2018</v>
      </c>
      <c r="K196" s="18">
        <v>2019</v>
      </c>
      <c r="L196" s="18">
        <v>2020</v>
      </c>
      <c r="M196" s="18">
        <v>2021</v>
      </c>
      <c r="N196" s="18">
        <v>2022</v>
      </c>
      <c r="P196" s="29" t="s">
        <v>63</v>
      </c>
    </row>
    <row r="197" spans="1:16">
      <c r="B197" s="5" t="s">
        <v>19</v>
      </c>
      <c r="D197" s="29"/>
      <c r="E197" s="29"/>
      <c r="H197" s="16" t="s">
        <v>13</v>
      </c>
      <c r="I197" s="16" t="s">
        <v>13</v>
      </c>
      <c r="J197" s="16" t="s">
        <v>13</v>
      </c>
      <c r="K197" s="16" t="s">
        <v>13</v>
      </c>
      <c r="L197" s="16" t="s">
        <v>13</v>
      </c>
      <c r="M197" s="16" t="s">
        <v>13</v>
      </c>
      <c r="N197" s="16" t="s">
        <v>13</v>
      </c>
      <c r="P197" s="34" t="s">
        <v>13</v>
      </c>
    </row>
    <row r="198" spans="1:16">
      <c r="D198" s="31"/>
      <c r="E198" s="31"/>
    </row>
    <row r="199" spans="1:16">
      <c r="B199" s="20" t="s">
        <v>19</v>
      </c>
      <c r="C199" s="20" t="s">
        <v>6</v>
      </c>
      <c r="E199" s="31"/>
    </row>
    <row r="200" spans="1:16">
      <c r="B200" s="8">
        <v>3001</v>
      </c>
      <c r="C200" s="4" t="s">
        <v>20</v>
      </c>
      <c r="H200" s="45"/>
      <c r="I200" s="45">
        <f t="shared" ref="I200:N209" si="15">I89+I126+I163</f>
        <v>27395273.78101889</v>
      </c>
      <c r="J200" s="45">
        <f t="shared" si="15"/>
        <v>21872939.151927553</v>
      </c>
      <c r="K200" s="45">
        <f t="shared" si="15"/>
        <v>20768240.004615765</v>
      </c>
      <c r="L200" s="45">
        <f t="shared" si="15"/>
        <v>21763911.33414913</v>
      </c>
      <c r="M200" s="45">
        <f t="shared" si="15"/>
        <v>18839545.064178586</v>
      </c>
      <c r="N200" s="45">
        <f t="shared" si="15"/>
        <v>18120206.648734465</v>
      </c>
      <c r="P200" s="40">
        <f t="shared" ref="P200:P228" si="16">SUM(J200:N200)</f>
        <v>101364842.20360549</v>
      </c>
    </row>
    <row r="201" spans="1:16">
      <c r="B201" s="8">
        <v>3002</v>
      </c>
      <c r="C201" s="4" t="s">
        <v>21</v>
      </c>
      <c r="H201" s="45"/>
      <c r="I201" s="45">
        <f t="shared" si="15"/>
        <v>536485.98374631559</v>
      </c>
      <c r="J201" s="45">
        <f t="shared" si="15"/>
        <v>783598.46859090752</v>
      </c>
      <c r="K201" s="45">
        <f t="shared" si="15"/>
        <v>792381.50291164953</v>
      </c>
      <c r="L201" s="45">
        <f t="shared" si="15"/>
        <v>800724.08529683226</v>
      </c>
      <c r="M201" s="45">
        <f t="shared" si="15"/>
        <v>813830.75673133449</v>
      </c>
      <c r="N201" s="45">
        <f t="shared" si="15"/>
        <v>826655.48487867881</v>
      </c>
      <c r="P201" s="40">
        <f t="shared" si="16"/>
        <v>4017190.2984094028</v>
      </c>
    </row>
    <row r="202" spans="1:16">
      <c r="B202" s="8">
        <v>3003</v>
      </c>
      <c r="C202" s="4" t="s">
        <v>22</v>
      </c>
      <c r="H202" s="45"/>
      <c r="I202" s="45">
        <f t="shared" si="15"/>
        <v>3426511.6839532689</v>
      </c>
      <c r="J202" s="45">
        <f t="shared" si="15"/>
        <v>5611334.068061064</v>
      </c>
      <c r="K202" s="45">
        <f t="shared" si="15"/>
        <v>4627819.1182508655</v>
      </c>
      <c r="L202" s="45">
        <f t="shared" si="15"/>
        <v>5555178.9921588851</v>
      </c>
      <c r="M202" s="45">
        <f t="shared" si="15"/>
        <v>1390230.4864963631</v>
      </c>
      <c r="N202" s="45">
        <f t="shared" si="15"/>
        <v>2084094.0058844269</v>
      </c>
      <c r="P202" s="40">
        <f t="shared" si="16"/>
        <v>19268656.670851607</v>
      </c>
    </row>
    <row r="203" spans="1:16">
      <c r="B203" s="8">
        <v>3004</v>
      </c>
      <c r="C203" s="4" t="s">
        <v>23</v>
      </c>
      <c r="H203" s="45"/>
      <c r="I203" s="45">
        <f t="shared" si="15"/>
        <v>156934.76828202407</v>
      </c>
      <c r="J203" s="45">
        <f t="shared" si="15"/>
        <v>154636.1530061221</v>
      </c>
      <c r="K203" s="45">
        <f t="shared" si="15"/>
        <v>156369.40631571904</v>
      </c>
      <c r="L203" s="45">
        <f t="shared" si="15"/>
        <v>158015.74037313636</v>
      </c>
      <c r="M203" s="45">
        <f t="shared" si="15"/>
        <v>160602.22481712879</v>
      </c>
      <c r="N203" s="45">
        <f t="shared" si="15"/>
        <v>163133.07027375771</v>
      </c>
      <c r="P203" s="40">
        <f t="shared" si="16"/>
        <v>792756.594785864</v>
      </c>
    </row>
    <row r="204" spans="1:16">
      <c r="B204" s="8">
        <v>3005</v>
      </c>
      <c r="C204" s="4" t="s">
        <v>24</v>
      </c>
      <c r="H204" s="45"/>
      <c r="I204" s="45">
        <f t="shared" si="15"/>
        <v>0</v>
      </c>
      <c r="J204" s="45">
        <f t="shared" si="15"/>
        <v>0</v>
      </c>
      <c r="K204" s="45">
        <f t="shared" si="15"/>
        <v>0</v>
      </c>
      <c r="L204" s="45">
        <f t="shared" si="15"/>
        <v>0</v>
      </c>
      <c r="M204" s="45">
        <f t="shared" si="15"/>
        <v>0</v>
      </c>
      <c r="N204" s="45">
        <f t="shared" si="15"/>
        <v>0</v>
      </c>
      <c r="P204" s="40">
        <f t="shared" si="16"/>
        <v>0</v>
      </c>
    </row>
    <row r="205" spans="1:16">
      <c r="B205" s="8">
        <v>3006</v>
      </c>
      <c r="C205" s="4" t="s">
        <v>25</v>
      </c>
      <c r="H205" s="45"/>
      <c r="I205" s="45">
        <f t="shared" si="15"/>
        <v>373037.11913592805</v>
      </c>
      <c r="J205" s="45">
        <f t="shared" si="15"/>
        <v>154148.98430594438</v>
      </c>
      <c r="K205" s="45">
        <f t="shared" si="15"/>
        <v>155876.77714109534</v>
      </c>
      <c r="L205" s="45">
        <f t="shared" si="15"/>
        <v>157517.92455614466</v>
      </c>
      <c r="M205" s="45">
        <f t="shared" si="15"/>
        <v>160096.26048997231</v>
      </c>
      <c r="N205" s="45">
        <f t="shared" si="15"/>
        <v>162619.13272256861</v>
      </c>
      <c r="P205" s="40">
        <f t="shared" si="16"/>
        <v>790259.0792157253</v>
      </c>
    </row>
    <row r="206" spans="1:16">
      <c r="B206" s="8">
        <v>3007</v>
      </c>
      <c r="C206" s="4" t="s">
        <v>26</v>
      </c>
      <c r="H206" s="45"/>
      <c r="I206" s="45">
        <f t="shared" si="15"/>
        <v>4053246.6043080171</v>
      </c>
      <c r="J206" s="45">
        <f t="shared" si="15"/>
        <v>4448799.2260405924</v>
      </c>
      <c r="K206" s="45">
        <f t="shared" si="15"/>
        <v>4876821.7464469112</v>
      </c>
      <c r="L206" s="45">
        <f t="shared" si="15"/>
        <v>4216247.1239451608</v>
      </c>
      <c r="M206" s="45">
        <f t="shared" si="15"/>
        <v>3859826.6234513693</v>
      </c>
      <c r="N206" s="45">
        <f t="shared" si="15"/>
        <v>4672817.6247606399</v>
      </c>
      <c r="P206" s="40">
        <f t="shared" si="16"/>
        <v>22074512.344644673</v>
      </c>
    </row>
    <row r="207" spans="1:16">
      <c r="B207" s="8">
        <v>3008</v>
      </c>
      <c r="C207" s="4" t="s">
        <v>27</v>
      </c>
      <c r="H207" s="45"/>
      <c r="I207" s="45">
        <f t="shared" si="15"/>
        <v>681693.0499800524</v>
      </c>
      <c r="J207" s="45">
        <f t="shared" si="15"/>
        <v>700361.81954665552</v>
      </c>
      <c r="K207" s="45">
        <f t="shared" si="15"/>
        <v>724766.26970133092</v>
      </c>
      <c r="L207" s="45">
        <f t="shared" si="15"/>
        <v>749293.41057607846</v>
      </c>
      <c r="M207" s="45">
        <f t="shared" si="15"/>
        <v>778774.21797176159</v>
      </c>
      <c r="N207" s="45">
        <f t="shared" si="15"/>
        <v>808837.31019591435</v>
      </c>
      <c r="P207" s="40">
        <f t="shared" si="16"/>
        <v>3762033.027991741</v>
      </c>
    </row>
    <row r="208" spans="1:16">
      <c r="B208" s="8">
        <v>3009</v>
      </c>
      <c r="C208" s="4" t="s">
        <v>28</v>
      </c>
      <c r="H208" s="45"/>
      <c r="I208" s="45">
        <f t="shared" si="15"/>
        <v>661193.14833027986</v>
      </c>
      <c r="J208" s="45">
        <f t="shared" si="15"/>
        <v>748282.99394034594</v>
      </c>
      <c r="K208" s="45">
        <f t="shared" si="15"/>
        <v>852328.94497271942</v>
      </c>
      <c r="L208" s="45">
        <f t="shared" si="15"/>
        <v>789529.74594404176</v>
      </c>
      <c r="M208" s="45">
        <f t="shared" si="15"/>
        <v>675081.88835643523</v>
      </c>
      <c r="N208" s="45">
        <f t="shared" si="15"/>
        <v>589012.3606935041</v>
      </c>
      <c r="P208" s="40">
        <f t="shared" si="16"/>
        <v>3654235.9339070464</v>
      </c>
    </row>
    <row r="209" spans="2:16">
      <c r="B209" s="8">
        <v>3010</v>
      </c>
      <c r="C209" s="4" t="s">
        <v>29</v>
      </c>
      <c r="H209" s="45"/>
      <c r="I209" s="45">
        <f t="shared" si="15"/>
        <v>254850.26578236691</v>
      </c>
      <c r="J209" s="45">
        <f t="shared" si="15"/>
        <v>263588.330873231</v>
      </c>
      <c r="K209" s="45">
        <f t="shared" si="15"/>
        <v>275660.3223336449</v>
      </c>
      <c r="L209" s="45">
        <f t="shared" si="15"/>
        <v>287286.38809092843</v>
      </c>
      <c r="M209" s="45">
        <f t="shared" si="15"/>
        <v>301672.2640161622</v>
      </c>
      <c r="N209" s="45">
        <f t="shared" si="15"/>
        <v>314383.95737324178</v>
      </c>
      <c r="P209" s="40">
        <f t="shared" si="16"/>
        <v>1442591.2626872081</v>
      </c>
    </row>
    <row r="210" spans="2:16">
      <c r="B210" s="8">
        <v>3011</v>
      </c>
      <c r="C210" s="4" t="s">
        <v>30</v>
      </c>
      <c r="H210" s="45"/>
      <c r="I210" s="45">
        <f t="shared" ref="I210:N219" si="17">I99+I136+I173</f>
        <v>724330.53468373732</v>
      </c>
      <c r="J210" s="45">
        <f t="shared" si="17"/>
        <v>1844588.7165159455</v>
      </c>
      <c r="K210" s="45">
        <f t="shared" si="17"/>
        <v>2179271.5217574872</v>
      </c>
      <c r="L210" s="45">
        <f t="shared" si="17"/>
        <v>1379728.130959006</v>
      </c>
      <c r="M210" s="45">
        <f t="shared" si="17"/>
        <v>1180285.5667590655</v>
      </c>
      <c r="N210" s="45">
        <f t="shared" si="17"/>
        <v>964289.07089703518</v>
      </c>
      <c r="P210" s="40">
        <f t="shared" si="16"/>
        <v>7548163.0068885395</v>
      </c>
    </row>
    <row r="211" spans="2:16">
      <c r="B211" s="8">
        <v>3012</v>
      </c>
      <c r="C211" s="4" t="s">
        <v>31</v>
      </c>
      <c r="H211" s="45"/>
      <c r="I211" s="45">
        <f t="shared" si="17"/>
        <v>164620.57606448577</v>
      </c>
      <c r="J211" s="45">
        <f t="shared" si="17"/>
        <v>164695.42111749511</v>
      </c>
      <c r="K211" s="45">
        <f t="shared" si="17"/>
        <v>165934.37982925031</v>
      </c>
      <c r="L211" s="45">
        <f t="shared" si="17"/>
        <v>166902.59648697654</v>
      </c>
      <c r="M211" s="45">
        <f t="shared" si="17"/>
        <v>168612.22382272358</v>
      </c>
      <c r="N211" s="45">
        <f t="shared" si="17"/>
        <v>170168.65957006504</v>
      </c>
      <c r="P211" s="40">
        <f t="shared" si="16"/>
        <v>836313.28082651063</v>
      </c>
    </row>
    <row r="212" spans="2:16">
      <c r="B212" s="8">
        <v>3013</v>
      </c>
      <c r="C212" s="4" t="s">
        <v>32</v>
      </c>
      <c r="H212" s="45"/>
      <c r="I212" s="45">
        <f t="shared" si="17"/>
        <v>1359864.7306382912</v>
      </c>
      <c r="J212" s="45">
        <f t="shared" si="17"/>
        <v>1396150.534049859</v>
      </c>
      <c r="K212" s="45">
        <f t="shared" si="17"/>
        <v>1301887.9572643319</v>
      </c>
      <c r="L212" s="45">
        <f t="shared" si="17"/>
        <v>1467613.474849165</v>
      </c>
      <c r="M212" s="45">
        <f t="shared" si="17"/>
        <v>1246291.6319782007</v>
      </c>
      <c r="N212" s="45">
        <f t="shared" si="17"/>
        <v>1430318.6342842677</v>
      </c>
      <c r="P212" s="40">
        <f t="shared" si="16"/>
        <v>6842262.2324258238</v>
      </c>
    </row>
    <row r="213" spans="2:16">
      <c r="B213" s="8">
        <v>3014</v>
      </c>
      <c r="C213" s="4" t="s">
        <v>33</v>
      </c>
      <c r="H213" s="45"/>
      <c r="I213" s="45">
        <f t="shared" si="17"/>
        <v>1299141.6874806376</v>
      </c>
      <c r="J213" s="45">
        <f t="shared" si="17"/>
        <v>1332407.9162300178</v>
      </c>
      <c r="K213" s="45">
        <f t="shared" si="17"/>
        <v>1375618.1333684623</v>
      </c>
      <c r="L213" s="45">
        <f t="shared" si="17"/>
        <v>1418716.5774983638</v>
      </c>
      <c r="M213" s="45">
        <f t="shared" si="17"/>
        <v>1470028.8121760334</v>
      </c>
      <c r="N213" s="45">
        <f t="shared" si="17"/>
        <v>1521897.7345762241</v>
      </c>
      <c r="P213" s="40">
        <f t="shared" si="16"/>
        <v>7118669.1738491012</v>
      </c>
    </row>
    <row r="214" spans="2:16">
      <c r="B214" s="8">
        <v>3015</v>
      </c>
      <c r="C214" s="4" t="s">
        <v>34</v>
      </c>
      <c r="H214" s="45"/>
      <c r="I214" s="45">
        <f t="shared" si="17"/>
        <v>318193.95702307287</v>
      </c>
      <c r="J214" s="45">
        <f t="shared" si="17"/>
        <v>432121.38942315587</v>
      </c>
      <c r="K214" s="45">
        <f t="shared" si="17"/>
        <v>436964.86110688088</v>
      </c>
      <c r="L214" s="45">
        <f t="shared" si="17"/>
        <v>443815.45718243805</v>
      </c>
      <c r="M214" s="45">
        <f t="shared" si="17"/>
        <v>451080.06115983339</v>
      </c>
      <c r="N214" s="45">
        <f t="shared" si="17"/>
        <v>458188.39309397794</v>
      </c>
      <c r="P214" s="40">
        <f t="shared" si="16"/>
        <v>2222170.1619662861</v>
      </c>
    </row>
    <row r="215" spans="2:16">
      <c r="B215" s="8">
        <v>3016</v>
      </c>
      <c r="C215" s="4" t="s">
        <v>35</v>
      </c>
      <c r="H215" s="45"/>
      <c r="I215" s="45">
        <f t="shared" si="17"/>
        <v>471858.57543942035</v>
      </c>
      <c r="J215" s="45">
        <f t="shared" si="17"/>
        <v>432745.50817818695</v>
      </c>
      <c r="K215" s="45">
        <f t="shared" si="17"/>
        <v>389820.16040159453</v>
      </c>
      <c r="L215" s="45">
        <f t="shared" si="17"/>
        <v>355345.40584988095</v>
      </c>
      <c r="M215" s="45">
        <f t="shared" si="17"/>
        <v>1426996.7662634766</v>
      </c>
      <c r="N215" s="45">
        <f t="shared" si="17"/>
        <v>1542442.0259633579</v>
      </c>
      <c r="P215" s="40">
        <f t="shared" si="16"/>
        <v>4147349.8666564971</v>
      </c>
    </row>
    <row r="216" spans="2:16">
      <c r="B216" s="8">
        <v>3017</v>
      </c>
      <c r="C216" s="4" t="s">
        <v>36</v>
      </c>
      <c r="H216" s="45"/>
      <c r="I216" s="45">
        <f t="shared" si="17"/>
        <v>999602.77828229335</v>
      </c>
      <c r="J216" s="45">
        <f t="shared" si="17"/>
        <v>7194696.6075420659</v>
      </c>
      <c r="K216" s="45">
        <f t="shared" si="17"/>
        <v>3143895.927150269</v>
      </c>
      <c r="L216" s="45">
        <f t="shared" si="17"/>
        <v>628771.84583015554</v>
      </c>
      <c r="M216" s="45">
        <f t="shared" si="17"/>
        <v>2180068.2745603742</v>
      </c>
      <c r="N216" s="45">
        <f t="shared" si="17"/>
        <v>1161440.7936475996</v>
      </c>
      <c r="P216" s="40">
        <f t="shared" si="16"/>
        <v>14308873.448730467</v>
      </c>
    </row>
    <row r="217" spans="2:16">
      <c r="B217" s="8">
        <v>3018</v>
      </c>
      <c r="C217" s="4" t="s">
        <v>37</v>
      </c>
      <c r="H217" s="45"/>
      <c r="I217" s="45">
        <f t="shared" si="17"/>
        <v>0</v>
      </c>
      <c r="J217" s="45">
        <f t="shared" si="17"/>
        <v>16503.381566868782</v>
      </c>
      <c r="K217" s="45">
        <f t="shared" si="17"/>
        <v>22230.913031905158</v>
      </c>
      <c r="L217" s="45">
        <f t="shared" si="17"/>
        <v>22438.957857551515</v>
      </c>
      <c r="M217" s="45">
        <f t="shared" si="17"/>
        <v>22771.992583740488</v>
      </c>
      <c r="N217" s="45">
        <f t="shared" si="17"/>
        <v>23094.032894827596</v>
      </c>
      <c r="P217" s="40">
        <f t="shared" si="16"/>
        <v>107039.27793489354</v>
      </c>
    </row>
    <row r="218" spans="2:16">
      <c r="B218" s="8">
        <v>3019</v>
      </c>
      <c r="C218" s="4" t="s">
        <v>219</v>
      </c>
      <c r="H218" s="45"/>
      <c r="I218" s="45">
        <f t="shared" si="17"/>
        <v>32793881.049539402</v>
      </c>
      <c r="J218" s="45">
        <f t="shared" si="17"/>
        <v>37153104.2730553</v>
      </c>
      <c r="K218" s="45">
        <f t="shared" si="17"/>
        <v>38206306.094451517</v>
      </c>
      <c r="L218" s="45">
        <f t="shared" si="17"/>
        <v>39376162.476787068</v>
      </c>
      <c r="M218" s="45">
        <f t="shared" si="17"/>
        <v>40905045.197054371</v>
      </c>
      <c r="N218" s="45">
        <f t="shared" si="17"/>
        <v>39509748.34702836</v>
      </c>
      <c r="P218" s="40">
        <f t="shared" si="16"/>
        <v>195150366.38837665</v>
      </c>
    </row>
    <row r="219" spans="2:16">
      <c r="B219" s="8">
        <v>3020</v>
      </c>
      <c r="C219" s="4" t="s">
        <v>220</v>
      </c>
      <c r="H219" s="45"/>
      <c r="I219" s="45">
        <f t="shared" si="17"/>
        <v>2996361.3419092898</v>
      </c>
      <c r="J219" s="45">
        <f t="shared" si="17"/>
        <v>3958924.3574209493</v>
      </c>
      <c r="K219" s="45">
        <f t="shared" si="17"/>
        <v>4075697.7284498499</v>
      </c>
      <c r="L219" s="45">
        <f t="shared" si="17"/>
        <v>4186881.9402401294</v>
      </c>
      <c r="M219" s="45">
        <f t="shared" si="17"/>
        <v>4333272.7102128649</v>
      </c>
      <c r="N219" s="45">
        <f t="shared" si="17"/>
        <v>4247441.2692336421</v>
      </c>
      <c r="P219" s="40">
        <f t="shared" si="16"/>
        <v>20802218.005557433</v>
      </c>
    </row>
    <row r="220" spans="2:16">
      <c r="B220" s="8">
        <v>3021</v>
      </c>
      <c r="C220" s="4" t="s">
        <v>221</v>
      </c>
      <c r="H220" s="45"/>
      <c r="I220" s="45">
        <f t="shared" ref="I220:N226" si="18">I109+I146+I183</f>
        <v>0</v>
      </c>
      <c r="J220" s="45">
        <f t="shared" si="18"/>
        <v>0</v>
      </c>
      <c r="K220" s="45">
        <f t="shared" si="18"/>
        <v>0</v>
      </c>
      <c r="L220" s="45">
        <f t="shared" si="18"/>
        <v>0</v>
      </c>
      <c r="M220" s="45">
        <f t="shared" si="18"/>
        <v>0</v>
      </c>
      <c r="N220" s="45">
        <f t="shared" si="18"/>
        <v>0</v>
      </c>
      <c r="P220" s="40">
        <f t="shared" si="16"/>
        <v>0</v>
      </c>
    </row>
    <row r="221" spans="2:16">
      <c r="B221" s="8">
        <v>3022</v>
      </c>
      <c r="C221" s="4" t="s">
        <v>38</v>
      </c>
      <c r="H221" s="45"/>
      <c r="I221" s="45">
        <f t="shared" si="18"/>
        <v>0</v>
      </c>
      <c r="J221" s="45">
        <f t="shared" si="18"/>
        <v>0</v>
      </c>
      <c r="K221" s="45">
        <f t="shared" si="18"/>
        <v>0</v>
      </c>
      <c r="L221" s="45">
        <f t="shared" si="18"/>
        <v>0</v>
      </c>
      <c r="M221" s="45">
        <f t="shared" si="18"/>
        <v>0</v>
      </c>
      <c r="N221" s="45">
        <f t="shared" si="18"/>
        <v>0</v>
      </c>
      <c r="P221" s="40">
        <f t="shared" si="16"/>
        <v>0</v>
      </c>
    </row>
    <row r="222" spans="2:16">
      <c r="B222" s="8">
        <v>3023</v>
      </c>
      <c r="C222" s="4" t="s">
        <v>39</v>
      </c>
      <c r="H222" s="45"/>
      <c r="I222" s="45">
        <f t="shared" si="18"/>
        <v>-1828960.9502277654</v>
      </c>
      <c r="J222" s="45">
        <f t="shared" si="18"/>
        <v>0</v>
      </c>
      <c r="K222" s="45">
        <f t="shared" si="18"/>
        <v>0</v>
      </c>
      <c r="L222" s="45">
        <f t="shared" si="18"/>
        <v>0</v>
      </c>
      <c r="M222" s="45">
        <f t="shared" si="18"/>
        <v>0</v>
      </c>
      <c r="N222" s="45">
        <f t="shared" si="18"/>
        <v>0</v>
      </c>
      <c r="P222" s="40">
        <f t="shared" si="16"/>
        <v>0</v>
      </c>
    </row>
    <row r="223" spans="2:16">
      <c r="B223" s="8">
        <v>3024</v>
      </c>
      <c r="C223" s="4" t="s">
        <v>40</v>
      </c>
      <c r="H223" s="45"/>
      <c r="I223" s="45">
        <f t="shared" si="18"/>
        <v>0</v>
      </c>
      <c r="J223" s="45">
        <f t="shared" si="18"/>
        <v>0</v>
      </c>
      <c r="K223" s="45">
        <f t="shared" si="18"/>
        <v>0</v>
      </c>
      <c r="L223" s="45">
        <f t="shared" si="18"/>
        <v>0</v>
      </c>
      <c r="M223" s="45">
        <f t="shared" si="18"/>
        <v>0</v>
      </c>
      <c r="N223" s="45">
        <f t="shared" si="18"/>
        <v>0</v>
      </c>
      <c r="P223" s="40">
        <f t="shared" si="16"/>
        <v>0</v>
      </c>
    </row>
    <row r="224" spans="2:16">
      <c r="B224" s="8">
        <v>3025</v>
      </c>
      <c r="C224" s="4" t="s">
        <v>41</v>
      </c>
      <c r="H224" s="45"/>
      <c r="I224" s="45">
        <f t="shared" si="18"/>
        <v>580169.21986023022</v>
      </c>
      <c r="J224" s="45">
        <f t="shared" si="18"/>
        <v>0</v>
      </c>
      <c r="K224" s="45">
        <f t="shared" si="18"/>
        <v>0</v>
      </c>
      <c r="L224" s="45">
        <f t="shared" si="18"/>
        <v>0</v>
      </c>
      <c r="M224" s="45">
        <f t="shared" si="18"/>
        <v>0</v>
      </c>
      <c r="N224" s="45">
        <f t="shared" si="18"/>
        <v>0</v>
      </c>
      <c r="P224" s="40">
        <f t="shared" si="16"/>
        <v>0</v>
      </c>
    </row>
    <row r="225" spans="1:16">
      <c r="B225" s="8">
        <v>3027</v>
      </c>
      <c r="C225" s="4" t="s">
        <v>225</v>
      </c>
      <c r="H225" s="45"/>
      <c r="I225" s="45">
        <f t="shared" si="18"/>
        <v>7049221.1162734153</v>
      </c>
      <c r="J225" s="45">
        <f t="shared" si="18"/>
        <v>14115679.613900786</v>
      </c>
      <c r="K225" s="45">
        <f t="shared" si="18"/>
        <v>15330008.166965332</v>
      </c>
      <c r="L225" s="45">
        <f t="shared" si="18"/>
        <v>12725325.750282558</v>
      </c>
      <c r="M225" s="45">
        <f t="shared" si="18"/>
        <v>10137616.817740591</v>
      </c>
      <c r="N225" s="45">
        <f t="shared" si="18"/>
        <v>7137243.3653480504</v>
      </c>
      <c r="P225" s="40">
        <f t="shared" si="16"/>
        <v>59445873.71423731</v>
      </c>
    </row>
    <row r="226" spans="1:16">
      <c r="B226" s="8">
        <v>3031</v>
      </c>
      <c r="C226" s="4" t="s">
        <v>218</v>
      </c>
      <c r="H226" s="45"/>
      <c r="I226" s="45">
        <f t="shared" si="18"/>
        <v>360914.01009034616</v>
      </c>
      <c r="J226" s="45">
        <f t="shared" si="18"/>
        <v>361358.76730482717</v>
      </c>
      <c r="K226" s="45">
        <f t="shared" si="18"/>
        <v>361894.38911896548</v>
      </c>
      <c r="L226" s="45">
        <f t="shared" si="18"/>
        <v>362574.19659318496</v>
      </c>
      <c r="M226" s="45">
        <f t="shared" si="18"/>
        <v>363446.01291519118</v>
      </c>
      <c r="N226" s="45">
        <f t="shared" si="18"/>
        <v>364411.70301263226</v>
      </c>
      <c r="P226" s="40">
        <f t="shared" si="16"/>
        <v>1813685.0689448011</v>
      </c>
    </row>
    <row r="227" spans="1:16">
      <c r="B227" s="80"/>
      <c r="H227" s="45"/>
      <c r="I227" s="45"/>
      <c r="J227" s="45"/>
      <c r="K227" s="45"/>
      <c r="L227" s="45"/>
      <c r="M227" s="45"/>
      <c r="N227" s="45"/>
    </row>
    <row r="228" spans="1:16" ht="12.75" thickBot="1">
      <c r="B228" s="81" t="s">
        <v>231</v>
      </c>
      <c r="H228" s="37"/>
      <c r="I228" s="37">
        <f t="shared" ref="I228:N228" si="19">SUM(I200:I226)</f>
        <v>84828425.031593993</v>
      </c>
      <c r="J228" s="37">
        <f t="shared" si="19"/>
        <v>103140665.68259786</v>
      </c>
      <c r="K228" s="37">
        <f t="shared" si="19"/>
        <v>100219794.32558557</v>
      </c>
      <c r="L228" s="37">
        <f t="shared" si="19"/>
        <v>97011981.555506811</v>
      </c>
      <c r="M228" s="37">
        <f t="shared" si="19"/>
        <v>90865175.853735581</v>
      </c>
      <c r="N228" s="37">
        <f t="shared" si="19"/>
        <v>86272443.625067234</v>
      </c>
      <c r="P228" s="37">
        <f t="shared" si="16"/>
        <v>477510061.04249305</v>
      </c>
    </row>
    <row r="230" spans="1:16" s="1" customFormat="1">
      <c r="A230" s="2"/>
      <c r="B230" s="2" t="s">
        <v>42</v>
      </c>
    </row>
    <row r="232" spans="1:16">
      <c r="I232" s="45"/>
      <c r="J232" s="45"/>
      <c r="K232" s="45"/>
      <c r="L232" s="45"/>
      <c r="M232" s="45"/>
      <c r="N232" s="45"/>
    </row>
    <row r="233" spans="1:16">
      <c r="I233" s="45"/>
      <c r="J233" s="45"/>
      <c r="K233" s="45"/>
      <c r="L233" s="45"/>
      <c r="M233" s="45"/>
      <c r="N233" s="45"/>
    </row>
    <row r="234" spans="1:16">
      <c r="I234" s="131"/>
      <c r="J234" s="131"/>
      <c r="K234" s="131"/>
      <c r="L234" s="131"/>
      <c r="M234" s="131"/>
      <c r="N234" s="131"/>
    </row>
    <row r="235" spans="1:16">
      <c r="I235" s="131"/>
      <c r="J235" s="131"/>
      <c r="K235" s="131"/>
      <c r="L235" s="131"/>
      <c r="M235" s="131"/>
      <c r="N235" s="131"/>
    </row>
  </sheetData>
  <mergeCells count="13">
    <mergeCell ref="R11:T11"/>
    <mergeCell ref="H10:I10"/>
    <mergeCell ref="J10:N10"/>
    <mergeCell ref="H195:I195"/>
    <mergeCell ref="J195:N195"/>
    <mergeCell ref="H47:I47"/>
    <mergeCell ref="J47:N47"/>
    <mergeCell ref="H84:I84"/>
    <mergeCell ref="J84:N84"/>
    <mergeCell ref="H121:I121"/>
    <mergeCell ref="J121:N121"/>
    <mergeCell ref="H158:I158"/>
    <mergeCell ref="J158:N158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Y88"/>
  <sheetViews>
    <sheetView topLeftCell="A49" workbookViewId="0">
      <selection activeCell="I79" sqref="I79"/>
    </sheetView>
  </sheetViews>
  <sheetFormatPr defaultColWidth="9.140625" defaultRowHeight="12"/>
  <cols>
    <col min="1" max="1" width="3.85546875" style="4" customWidth="1"/>
    <col min="2" max="2" width="13" style="4" customWidth="1"/>
    <col min="3" max="3" width="3.28515625" style="4" customWidth="1"/>
    <col min="4" max="7" width="9.140625" style="4"/>
    <col min="8" max="14" width="12.28515625" style="4" customWidth="1"/>
    <col min="15" max="15" width="4.42578125" style="4" customWidth="1"/>
    <col min="16" max="16" width="13" style="4" customWidth="1"/>
    <col min="17" max="18" width="9.140625" style="4"/>
    <col min="19" max="19" width="9.7109375" style="4" customWidth="1"/>
    <col min="20" max="16384" width="9.140625" style="4"/>
  </cols>
  <sheetData>
    <row r="1" spans="1:25" s="3" customFormat="1">
      <c r="A1" s="2" t="s">
        <v>2</v>
      </c>
    </row>
    <row r="2" spans="1:25" s="1" customFormat="1">
      <c r="A2" s="3" t="s">
        <v>232</v>
      </c>
    </row>
    <row r="3" spans="1:25" s="1" customFormat="1">
      <c r="A3" s="3" t="s">
        <v>95</v>
      </c>
    </row>
    <row r="4" spans="1:25" s="1" customFormat="1">
      <c r="A4" s="22" t="s">
        <v>43</v>
      </c>
    </row>
    <row r="6" spans="1:25">
      <c r="B6" s="4" t="s">
        <v>228</v>
      </c>
      <c r="E6" s="83" t="str">
        <f>'General assumptions'!F27</f>
        <v>Yes</v>
      </c>
    </row>
    <row r="8" spans="1:25" s="1" customFormat="1">
      <c r="A8" s="2">
        <v>1</v>
      </c>
      <c r="B8" s="2" t="s">
        <v>223</v>
      </c>
    </row>
    <row r="9" spans="1:25">
      <c r="H9" s="30"/>
      <c r="I9" s="30"/>
      <c r="J9" s="30"/>
      <c r="K9" s="30"/>
      <c r="L9" s="30"/>
      <c r="M9" s="30"/>
      <c r="N9" s="30"/>
      <c r="R9" s="94"/>
      <c r="S9" s="94"/>
      <c r="T9" s="94"/>
      <c r="U9" s="94"/>
      <c r="V9" s="94"/>
      <c r="W9" s="94"/>
      <c r="X9" s="94"/>
      <c r="Y9" s="94"/>
    </row>
    <row r="10" spans="1:25">
      <c r="H10" s="187" t="s">
        <v>53</v>
      </c>
      <c r="I10" s="188"/>
      <c r="J10" s="187" t="s">
        <v>54</v>
      </c>
      <c r="K10" s="189"/>
      <c r="L10" s="189"/>
      <c r="M10" s="189"/>
      <c r="N10" s="188"/>
      <c r="R10" s="94"/>
      <c r="S10" s="94"/>
      <c r="T10" s="94"/>
      <c r="U10" s="94"/>
      <c r="V10" s="94"/>
      <c r="W10" s="94"/>
      <c r="X10" s="94"/>
      <c r="Y10" s="94"/>
    </row>
    <row r="11" spans="1:25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63</v>
      </c>
      <c r="R11" s="94"/>
      <c r="S11" s="94"/>
      <c r="T11" s="94"/>
      <c r="U11" s="94"/>
      <c r="V11" s="94"/>
      <c r="W11" s="94"/>
      <c r="X11" s="94"/>
      <c r="Y11" s="94"/>
    </row>
    <row r="12" spans="1:25">
      <c r="B12" s="5" t="s">
        <v>233</v>
      </c>
      <c r="D12" s="29"/>
      <c r="E12" s="29"/>
      <c r="H12" s="16" t="s">
        <v>13</v>
      </c>
      <c r="I12" s="16" t="s">
        <v>13</v>
      </c>
      <c r="J12" s="16" t="s">
        <v>13</v>
      </c>
      <c r="K12" s="16" t="s">
        <v>13</v>
      </c>
      <c r="L12" s="16" t="s">
        <v>13</v>
      </c>
      <c r="M12" s="16" t="s">
        <v>13</v>
      </c>
      <c r="N12" s="16" t="s">
        <v>13</v>
      </c>
      <c r="P12" s="34" t="s">
        <v>13</v>
      </c>
      <c r="R12" s="94"/>
      <c r="S12" s="95"/>
      <c r="T12" s="95"/>
      <c r="U12" s="95"/>
      <c r="V12" s="95"/>
      <c r="W12" s="94"/>
      <c r="X12" s="94"/>
      <c r="Y12" s="94"/>
    </row>
    <row r="13" spans="1:25">
      <c r="B13" s="5"/>
      <c r="D13" s="29"/>
      <c r="E13" s="29"/>
      <c r="H13" s="18"/>
      <c r="I13" s="18"/>
      <c r="J13" s="18"/>
      <c r="K13" s="18"/>
      <c r="L13" s="18"/>
      <c r="M13" s="18"/>
      <c r="N13" s="18"/>
      <c r="R13" s="94"/>
      <c r="S13" s="94"/>
      <c r="T13" s="94"/>
      <c r="U13" s="94"/>
      <c r="V13" s="94"/>
      <c r="W13" s="94"/>
      <c r="X13" s="94"/>
      <c r="Y13" s="94"/>
    </row>
    <row r="14" spans="1:25">
      <c r="B14" s="38" t="s">
        <v>125</v>
      </c>
      <c r="D14" s="29"/>
      <c r="E14" s="29"/>
      <c r="H14" s="45"/>
      <c r="I14" s="45">
        <f>'Capex forecast - 3001'!Q276+'Capex forecast - 3002'!Q276+'Capex forecast - 3003'!Q276+'Capex forecast - 3004'!Q276+'Capex forecast - 3005'!Q276+'Capex forecast - 3006'!Q276++'Capex forecast - 3007'!Q276+'Capex forecast - 3008'!Q276+'Capex forecast - 3009'!Q276+'Capex forecast - 3010'!Q276+'Capex forecast - 3011'!Q276+'Capex forecast - 3012'!Q276+'Capex forecast - 3013'!Q276+'Capex forecast - 3014'!Q276+'Capex forecast - 3015'!Q276+'Capex forecast - 3016'!Q276+'Capex forecast - 3017'!Q276+'Capex forecast - 3018'!Q276+'Capex forecast - 3019'!Q276+'Capex forecast - 3020'!Q276+'Capex forecast - 3021'!Q276+'Capex forecast - 3022'!Q276+'Capex forecast - 3023'!Q276+'Capex forecast - 3024'!Q276+'Capex forecast - 3025'!Q276+'Capex forecast - IT'!Q276+'Capex forecast - other non-IT'!Q276</f>
        <v>1389499.2278999996</v>
      </c>
      <c r="J14" s="45">
        <f>'Capex forecast - 3001'!R276+'Capex forecast - 3002'!R276+'Capex forecast - 3003'!R276+'Capex forecast - 3004'!R276+'Capex forecast - 3005'!R276+'Capex forecast - 3006'!R276++'Capex forecast - 3007'!R276+'Capex forecast - 3008'!R276+'Capex forecast - 3009'!R276+'Capex forecast - 3010'!R276+'Capex forecast - 3011'!R276+'Capex forecast - 3012'!R276+'Capex forecast - 3013'!R276+'Capex forecast - 3014'!R276+'Capex forecast - 3015'!R276+'Capex forecast - 3016'!R276+'Capex forecast - 3017'!R276+'Capex forecast - 3018'!R276+'Capex forecast - 3019'!R276+'Capex forecast - 3020'!R276+'Capex forecast - 3021'!R276+'Capex forecast - 3022'!R276+'Capex forecast - 3023'!R276+'Capex forecast - 3024'!R276+'Capex forecast - 3025'!R276+'Capex forecast - IT'!R276+'Capex forecast - other non-IT'!R276</f>
        <v>2548843.3434513817</v>
      </c>
      <c r="K14" s="45">
        <f>'Capex forecast - 3001'!S276+'Capex forecast - 3002'!S276+'Capex forecast - 3003'!S276+'Capex forecast - 3004'!S276+'Capex forecast - 3005'!S276+'Capex forecast - 3006'!S276++'Capex forecast - 3007'!S276+'Capex forecast - 3008'!S276+'Capex forecast - 3009'!S276+'Capex forecast - 3010'!S276+'Capex forecast - 3011'!S276+'Capex forecast - 3012'!S276+'Capex forecast - 3013'!S276+'Capex forecast - 3014'!S276+'Capex forecast - 3015'!S276+'Capex forecast - 3016'!S276+'Capex forecast - 3017'!S276+'Capex forecast - 3018'!S276+'Capex forecast - 3019'!S276+'Capex forecast - 3020'!S276+'Capex forecast - 3021'!S276+'Capex forecast - 3022'!S276+'Capex forecast - 3023'!S276+'Capex forecast - 3024'!S276+'Capex forecast - 3025'!S276+'Capex forecast - IT'!S276+'Capex forecast - other non-IT'!S276</f>
        <v>1531363.358263196</v>
      </c>
      <c r="L14" s="45">
        <f>'Capex forecast - 3001'!T276+'Capex forecast - 3002'!T276+'Capex forecast - 3003'!T276+'Capex forecast - 3004'!T276+'Capex forecast - 3005'!T276+'Capex forecast - 3006'!T276++'Capex forecast - 3007'!T276+'Capex forecast - 3008'!T276+'Capex forecast - 3009'!T276+'Capex forecast - 3010'!T276+'Capex forecast - 3011'!T276+'Capex forecast - 3012'!T276+'Capex forecast - 3013'!T276+'Capex forecast - 3014'!T276+'Capex forecast - 3015'!T276+'Capex forecast - 3016'!T276+'Capex forecast - 3017'!T276+'Capex forecast - 3018'!T276+'Capex forecast - 3019'!T276+'Capex forecast - 3020'!T276+'Capex forecast - 3021'!T276+'Capex forecast - 3022'!T276+'Capex forecast - 3023'!T276+'Capex forecast - 3024'!T276+'Capex forecast - 3025'!T276+'Capex forecast - IT'!T276+'Capex forecast - other non-IT'!T276</f>
        <v>1021350.3861713597</v>
      </c>
      <c r="M14" s="45">
        <f>'Capex forecast - 3001'!U276+'Capex forecast - 3002'!U276+'Capex forecast - 3003'!U276+'Capex forecast - 3004'!U276+'Capex forecast - 3005'!U276+'Capex forecast - 3006'!U276++'Capex forecast - 3007'!U276+'Capex forecast - 3008'!U276+'Capex forecast - 3009'!U276+'Capex forecast - 3010'!U276+'Capex forecast - 3011'!U276+'Capex forecast - 3012'!U276+'Capex forecast - 3013'!U276+'Capex forecast - 3014'!U276+'Capex forecast - 3015'!U276+'Capex forecast - 3016'!U276+'Capex forecast - 3017'!U276+'Capex forecast - 3018'!U276+'Capex forecast - 3019'!U276+'Capex forecast - 3020'!U276+'Capex forecast - 3021'!U276+'Capex forecast - 3022'!U276+'Capex forecast - 3023'!U276+'Capex forecast - 3024'!U276+'Capex forecast - 3025'!U276+'Capex forecast - IT'!U276+'Capex forecast - other non-IT'!U276</f>
        <v>1030805.0891883398</v>
      </c>
      <c r="N14" s="45">
        <f>'Capex forecast - 3001'!V276+'Capex forecast - 3002'!V276+'Capex forecast - 3003'!V276+'Capex forecast - 3004'!V276+'Capex forecast - 3005'!V276+'Capex forecast - 3006'!V276++'Capex forecast - 3007'!V276+'Capex forecast - 3008'!V276+'Capex forecast - 3009'!V276+'Capex forecast - 3010'!V276+'Capex forecast - 3011'!V276+'Capex forecast - 3012'!V276+'Capex forecast - 3013'!V276+'Capex forecast - 3014'!V276+'Capex forecast - 3015'!V276+'Capex forecast - 3016'!V276+'Capex forecast - 3017'!V276+'Capex forecast - 3018'!V276+'Capex forecast - 3019'!V276+'Capex forecast - 3020'!V276+'Capex forecast - 3021'!V276+'Capex forecast - 3022'!V276+'Capex forecast - 3023'!V276+'Capex forecast - 3024'!V276+'Capex forecast - 3025'!V276+'Capex forecast - IT'!V276+'Capex forecast - other non-IT'!V276</f>
        <v>2112155.3860411281</v>
      </c>
      <c r="P14" s="40">
        <f>SUM(J14:N14)</f>
        <v>8244517.5631154059</v>
      </c>
      <c r="R14" s="94"/>
      <c r="S14" s="94"/>
      <c r="T14" s="94"/>
      <c r="U14" s="94"/>
      <c r="V14" s="94"/>
      <c r="W14" s="94"/>
      <c r="X14" s="94"/>
      <c r="Y14" s="94"/>
    </row>
    <row r="15" spans="1:25">
      <c r="B15" s="38" t="s">
        <v>126</v>
      </c>
      <c r="D15" s="29"/>
      <c r="E15" s="29"/>
      <c r="H15" s="45"/>
      <c r="I15" s="45">
        <f>'Capex forecast - 3001'!Q277+'Capex forecast - 3002'!Q277+'Capex forecast - 3003'!Q277+'Capex forecast - 3004'!Q277+'Capex forecast - 3005'!Q277+'Capex forecast - 3006'!Q277++'Capex forecast - 3007'!Q277+'Capex forecast - 3008'!Q277+'Capex forecast - 3009'!Q277+'Capex forecast - 3010'!Q277+'Capex forecast - 3011'!Q277+'Capex forecast - 3012'!Q277+'Capex forecast - 3013'!Q277+'Capex forecast - 3014'!Q277+'Capex forecast - 3015'!Q277+'Capex forecast - 3016'!Q277+'Capex forecast - 3017'!Q277+'Capex forecast - 3018'!Q277+'Capex forecast - 3019'!Q277+'Capex forecast - 3020'!Q277+'Capex forecast - 3021'!Q277+'Capex forecast - 3022'!Q277+'Capex forecast - 3023'!Q277+'Capex forecast - 3024'!Q277+'Capex forecast - 3025'!Q277+'Capex forecast - IT'!Q277+'Capex forecast - other non-IT'!Q277</f>
        <v>27373002.209327303</v>
      </c>
      <c r="J15" s="45">
        <f>'Capex forecast - 3001'!R277+'Capex forecast - 3002'!R277+'Capex forecast - 3003'!R277+'Capex forecast - 3004'!R277+'Capex forecast - 3005'!R277+'Capex forecast - 3006'!R277++'Capex forecast - 3007'!R277+'Capex forecast - 3008'!R277+'Capex forecast - 3009'!R277+'Capex forecast - 3010'!R277+'Capex forecast - 3011'!R277+'Capex forecast - 3012'!R277+'Capex forecast - 3013'!R277+'Capex forecast - 3014'!R277+'Capex forecast - 3015'!R277+'Capex forecast - 3016'!R277+'Capex forecast - 3017'!R277+'Capex forecast - 3018'!R277+'Capex forecast - 3019'!R277+'Capex forecast - 3020'!R277+'Capex forecast - 3021'!R277+'Capex forecast - 3022'!R277+'Capex forecast - 3023'!R277+'Capex forecast - 3024'!R277+'Capex forecast - 3025'!R277+'Capex forecast - IT'!R277+'Capex forecast - other non-IT'!R277</f>
        <v>24821739.045839865</v>
      </c>
      <c r="K15" s="45">
        <f>'Capex forecast - 3001'!S277+'Capex forecast - 3002'!S277+'Capex forecast - 3003'!S277+'Capex forecast - 3004'!S277+'Capex forecast - 3005'!S277+'Capex forecast - 3006'!S277++'Capex forecast - 3007'!S277+'Capex forecast - 3008'!S277+'Capex forecast - 3009'!S277+'Capex forecast - 3010'!S277+'Capex forecast - 3011'!S277+'Capex forecast - 3012'!S277+'Capex forecast - 3013'!S277+'Capex forecast - 3014'!S277+'Capex forecast - 3015'!S277+'Capex forecast - 3016'!S277+'Capex forecast - 3017'!S277+'Capex forecast - 3018'!S277+'Capex forecast - 3019'!S277+'Capex forecast - 3020'!S277+'Capex forecast - 3021'!S277+'Capex forecast - 3022'!S277+'Capex forecast - 3023'!S277+'Capex forecast - 3024'!S277+'Capex forecast - 3025'!S277+'Capex forecast - IT'!S277+'Capex forecast - other non-IT'!S277</f>
        <v>22320121.498234924</v>
      </c>
      <c r="L15" s="45">
        <f>'Capex forecast - 3001'!T277+'Capex forecast - 3002'!T277+'Capex forecast - 3003'!T277+'Capex forecast - 3004'!T277+'Capex forecast - 3005'!T277+'Capex forecast - 3006'!T277++'Capex forecast - 3007'!T277+'Capex forecast - 3008'!T277+'Capex forecast - 3009'!T277+'Capex forecast - 3010'!T277+'Capex forecast - 3011'!T277+'Capex forecast - 3012'!T277+'Capex forecast - 3013'!T277+'Capex forecast - 3014'!T277+'Capex forecast - 3015'!T277+'Capex forecast - 3016'!T277+'Capex forecast - 3017'!T277+'Capex forecast - 3018'!T277+'Capex forecast - 3019'!T277+'Capex forecast - 3020'!T277+'Capex forecast - 3021'!T277+'Capex forecast - 3022'!T277+'Capex forecast - 3023'!T277+'Capex forecast - 3024'!T277+'Capex forecast - 3025'!T277+'Capex forecast - IT'!T277+'Capex forecast - other non-IT'!T277</f>
        <v>23393418.042678747</v>
      </c>
      <c r="M15" s="45">
        <f>'Capex forecast - 3001'!U277+'Capex forecast - 3002'!U277+'Capex forecast - 3003'!U277+'Capex forecast - 3004'!U277+'Capex forecast - 3005'!U277+'Capex forecast - 3006'!U277++'Capex forecast - 3007'!U277+'Capex forecast - 3008'!U277+'Capex forecast - 3009'!U277+'Capex forecast - 3010'!U277+'Capex forecast - 3011'!U277+'Capex forecast - 3012'!U277+'Capex forecast - 3013'!U277+'Capex forecast - 3014'!U277+'Capex forecast - 3015'!U277+'Capex forecast - 3016'!U277+'Capex forecast - 3017'!U277+'Capex forecast - 3018'!U277+'Capex forecast - 3019'!U277+'Capex forecast - 3020'!U277+'Capex forecast - 3021'!U277+'Capex forecast - 3022'!U277+'Capex forecast - 3023'!U277+'Capex forecast - 3024'!U277+'Capex forecast - 3025'!U277+'Capex forecast - IT'!U277+'Capex forecast - other non-IT'!U277</f>
        <v>21605825.515851725</v>
      </c>
      <c r="N15" s="45">
        <f>'Capex forecast - 3001'!V277+'Capex forecast - 3002'!V277+'Capex forecast - 3003'!V277+'Capex forecast - 3004'!V277+'Capex forecast - 3005'!V277+'Capex forecast - 3006'!V277++'Capex forecast - 3007'!V277+'Capex forecast - 3008'!V277+'Capex forecast - 3009'!V277+'Capex forecast - 3010'!V277+'Capex forecast - 3011'!V277+'Capex forecast - 3012'!V277+'Capex forecast - 3013'!V277+'Capex forecast - 3014'!V277+'Capex forecast - 3015'!V277+'Capex forecast - 3016'!V277+'Capex forecast - 3017'!V277+'Capex forecast - 3018'!V277+'Capex forecast - 3019'!V277+'Capex forecast - 3020'!V277+'Capex forecast - 3021'!V277+'Capex forecast - 3022'!V277+'Capex forecast - 3023'!V277+'Capex forecast - 3024'!V277+'Capex forecast - 3025'!V277+'Capex forecast - IT'!V277+'Capex forecast - other non-IT'!V277</f>
        <v>19682428.23312835</v>
      </c>
      <c r="P15" s="40">
        <f t="shared" ref="P15:P26" si="0">SUM(J15:N15)</f>
        <v>111823532.33573361</v>
      </c>
      <c r="R15" s="94"/>
      <c r="S15" s="94"/>
      <c r="T15" s="94"/>
      <c r="U15" s="94"/>
      <c r="V15" s="94"/>
      <c r="W15" s="94"/>
      <c r="X15" s="94"/>
      <c r="Y15" s="94"/>
    </row>
    <row r="16" spans="1:25">
      <c r="B16" s="38" t="s">
        <v>127</v>
      </c>
      <c r="D16" s="29"/>
      <c r="E16" s="29"/>
      <c r="H16" s="45"/>
      <c r="I16" s="45">
        <f>'Capex forecast - 3001'!Q278+'Capex forecast - 3002'!Q278+'Capex forecast - 3003'!Q278+'Capex forecast - 3004'!Q278+'Capex forecast - 3005'!Q278+'Capex forecast - 3006'!Q278++'Capex forecast - 3007'!Q278+'Capex forecast - 3008'!Q278+'Capex forecast - 3009'!Q278+'Capex forecast - 3010'!Q278+'Capex forecast - 3011'!Q278+'Capex forecast - 3012'!Q278+'Capex forecast - 3013'!Q278+'Capex forecast - 3014'!Q278+'Capex forecast - 3015'!Q278+'Capex forecast - 3016'!Q278+'Capex forecast - 3017'!Q278+'Capex forecast - 3018'!Q278+'Capex forecast - 3019'!Q278+'Capex forecast - 3020'!Q278+'Capex forecast - 3021'!Q278+'Capex forecast - 3022'!Q278+'Capex forecast - 3023'!Q278+'Capex forecast - 3024'!Q278+'Capex forecast - 3025'!Q278+'Capex forecast - IT'!Q278+'Capex forecast - other non-IT'!Q278</f>
        <v>35839361.349571347</v>
      </c>
      <c r="J16" s="45">
        <f>'Capex forecast - 3001'!R278+'Capex forecast - 3002'!R278+'Capex forecast - 3003'!R278+'Capex forecast - 3004'!R278+'Capex forecast - 3005'!R278+'Capex forecast - 3006'!R278++'Capex forecast - 3007'!R278+'Capex forecast - 3008'!R278+'Capex forecast - 3009'!R278+'Capex forecast - 3010'!R278+'Capex forecast - 3011'!R278+'Capex forecast - 3012'!R278+'Capex forecast - 3013'!R278+'Capex forecast - 3014'!R278+'Capex forecast - 3015'!R278+'Capex forecast - 3016'!R278+'Capex forecast - 3017'!R278+'Capex forecast - 3018'!R278+'Capex forecast - 3019'!R278+'Capex forecast - 3020'!R278+'Capex forecast - 3021'!R278+'Capex forecast - 3022'!R278+'Capex forecast - 3023'!R278+'Capex forecast - 3024'!R278+'Capex forecast - 3025'!R278+'Capex forecast - IT'!R278+'Capex forecast - other non-IT'!R278</f>
        <v>36606130.292314894</v>
      </c>
      <c r="K16" s="45">
        <f>'Capex forecast - 3001'!S278+'Capex forecast - 3002'!S278+'Capex forecast - 3003'!S278+'Capex forecast - 3004'!S278+'Capex forecast - 3005'!S278+'Capex forecast - 3006'!S278++'Capex forecast - 3007'!S278+'Capex forecast - 3008'!S278+'Capex forecast - 3009'!S278+'Capex forecast - 3010'!S278+'Capex forecast - 3011'!S278+'Capex forecast - 3012'!S278+'Capex forecast - 3013'!S278+'Capex forecast - 3014'!S278+'Capex forecast - 3015'!S278+'Capex forecast - 3016'!S278+'Capex forecast - 3017'!S278+'Capex forecast - 3018'!S278+'Capex forecast - 3019'!S278+'Capex forecast - 3020'!S278+'Capex forecast - 3021'!S278+'Capex forecast - 3022'!S278+'Capex forecast - 3023'!S278+'Capex forecast - 3024'!S278+'Capex forecast - 3025'!S278+'Capex forecast - IT'!S278+'Capex forecast - other non-IT'!S278</f>
        <v>36157797.156484425</v>
      </c>
      <c r="L16" s="45">
        <f>'Capex forecast - 3001'!T278+'Capex forecast - 3002'!T278+'Capex forecast - 3003'!T278+'Capex forecast - 3004'!T278+'Capex forecast - 3005'!T278+'Capex forecast - 3006'!T278++'Capex forecast - 3007'!T278+'Capex forecast - 3008'!T278+'Capex forecast - 3009'!T278+'Capex forecast - 3010'!T278+'Capex forecast - 3011'!T278+'Capex forecast - 3012'!T278+'Capex forecast - 3013'!T278+'Capex forecast - 3014'!T278+'Capex forecast - 3015'!T278+'Capex forecast - 3016'!T278+'Capex forecast - 3017'!T278+'Capex forecast - 3018'!T278+'Capex forecast - 3019'!T278+'Capex forecast - 3020'!T278+'Capex forecast - 3021'!T278+'Capex forecast - 3022'!T278+'Capex forecast - 3023'!T278+'Capex forecast - 3024'!T278+'Capex forecast - 3025'!T278+'Capex forecast - IT'!T278+'Capex forecast - other non-IT'!T278</f>
        <v>37732843.583602667</v>
      </c>
      <c r="M16" s="45">
        <f>'Capex forecast - 3001'!U278+'Capex forecast - 3002'!U278+'Capex forecast - 3003'!U278+'Capex forecast - 3004'!U278+'Capex forecast - 3005'!U278+'Capex forecast - 3006'!U278++'Capex forecast - 3007'!U278+'Capex forecast - 3008'!U278+'Capex forecast - 3009'!U278+'Capex forecast - 3010'!U278+'Capex forecast - 3011'!U278+'Capex forecast - 3012'!U278+'Capex forecast - 3013'!U278+'Capex forecast - 3014'!U278+'Capex forecast - 3015'!U278+'Capex forecast - 3016'!U278+'Capex forecast - 3017'!U278+'Capex forecast - 3018'!U278+'Capex forecast - 3019'!U278+'Capex forecast - 3020'!U278+'Capex forecast - 3021'!U278+'Capex forecast - 3022'!U278+'Capex forecast - 3023'!U278+'Capex forecast - 3024'!U278+'Capex forecast - 3025'!U278+'Capex forecast - IT'!U278+'Capex forecast - other non-IT'!U278</f>
        <v>35248547.029999964</v>
      </c>
      <c r="N16" s="45">
        <f>'Capex forecast - 3001'!V278+'Capex forecast - 3002'!V278+'Capex forecast - 3003'!V278+'Capex forecast - 3004'!V278+'Capex forecast - 3005'!V278+'Capex forecast - 3006'!V278++'Capex forecast - 3007'!V278+'Capex forecast - 3008'!V278+'Capex forecast - 3009'!V278+'Capex forecast - 3010'!V278+'Capex forecast - 3011'!V278+'Capex forecast - 3012'!V278+'Capex forecast - 3013'!V278+'Capex forecast - 3014'!V278+'Capex forecast - 3015'!V278+'Capex forecast - 3016'!V278+'Capex forecast - 3017'!V278+'Capex forecast - 3018'!V278+'Capex forecast - 3019'!V278+'Capex forecast - 3020'!V278+'Capex forecast - 3021'!V278+'Capex forecast - 3022'!V278+'Capex forecast - 3023'!V278+'Capex forecast - 3024'!V278+'Capex forecast - 3025'!V278+'Capex forecast - IT'!V278+'Capex forecast - other non-IT'!V278</f>
        <v>34342928.900406405</v>
      </c>
      <c r="P16" s="40">
        <f t="shared" si="0"/>
        <v>180088246.96280837</v>
      </c>
    </row>
    <row r="17" spans="1:16">
      <c r="B17" s="38" t="s">
        <v>34</v>
      </c>
      <c r="D17" s="29"/>
      <c r="E17" s="29"/>
      <c r="H17" s="45"/>
      <c r="I17" s="45">
        <f>'Capex forecast - 3001'!Q279+'Capex forecast - 3002'!Q279+'Capex forecast - 3003'!Q279+'Capex forecast - 3004'!Q279+'Capex forecast - 3005'!Q279+'Capex forecast - 3006'!Q279++'Capex forecast - 3007'!Q279+'Capex forecast - 3008'!Q279+'Capex forecast - 3009'!Q279+'Capex forecast - 3010'!Q279+'Capex forecast - 3011'!Q279+'Capex forecast - 3012'!Q279+'Capex forecast - 3013'!Q279+'Capex forecast - 3014'!Q279+'Capex forecast - 3015'!Q279+'Capex forecast - 3016'!Q279+'Capex forecast - 3017'!Q279+'Capex forecast - 3018'!Q279+'Capex forecast - 3019'!Q279+'Capex forecast - 3020'!Q279+'Capex forecast - 3021'!Q279+'Capex forecast - 3022'!Q279+'Capex forecast - 3023'!Q279+'Capex forecast - 3024'!Q279+'Capex forecast - 3025'!Q279+'Capex forecast - IT'!Q279+'Capex forecast - other non-IT'!Q279</f>
        <v>296037.97274349735</v>
      </c>
      <c r="J17" s="45">
        <f>'Capex forecast - 3001'!R279+'Capex forecast - 3002'!R279+'Capex forecast - 3003'!R279+'Capex forecast - 3004'!R279+'Capex forecast - 3005'!R279+'Capex forecast - 3006'!R279++'Capex forecast - 3007'!R279+'Capex forecast - 3008'!R279+'Capex forecast - 3009'!R279+'Capex forecast - 3010'!R279+'Capex forecast - 3011'!R279+'Capex forecast - 3012'!R279+'Capex forecast - 3013'!R279+'Capex forecast - 3014'!R279+'Capex forecast - 3015'!R279+'Capex forecast - 3016'!R279+'Capex forecast - 3017'!R279+'Capex forecast - 3018'!R279+'Capex forecast - 3019'!R279+'Capex forecast - 3020'!R279+'Capex forecast - 3021'!R279+'Capex forecast - 3022'!R279+'Capex forecast - 3023'!R279+'Capex forecast - 3024'!R279+'Capex forecast - 3025'!R279+'Capex forecast - IT'!R279+'Capex forecast - other non-IT'!R279</f>
        <v>403034.09279218095</v>
      </c>
      <c r="K17" s="45">
        <f>'Capex forecast - 3001'!S279+'Capex forecast - 3002'!S279+'Capex forecast - 3003'!S279+'Capex forecast - 3004'!S279+'Capex forecast - 3005'!S279+'Capex forecast - 3006'!S279++'Capex forecast - 3007'!S279+'Capex forecast - 3008'!S279+'Capex forecast - 3009'!S279+'Capex forecast - 3010'!S279+'Capex forecast - 3011'!S279+'Capex forecast - 3012'!S279+'Capex forecast - 3013'!S279+'Capex forecast - 3014'!S279+'Capex forecast - 3015'!S279+'Capex forecast - 3016'!S279+'Capex forecast - 3017'!S279+'Capex forecast - 3018'!S279+'Capex forecast - 3019'!S279+'Capex forecast - 3020'!S279+'Capex forecast - 3021'!S279+'Capex forecast - 3022'!S279+'Capex forecast - 3023'!S279+'Capex forecast - 3024'!S279+'Capex forecast - 3025'!S279+'Capex forecast - IT'!S279+'Capex forecast - other non-IT'!S279</f>
        <v>406001.89919820975</v>
      </c>
      <c r="L17" s="45">
        <f>'Capex forecast - 3001'!T279+'Capex forecast - 3002'!T279+'Capex forecast - 3003'!T279+'Capex forecast - 3004'!T279+'Capex forecast - 3005'!T279+'Capex forecast - 3006'!T279++'Capex forecast - 3007'!T279+'Capex forecast - 3008'!T279+'Capex forecast - 3009'!T279+'Capex forecast - 3010'!T279+'Capex forecast - 3011'!T279+'Capex forecast - 3012'!T279+'Capex forecast - 3013'!T279+'Capex forecast - 3014'!T279+'Capex forecast - 3015'!T279+'Capex forecast - 3016'!T279+'Capex forecast - 3017'!T279+'Capex forecast - 3018'!T279+'Capex forecast - 3019'!T279+'Capex forecast - 3020'!T279+'Capex forecast - 3021'!T279+'Capex forecast - 3022'!T279+'Capex forecast - 3023'!T279+'Capex forecast - 3024'!T279+'Capex forecast - 3025'!T279+'Capex forecast - IT'!T279+'Capex forecast - other non-IT'!T279</f>
        <v>411921.73369026947</v>
      </c>
      <c r="M17" s="45">
        <f>'Capex forecast - 3001'!U279+'Capex forecast - 3002'!U279+'Capex forecast - 3003'!U279+'Capex forecast - 3004'!U279+'Capex forecast - 3005'!U279+'Capex forecast - 3006'!U279++'Capex forecast - 3007'!U279+'Capex forecast - 3008'!U279+'Capex forecast - 3009'!U279+'Capex forecast - 3010'!U279+'Capex forecast - 3011'!U279+'Capex forecast - 3012'!U279+'Capex forecast - 3013'!U279+'Capex forecast - 3014'!U279+'Capex forecast - 3015'!U279+'Capex forecast - 3016'!U279+'Capex forecast - 3017'!U279+'Capex forecast - 3018'!U279+'Capex forecast - 3019'!U279+'Capex forecast - 3020'!U279+'Capex forecast - 3021'!U279+'Capex forecast - 3022'!U279+'Capex forecast - 3023'!U279+'Capex forecast - 3024'!U279+'Capex forecast - 3025'!U279+'Capex forecast - IT'!U279+'Capex forecast - other non-IT'!U279</f>
        <v>417004.2723653033</v>
      </c>
      <c r="N17" s="45">
        <f>'Capex forecast - 3001'!V279+'Capex forecast - 3002'!V279+'Capex forecast - 3003'!V279+'Capex forecast - 3004'!V279+'Capex forecast - 3005'!V279+'Capex forecast - 3006'!V279++'Capex forecast - 3007'!V279+'Capex forecast - 3008'!V279+'Capex forecast - 3009'!V279+'Capex forecast - 3010'!V279+'Capex forecast - 3011'!V279+'Capex forecast - 3012'!V279+'Capex forecast - 3013'!V279+'Capex forecast - 3014'!V279+'Capex forecast - 3015'!V279+'Capex forecast - 3016'!V279+'Capex forecast - 3017'!V279+'Capex forecast - 3018'!V279+'Capex forecast - 3019'!V279+'Capex forecast - 3020'!V279+'Capex forecast - 3021'!V279+'Capex forecast - 3022'!V279+'Capex forecast - 3023'!V279+'Capex forecast - 3024'!V279+'Capex forecast - 3025'!V279+'Capex forecast - IT'!V279+'Capex forecast - other non-IT'!V279</f>
        <v>422529.99112276814</v>
      </c>
      <c r="P17" s="40">
        <f t="shared" si="0"/>
        <v>2060491.9891687315</v>
      </c>
    </row>
    <row r="18" spans="1:16">
      <c r="B18" s="38" t="s">
        <v>234</v>
      </c>
      <c r="D18" s="29"/>
      <c r="E18" s="29"/>
      <c r="H18" s="45"/>
      <c r="I18" s="45">
        <f>'Capex forecast - 3001'!Q280+'Capex forecast - 3002'!Q280+'Capex forecast - 3003'!Q280+'Capex forecast - 3004'!Q280+'Capex forecast - 3005'!Q280+'Capex forecast - 3006'!Q280++'Capex forecast - 3007'!Q280+'Capex forecast - 3008'!Q280+'Capex forecast - 3009'!Q280+'Capex forecast - 3010'!Q280+'Capex forecast - 3011'!Q280+'Capex forecast - 3012'!Q280+'Capex forecast - 3013'!Q280+'Capex forecast - 3014'!Q280+'Capex forecast - 3015'!Q280+'Capex forecast - 3016'!Q280+'Capex forecast - 3017'!Q280+'Capex forecast - 3018'!Q280+'Capex forecast - 3019'!Q280+'Capex forecast - 3020'!Q280+'Capex forecast - 3021'!Q280+'Capex forecast - 3022'!Q280+'Capex forecast - 3023'!Q280+'Capex forecast - 3024'!Q280+'Capex forecast - 3025'!Q280+'Capex forecast - IT'!Q280+'Capex forecast - other non-IT'!Q280</f>
        <v>5054285.079205242</v>
      </c>
      <c r="J18" s="45">
        <f>'Capex forecast - 3001'!R280+'Capex forecast - 3002'!R280+'Capex forecast - 3003'!R280+'Capex forecast - 3004'!R280+'Capex forecast - 3005'!R280+'Capex forecast - 3006'!R280++'Capex forecast - 3007'!R280+'Capex forecast - 3008'!R280+'Capex forecast - 3009'!R280+'Capex forecast - 3010'!R280+'Capex forecast - 3011'!R280+'Capex forecast - 3012'!R280+'Capex forecast - 3013'!R280+'Capex forecast - 3014'!R280+'Capex forecast - 3015'!R280+'Capex forecast - 3016'!R280+'Capex forecast - 3017'!R280+'Capex forecast - 3018'!R280+'Capex forecast - 3019'!R280+'Capex forecast - 3020'!R280+'Capex forecast - 3021'!R280+'Capex forecast - 3022'!R280+'Capex forecast - 3023'!R280+'Capex forecast - 3024'!R280+'Capex forecast - 3025'!R280+'Capex forecast - IT'!R280+'Capex forecast - other non-IT'!R280</f>
        <v>7459395.9675861113</v>
      </c>
      <c r="K18" s="45">
        <f>'Capex forecast - 3001'!S280+'Capex forecast - 3002'!S280+'Capex forecast - 3003'!S280+'Capex forecast - 3004'!S280+'Capex forecast - 3005'!S280+'Capex forecast - 3006'!S280++'Capex forecast - 3007'!S280+'Capex forecast - 3008'!S280+'Capex forecast - 3009'!S280+'Capex forecast - 3010'!S280+'Capex forecast - 3011'!S280+'Capex forecast - 3012'!S280+'Capex forecast - 3013'!S280+'Capex forecast - 3014'!S280+'Capex forecast - 3015'!S280+'Capex forecast - 3016'!S280+'Capex forecast - 3017'!S280+'Capex forecast - 3018'!S280+'Capex forecast - 3019'!S280+'Capex forecast - 3020'!S280+'Capex forecast - 3021'!S280+'Capex forecast - 3022'!S280+'Capex forecast - 3023'!S280+'Capex forecast - 3024'!S280+'Capex forecast - 3025'!S280+'Capex forecast - IT'!S280+'Capex forecast - other non-IT'!S280</f>
        <v>6646592.8507980891</v>
      </c>
      <c r="L18" s="45">
        <f>'Capex forecast - 3001'!T280+'Capex forecast - 3002'!T280+'Capex forecast - 3003'!T280+'Capex forecast - 3004'!T280+'Capex forecast - 3005'!T280+'Capex forecast - 3006'!T280++'Capex forecast - 3007'!T280+'Capex forecast - 3008'!T280+'Capex forecast - 3009'!T280+'Capex forecast - 3010'!T280+'Capex forecast - 3011'!T280+'Capex forecast - 3012'!T280+'Capex forecast - 3013'!T280+'Capex forecast - 3014'!T280+'Capex forecast - 3015'!T280+'Capex forecast - 3016'!T280+'Capex forecast - 3017'!T280+'Capex forecast - 3018'!T280+'Capex forecast - 3019'!T280+'Capex forecast - 3020'!T280+'Capex forecast - 3021'!T280+'Capex forecast - 3022'!T280+'Capex forecast - 3023'!T280+'Capex forecast - 3024'!T280+'Capex forecast - 3025'!T280+'Capex forecast - IT'!T280+'Capex forecast - other non-IT'!T280</f>
        <v>4342911.7398001691</v>
      </c>
      <c r="M18" s="45">
        <f>'Capex forecast - 3001'!U280+'Capex forecast - 3002'!U280+'Capex forecast - 3003'!U280+'Capex forecast - 3004'!U280+'Capex forecast - 3005'!U280+'Capex forecast - 3006'!U280++'Capex forecast - 3007'!U280+'Capex forecast - 3008'!U280+'Capex forecast - 3009'!U280+'Capex forecast - 3010'!U280+'Capex forecast - 3011'!U280+'Capex forecast - 3012'!U280+'Capex forecast - 3013'!U280+'Capex forecast - 3014'!U280+'Capex forecast - 3015'!U280+'Capex forecast - 3016'!U280+'Capex forecast - 3017'!U280+'Capex forecast - 3018'!U280+'Capex forecast - 3019'!U280+'Capex forecast - 3020'!U280+'Capex forecast - 3021'!U280+'Capex forecast - 3022'!U280+'Capex forecast - 3023'!U280+'Capex forecast - 3024'!U280+'Capex forecast - 3025'!U280+'Capex forecast - IT'!U280+'Capex forecast - other non-IT'!U280</f>
        <v>4198414.6482686456</v>
      </c>
      <c r="N18" s="45">
        <f>'Capex forecast - 3001'!V280+'Capex forecast - 3002'!V280+'Capex forecast - 3003'!V280+'Capex forecast - 3004'!V280+'Capex forecast - 3005'!V280+'Capex forecast - 3006'!V280++'Capex forecast - 3007'!V280+'Capex forecast - 3008'!V280+'Capex forecast - 3009'!V280+'Capex forecast - 3010'!V280+'Capex forecast - 3011'!V280+'Capex forecast - 3012'!V280+'Capex forecast - 3013'!V280+'Capex forecast - 3014'!V280+'Capex forecast - 3015'!V280+'Capex forecast - 3016'!V280+'Capex forecast - 3017'!V280+'Capex forecast - 3018'!V280+'Capex forecast - 3019'!V280+'Capex forecast - 3020'!V280+'Capex forecast - 3021'!V280+'Capex forecast - 3022'!V280+'Capex forecast - 3023'!V280+'Capex forecast - 3024'!V280+'Capex forecast - 3025'!V280+'Capex forecast - IT'!V280+'Capex forecast - other non-IT'!V280</f>
        <v>3789926.4114890071</v>
      </c>
      <c r="P18" s="40">
        <f t="shared" si="0"/>
        <v>26437241.617942024</v>
      </c>
    </row>
    <row r="19" spans="1:16">
      <c r="B19" s="38" t="s">
        <v>65</v>
      </c>
      <c r="D19" s="29"/>
      <c r="E19" s="29"/>
      <c r="H19" s="45"/>
      <c r="I19" s="45">
        <f>'Capex forecast - 3001'!Q281+'Capex forecast - 3002'!Q281+'Capex forecast - 3003'!Q281+'Capex forecast - 3004'!Q281+'Capex forecast - 3005'!Q281+'Capex forecast - 3006'!Q281++'Capex forecast - 3007'!Q281+'Capex forecast - 3008'!Q281+'Capex forecast - 3009'!Q281+'Capex forecast - 3010'!Q281+'Capex forecast - 3011'!Q281+'Capex forecast - 3012'!Q281+'Capex forecast - 3013'!Q281+'Capex forecast - 3014'!Q281+'Capex forecast - 3015'!Q281+'Capex forecast - 3016'!Q281+'Capex forecast - 3017'!Q281+'Capex forecast - 3018'!Q281+'Capex forecast - 3019'!Q281+'Capex forecast - 3020'!Q281+'Capex forecast - 3021'!Q281+'Capex forecast - 3022'!Q281+'Capex forecast - 3023'!Q281+'Capex forecast - 3024'!Q281+'Capex forecast - 3025'!Q281+'Capex forecast - IT'!Q281+'Capex forecast - other non-IT'!Q281</f>
        <v>12467532.029395292</v>
      </c>
      <c r="J19" s="45">
        <f>'Capex forecast - 3001'!R281+'Capex forecast - 3002'!R281+'Capex forecast - 3003'!R281+'Capex forecast - 3004'!R281+'Capex forecast - 3005'!R281+'Capex forecast - 3006'!R281++'Capex forecast - 3007'!R281+'Capex forecast - 3008'!R281+'Capex forecast - 3009'!R281+'Capex forecast - 3010'!R281+'Capex forecast - 3011'!R281+'Capex forecast - 3012'!R281+'Capex forecast - 3013'!R281+'Capex forecast - 3014'!R281+'Capex forecast - 3015'!R281+'Capex forecast - 3016'!R281+'Capex forecast - 3017'!R281+'Capex forecast - 3018'!R281+'Capex forecast - 3019'!R281+'Capex forecast - 3020'!R281+'Capex forecast - 3021'!R281+'Capex forecast - 3022'!R281+'Capex forecast - 3023'!R281+'Capex forecast - 3024'!R281+'Capex forecast - 3025'!R281+'Capex forecast - IT'!R281+'Capex forecast - other non-IT'!R281</f>
        <v>14166953.213438116</v>
      </c>
      <c r="K19" s="45">
        <f>'Capex forecast - 3001'!S281+'Capex forecast - 3002'!S281+'Capex forecast - 3003'!S281+'Capex forecast - 3004'!S281+'Capex forecast - 3005'!S281+'Capex forecast - 3006'!S281++'Capex forecast - 3007'!S281+'Capex forecast - 3008'!S281+'Capex forecast - 3009'!S281+'Capex forecast - 3010'!S281+'Capex forecast - 3011'!S281+'Capex forecast - 3012'!S281+'Capex forecast - 3013'!S281+'Capex forecast - 3014'!S281+'Capex forecast - 3015'!S281+'Capex forecast - 3016'!S281+'Capex forecast - 3017'!S281+'Capex forecast - 3018'!S281+'Capex forecast - 3019'!S281+'Capex forecast - 3020'!S281+'Capex forecast - 3021'!S281+'Capex forecast - 3022'!S281+'Capex forecast - 3023'!S281+'Capex forecast - 3024'!S281+'Capex forecast - 3025'!S281+'Capex forecast - IT'!S281+'Capex forecast - other non-IT'!S281</f>
        <v>14876121.442589361</v>
      </c>
      <c r="L19" s="45">
        <f>'Capex forecast - 3001'!T281+'Capex forecast - 3002'!T281+'Capex forecast - 3003'!T281+'Capex forecast - 3004'!T281+'Capex forecast - 3005'!T281+'Capex forecast - 3006'!T281++'Capex forecast - 3007'!T281+'Capex forecast - 3008'!T281+'Capex forecast - 3009'!T281+'Capex forecast - 3010'!T281+'Capex forecast - 3011'!T281+'Capex forecast - 3012'!T281+'Capex forecast - 3013'!T281+'Capex forecast - 3014'!T281+'Capex forecast - 3015'!T281+'Capex forecast - 3016'!T281+'Capex forecast - 3017'!T281+'Capex forecast - 3018'!T281+'Capex forecast - 3019'!T281+'Capex forecast - 3020'!T281+'Capex forecast - 3021'!T281+'Capex forecast - 3022'!T281+'Capex forecast - 3023'!T281+'Capex forecast - 3024'!T281+'Capex forecast - 3025'!T281+'Capex forecast - IT'!T281+'Capex forecast - other non-IT'!T281</f>
        <v>14476524.452634318</v>
      </c>
      <c r="M19" s="45">
        <f>'Capex forecast - 3001'!U281+'Capex forecast - 3002'!U281+'Capex forecast - 3003'!U281+'Capex forecast - 3004'!U281+'Capex forecast - 3005'!U281+'Capex forecast - 3006'!U281++'Capex forecast - 3007'!U281+'Capex forecast - 3008'!U281+'Capex forecast - 3009'!U281+'Capex forecast - 3010'!U281+'Capex forecast - 3011'!U281+'Capex forecast - 3012'!U281+'Capex forecast - 3013'!U281+'Capex forecast - 3014'!U281+'Capex forecast - 3015'!U281+'Capex forecast - 3016'!U281+'Capex forecast - 3017'!U281+'Capex forecast - 3018'!U281+'Capex forecast - 3019'!U281+'Capex forecast - 3020'!U281+'Capex forecast - 3021'!U281+'Capex forecast - 3022'!U281+'Capex forecast - 3023'!U281+'Capex forecast - 3024'!U281+'Capex forecast - 3025'!U281+'Capex forecast - IT'!U281+'Capex forecast - other non-IT'!U281</f>
        <v>14356468.126037126</v>
      </c>
      <c r="N19" s="45">
        <f>'Capex forecast - 3001'!V281+'Capex forecast - 3002'!V281+'Capex forecast - 3003'!V281+'Capex forecast - 3004'!V281+'Capex forecast - 3005'!V281+'Capex forecast - 3006'!V281++'Capex forecast - 3007'!V281+'Capex forecast - 3008'!V281+'Capex forecast - 3009'!V281+'Capex forecast - 3010'!V281+'Capex forecast - 3011'!V281+'Capex forecast - 3012'!V281+'Capex forecast - 3013'!V281+'Capex forecast - 3014'!V281+'Capex forecast - 3015'!V281+'Capex forecast - 3016'!V281+'Capex forecast - 3017'!V281+'Capex forecast - 3018'!V281+'Capex forecast - 3019'!V281+'Capex forecast - 3020'!V281+'Capex forecast - 3021'!V281+'Capex forecast - 3022'!V281+'Capex forecast - 3023'!V281+'Capex forecast - 3024'!V281+'Capex forecast - 3025'!V281+'Capex forecast - IT'!V281+'Capex forecast - other non-IT'!V281</f>
        <v>14751294.607328266</v>
      </c>
      <c r="P19" s="40">
        <f t="shared" si="0"/>
        <v>72627361.842027187</v>
      </c>
    </row>
    <row r="20" spans="1:16">
      <c r="B20" s="38" t="s">
        <v>66</v>
      </c>
      <c r="D20" s="29"/>
      <c r="E20" s="29"/>
      <c r="H20" s="45"/>
      <c r="I20" s="45">
        <f>'Capex forecast - 3001'!Q282+'Capex forecast - 3002'!Q282+'Capex forecast - 3003'!Q282+'Capex forecast - 3004'!Q282+'Capex forecast - 3005'!Q282+'Capex forecast - 3006'!Q282++'Capex forecast - 3007'!Q282+'Capex forecast - 3008'!Q282+'Capex forecast - 3009'!Q282+'Capex forecast - 3010'!Q282+'Capex forecast - 3011'!Q282+'Capex forecast - 3012'!Q282+'Capex forecast - 3013'!Q282+'Capex forecast - 3014'!Q282+'Capex forecast - 3015'!Q282+'Capex forecast - 3016'!Q282+'Capex forecast - 3017'!Q282+'Capex forecast - 3018'!Q282+'Capex forecast - 3019'!Q282+'Capex forecast - 3020'!Q282+'Capex forecast - 3021'!Q282+'Capex forecast - 3022'!Q282+'Capex forecast - 3023'!Q282+'Capex forecast - 3024'!Q282+'Capex forecast - 3025'!Q282+'Capex forecast - IT'!Q282+'Capex forecast - other non-IT'!Q282</f>
        <v>439002.85662744858</v>
      </c>
      <c r="J20" s="45">
        <f>'Capex forecast - 3001'!R282+'Capex forecast - 3002'!R282+'Capex forecast - 3003'!R282+'Capex forecast - 3004'!R282+'Capex forecast - 3005'!R282+'Capex forecast - 3006'!R282++'Capex forecast - 3007'!R282+'Capex forecast - 3008'!R282+'Capex forecast - 3009'!R282+'Capex forecast - 3010'!R282+'Capex forecast - 3011'!R282+'Capex forecast - 3012'!R282+'Capex forecast - 3013'!R282+'Capex forecast - 3014'!R282+'Capex forecast - 3015'!R282+'Capex forecast - 3016'!R282+'Capex forecast - 3017'!R282+'Capex forecast - 3018'!R282+'Capex forecast - 3019'!R282+'Capex forecast - 3020'!R282+'Capex forecast - 3021'!R282+'Capex forecast - 3022'!R282+'Capex forecast - 3023'!R282+'Capex forecast - 3024'!R282+'Capex forecast - 3025'!R282+'Capex forecast - IT'!R282+'Capex forecast - other non-IT'!R282</f>
        <v>403616.2003721004</v>
      </c>
      <c r="K20" s="45">
        <f>'Capex forecast - 3001'!S282+'Capex forecast - 3002'!S282+'Capex forecast - 3003'!S282+'Capex forecast - 3004'!S282+'Capex forecast - 3005'!S282+'Capex forecast - 3006'!S282++'Capex forecast - 3007'!S282+'Capex forecast - 3008'!S282+'Capex forecast - 3009'!S282+'Capex forecast - 3010'!S282+'Capex forecast - 3011'!S282+'Capex forecast - 3012'!S282+'Capex forecast - 3013'!S282+'Capex forecast - 3014'!S282+'Capex forecast - 3015'!S282+'Capex forecast - 3016'!S282+'Capex forecast - 3017'!S282+'Capex forecast - 3018'!S282+'Capex forecast - 3019'!S282+'Capex forecast - 3020'!S282+'Capex forecast - 3021'!S282+'Capex forecast - 3022'!S282+'Capex forecast - 3023'!S282+'Capex forecast - 3024'!S282+'Capex forecast - 3025'!S282+'Capex forecast - IT'!S282+'Capex forecast - other non-IT'!S282</f>
        <v>362197.83226479194</v>
      </c>
      <c r="L20" s="45">
        <f>'Capex forecast - 3001'!T282+'Capex forecast - 3002'!T282+'Capex forecast - 3003'!T282+'Capex forecast - 3004'!T282+'Capex forecast - 3005'!T282+'Capex forecast - 3006'!T282++'Capex forecast - 3007'!T282+'Capex forecast - 3008'!T282+'Capex forecast - 3009'!T282+'Capex forecast - 3010'!T282+'Capex forecast - 3011'!T282+'Capex forecast - 3012'!T282+'Capex forecast - 3013'!T282+'Capex forecast - 3014'!T282+'Capex forecast - 3015'!T282+'Capex forecast - 3016'!T282+'Capex forecast - 3017'!T282+'Capex forecast - 3018'!T282+'Capex forecast - 3019'!T282+'Capex forecast - 3020'!T282+'Capex forecast - 3021'!T282+'Capex forecast - 3022'!T282+'Capex forecast - 3023'!T282+'Capex forecast - 3024'!T282+'Capex forecast - 3025'!T282+'Capex forecast - IT'!T282+'Capex forecast - other non-IT'!T282</f>
        <v>329809.36843843543</v>
      </c>
      <c r="M20" s="45">
        <f>'Capex forecast - 3001'!U282+'Capex forecast - 3002'!U282+'Capex forecast - 3003'!U282+'Capex forecast - 3004'!U282+'Capex forecast - 3005'!U282+'Capex forecast - 3006'!U282++'Capex forecast - 3007'!U282+'Capex forecast - 3008'!U282+'Capex forecast - 3009'!U282+'Capex forecast - 3010'!U282+'Capex forecast - 3011'!U282+'Capex forecast - 3012'!U282+'Capex forecast - 3013'!U282+'Capex forecast - 3014'!U282+'Capex forecast - 3015'!U282+'Capex forecast - 3016'!U282+'Capex forecast - 3017'!U282+'Capex forecast - 3018'!U282+'Capex forecast - 3019'!U282+'Capex forecast - 3020'!U282+'Capex forecast - 3021'!U282+'Capex forecast - 3022'!U282+'Capex forecast - 3023'!U282+'Capex forecast - 3024'!U282+'Capex forecast - 3025'!U282+'Capex forecast - IT'!U282+'Capex forecast - other non-IT'!U282</f>
        <v>1319197.6312437584</v>
      </c>
      <c r="N20" s="45">
        <f>'Capex forecast - 3001'!V282+'Capex forecast - 3002'!V282+'Capex forecast - 3003'!V282+'Capex forecast - 3004'!V282+'Capex forecast - 3005'!V282+'Capex forecast - 3006'!V282++'Capex forecast - 3007'!V282+'Capex forecast - 3008'!V282+'Capex forecast - 3009'!V282+'Capex forecast - 3010'!V282+'Capex forecast - 3011'!V282+'Capex forecast - 3012'!V282+'Capex forecast - 3013'!V282+'Capex forecast - 3014'!V282+'Capex forecast - 3015'!V282+'Capex forecast - 3016'!V282+'Capex forecast - 3017'!V282+'Capex forecast - 3018'!V282+'Capex forecast - 3019'!V282+'Capex forecast - 3020'!V282+'Capex forecast - 3021'!V282+'Capex forecast - 3022'!V282+'Capex forecast - 3023'!V282+'Capex forecast - 3024'!V282+'Capex forecast - 3025'!V282+'Capex forecast - IT'!V282+'Capex forecast - other non-IT'!V282</f>
        <v>1422401.8446578321</v>
      </c>
      <c r="P20" s="40">
        <f t="shared" si="0"/>
        <v>3837222.8769769184</v>
      </c>
    </row>
    <row r="21" spans="1:16">
      <c r="B21" s="38" t="s">
        <v>107</v>
      </c>
      <c r="D21" s="29"/>
      <c r="E21" s="29"/>
      <c r="H21" s="45"/>
      <c r="I21" s="45">
        <f>'Capex forecast - 3001'!Q283+'Capex forecast - 3002'!Q283+'Capex forecast - 3003'!Q283+'Capex forecast - 3004'!Q283+'Capex forecast - 3005'!Q283+'Capex forecast - 3006'!Q283++'Capex forecast - 3007'!Q283+'Capex forecast - 3008'!Q283+'Capex forecast - 3009'!Q283+'Capex forecast - 3010'!Q283+'Capex forecast - 3011'!Q283+'Capex forecast - 3012'!Q283+'Capex forecast - 3013'!Q283+'Capex forecast - 3014'!Q283+'Capex forecast - 3015'!Q283+'Capex forecast - 3016'!Q283+'Capex forecast - 3017'!Q283+'Capex forecast - 3018'!Q283+'Capex forecast - 3019'!Q283+'Capex forecast - 3020'!Q283+'Capex forecast - 3021'!Q283+'Capex forecast - 3022'!Q283+'Capex forecast - 3023'!Q283+'Capex forecast - 3024'!Q283+'Capex forecast - 3025'!Q283+'Capex forecast - IT'!Q283+'Capex forecast - other non-IT'!Q283</f>
        <v>0</v>
      </c>
      <c r="J21" s="45">
        <f>'Capex forecast - 3001'!R283+'Capex forecast - 3002'!R283+'Capex forecast - 3003'!R283+'Capex forecast - 3004'!R283+'Capex forecast - 3005'!R283+'Capex forecast - 3006'!R283++'Capex forecast - 3007'!R283+'Capex forecast - 3008'!R283+'Capex forecast - 3009'!R283+'Capex forecast - 3010'!R283+'Capex forecast - 3011'!R283+'Capex forecast - 3012'!R283+'Capex forecast - 3013'!R283+'Capex forecast - 3014'!R283+'Capex forecast - 3015'!R283+'Capex forecast - 3016'!R283+'Capex forecast - 3017'!R283+'Capex forecast - 3018'!R283+'Capex forecast - 3019'!R283+'Capex forecast - 3020'!R283+'Capex forecast - 3021'!R283+'Capex forecast - 3022'!R283+'Capex forecast - 3023'!R283+'Capex forecast - 3024'!R283+'Capex forecast - 3025'!R283+'Capex forecast - IT'!R283+'Capex forecast - other non-IT'!R283</f>
        <v>0</v>
      </c>
      <c r="K21" s="45">
        <f>'Capex forecast - 3001'!S283+'Capex forecast - 3002'!S283+'Capex forecast - 3003'!S283+'Capex forecast - 3004'!S283+'Capex forecast - 3005'!S283+'Capex forecast - 3006'!S283++'Capex forecast - 3007'!S283+'Capex forecast - 3008'!S283+'Capex forecast - 3009'!S283+'Capex forecast - 3010'!S283+'Capex forecast - 3011'!S283+'Capex forecast - 3012'!S283+'Capex forecast - 3013'!S283+'Capex forecast - 3014'!S283+'Capex forecast - 3015'!S283+'Capex forecast - 3016'!S283+'Capex forecast - 3017'!S283+'Capex forecast - 3018'!S283+'Capex forecast - 3019'!S283+'Capex forecast - 3020'!S283+'Capex forecast - 3021'!S283+'Capex forecast - 3022'!S283+'Capex forecast - 3023'!S283+'Capex forecast - 3024'!S283+'Capex forecast - 3025'!S283+'Capex forecast - IT'!S283+'Capex forecast - other non-IT'!S283</f>
        <v>0</v>
      </c>
      <c r="L21" s="45">
        <f>'Capex forecast - 3001'!T283+'Capex forecast - 3002'!T283+'Capex forecast - 3003'!T283+'Capex forecast - 3004'!T283+'Capex forecast - 3005'!T283+'Capex forecast - 3006'!T283++'Capex forecast - 3007'!T283+'Capex forecast - 3008'!T283+'Capex forecast - 3009'!T283+'Capex forecast - 3010'!T283+'Capex forecast - 3011'!T283+'Capex forecast - 3012'!T283+'Capex forecast - 3013'!T283+'Capex forecast - 3014'!T283+'Capex forecast - 3015'!T283+'Capex forecast - 3016'!T283+'Capex forecast - 3017'!T283+'Capex forecast - 3018'!T283+'Capex forecast - 3019'!T283+'Capex forecast - 3020'!T283+'Capex forecast - 3021'!T283+'Capex forecast - 3022'!T283+'Capex forecast - 3023'!T283+'Capex forecast - 3024'!T283+'Capex forecast - 3025'!T283+'Capex forecast - IT'!T283+'Capex forecast - other non-IT'!T283</f>
        <v>0</v>
      </c>
      <c r="M21" s="45">
        <f>'Capex forecast - 3001'!U283+'Capex forecast - 3002'!U283+'Capex forecast - 3003'!U283+'Capex forecast - 3004'!U283+'Capex forecast - 3005'!U283+'Capex forecast - 3006'!U283++'Capex forecast - 3007'!U283+'Capex forecast - 3008'!U283+'Capex forecast - 3009'!U283+'Capex forecast - 3010'!U283+'Capex forecast - 3011'!U283+'Capex forecast - 3012'!U283+'Capex forecast - 3013'!U283+'Capex forecast - 3014'!U283+'Capex forecast - 3015'!U283+'Capex forecast - 3016'!U283+'Capex forecast - 3017'!U283+'Capex forecast - 3018'!U283+'Capex forecast - 3019'!U283+'Capex forecast - 3020'!U283+'Capex forecast - 3021'!U283+'Capex forecast - 3022'!U283+'Capex forecast - 3023'!U283+'Capex forecast - 3024'!U283+'Capex forecast - 3025'!U283+'Capex forecast - IT'!U283+'Capex forecast - other non-IT'!U283</f>
        <v>0</v>
      </c>
      <c r="N21" s="45">
        <f>'Capex forecast - 3001'!V283+'Capex forecast - 3002'!V283+'Capex forecast - 3003'!V283+'Capex forecast - 3004'!V283+'Capex forecast - 3005'!V283+'Capex forecast - 3006'!V283++'Capex forecast - 3007'!V283+'Capex forecast - 3008'!V283+'Capex forecast - 3009'!V283+'Capex forecast - 3010'!V283+'Capex forecast - 3011'!V283+'Capex forecast - 3012'!V283+'Capex forecast - 3013'!V283+'Capex forecast - 3014'!V283+'Capex forecast - 3015'!V283+'Capex forecast - 3016'!V283+'Capex forecast - 3017'!V283+'Capex forecast - 3018'!V283+'Capex forecast - 3019'!V283+'Capex forecast - 3020'!V283+'Capex forecast - 3021'!V283+'Capex forecast - 3022'!V283+'Capex forecast - 3023'!V283+'Capex forecast - 3024'!V283+'Capex forecast - 3025'!V283+'Capex forecast - IT'!V283+'Capex forecast - other non-IT'!V283</f>
        <v>0</v>
      </c>
      <c r="P21" s="40">
        <f t="shared" si="0"/>
        <v>0</v>
      </c>
    </row>
    <row r="22" spans="1:16">
      <c r="B22" s="38" t="s">
        <v>67</v>
      </c>
      <c r="D22" s="29"/>
      <c r="E22" s="29"/>
      <c r="H22" s="45"/>
      <c r="I22" s="45">
        <f>'Capex forecast - 3001'!Q284+'Capex forecast - 3002'!Q284+'Capex forecast - 3003'!Q284+'Capex forecast - 3004'!Q284+'Capex forecast - 3005'!Q284+'Capex forecast - 3006'!Q284++'Capex forecast - 3007'!Q284+'Capex forecast - 3008'!Q284+'Capex forecast - 3009'!Q284+'Capex forecast - 3010'!Q284+'Capex forecast - 3011'!Q284+'Capex forecast - 3012'!Q284+'Capex forecast - 3013'!Q284+'Capex forecast - 3014'!Q284+'Capex forecast - 3015'!Q284+'Capex forecast - 3016'!Q284+'Capex forecast - 3017'!Q284+'Capex forecast - 3018'!Q284+'Capex forecast - 3019'!Q284+'Capex forecast - 3020'!Q284+'Capex forecast - 3021'!Q284+'Capex forecast - 3022'!Q284+'Capex forecast - 3023'!Q284+'Capex forecast - 3024'!Q284+'Capex forecast - 3025'!Q284+'Capex forecast - IT'!Q284+'Capex forecast - other non-IT'!Q284</f>
        <v>6308130.1928902604</v>
      </c>
      <c r="J22" s="45">
        <f>'Capex forecast - 3001'!R284+'Capex forecast - 3002'!R284+'Capex forecast - 3003'!R284+'Capex forecast - 3004'!R284+'Capex forecast - 3005'!R284+'Capex forecast - 3006'!R284++'Capex forecast - 3007'!R284+'Capex forecast - 3008'!R284+'Capex forecast - 3009'!R284+'Capex forecast - 3010'!R284+'Capex forecast - 3011'!R284+'Capex forecast - 3012'!R284+'Capex forecast - 3013'!R284+'Capex forecast - 3014'!R284+'Capex forecast - 3015'!R284+'Capex forecast - 3016'!R284+'Capex forecast - 3017'!R284+'Capex forecast - 3018'!R284+'Capex forecast - 3019'!R284+'Capex forecast - 3020'!R284+'Capex forecast - 3021'!R284+'Capex forecast - 3022'!R284+'Capex forecast - 3023'!R284+'Capex forecast - 3024'!R284+'Capex forecast - 3025'!R284+'Capex forecast - IT'!R284+'Capex forecast - other non-IT'!R284</f>
        <v>13370409.377955636</v>
      </c>
      <c r="K22" s="45">
        <f>'Capex forecast - 3001'!S284+'Capex forecast - 3002'!S284+'Capex forecast - 3003'!S284+'Capex forecast - 3004'!S284+'Capex forecast - 3005'!S284+'Capex forecast - 3006'!S284++'Capex forecast - 3007'!S284+'Capex forecast - 3008'!S284+'Capex forecast - 3009'!S284+'Capex forecast - 3010'!S284+'Capex forecast - 3011'!S284+'Capex forecast - 3012'!S284+'Capex forecast - 3013'!S284+'Capex forecast - 3014'!S284+'Capex forecast - 3015'!S284+'Capex forecast - 3016'!S284+'Capex forecast - 3017'!S284+'Capex forecast - 3018'!S284+'Capex forecast - 3019'!S284+'Capex forecast - 3020'!S284+'Capex forecast - 3021'!S284+'Capex forecast - 3022'!S284+'Capex forecast - 3023'!S284+'Capex forecast - 3024'!S284+'Capex forecast - 3025'!S284+'Capex forecast - IT'!S284+'Capex forecast - other non-IT'!S284</f>
        <v>14579932.724899549</v>
      </c>
      <c r="L22" s="45">
        <f>'Capex forecast - 3001'!T284+'Capex forecast - 3002'!T284+'Capex forecast - 3003'!T284+'Capex forecast - 3004'!T284+'Capex forecast - 3005'!T284+'Capex forecast - 3006'!T284++'Capex forecast - 3007'!T284+'Capex forecast - 3008'!T284+'Capex forecast - 3009'!T284+'Capex forecast - 3010'!T284+'Capex forecast - 3011'!T284+'Capex forecast - 3012'!T284+'Capex forecast - 3013'!T284+'Capex forecast - 3014'!T284+'Capex forecast - 3015'!T284+'Capex forecast - 3016'!T284+'Capex forecast - 3017'!T284+'Capex forecast - 3018'!T284+'Capex forecast - 3019'!T284+'Capex forecast - 3020'!T284+'Capex forecast - 3021'!T284+'Capex forecast - 3022'!T284+'Capex forecast - 3023'!T284+'Capex forecast - 3024'!T284+'Capex forecast - 3025'!T284+'Capex forecast - IT'!T284+'Capex forecast - other non-IT'!T284</f>
        <v>11969278.594408192</v>
      </c>
      <c r="M22" s="45">
        <f>'Capex forecast - 3001'!U284+'Capex forecast - 3002'!U284+'Capex forecast - 3003'!U284+'Capex forecast - 3004'!U284+'Capex forecast - 3005'!U284+'Capex forecast - 3006'!U284++'Capex forecast - 3007'!U284+'Capex forecast - 3008'!U284+'Capex forecast - 3009'!U284+'Capex forecast - 3010'!U284+'Capex forecast - 3011'!U284+'Capex forecast - 3012'!U284+'Capex forecast - 3013'!U284+'Capex forecast - 3014'!U284+'Capex forecast - 3015'!U284+'Capex forecast - 3016'!U284+'Capex forecast - 3017'!U284+'Capex forecast - 3018'!U284+'Capex forecast - 3019'!U284+'Capex forecast - 3020'!U284+'Capex forecast - 3021'!U284+'Capex forecast - 3022'!U284+'Capex forecast - 3023'!U284+'Capex forecast - 3024'!U284+'Capex forecast - 3025'!U284+'Capex forecast - IT'!U284+'Capex forecast - other non-IT'!U284</f>
        <v>9374185.521784829</v>
      </c>
      <c r="N22" s="45">
        <f>'Capex forecast - 3001'!V284+'Capex forecast - 3002'!V284+'Capex forecast - 3003'!V284+'Capex forecast - 3004'!V284+'Capex forecast - 3005'!V284+'Capex forecast - 3006'!V284++'Capex forecast - 3007'!V284+'Capex forecast - 3008'!V284+'Capex forecast - 3009'!V284+'Capex forecast - 3010'!V284+'Capex forecast - 3011'!V284+'Capex forecast - 3012'!V284+'Capex forecast - 3013'!V284+'Capex forecast - 3014'!V284+'Capex forecast - 3015'!V284+'Capex forecast - 3016'!V284+'Capex forecast - 3017'!V284+'Capex forecast - 3018'!V284+'Capex forecast - 3019'!V284+'Capex forecast - 3020'!V284+'Capex forecast - 3021'!V284+'Capex forecast - 3022'!V284+'Capex forecast - 3023'!V284+'Capex forecast - 3024'!V284+'Capex forecast - 3025'!V284+'Capex forecast - IT'!V284+'Capex forecast - other non-IT'!V284</f>
        <v>6365470.0767898764</v>
      </c>
      <c r="P22" s="40">
        <f t="shared" si="0"/>
        <v>55659276.29583808</v>
      </c>
    </row>
    <row r="23" spans="1:16">
      <c r="B23" s="38" t="s">
        <v>68</v>
      </c>
      <c r="D23" s="29"/>
      <c r="E23" s="29"/>
      <c r="H23" s="45"/>
      <c r="I23" s="45">
        <f>'Capex forecast - 3001'!Q285+'Capex forecast - 3002'!Q285+'Capex forecast - 3003'!Q285+'Capex forecast - 3004'!Q285+'Capex forecast - 3005'!Q285+'Capex forecast - 3006'!Q285++'Capex forecast - 3007'!Q285+'Capex forecast - 3008'!Q285+'Capex forecast - 3009'!Q285+'Capex forecast - 3010'!Q285+'Capex forecast - 3011'!Q285+'Capex forecast - 3012'!Q285+'Capex forecast - 3013'!Q285+'Capex forecast - 3014'!Q285+'Capex forecast - 3015'!Q285+'Capex forecast - 3016'!Q285+'Capex forecast - 3017'!Q285+'Capex forecast - 3018'!Q285+'Capex forecast - 3019'!Q285+'Capex forecast - 3020'!Q285+'Capex forecast - 3021'!Q285+'Capex forecast - 3022'!Q285+'Capex forecast - 3023'!Q285+'Capex forecast - 3024'!Q285+'Capex forecast - 3025'!Q285+'Capex forecast - IT'!Q285+'Capex forecast - other non-IT'!Q285</f>
        <v>360914.01009034616</v>
      </c>
      <c r="J23" s="45">
        <f>'Capex forecast - 3001'!R285+'Capex forecast - 3002'!R285+'Capex forecast - 3003'!R285+'Capex forecast - 3004'!R285+'Capex forecast - 3005'!R285+'Capex forecast - 3006'!R285++'Capex forecast - 3007'!R285+'Capex forecast - 3008'!R285+'Capex forecast - 3009'!R285+'Capex forecast - 3010'!R285+'Capex forecast - 3011'!R285+'Capex forecast - 3012'!R285+'Capex forecast - 3013'!R285+'Capex forecast - 3014'!R285+'Capex forecast - 3015'!R285+'Capex forecast - 3016'!R285+'Capex forecast - 3017'!R285+'Capex forecast - 3018'!R285+'Capex forecast - 3019'!R285+'Capex forecast - 3020'!R285+'Capex forecast - 3021'!R285+'Capex forecast - 3022'!R285+'Capex forecast - 3023'!R285+'Capex forecast - 3024'!R285+'Capex forecast - 3025'!R285+'Capex forecast - IT'!R285+'Capex forecast - other non-IT'!R285</f>
        <v>361358.76730482717</v>
      </c>
      <c r="K23" s="45">
        <f>'Capex forecast - 3001'!S285+'Capex forecast - 3002'!S285+'Capex forecast - 3003'!S285+'Capex forecast - 3004'!S285+'Capex forecast - 3005'!S285+'Capex forecast - 3006'!S285++'Capex forecast - 3007'!S285+'Capex forecast - 3008'!S285+'Capex forecast - 3009'!S285+'Capex forecast - 3010'!S285+'Capex forecast - 3011'!S285+'Capex forecast - 3012'!S285+'Capex forecast - 3013'!S285+'Capex forecast - 3014'!S285+'Capex forecast - 3015'!S285+'Capex forecast - 3016'!S285+'Capex forecast - 3017'!S285+'Capex forecast - 3018'!S285+'Capex forecast - 3019'!S285+'Capex forecast - 3020'!S285+'Capex forecast - 3021'!S285+'Capex forecast - 3022'!S285+'Capex forecast - 3023'!S285+'Capex forecast - 3024'!S285+'Capex forecast - 3025'!S285+'Capex forecast - IT'!S285+'Capex forecast - other non-IT'!S285</f>
        <v>361894.38911896548</v>
      </c>
      <c r="L23" s="45">
        <f>'Capex forecast - 3001'!T285+'Capex forecast - 3002'!T285+'Capex forecast - 3003'!T285+'Capex forecast - 3004'!T285+'Capex forecast - 3005'!T285+'Capex forecast - 3006'!T285++'Capex forecast - 3007'!T285+'Capex forecast - 3008'!T285+'Capex forecast - 3009'!T285+'Capex forecast - 3010'!T285+'Capex forecast - 3011'!T285+'Capex forecast - 3012'!T285+'Capex forecast - 3013'!T285+'Capex forecast - 3014'!T285+'Capex forecast - 3015'!T285+'Capex forecast - 3016'!T285+'Capex forecast - 3017'!T285+'Capex forecast - 3018'!T285+'Capex forecast - 3019'!T285+'Capex forecast - 3020'!T285+'Capex forecast - 3021'!T285+'Capex forecast - 3022'!T285+'Capex forecast - 3023'!T285+'Capex forecast - 3024'!T285+'Capex forecast - 3025'!T285+'Capex forecast - IT'!T285+'Capex forecast - other non-IT'!T285</f>
        <v>362574.19659318496</v>
      </c>
      <c r="M23" s="45">
        <f>'Capex forecast - 3001'!U285+'Capex forecast - 3002'!U285+'Capex forecast - 3003'!U285+'Capex forecast - 3004'!U285+'Capex forecast - 3005'!U285+'Capex forecast - 3006'!U285++'Capex forecast - 3007'!U285+'Capex forecast - 3008'!U285+'Capex forecast - 3009'!U285+'Capex forecast - 3010'!U285+'Capex forecast - 3011'!U285+'Capex forecast - 3012'!U285+'Capex forecast - 3013'!U285+'Capex forecast - 3014'!U285+'Capex forecast - 3015'!U285+'Capex forecast - 3016'!U285+'Capex forecast - 3017'!U285+'Capex forecast - 3018'!U285+'Capex forecast - 3019'!U285+'Capex forecast - 3020'!U285+'Capex forecast - 3021'!U285+'Capex forecast - 3022'!U285+'Capex forecast - 3023'!U285+'Capex forecast - 3024'!U285+'Capex forecast - 3025'!U285+'Capex forecast - IT'!U285+'Capex forecast - other non-IT'!U285</f>
        <v>363446.01291519118</v>
      </c>
      <c r="N23" s="45">
        <f>'Capex forecast - 3001'!V285+'Capex forecast - 3002'!V285+'Capex forecast - 3003'!V285+'Capex forecast - 3004'!V285+'Capex forecast - 3005'!V285+'Capex forecast - 3006'!V285++'Capex forecast - 3007'!V285+'Capex forecast - 3008'!V285+'Capex forecast - 3009'!V285+'Capex forecast - 3010'!V285+'Capex forecast - 3011'!V285+'Capex forecast - 3012'!V285+'Capex forecast - 3013'!V285+'Capex forecast - 3014'!V285+'Capex forecast - 3015'!V285+'Capex forecast - 3016'!V285+'Capex forecast - 3017'!V285+'Capex forecast - 3018'!V285+'Capex forecast - 3019'!V285+'Capex forecast - 3020'!V285+'Capex forecast - 3021'!V285+'Capex forecast - 3022'!V285+'Capex forecast - 3023'!V285+'Capex forecast - 3024'!V285+'Capex forecast - 3025'!V285+'Capex forecast - IT'!V285+'Capex forecast - other non-IT'!V285</f>
        <v>364411.70301263226</v>
      </c>
      <c r="P23" s="40">
        <f t="shared" si="0"/>
        <v>1813685.0689448011</v>
      </c>
    </row>
    <row r="24" spans="1:16">
      <c r="B24" s="38" t="s">
        <v>108</v>
      </c>
      <c r="D24" s="29"/>
      <c r="E24" s="29"/>
      <c r="H24" s="45"/>
      <c r="I24" s="45">
        <f>'Capex forecast - 3001'!Q286+'Capex forecast - 3002'!Q286+'Capex forecast - 3003'!Q286+'Capex forecast - 3004'!Q286+'Capex forecast - 3005'!Q286+'Capex forecast - 3006'!Q286++'Capex forecast - 3007'!Q286+'Capex forecast - 3008'!Q286+'Capex forecast - 3009'!Q286+'Capex forecast - 3010'!Q286+'Capex forecast - 3011'!Q286+'Capex forecast - 3012'!Q286+'Capex forecast - 3013'!Q286+'Capex forecast - 3014'!Q286+'Capex forecast - 3015'!Q286+'Capex forecast - 3016'!Q286+'Capex forecast - 3017'!Q286+'Capex forecast - 3018'!Q286+'Capex forecast - 3019'!Q286+'Capex forecast - 3020'!Q286+'Capex forecast - 3021'!Q286+'Capex forecast - 3022'!Q286+'Capex forecast - 3023'!Q286+'Capex forecast - 3024'!Q286+'Capex forecast - 3025'!Q286+'Capex forecast - IT'!Q286+'Capex forecast - other non-IT'!Q286</f>
        <v>0</v>
      </c>
      <c r="J24" s="45">
        <f>'Capex forecast - 3001'!R286+'Capex forecast - 3002'!R286+'Capex forecast - 3003'!R286+'Capex forecast - 3004'!R286+'Capex forecast - 3005'!R286+'Capex forecast - 3006'!R286++'Capex forecast - 3007'!R286+'Capex forecast - 3008'!R286+'Capex forecast - 3009'!R286+'Capex forecast - 3010'!R286+'Capex forecast - 3011'!R286+'Capex forecast - 3012'!R286+'Capex forecast - 3013'!R286+'Capex forecast - 3014'!R286+'Capex forecast - 3015'!R286+'Capex forecast - 3016'!R286+'Capex forecast - 3017'!R286+'Capex forecast - 3018'!R286+'Capex forecast - 3019'!R286+'Capex forecast - 3020'!R286+'Capex forecast - 3021'!R286+'Capex forecast - 3022'!R286+'Capex forecast - 3023'!R286+'Capex forecast - 3024'!R286+'Capex forecast - 3025'!R286+'Capex forecast - IT'!R286+'Capex forecast - other non-IT'!R286</f>
        <v>0</v>
      </c>
      <c r="K24" s="45">
        <f>'Capex forecast - 3001'!S286+'Capex forecast - 3002'!S286+'Capex forecast - 3003'!S286+'Capex forecast - 3004'!S286+'Capex forecast - 3005'!S286+'Capex forecast - 3006'!S286++'Capex forecast - 3007'!S286+'Capex forecast - 3008'!S286+'Capex forecast - 3009'!S286+'Capex forecast - 3010'!S286+'Capex forecast - 3011'!S286+'Capex forecast - 3012'!S286+'Capex forecast - 3013'!S286+'Capex forecast - 3014'!S286+'Capex forecast - 3015'!S286+'Capex forecast - 3016'!S286+'Capex forecast - 3017'!S286+'Capex forecast - 3018'!S286+'Capex forecast - 3019'!S286+'Capex forecast - 3020'!S286+'Capex forecast - 3021'!S286+'Capex forecast - 3022'!S286+'Capex forecast - 3023'!S286+'Capex forecast - 3024'!S286+'Capex forecast - 3025'!S286+'Capex forecast - IT'!S286+'Capex forecast - other non-IT'!S286</f>
        <v>0</v>
      </c>
      <c r="L24" s="45">
        <f>'Capex forecast - 3001'!T286+'Capex forecast - 3002'!T286+'Capex forecast - 3003'!T286+'Capex forecast - 3004'!T286+'Capex forecast - 3005'!T286+'Capex forecast - 3006'!T286++'Capex forecast - 3007'!T286+'Capex forecast - 3008'!T286+'Capex forecast - 3009'!T286+'Capex forecast - 3010'!T286+'Capex forecast - 3011'!T286+'Capex forecast - 3012'!T286+'Capex forecast - 3013'!T286+'Capex forecast - 3014'!T286+'Capex forecast - 3015'!T286+'Capex forecast - 3016'!T286+'Capex forecast - 3017'!T286+'Capex forecast - 3018'!T286+'Capex forecast - 3019'!T286+'Capex forecast - 3020'!T286+'Capex forecast - 3021'!T286+'Capex forecast - 3022'!T286+'Capex forecast - 3023'!T286+'Capex forecast - 3024'!T286+'Capex forecast - 3025'!T286+'Capex forecast - IT'!T286+'Capex forecast - other non-IT'!T286</f>
        <v>0</v>
      </c>
      <c r="M24" s="45">
        <f>'Capex forecast - 3001'!U286+'Capex forecast - 3002'!U286+'Capex forecast - 3003'!U286+'Capex forecast - 3004'!U286+'Capex forecast - 3005'!U286+'Capex forecast - 3006'!U286++'Capex forecast - 3007'!U286+'Capex forecast - 3008'!U286+'Capex forecast - 3009'!U286+'Capex forecast - 3010'!U286+'Capex forecast - 3011'!U286+'Capex forecast - 3012'!U286+'Capex forecast - 3013'!U286+'Capex forecast - 3014'!U286+'Capex forecast - 3015'!U286+'Capex forecast - 3016'!U286+'Capex forecast - 3017'!U286+'Capex forecast - 3018'!U286+'Capex forecast - 3019'!U286+'Capex forecast - 3020'!U286+'Capex forecast - 3021'!U286+'Capex forecast - 3022'!U286+'Capex forecast - 3023'!U286+'Capex forecast - 3024'!U286+'Capex forecast - 3025'!U286+'Capex forecast - IT'!U286+'Capex forecast - other non-IT'!U286</f>
        <v>0</v>
      </c>
      <c r="N24" s="45">
        <f>'Capex forecast - 3001'!V286+'Capex forecast - 3002'!V286+'Capex forecast - 3003'!V286+'Capex forecast - 3004'!V286+'Capex forecast - 3005'!V286+'Capex forecast - 3006'!V286++'Capex forecast - 3007'!V286+'Capex forecast - 3008'!V286+'Capex forecast - 3009'!V286+'Capex forecast - 3010'!V286+'Capex forecast - 3011'!V286+'Capex forecast - 3012'!V286+'Capex forecast - 3013'!V286+'Capex forecast - 3014'!V286+'Capex forecast - 3015'!V286+'Capex forecast - 3016'!V286+'Capex forecast - 3017'!V286+'Capex forecast - 3018'!V286+'Capex forecast - 3019'!V286+'Capex forecast - 3020'!V286+'Capex forecast - 3021'!V286+'Capex forecast - 3022'!V286+'Capex forecast - 3023'!V286+'Capex forecast - 3024'!V286+'Capex forecast - 3025'!V286+'Capex forecast - IT'!V286+'Capex forecast - other non-IT'!V286</f>
        <v>0</v>
      </c>
      <c r="P24" s="40">
        <f t="shared" si="0"/>
        <v>0</v>
      </c>
    </row>
    <row r="25" spans="1:16">
      <c r="B25" s="38"/>
      <c r="D25" s="29"/>
      <c r="E25" s="29"/>
      <c r="H25" s="45"/>
      <c r="I25" s="45"/>
      <c r="J25" s="45"/>
      <c r="K25" s="45"/>
      <c r="L25" s="45"/>
      <c r="M25" s="45"/>
      <c r="N25" s="45"/>
    </row>
    <row r="26" spans="1:16" ht="12.75" thickBot="1">
      <c r="B26" s="5" t="s">
        <v>92</v>
      </c>
      <c r="D26" s="29"/>
      <c r="E26" s="29"/>
      <c r="H26" s="37"/>
      <c r="I26" s="37">
        <f t="shared" ref="I26:N26" si="1">SUM(I14:I24)</f>
        <v>89527764.927750736</v>
      </c>
      <c r="J26" s="37">
        <f t="shared" si="1"/>
        <v>100141480.3010551</v>
      </c>
      <c r="K26" s="37">
        <f t="shared" si="1"/>
        <v>97242023.15185152</v>
      </c>
      <c r="L26" s="37">
        <f t="shared" si="1"/>
        <v>94040632.09801735</v>
      </c>
      <c r="M26" s="37">
        <f t="shared" si="1"/>
        <v>87913893.847654894</v>
      </c>
      <c r="N26" s="37">
        <f t="shared" si="1"/>
        <v>83253547.153976262</v>
      </c>
      <c r="P26" s="37">
        <f t="shared" si="0"/>
        <v>462591576.55255508</v>
      </c>
    </row>
    <row r="27" spans="1:16">
      <c r="B27" s="5"/>
      <c r="D27" s="29"/>
      <c r="E27" s="29"/>
      <c r="H27" s="82"/>
      <c r="I27" s="82"/>
      <c r="J27" s="82"/>
      <c r="K27" s="82"/>
      <c r="L27" s="82"/>
      <c r="M27" s="82"/>
      <c r="N27" s="82"/>
    </row>
    <row r="28" spans="1:16" s="1" customFormat="1">
      <c r="A28" s="2">
        <v>2</v>
      </c>
      <c r="B28" s="2" t="s">
        <v>227</v>
      </c>
    </row>
    <row r="30" spans="1:16">
      <c r="H30" s="187" t="s">
        <v>53</v>
      </c>
      <c r="I30" s="188"/>
      <c r="J30" s="187" t="s">
        <v>54</v>
      </c>
      <c r="K30" s="189"/>
      <c r="L30" s="189"/>
      <c r="M30" s="189"/>
      <c r="N30" s="188"/>
    </row>
    <row r="31" spans="1:16">
      <c r="B31" s="5"/>
      <c r="H31" s="18">
        <v>2016</v>
      </c>
      <c r="I31" s="18">
        <v>2017</v>
      </c>
      <c r="J31" s="18">
        <v>2018</v>
      </c>
      <c r="K31" s="18">
        <v>2019</v>
      </c>
      <c r="L31" s="18">
        <v>2020</v>
      </c>
      <c r="M31" s="18">
        <v>2021</v>
      </c>
      <c r="N31" s="18">
        <v>2022</v>
      </c>
      <c r="P31" s="29" t="s">
        <v>63</v>
      </c>
    </row>
    <row r="32" spans="1:16">
      <c r="B32" s="5" t="s">
        <v>233</v>
      </c>
      <c r="D32" s="29"/>
      <c r="E32" s="29"/>
      <c r="H32" s="16" t="s">
        <v>13</v>
      </c>
      <c r="I32" s="16" t="s">
        <v>13</v>
      </c>
      <c r="J32" s="16" t="s">
        <v>13</v>
      </c>
      <c r="K32" s="16" t="s">
        <v>13</v>
      </c>
      <c r="L32" s="16" t="s">
        <v>13</v>
      </c>
      <c r="M32" s="16" t="s">
        <v>13</v>
      </c>
      <c r="N32" s="16" t="s">
        <v>13</v>
      </c>
      <c r="P32" s="34" t="s">
        <v>13</v>
      </c>
    </row>
    <row r="33" spans="1:16">
      <c r="B33" s="5"/>
      <c r="D33" s="29"/>
      <c r="E33" s="29"/>
      <c r="H33" s="18"/>
      <c r="I33" s="18"/>
      <c r="J33" s="18"/>
      <c r="K33" s="18"/>
      <c r="L33" s="18"/>
      <c r="M33" s="18"/>
      <c r="N33" s="18"/>
    </row>
    <row r="34" spans="1:16">
      <c r="B34" s="38" t="s">
        <v>125</v>
      </c>
      <c r="D34" s="29"/>
      <c r="E34" s="29"/>
      <c r="H34" s="45"/>
      <c r="I34" s="45">
        <f>'Capex forecast - 3001'!Q297+'Capex forecast - 3002'!Q297+'Capex forecast - 3003'!Q297+'Capex forecast - 3004'!Q297+'Capex forecast - 3005'!Q297+'Capex forecast - 3006'!Q297++'Capex forecast - 3007'!Q297+'Capex forecast - 3008'!Q297+'Capex forecast - 3009'!Q297+'Capex forecast - 3010'!Q297+'Capex forecast - 3011'!Q297+'Capex forecast - 3012'!Q297+'Capex forecast - 3013'!Q297+'Capex forecast - 3014'!Q297+'Capex forecast - 3015'!Q297+'Capex forecast - 3016'!Q297+'Capex forecast - 3017'!Q297+'Capex forecast - 3018'!Q297+'Capex forecast - 3019'!Q297+'Capex forecast - 3020'!Q297+'Capex forecast - 3021'!Q297+'Capex forecast - 3022'!Q297+'Capex forecast - 3023'!Q297+'Capex forecast - 3024'!Q297+'Capex forecast - 3025'!Q297+'Capex forecast - IT'!Q297+'Capex forecast - other non-IT'!Q297</f>
        <v>1493491.7082042377</v>
      </c>
      <c r="J34" s="45">
        <f>'Capex forecast - 3001'!R297+'Capex forecast - 3002'!R297+'Capex forecast - 3003'!R297+'Capex forecast - 3004'!R297+'Capex forecast - 3005'!R297+'Capex forecast - 3006'!R297++'Capex forecast - 3007'!R297+'Capex forecast - 3008'!R297+'Capex forecast - 3009'!R297+'Capex forecast - 3010'!R297+'Capex forecast - 3011'!R297+'Capex forecast - 3012'!R297+'Capex forecast - 3013'!R297+'Capex forecast - 3014'!R297+'Capex forecast - 3015'!R297+'Capex forecast - 3016'!R297+'Capex forecast - 3017'!R297+'Capex forecast - 3018'!R297+'Capex forecast - 3019'!R297+'Capex forecast - 3020'!R297+'Capex forecast - 3021'!R297+'Capex forecast - 3022'!R297+'Capex forecast - 3023'!R297+'Capex forecast - 3024'!R297+'Capex forecast - 3025'!R297+'Capex forecast - IT'!R297+'Capex forecast - other non-IT'!R297</f>
        <v>2732795.4301923038</v>
      </c>
      <c r="K34" s="45">
        <f>'Capex forecast - 3001'!S297+'Capex forecast - 3002'!S297+'Capex forecast - 3003'!S297+'Capex forecast - 3004'!S297+'Capex forecast - 3005'!S297+'Capex forecast - 3006'!S297++'Capex forecast - 3007'!S297+'Capex forecast - 3008'!S297+'Capex forecast - 3009'!S297+'Capex forecast - 3010'!S297+'Capex forecast - 3011'!S297+'Capex forecast - 3012'!S297+'Capex forecast - 3013'!S297+'Capex forecast - 3014'!S297+'Capex forecast - 3015'!S297+'Capex forecast - 3016'!S297+'Capex forecast - 3017'!S297+'Capex forecast - 3018'!S297+'Capex forecast - 3019'!S297+'Capex forecast - 3020'!S297+'Capex forecast - 3021'!S297+'Capex forecast - 3022'!S297+'Capex forecast - 3023'!S297+'Capex forecast - 3024'!S297+'Capex forecast - 3025'!S297+'Capex forecast - IT'!S297+'Capex forecast - other non-IT'!S297</f>
        <v>1648149.8694196125</v>
      </c>
      <c r="L34" s="45">
        <f>'Capex forecast - 3001'!T297+'Capex forecast - 3002'!T297+'Capex forecast - 3003'!T297+'Capex forecast - 3004'!T297+'Capex forecast - 3005'!T297+'Capex forecast - 3006'!T297++'Capex forecast - 3007'!T297+'Capex forecast - 3008'!T297+'Capex forecast - 3009'!T297+'Capex forecast - 3010'!T297+'Capex forecast - 3011'!T297+'Capex forecast - 3012'!T297+'Capex forecast - 3013'!T297+'Capex forecast - 3014'!T297+'Capex forecast - 3015'!T297+'Capex forecast - 3016'!T297+'Capex forecast - 3017'!T297+'Capex forecast - 3018'!T297+'Capex forecast - 3019'!T297+'Capex forecast - 3020'!T297+'Capex forecast - 3021'!T297+'Capex forecast - 3022'!T297+'Capex forecast - 3023'!T297+'Capex forecast - 3024'!T297+'Capex forecast - 3025'!T297+'Capex forecast - IT'!T297+'Capex forecast - other non-IT'!T297</f>
        <v>1100430.1339509764</v>
      </c>
      <c r="M34" s="45">
        <f>'Capex forecast - 3001'!U297+'Capex forecast - 3002'!U297+'Capex forecast - 3003'!U297+'Capex forecast - 3004'!U297+'Capex forecast - 3005'!U297+'Capex forecast - 3006'!U297++'Capex forecast - 3007'!U297+'Capex forecast - 3008'!U297+'Capex forecast - 3009'!U297+'Capex forecast - 3010'!U297+'Capex forecast - 3011'!U297+'Capex forecast - 3012'!U297+'Capex forecast - 3013'!U297+'Capex forecast - 3014'!U297+'Capex forecast - 3015'!U297+'Capex forecast - 3016'!U297+'Capex forecast - 3017'!U297+'Capex forecast - 3018'!U297+'Capex forecast - 3019'!U297+'Capex forecast - 3020'!U297+'Capex forecast - 3021'!U297+'Capex forecast - 3022'!U297+'Capex forecast - 3023'!U297+'Capex forecast - 3024'!U297+'Capex forecast - 3025'!U297+'Capex forecast - IT'!U297+'Capex forecast - other non-IT'!U297</f>
        <v>1115038.0307557539</v>
      </c>
      <c r="N34" s="45">
        <f>'Capex forecast - 3001'!V297+'Capex forecast - 3002'!V297+'Capex forecast - 3003'!V297+'Capex forecast - 3004'!V297+'Capex forecast - 3005'!V297+'Capex forecast - 3006'!V297++'Capex forecast - 3007'!V297+'Capex forecast - 3008'!V297+'Capex forecast - 3009'!V297+'Capex forecast - 3010'!V297+'Capex forecast - 3011'!V297+'Capex forecast - 3012'!V297+'Capex forecast - 3013'!V297+'Capex forecast - 3014'!V297+'Capex forecast - 3015'!V297+'Capex forecast - 3016'!V297+'Capex forecast - 3017'!V297+'Capex forecast - 3018'!V297+'Capex forecast - 3019'!V297+'Capex forecast - 3020'!V297+'Capex forecast - 3021'!V297+'Capex forecast - 3022'!V297+'Capex forecast - 3023'!V297+'Capex forecast - 3024'!V297+'Capex forecast - 3025'!V297+'Capex forecast - IT'!V297+'Capex forecast - other non-IT'!V297</f>
        <v>2290405.6578880488</v>
      </c>
      <c r="P34" s="40">
        <f t="shared" ref="P34:P46" si="2">SUM(J34:N34)</f>
        <v>8886819.1222066954</v>
      </c>
    </row>
    <row r="35" spans="1:16">
      <c r="B35" s="38" t="s">
        <v>126</v>
      </c>
      <c r="D35" s="29"/>
      <c r="E35" s="29"/>
      <c r="H35" s="45"/>
      <c r="I35" s="45">
        <f>'Capex forecast - 3001'!Q298+'Capex forecast - 3002'!Q298+'Capex forecast - 3003'!Q298+'Capex forecast - 3004'!Q298+'Capex forecast - 3005'!Q298+'Capex forecast - 3006'!Q298++'Capex forecast - 3007'!Q298+'Capex forecast - 3008'!Q298+'Capex forecast - 3009'!Q298+'Capex forecast - 3010'!Q298+'Capex forecast - 3011'!Q298+'Capex forecast - 3012'!Q298+'Capex forecast - 3013'!Q298+'Capex forecast - 3014'!Q298+'Capex forecast - 3015'!Q298+'Capex forecast - 3016'!Q298+'Capex forecast - 3017'!Q298+'Capex forecast - 3018'!Q298+'Capex forecast - 3019'!Q298+'Capex forecast - 3020'!Q298+'Capex forecast - 3021'!Q298+'Capex forecast - 3022'!Q298+'Capex forecast - 3023'!Q298+'Capex forecast - 3024'!Q298+'Capex forecast - 3025'!Q298+'Capex forecast - IT'!Q298+'Capex forecast - other non-IT'!Q298</f>
        <v>29421644.148785941</v>
      </c>
      <c r="J35" s="45">
        <f>'Capex forecast - 3001'!R298+'Capex forecast - 3002'!R298+'Capex forecast - 3003'!R298+'Capex forecast - 3004'!R298+'Capex forecast - 3005'!R298+'Capex forecast - 3006'!R298++'Capex forecast - 3007'!R298+'Capex forecast - 3008'!R298+'Capex forecast - 3009'!R298+'Capex forecast - 3010'!R298+'Capex forecast - 3011'!R298+'Capex forecast - 3012'!R298+'Capex forecast - 3013'!R298+'Capex forecast - 3014'!R298+'Capex forecast - 3015'!R298+'Capex forecast - 3016'!R298+'Capex forecast - 3017'!R298+'Capex forecast - 3018'!R298+'Capex forecast - 3019'!R298+'Capex forecast - 3020'!R298+'Capex forecast - 3021'!R298+'Capex forecast - 3022'!R298+'Capex forecast - 3023'!R298+'Capex forecast - 3024'!R298+'Capex forecast - 3025'!R298+'Capex forecast - IT'!R298+'Capex forecast - other non-IT'!R298</f>
        <v>26613144.039698001</v>
      </c>
      <c r="K35" s="45">
        <f>'Capex forecast - 3001'!S298+'Capex forecast - 3002'!S298+'Capex forecast - 3003'!S298+'Capex forecast - 3004'!S298+'Capex forecast - 3005'!S298+'Capex forecast - 3006'!S298++'Capex forecast - 3007'!S298+'Capex forecast - 3008'!S298+'Capex forecast - 3009'!S298+'Capex forecast - 3010'!S298+'Capex forecast - 3011'!S298+'Capex forecast - 3012'!S298+'Capex forecast - 3013'!S298+'Capex forecast - 3014'!S298+'Capex forecast - 3015'!S298+'Capex forecast - 3016'!S298+'Capex forecast - 3017'!S298+'Capex forecast - 3018'!S298+'Capex forecast - 3019'!S298+'Capex forecast - 3020'!S298+'Capex forecast - 3021'!S298+'Capex forecast - 3022'!S298+'Capex forecast - 3023'!S298+'Capex forecast - 3024'!S298+'Capex forecast - 3025'!S298+'Capex forecast - IT'!S298+'Capex forecast - other non-IT'!S298</f>
        <v>24022323.071950633</v>
      </c>
      <c r="L35" s="45">
        <f>'Capex forecast - 3001'!T298+'Capex forecast - 3002'!T298+'Capex forecast - 3003'!T298+'Capex forecast - 3004'!T298+'Capex forecast - 3005'!T298+'Capex forecast - 3006'!T298++'Capex forecast - 3007'!T298+'Capex forecast - 3008'!T298+'Capex forecast - 3009'!T298+'Capex forecast - 3010'!T298+'Capex forecast - 3011'!T298+'Capex forecast - 3012'!T298+'Capex forecast - 3013'!T298+'Capex forecast - 3014'!T298+'Capex forecast - 3015'!T298+'Capex forecast - 3016'!T298+'Capex forecast - 3017'!T298+'Capex forecast - 3018'!T298+'Capex forecast - 3019'!T298+'Capex forecast - 3020'!T298+'Capex forecast - 3021'!T298+'Capex forecast - 3022'!T298+'Capex forecast - 3023'!T298+'Capex forecast - 3024'!T298+'Capex forecast - 3025'!T298+'Capex forecast - IT'!T298+'Capex forecast - other non-IT'!T298</f>
        <v>25204692.237671606</v>
      </c>
      <c r="M35" s="45">
        <f>'Capex forecast - 3001'!U298+'Capex forecast - 3002'!U298+'Capex forecast - 3003'!U298+'Capex forecast - 3004'!U298+'Capex forecast - 3005'!U298+'Capex forecast - 3006'!U298++'Capex forecast - 3007'!U298+'Capex forecast - 3008'!U298+'Capex forecast - 3009'!U298+'Capex forecast - 3010'!U298+'Capex forecast - 3011'!U298+'Capex forecast - 3012'!U298+'Capex forecast - 3013'!U298+'Capex forecast - 3014'!U298+'Capex forecast - 3015'!U298+'Capex forecast - 3016'!U298+'Capex forecast - 3017'!U298+'Capex forecast - 3018'!U298+'Capex forecast - 3019'!U298+'Capex forecast - 3020'!U298+'Capex forecast - 3021'!U298+'Capex forecast - 3022'!U298+'Capex forecast - 3023'!U298+'Capex forecast - 3024'!U298+'Capex forecast - 3025'!U298+'Capex forecast - IT'!U298+'Capex forecast - other non-IT'!U298</f>
        <v>23371360.297626514</v>
      </c>
      <c r="N35" s="45">
        <f>'Capex forecast - 3001'!V298+'Capex forecast - 3002'!V298+'Capex forecast - 3003'!V298+'Capex forecast - 3004'!V298+'Capex forecast - 3005'!V298+'Capex forecast - 3006'!V298++'Capex forecast - 3007'!V298+'Capex forecast - 3008'!V298+'Capex forecast - 3009'!V298+'Capex forecast - 3010'!V298+'Capex forecast - 3011'!V298+'Capex forecast - 3012'!V298+'Capex forecast - 3013'!V298+'Capex forecast - 3014'!V298+'Capex forecast - 3015'!V298+'Capex forecast - 3016'!V298+'Capex forecast - 3017'!V298+'Capex forecast - 3018'!V298+'Capex forecast - 3019'!V298+'Capex forecast - 3020'!V298+'Capex forecast - 3021'!V298+'Capex forecast - 3022'!V298+'Capex forecast - 3023'!V298+'Capex forecast - 3024'!V298+'Capex forecast - 3025'!V298+'Capex forecast - IT'!V298+'Capex forecast - other non-IT'!V298</f>
        <v>21343479.40689569</v>
      </c>
      <c r="P35" s="40">
        <f t="shared" si="2"/>
        <v>120554999.05384243</v>
      </c>
    </row>
    <row r="36" spans="1:16">
      <c r="B36" s="38" t="s">
        <v>127</v>
      </c>
      <c r="D36" s="29"/>
      <c r="E36" s="29"/>
      <c r="H36" s="45"/>
      <c r="I36" s="45">
        <f>'Capex forecast - 3001'!Q299+'Capex forecast - 3002'!Q299+'Capex forecast - 3003'!Q299+'Capex forecast - 3004'!Q299+'Capex forecast - 3005'!Q299+'Capex forecast - 3006'!Q299++'Capex forecast - 3007'!Q299+'Capex forecast - 3008'!Q299+'Capex forecast - 3009'!Q299+'Capex forecast - 3010'!Q299+'Capex forecast - 3011'!Q299+'Capex forecast - 3012'!Q299+'Capex forecast - 3013'!Q299+'Capex forecast - 3014'!Q299+'Capex forecast - 3015'!Q299+'Capex forecast - 3016'!Q299+'Capex forecast - 3017'!Q299+'Capex forecast - 3018'!Q299+'Capex forecast - 3019'!Q299+'Capex forecast - 3020'!Q299+'Capex forecast - 3021'!Q299+'Capex forecast - 3022'!Q299+'Capex forecast - 3023'!Q299+'Capex forecast - 3024'!Q299+'Capex forecast - 3025'!Q299+'Capex forecast - IT'!Q299+'Capex forecast - other non-IT'!Q299</f>
        <v>38521639.97515545</v>
      </c>
      <c r="J36" s="45">
        <f>'Capex forecast - 3001'!R299+'Capex forecast - 3002'!R299+'Capex forecast - 3003'!R299+'Capex forecast - 3004'!R299+'Capex forecast - 3005'!R299+'Capex forecast - 3006'!R299++'Capex forecast - 3007'!R299+'Capex forecast - 3008'!R299+'Capex forecast - 3009'!R299+'Capex forecast - 3010'!R299+'Capex forecast - 3011'!R299+'Capex forecast - 3012'!R299+'Capex forecast - 3013'!R299+'Capex forecast - 3014'!R299+'Capex forecast - 3015'!R299+'Capex forecast - 3016'!R299+'Capex forecast - 3017'!R299+'Capex forecast - 3018'!R299+'Capex forecast - 3019'!R299+'Capex forecast - 3020'!R299+'Capex forecast - 3021'!R299+'Capex forecast - 3022'!R299+'Capex forecast - 3023'!R299+'Capex forecast - 3024'!R299+'Capex forecast - 3025'!R299+'Capex forecast - IT'!R299+'Capex forecast - other non-IT'!R299</f>
        <v>39248024.338915356</v>
      </c>
      <c r="K36" s="45">
        <f>'Capex forecast - 3001'!S299+'Capex forecast - 3002'!S299+'Capex forecast - 3003'!S299+'Capex forecast - 3004'!S299+'Capex forecast - 3005'!S299+'Capex forecast - 3006'!S299++'Capex forecast - 3007'!S299+'Capex forecast - 3008'!S299+'Capex forecast - 3009'!S299+'Capex forecast - 3010'!S299+'Capex forecast - 3011'!S299+'Capex forecast - 3012'!S299+'Capex forecast - 3013'!S299+'Capex forecast - 3014'!S299+'Capex forecast - 3015'!S299+'Capex forecast - 3016'!S299+'Capex forecast - 3017'!S299+'Capex forecast - 3018'!S299+'Capex forecast - 3019'!S299+'Capex forecast - 3020'!S299+'Capex forecast - 3021'!S299+'Capex forecast - 3022'!S299+'Capex forecast - 3023'!S299+'Capex forecast - 3024'!S299+'Capex forecast - 3025'!S299+'Capex forecast - IT'!S299+'Capex forecast - other non-IT'!S299</f>
        <v>38915302.720543675</v>
      </c>
      <c r="L36" s="45">
        <f>'Capex forecast - 3001'!T299+'Capex forecast - 3002'!T299+'Capex forecast - 3003'!T299+'Capex forecast - 3004'!T299+'Capex forecast - 3005'!T299+'Capex forecast - 3006'!T299++'Capex forecast - 3007'!T299+'Capex forecast - 3008'!T299+'Capex forecast - 3009'!T299+'Capex forecast - 3010'!T299+'Capex forecast - 3011'!T299+'Capex forecast - 3012'!T299+'Capex forecast - 3013'!T299+'Capex forecast - 3014'!T299+'Capex forecast - 3015'!T299+'Capex forecast - 3016'!T299+'Capex forecast - 3017'!T299+'Capex forecast - 3018'!T299+'Capex forecast - 3019'!T299+'Capex forecast - 3020'!T299+'Capex forecast - 3021'!T299+'Capex forecast - 3022'!T299+'Capex forecast - 3023'!T299+'Capex forecast - 3024'!T299+'Capex forecast - 3025'!T299+'Capex forecast - IT'!T299+'Capex forecast - other non-IT'!T299</f>
        <v>40654371.586137138</v>
      </c>
      <c r="M36" s="45">
        <f>'Capex forecast - 3001'!U299+'Capex forecast - 3002'!U299+'Capex forecast - 3003'!U299+'Capex forecast - 3004'!U299+'Capex forecast - 3005'!U299+'Capex forecast - 3006'!U299++'Capex forecast - 3007'!U299+'Capex forecast - 3008'!U299+'Capex forecast - 3009'!U299+'Capex forecast - 3010'!U299+'Capex forecast - 3011'!U299+'Capex forecast - 3012'!U299+'Capex forecast - 3013'!U299+'Capex forecast - 3014'!U299+'Capex forecast - 3015'!U299+'Capex forecast - 3016'!U299+'Capex forecast - 3017'!U299+'Capex forecast - 3018'!U299+'Capex forecast - 3019'!U299+'Capex forecast - 3020'!U299+'Capex forecast - 3021'!U299+'Capex forecast - 3022'!U299+'Capex forecast - 3023'!U299+'Capex forecast - 3024'!U299+'Capex forecast - 3025'!U299+'Capex forecast - IT'!U299+'Capex forecast - other non-IT'!U299</f>
        <v>38128906.113841996</v>
      </c>
      <c r="N36" s="45">
        <f>'Capex forecast - 3001'!V299+'Capex forecast - 3002'!V299+'Capex forecast - 3003'!V299+'Capex forecast - 3004'!V299+'Capex forecast - 3005'!V299+'Capex forecast - 3006'!V299++'Capex forecast - 3007'!V299+'Capex forecast - 3008'!V299+'Capex forecast - 3009'!V299+'Capex forecast - 3010'!V299+'Capex forecast - 3011'!V299+'Capex forecast - 3012'!V299+'Capex forecast - 3013'!V299+'Capex forecast - 3014'!V299+'Capex forecast - 3015'!V299+'Capex forecast - 3016'!V299+'Capex forecast - 3017'!V299+'Capex forecast - 3018'!V299+'Capex forecast - 3019'!V299+'Capex forecast - 3020'!V299+'Capex forecast - 3021'!V299+'Capex forecast - 3022'!V299+'Capex forecast - 3023'!V299+'Capex forecast - 3024'!V299+'Capex forecast - 3025'!V299+'Capex forecast - IT'!V299+'Capex forecast - other non-IT'!V299</f>
        <v>37241217.754045561</v>
      </c>
      <c r="P36" s="40">
        <f t="shared" si="2"/>
        <v>194187822.5134837</v>
      </c>
    </row>
    <row r="37" spans="1:16">
      <c r="B37" s="38" t="s">
        <v>34</v>
      </c>
      <c r="D37" s="29"/>
      <c r="E37" s="29"/>
      <c r="H37" s="45"/>
      <c r="I37" s="45">
        <f>'Capex forecast - 3001'!Q300+'Capex forecast - 3002'!Q300+'Capex forecast - 3003'!Q300+'Capex forecast - 3004'!Q300+'Capex forecast - 3005'!Q300+'Capex forecast - 3006'!Q300++'Capex forecast - 3007'!Q300+'Capex forecast - 3008'!Q300+'Capex forecast - 3009'!Q300+'Capex forecast - 3010'!Q300+'Capex forecast - 3011'!Q300+'Capex forecast - 3012'!Q300+'Capex forecast - 3013'!Q300+'Capex forecast - 3014'!Q300+'Capex forecast - 3015'!Q300+'Capex forecast - 3016'!Q300+'Capex forecast - 3017'!Q300+'Capex forecast - 3018'!Q300+'Capex forecast - 3019'!Q300+'Capex forecast - 3020'!Q300+'Capex forecast - 3021'!Q300+'Capex forecast - 3022'!Q300+'Capex forecast - 3023'!Q300+'Capex forecast - 3024'!Q300+'Capex forecast - 3025'!Q300+'Capex forecast - IT'!Q300+'Capex forecast - other non-IT'!Q300</f>
        <v>318193.95702307287</v>
      </c>
      <c r="J37" s="45">
        <f>'Capex forecast - 3001'!R300+'Capex forecast - 3002'!R300+'Capex forecast - 3003'!R300+'Capex forecast - 3004'!R300+'Capex forecast - 3005'!R300+'Capex forecast - 3006'!R300++'Capex forecast - 3007'!R300+'Capex forecast - 3008'!R300+'Capex forecast - 3009'!R300+'Capex forecast - 3010'!R300+'Capex forecast - 3011'!R300+'Capex forecast - 3012'!R300+'Capex forecast - 3013'!R300+'Capex forecast - 3014'!R300+'Capex forecast - 3015'!R300+'Capex forecast - 3016'!R300+'Capex forecast - 3017'!R300+'Capex forecast - 3018'!R300+'Capex forecast - 3019'!R300+'Capex forecast - 3020'!R300+'Capex forecast - 3021'!R300+'Capex forecast - 3022'!R300+'Capex forecast - 3023'!R300+'Capex forecast - 3024'!R300+'Capex forecast - 3025'!R300+'Capex forecast - IT'!R300+'Capex forecast - other non-IT'!R300</f>
        <v>432121.38942315587</v>
      </c>
      <c r="K37" s="45">
        <f>'Capex forecast - 3001'!S300+'Capex forecast - 3002'!S300+'Capex forecast - 3003'!S300+'Capex forecast - 3004'!S300+'Capex forecast - 3005'!S300+'Capex forecast - 3006'!S300++'Capex forecast - 3007'!S300+'Capex forecast - 3008'!S300+'Capex forecast - 3009'!S300+'Capex forecast - 3010'!S300+'Capex forecast - 3011'!S300+'Capex forecast - 3012'!S300+'Capex forecast - 3013'!S300+'Capex forecast - 3014'!S300+'Capex forecast - 3015'!S300+'Capex forecast - 3016'!S300+'Capex forecast - 3017'!S300+'Capex forecast - 3018'!S300+'Capex forecast - 3019'!S300+'Capex forecast - 3020'!S300+'Capex forecast - 3021'!S300+'Capex forecast - 3022'!S300+'Capex forecast - 3023'!S300+'Capex forecast - 3024'!S300+'Capex forecast - 3025'!S300+'Capex forecast - IT'!S300+'Capex forecast - other non-IT'!S300</f>
        <v>436964.86110688088</v>
      </c>
      <c r="L37" s="45">
        <f>'Capex forecast - 3001'!T300+'Capex forecast - 3002'!T300+'Capex forecast - 3003'!T300+'Capex forecast - 3004'!T300+'Capex forecast - 3005'!T300+'Capex forecast - 3006'!T300++'Capex forecast - 3007'!T300+'Capex forecast - 3008'!T300+'Capex forecast - 3009'!T300+'Capex forecast - 3010'!T300+'Capex forecast - 3011'!T300+'Capex forecast - 3012'!T300+'Capex forecast - 3013'!T300+'Capex forecast - 3014'!T300+'Capex forecast - 3015'!T300+'Capex forecast - 3016'!T300+'Capex forecast - 3017'!T300+'Capex forecast - 3018'!T300+'Capex forecast - 3019'!T300+'Capex forecast - 3020'!T300+'Capex forecast - 3021'!T300+'Capex forecast - 3022'!T300+'Capex forecast - 3023'!T300+'Capex forecast - 3024'!T300+'Capex forecast - 3025'!T300+'Capex forecast - IT'!T300+'Capex forecast - other non-IT'!T300</f>
        <v>443815.45718243805</v>
      </c>
      <c r="M37" s="45">
        <f>'Capex forecast - 3001'!U300+'Capex forecast - 3002'!U300+'Capex forecast - 3003'!U300+'Capex forecast - 3004'!U300+'Capex forecast - 3005'!U300+'Capex forecast - 3006'!U300++'Capex forecast - 3007'!U300+'Capex forecast - 3008'!U300+'Capex forecast - 3009'!U300+'Capex forecast - 3010'!U300+'Capex forecast - 3011'!U300+'Capex forecast - 3012'!U300+'Capex forecast - 3013'!U300+'Capex forecast - 3014'!U300+'Capex forecast - 3015'!U300+'Capex forecast - 3016'!U300+'Capex forecast - 3017'!U300+'Capex forecast - 3018'!U300+'Capex forecast - 3019'!U300+'Capex forecast - 3020'!U300+'Capex forecast - 3021'!U300+'Capex forecast - 3022'!U300+'Capex forecast - 3023'!U300+'Capex forecast - 3024'!U300+'Capex forecast - 3025'!U300+'Capex forecast - IT'!U300+'Capex forecast - other non-IT'!U300</f>
        <v>451080.06115983339</v>
      </c>
      <c r="N37" s="45">
        <f>'Capex forecast - 3001'!V300+'Capex forecast - 3002'!V300+'Capex forecast - 3003'!V300+'Capex forecast - 3004'!V300+'Capex forecast - 3005'!V300+'Capex forecast - 3006'!V300++'Capex forecast - 3007'!V300+'Capex forecast - 3008'!V300+'Capex forecast - 3009'!V300+'Capex forecast - 3010'!V300+'Capex forecast - 3011'!V300+'Capex forecast - 3012'!V300+'Capex forecast - 3013'!V300+'Capex forecast - 3014'!V300+'Capex forecast - 3015'!V300+'Capex forecast - 3016'!V300+'Capex forecast - 3017'!V300+'Capex forecast - 3018'!V300+'Capex forecast - 3019'!V300+'Capex forecast - 3020'!V300+'Capex forecast - 3021'!V300+'Capex forecast - 3022'!V300+'Capex forecast - 3023'!V300+'Capex forecast - 3024'!V300+'Capex forecast - 3025'!V300+'Capex forecast - IT'!V300+'Capex forecast - other non-IT'!V300</f>
        <v>458188.39309397794</v>
      </c>
      <c r="P37" s="40">
        <f t="shared" si="2"/>
        <v>2222170.1619662861</v>
      </c>
    </row>
    <row r="38" spans="1:16">
      <c r="B38" s="38" t="s">
        <v>234</v>
      </c>
      <c r="D38" s="29"/>
      <c r="E38" s="29"/>
      <c r="H38" s="45"/>
      <c r="I38" s="45">
        <f>'Capex forecast - 3001'!Q301+'Capex forecast - 3002'!Q301+'Capex forecast - 3003'!Q301+'Capex forecast - 3004'!Q301+'Capex forecast - 3005'!Q301+'Capex forecast - 3006'!Q301++'Capex forecast - 3007'!Q301+'Capex forecast - 3008'!Q301+'Capex forecast - 3009'!Q301+'Capex forecast - 3010'!Q301+'Capex forecast - 3011'!Q301+'Capex forecast - 3012'!Q301+'Capex forecast - 3013'!Q301+'Capex forecast - 3014'!Q301+'Capex forecast - 3015'!Q301+'Capex forecast - 3016'!Q301+'Capex forecast - 3017'!Q301+'Capex forecast - 3018'!Q301+'Capex forecast - 3019'!Q301+'Capex forecast - 3020'!Q301+'Capex forecast - 3021'!Q301+'Capex forecast - 3022'!Q301+'Capex forecast - 3023'!Q301+'Capex forecast - 3024'!Q301+'Capex forecast - 3025'!Q301+'Capex forecast - IT'!Q301+'Capex forecast - other non-IT'!Q301</f>
        <v>5432556.3520476362</v>
      </c>
      <c r="J38" s="45">
        <f>'Capex forecast - 3001'!R301+'Capex forecast - 3002'!R301+'Capex forecast - 3003'!R301+'Capex forecast - 3004'!R301+'Capex forecast - 3005'!R301+'Capex forecast - 3006'!R301++'Capex forecast - 3007'!R301+'Capex forecast - 3008'!R301+'Capex forecast - 3009'!R301+'Capex forecast - 3010'!R301+'Capex forecast - 3011'!R301+'Capex forecast - 3012'!R301+'Capex forecast - 3013'!R301+'Capex forecast - 3014'!R301+'Capex forecast - 3015'!R301+'Capex forecast - 3016'!R301+'Capex forecast - 3017'!R301+'Capex forecast - 3018'!R301+'Capex forecast - 3019'!R301+'Capex forecast - 3020'!R301+'Capex forecast - 3021'!R301+'Capex forecast - 3022'!R301+'Capex forecast - 3023'!R301+'Capex forecast - 3024'!R301+'Capex forecast - 3025'!R301+'Capex forecast - IT'!R301+'Capex forecast - other non-IT'!R301</f>
        <v>7997746.6110612154</v>
      </c>
      <c r="K38" s="45">
        <f>'Capex forecast - 3001'!S301+'Capex forecast - 3002'!S301+'Capex forecast - 3003'!S301+'Capex forecast - 3004'!S301+'Capex forecast - 3005'!S301+'Capex forecast - 3006'!S301++'Capex forecast - 3007'!S301+'Capex forecast - 3008'!S301+'Capex forecast - 3009'!S301+'Capex forecast - 3010'!S301+'Capex forecast - 3011'!S301+'Capex forecast - 3012'!S301+'Capex forecast - 3013'!S301+'Capex forecast - 3014'!S301+'Capex forecast - 3015'!S301+'Capex forecast - 3016'!S301+'Capex forecast - 3017'!S301+'Capex forecast - 3018'!S301+'Capex forecast - 3019'!S301+'Capex forecast - 3020'!S301+'Capex forecast - 3021'!S301+'Capex forecast - 3022'!S301+'Capex forecast - 3023'!S301+'Capex forecast - 3024'!S301+'Capex forecast - 3025'!S301+'Capex forecast - IT'!S301+'Capex forecast - other non-IT'!S301</f>
        <v>7153482.6009892244</v>
      </c>
      <c r="L38" s="45">
        <f>'Capex forecast - 3001'!T301+'Capex forecast - 3002'!T301+'Capex forecast - 3003'!T301+'Capex forecast - 3004'!T301+'Capex forecast - 3005'!T301+'Capex forecast - 3006'!T301++'Capex forecast - 3007'!T301+'Capex forecast - 3008'!T301+'Capex forecast - 3009'!T301+'Capex forecast - 3010'!T301+'Capex forecast - 3011'!T301+'Capex forecast - 3012'!T301+'Capex forecast - 3013'!T301+'Capex forecast - 3014'!T301+'Capex forecast - 3015'!T301+'Capex forecast - 3016'!T301+'Capex forecast - 3017'!T301+'Capex forecast - 3018'!T301+'Capex forecast - 3019'!T301+'Capex forecast - 3020'!T301+'Capex forecast - 3021'!T301+'Capex forecast - 3022'!T301+'Capex forecast - 3023'!T301+'Capex forecast - 3024'!T301+'Capex forecast - 3025'!T301+'Capex forecast - IT'!T301+'Capex forecast - other non-IT'!T301</f>
        <v>4679168.8849116936</v>
      </c>
      <c r="M38" s="45">
        <f>'Capex forecast - 3001'!U301+'Capex forecast - 3002'!U301+'Capex forecast - 3003'!U301+'Capex forecast - 3004'!U301+'Capex forecast - 3005'!U301+'Capex forecast - 3006'!U301++'Capex forecast - 3007'!U301+'Capex forecast - 3008'!U301+'Capex forecast - 3009'!U301+'Capex forecast - 3010'!U301+'Capex forecast - 3011'!U301+'Capex forecast - 3012'!U301+'Capex forecast - 3013'!U301+'Capex forecast - 3014'!U301+'Capex forecast - 3015'!U301+'Capex forecast - 3016'!U301+'Capex forecast - 3017'!U301+'Capex forecast - 3018'!U301+'Capex forecast - 3019'!U301+'Capex forecast - 3020'!U301+'Capex forecast - 3021'!U301+'Capex forecast - 3022'!U301+'Capex forecast - 3023'!U301+'Capex forecast - 3024'!U301+'Capex forecast - 3025'!U301+'Capex forecast - IT'!U301+'Capex forecast - other non-IT'!U301</f>
        <v>4541490.9674027022</v>
      </c>
      <c r="N38" s="45">
        <f>'Capex forecast - 3001'!V301+'Capex forecast - 3002'!V301+'Capex forecast - 3003'!V301+'Capex forecast - 3004'!V301+'Capex forecast - 3005'!V301+'Capex forecast - 3006'!V301++'Capex forecast - 3007'!V301+'Capex forecast - 3008'!V301+'Capex forecast - 3009'!V301+'Capex forecast - 3010'!V301+'Capex forecast - 3011'!V301+'Capex forecast - 3012'!V301+'Capex forecast - 3013'!V301+'Capex forecast - 3014'!V301+'Capex forecast - 3015'!V301+'Capex forecast - 3016'!V301+'Capex forecast - 3017'!V301+'Capex forecast - 3018'!V301+'Capex forecast - 3019'!V301+'Capex forecast - 3020'!V301+'Capex forecast - 3021'!V301+'Capex forecast - 3022'!V301+'Capex forecast - 3023'!V301+'Capex forecast - 3024'!V301+'Capex forecast - 3025'!V301+'Capex forecast - IT'!V301+'Capex forecast - other non-IT'!V301</f>
        <v>4109768.1322224196</v>
      </c>
      <c r="P38" s="40">
        <f t="shared" si="2"/>
        <v>28481657.196587257</v>
      </c>
    </row>
    <row r="39" spans="1:16">
      <c r="B39" s="38" t="s">
        <v>65</v>
      </c>
      <c r="D39" s="29"/>
      <c r="E39" s="29"/>
      <c r="H39" s="45"/>
      <c r="I39" s="45">
        <f>'Capex forecast - 3001'!Q302+'Capex forecast - 3002'!Q302+'Capex forecast - 3003'!Q302+'Capex forecast - 3004'!Q302+'Capex forecast - 3005'!Q302+'Capex forecast - 3006'!Q302++'Capex forecast - 3007'!Q302+'Capex forecast - 3008'!Q302+'Capex forecast - 3009'!Q302+'Capex forecast - 3010'!Q302+'Capex forecast - 3011'!Q302+'Capex forecast - 3012'!Q302+'Capex forecast - 3013'!Q302+'Capex forecast - 3014'!Q302+'Capex forecast - 3015'!Q302+'Capex forecast - 3016'!Q302+'Capex forecast - 3017'!Q302+'Capex forecast - 3018'!Q302+'Capex forecast - 3019'!Q302+'Capex forecast - 3020'!Q302+'Capex forecast - 3021'!Q302+'Capex forecast - 3022'!Q302+'Capex forecast - 3023'!Q302+'Capex forecast - 3024'!Q302+'Capex forecast - 3025'!Q302+'Capex forecast - IT'!Q302+'Capex forecast - other non-IT'!Q302</f>
        <v>13400623.284846248</v>
      </c>
      <c r="J39" s="45">
        <f>'Capex forecast - 3001'!R302+'Capex forecast - 3002'!R302+'Capex forecast - 3003'!R302+'Capex forecast - 3004'!R302+'Capex forecast - 3005'!R302+'Capex forecast - 3006'!R302++'Capex forecast - 3007'!R302+'Capex forecast - 3008'!R302+'Capex forecast - 3009'!R302+'Capex forecast - 3010'!R302+'Capex forecast - 3011'!R302+'Capex forecast - 3012'!R302+'Capex forecast - 3013'!R302+'Capex forecast - 3014'!R302+'Capex forecast - 3015'!R302+'Capex forecast - 3016'!R302+'Capex forecast - 3017'!R302+'Capex forecast - 3018'!R302+'Capex forecast - 3019'!R302+'Capex forecast - 3020'!R302+'Capex forecast - 3021'!R302+'Capex forecast - 3022'!R302+'Capex forecast - 3023'!R302+'Capex forecast - 3024'!R302+'Capex forecast - 3025'!R302+'Capex forecast - IT'!R302+'Capex forecast - other non-IT'!R302</f>
        <v>15189393.691417482</v>
      </c>
      <c r="K39" s="45">
        <f>'Capex forecast - 3001'!S302+'Capex forecast - 3002'!S302+'Capex forecast - 3003'!S302+'Capex forecast - 3004'!S302+'Capex forecast - 3005'!S302+'Capex forecast - 3006'!S302++'Capex forecast - 3007'!S302+'Capex forecast - 3008'!S302+'Capex forecast - 3009'!S302+'Capex forecast - 3010'!S302+'Capex forecast - 3011'!S302+'Capex forecast - 3012'!S302+'Capex forecast - 3013'!S302+'Capex forecast - 3014'!S302+'Capex forecast - 3015'!S302+'Capex forecast - 3016'!S302+'Capex forecast - 3017'!S302+'Capex forecast - 3018'!S302+'Capex forecast - 3019'!S302+'Capex forecast - 3020'!S302+'Capex forecast - 3021'!S302+'Capex forecast - 3022'!S302+'Capex forecast - 3023'!S302+'Capex forecast - 3024'!S302+'Capex forecast - 3025'!S302+'Capex forecast - IT'!S302+'Capex forecast - other non-IT'!S302</f>
        <v>16010620.523715068</v>
      </c>
      <c r="L39" s="45">
        <f>'Capex forecast - 3001'!T302+'Capex forecast - 3002'!T302+'Capex forecast - 3003'!T302+'Capex forecast - 3004'!T302+'Capex forecast - 3005'!T302+'Capex forecast - 3006'!T302++'Capex forecast - 3007'!T302+'Capex forecast - 3008'!T302+'Capex forecast - 3009'!T302+'Capex forecast - 3010'!T302+'Capex forecast - 3011'!T302+'Capex forecast - 3012'!T302+'Capex forecast - 3013'!T302+'Capex forecast - 3014'!T302+'Capex forecast - 3015'!T302+'Capex forecast - 3016'!T302+'Capex forecast - 3017'!T302+'Capex forecast - 3018'!T302+'Capex forecast - 3019'!T302+'Capex forecast - 3020'!T302+'Capex forecast - 3021'!T302+'Capex forecast - 3022'!T302+'Capex forecast - 3023'!T302+'Capex forecast - 3024'!T302+'Capex forecast - 3025'!T302+'Capex forecast - IT'!T302+'Capex forecast - other non-IT'!T302</f>
        <v>15597393.370823283</v>
      </c>
      <c r="M39" s="45">
        <f>'Capex forecast - 3001'!U302+'Capex forecast - 3002'!U302+'Capex forecast - 3003'!U302+'Capex forecast - 3004'!U302+'Capex forecast - 3005'!U302+'Capex forecast - 3006'!U302++'Capex forecast - 3007'!U302+'Capex forecast - 3008'!U302+'Capex forecast - 3009'!U302+'Capex forecast - 3010'!U302+'Capex forecast - 3011'!U302+'Capex forecast - 3012'!U302+'Capex forecast - 3013'!U302+'Capex forecast - 3014'!U302+'Capex forecast - 3015'!U302+'Capex forecast - 3016'!U302+'Capex forecast - 3017'!U302+'Capex forecast - 3018'!U302+'Capex forecast - 3019'!U302+'Capex forecast - 3020'!U302+'Capex forecast - 3021'!U302+'Capex forecast - 3022'!U302+'Capex forecast - 3023'!U302+'Capex forecast - 3024'!U302+'Capex forecast - 3025'!U302+'Capex forecast - IT'!U302+'Capex forecast - other non-IT'!U302</f>
        <v>15529616.719751509</v>
      </c>
      <c r="N39" s="45">
        <f>'Capex forecast - 3001'!V302+'Capex forecast - 3002'!V302+'Capex forecast - 3003'!V302+'Capex forecast - 3004'!V302+'Capex forecast - 3005'!V302+'Capex forecast - 3006'!V302++'Capex forecast - 3007'!V302+'Capex forecast - 3008'!V302+'Capex forecast - 3009'!V302+'Capex forecast - 3010'!V302+'Capex forecast - 3011'!V302+'Capex forecast - 3012'!V302+'Capex forecast - 3013'!V302+'Capex forecast - 3014'!V302+'Capex forecast - 3015'!V302+'Capex forecast - 3016'!V302+'Capex forecast - 3017'!V302+'Capex forecast - 3018'!V302+'Capex forecast - 3019'!V302+'Capex forecast - 3020'!V302+'Capex forecast - 3021'!V302+'Capex forecast - 3022'!V302+'Capex forecast - 3023'!V302+'Capex forecast - 3024'!V302+'Capex forecast - 3025'!V302+'Capex forecast - IT'!V302+'Capex forecast - other non-IT'!V302</f>
        <v>15996194.623315571</v>
      </c>
      <c r="P39" s="40">
        <f t="shared" si="2"/>
        <v>78323218.929022908</v>
      </c>
    </row>
    <row r="40" spans="1:16">
      <c r="B40" s="38" t="s">
        <v>66</v>
      </c>
      <c r="D40" s="29"/>
      <c r="E40" s="29"/>
      <c r="H40" s="45"/>
      <c r="I40" s="45">
        <f>'Capex forecast - 3001'!Q303+'Capex forecast - 3002'!Q303+'Capex forecast - 3003'!Q303+'Capex forecast - 3004'!Q303+'Capex forecast - 3005'!Q303+'Capex forecast - 3006'!Q303++'Capex forecast - 3007'!Q303+'Capex forecast - 3008'!Q303+'Capex forecast - 3009'!Q303+'Capex forecast - 3010'!Q303+'Capex forecast - 3011'!Q303+'Capex forecast - 3012'!Q303+'Capex forecast - 3013'!Q303+'Capex forecast - 3014'!Q303+'Capex forecast - 3015'!Q303+'Capex forecast - 3016'!Q303+'Capex forecast - 3017'!Q303+'Capex forecast - 3018'!Q303+'Capex forecast - 3019'!Q303+'Capex forecast - 3020'!Q303+'Capex forecast - 3021'!Q303+'Capex forecast - 3022'!Q303+'Capex forecast - 3023'!Q303+'Capex forecast - 3024'!Q303+'Capex forecast - 3025'!Q303+'Capex forecast - IT'!Q303+'Capex forecast - other non-IT'!Q303</f>
        <v>471858.57543942035</v>
      </c>
      <c r="J40" s="45">
        <f>'Capex forecast - 3001'!R303+'Capex forecast - 3002'!R303+'Capex forecast - 3003'!R303+'Capex forecast - 3004'!R303+'Capex forecast - 3005'!R303+'Capex forecast - 3006'!R303++'Capex forecast - 3007'!R303+'Capex forecast - 3008'!R303+'Capex forecast - 3009'!R303+'Capex forecast - 3010'!R303+'Capex forecast - 3011'!R303+'Capex forecast - 3012'!R303+'Capex forecast - 3013'!R303+'Capex forecast - 3014'!R303+'Capex forecast - 3015'!R303+'Capex forecast - 3016'!R303+'Capex forecast - 3017'!R303+'Capex forecast - 3018'!R303+'Capex forecast - 3019'!R303+'Capex forecast - 3020'!R303+'Capex forecast - 3021'!R303+'Capex forecast - 3022'!R303+'Capex forecast - 3023'!R303+'Capex forecast - 3024'!R303+'Capex forecast - 3025'!R303+'Capex forecast - IT'!R303+'Capex forecast - other non-IT'!R303</f>
        <v>432745.50817818695</v>
      </c>
      <c r="K40" s="45">
        <f>'Capex forecast - 3001'!S303+'Capex forecast - 3002'!S303+'Capex forecast - 3003'!S303+'Capex forecast - 3004'!S303+'Capex forecast - 3005'!S303+'Capex forecast - 3006'!S303++'Capex forecast - 3007'!S303+'Capex forecast - 3008'!S303+'Capex forecast - 3009'!S303+'Capex forecast - 3010'!S303+'Capex forecast - 3011'!S303+'Capex forecast - 3012'!S303+'Capex forecast - 3013'!S303+'Capex forecast - 3014'!S303+'Capex forecast - 3015'!S303+'Capex forecast - 3016'!S303+'Capex forecast - 3017'!S303+'Capex forecast - 3018'!S303+'Capex forecast - 3019'!S303+'Capex forecast - 3020'!S303+'Capex forecast - 3021'!S303+'Capex forecast - 3022'!S303+'Capex forecast - 3023'!S303+'Capex forecast - 3024'!S303+'Capex forecast - 3025'!S303+'Capex forecast - IT'!S303+'Capex forecast - other non-IT'!S303</f>
        <v>389820.16040159453</v>
      </c>
      <c r="L40" s="45">
        <f>'Capex forecast - 3001'!T303+'Capex forecast - 3002'!T303+'Capex forecast - 3003'!T303+'Capex forecast - 3004'!T303+'Capex forecast - 3005'!T303+'Capex forecast - 3006'!T303++'Capex forecast - 3007'!T303+'Capex forecast - 3008'!T303+'Capex forecast - 3009'!T303+'Capex forecast - 3010'!T303+'Capex forecast - 3011'!T303+'Capex forecast - 3012'!T303+'Capex forecast - 3013'!T303+'Capex forecast - 3014'!T303+'Capex forecast - 3015'!T303+'Capex forecast - 3016'!T303+'Capex forecast - 3017'!T303+'Capex forecast - 3018'!T303+'Capex forecast - 3019'!T303+'Capex forecast - 3020'!T303+'Capex forecast - 3021'!T303+'Capex forecast - 3022'!T303+'Capex forecast - 3023'!T303+'Capex forecast - 3024'!T303+'Capex forecast - 3025'!T303+'Capex forecast - IT'!T303+'Capex forecast - other non-IT'!T303</f>
        <v>355345.40584988095</v>
      </c>
      <c r="M40" s="45">
        <f>'Capex forecast - 3001'!U303+'Capex forecast - 3002'!U303+'Capex forecast - 3003'!U303+'Capex forecast - 3004'!U303+'Capex forecast - 3005'!U303+'Capex forecast - 3006'!U303++'Capex forecast - 3007'!U303+'Capex forecast - 3008'!U303+'Capex forecast - 3009'!U303+'Capex forecast - 3010'!U303+'Capex forecast - 3011'!U303+'Capex forecast - 3012'!U303+'Capex forecast - 3013'!U303+'Capex forecast - 3014'!U303+'Capex forecast - 3015'!U303+'Capex forecast - 3016'!U303+'Capex forecast - 3017'!U303+'Capex forecast - 3018'!U303+'Capex forecast - 3019'!U303+'Capex forecast - 3020'!U303+'Capex forecast - 3021'!U303+'Capex forecast - 3022'!U303+'Capex forecast - 3023'!U303+'Capex forecast - 3024'!U303+'Capex forecast - 3025'!U303+'Capex forecast - IT'!U303+'Capex forecast - other non-IT'!U303</f>
        <v>1426996.7662634766</v>
      </c>
      <c r="N40" s="45">
        <f>'Capex forecast - 3001'!V303+'Capex forecast - 3002'!V303+'Capex forecast - 3003'!V303+'Capex forecast - 3004'!V303+'Capex forecast - 3005'!V303+'Capex forecast - 3006'!V303++'Capex forecast - 3007'!V303+'Capex forecast - 3008'!V303+'Capex forecast - 3009'!V303+'Capex forecast - 3010'!V303+'Capex forecast - 3011'!V303+'Capex forecast - 3012'!V303+'Capex forecast - 3013'!V303+'Capex forecast - 3014'!V303+'Capex forecast - 3015'!V303+'Capex forecast - 3016'!V303+'Capex forecast - 3017'!V303+'Capex forecast - 3018'!V303+'Capex forecast - 3019'!V303+'Capex forecast - 3020'!V303+'Capex forecast - 3021'!V303+'Capex forecast - 3022'!V303+'Capex forecast - 3023'!V303+'Capex forecast - 3024'!V303+'Capex forecast - 3025'!V303+'Capex forecast - IT'!V303+'Capex forecast - other non-IT'!V303</f>
        <v>1542442.0259633579</v>
      </c>
      <c r="P40" s="40">
        <f t="shared" si="2"/>
        <v>4147349.8666564971</v>
      </c>
    </row>
    <row r="41" spans="1:16">
      <c r="B41" s="38" t="s">
        <v>107</v>
      </c>
      <c r="D41" s="29"/>
      <c r="E41" s="29"/>
      <c r="H41" s="45"/>
      <c r="I41" s="45">
        <f>'Capex forecast - 3001'!Q304+'Capex forecast - 3002'!Q304+'Capex forecast - 3003'!Q304+'Capex forecast - 3004'!Q304+'Capex forecast - 3005'!Q304+'Capex forecast - 3006'!Q304++'Capex forecast - 3007'!Q304+'Capex forecast - 3008'!Q304+'Capex forecast - 3009'!Q304+'Capex forecast - 3010'!Q304+'Capex forecast - 3011'!Q304+'Capex forecast - 3012'!Q304+'Capex forecast - 3013'!Q304+'Capex forecast - 3014'!Q304+'Capex forecast - 3015'!Q304+'Capex forecast - 3016'!Q304+'Capex forecast - 3017'!Q304+'Capex forecast - 3018'!Q304+'Capex forecast - 3019'!Q304+'Capex forecast - 3020'!Q304+'Capex forecast - 3021'!Q304+'Capex forecast - 3022'!Q304+'Capex forecast - 3023'!Q304+'Capex forecast - 3024'!Q304+'Capex forecast - 3025'!Q304+'Capex forecast - IT'!Q304+'Capex forecast - other non-IT'!Q304</f>
        <v>0</v>
      </c>
      <c r="J41" s="45">
        <f>'Capex forecast - 3001'!R304+'Capex forecast - 3002'!R304+'Capex forecast - 3003'!R304+'Capex forecast - 3004'!R304+'Capex forecast - 3005'!R304+'Capex forecast - 3006'!R304++'Capex forecast - 3007'!R304+'Capex forecast - 3008'!R304+'Capex forecast - 3009'!R304+'Capex forecast - 3010'!R304+'Capex forecast - 3011'!R304+'Capex forecast - 3012'!R304+'Capex forecast - 3013'!R304+'Capex forecast - 3014'!R304+'Capex forecast - 3015'!R304+'Capex forecast - 3016'!R304+'Capex forecast - 3017'!R304+'Capex forecast - 3018'!R304+'Capex forecast - 3019'!R304+'Capex forecast - 3020'!R304+'Capex forecast - 3021'!R304+'Capex forecast - 3022'!R304+'Capex forecast - 3023'!R304+'Capex forecast - 3024'!R304+'Capex forecast - 3025'!R304+'Capex forecast - IT'!R304+'Capex forecast - other non-IT'!R304</f>
        <v>0</v>
      </c>
      <c r="K41" s="45">
        <f>'Capex forecast - 3001'!S304+'Capex forecast - 3002'!S304+'Capex forecast - 3003'!S304+'Capex forecast - 3004'!S304+'Capex forecast - 3005'!S304+'Capex forecast - 3006'!S304++'Capex forecast - 3007'!S304+'Capex forecast - 3008'!S304+'Capex forecast - 3009'!S304+'Capex forecast - 3010'!S304+'Capex forecast - 3011'!S304+'Capex forecast - 3012'!S304+'Capex forecast - 3013'!S304+'Capex forecast - 3014'!S304+'Capex forecast - 3015'!S304+'Capex forecast - 3016'!S304+'Capex forecast - 3017'!S304+'Capex forecast - 3018'!S304+'Capex forecast - 3019'!S304+'Capex forecast - 3020'!S304+'Capex forecast - 3021'!S304+'Capex forecast - 3022'!S304+'Capex forecast - 3023'!S304+'Capex forecast - 3024'!S304+'Capex forecast - 3025'!S304+'Capex forecast - IT'!S304+'Capex forecast - other non-IT'!S304</f>
        <v>0</v>
      </c>
      <c r="L41" s="45">
        <f>'Capex forecast - 3001'!T304+'Capex forecast - 3002'!T304+'Capex forecast - 3003'!T304+'Capex forecast - 3004'!T304+'Capex forecast - 3005'!T304+'Capex forecast - 3006'!T304++'Capex forecast - 3007'!T304+'Capex forecast - 3008'!T304+'Capex forecast - 3009'!T304+'Capex forecast - 3010'!T304+'Capex forecast - 3011'!T304+'Capex forecast - 3012'!T304+'Capex forecast - 3013'!T304+'Capex forecast - 3014'!T304+'Capex forecast - 3015'!T304+'Capex forecast - 3016'!T304+'Capex forecast - 3017'!T304+'Capex forecast - 3018'!T304+'Capex forecast - 3019'!T304+'Capex forecast - 3020'!T304+'Capex forecast - 3021'!T304+'Capex forecast - 3022'!T304+'Capex forecast - 3023'!T304+'Capex forecast - 3024'!T304+'Capex forecast - 3025'!T304+'Capex forecast - IT'!T304+'Capex forecast - other non-IT'!T304</f>
        <v>0</v>
      </c>
      <c r="M41" s="45">
        <f>'Capex forecast - 3001'!U304+'Capex forecast - 3002'!U304+'Capex forecast - 3003'!U304+'Capex forecast - 3004'!U304+'Capex forecast - 3005'!U304+'Capex forecast - 3006'!U304++'Capex forecast - 3007'!U304+'Capex forecast - 3008'!U304+'Capex forecast - 3009'!U304+'Capex forecast - 3010'!U304+'Capex forecast - 3011'!U304+'Capex forecast - 3012'!U304+'Capex forecast - 3013'!U304+'Capex forecast - 3014'!U304+'Capex forecast - 3015'!U304+'Capex forecast - 3016'!U304+'Capex forecast - 3017'!U304+'Capex forecast - 3018'!U304+'Capex forecast - 3019'!U304+'Capex forecast - 3020'!U304+'Capex forecast - 3021'!U304+'Capex forecast - 3022'!U304+'Capex forecast - 3023'!U304+'Capex forecast - 3024'!U304+'Capex forecast - 3025'!U304+'Capex forecast - IT'!U304+'Capex forecast - other non-IT'!U304</f>
        <v>0</v>
      </c>
      <c r="N41" s="45">
        <f>'Capex forecast - 3001'!V304+'Capex forecast - 3002'!V304+'Capex forecast - 3003'!V304+'Capex forecast - 3004'!V304+'Capex forecast - 3005'!V304+'Capex forecast - 3006'!V304++'Capex forecast - 3007'!V304+'Capex forecast - 3008'!V304+'Capex forecast - 3009'!V304+'Capex forecast - 3010'!V304+'Capex forecast - 3011'!V304+'Capex forecast - 3012'!V304+'Capex forecast - 3013'!V304+'Capex forecast - 3014'!V304+'Capex forecast - 3015'!V304+'Capex forecast - 3016'!V304+'Capex forecast - 3017'!V304+'Capex forecast - 3018'!V304+'Capex forecast - 3019'!V304+'Capex forecast - 3020'!V304+'Capex forecast - 3021'!V304+'Capex forecast - 3022'!V304+'Capex forecast - 3023'!V304+'Capex forecast - 3024'!V304+'Capex forecast - 3025'!V304+'Capex forecast - IT'!V304+'Capex forecast - other non-IT'!V304</f>
        <v>0</v>
      </c>
      <c r="P41" s="40">
        <f t="shared" si="2"/>
        <v>0</v>
      </c>
    </row>
    <row r="42" spans="1:16">
      <c r="B42" s="38" t="s">
        <v>67</v>
      </c>
      <c r="D42" s="29"/>
      <c r="E42" s="29"/>
      <c r="H42" s="45"/>
      <c r="I42" s="45">
        <f>'Capex forecast - 3001'!Q305+'Capex forecast - 3002'!Q305+'Capex forecast - 3003'!Q305+'Capex forecast - 3004'!Q305+'Capex forecast - 3005'!Q305+'Capex forecast - 3006'!Q305++'Capex forecast - 3007'!Q305+'Capex forecast - 3008'!Q305+'Capex forecast - 3009'!Q305+'Capex forecast - 3010'!Q305+'Capex forecast - 3011'!Q305+'Capex forecast - 3012'!Q305+'Capex forecast - 3013'!Q305+'Capex forecast - 3014'!Q305+'Capex forecast - 3015'!Q305+'Capex forecast - 3016'!Q305+'Capex forecast - 3017'!Q305+'Capex forecast - 3018'!Q305+'Capex forecast - 3019'!Q305+'Capex forecast - 3020'!Q305+'Capex forecast - 3021'!Q305+'Capex forecast - 3022'!Q305+'Capex forecast - 3023'!Q305+'Capex forecast - 3024'!Q305+'Capex forecast - 3025'!Q305+'Capex forecast - IT'!Q305+'Capex forecast - other non-IT'!Q305</f>
        <v>7049221.1162734153</v>
      </c>
      <c r="J42" s="45">
        <f>'Capex forecast - 3001'!R305+'Capex forecast - 3002'!R305+'Capex forecast - 3003'!R305+'Capex forecast - 3004'!R305+'Capex forecast - 3005'!R305+'Capex forecast - 3006'!R305++'Capex forecast - 3007'!R305+'Capex forecast - 3008'!R305+'Capex forecast - 3009'!R305+'Capex forecast - 3010'!R305+'Capex forecast - 3011'!R305+'Capex forecast - 3012'!R305+'Capex forecast - 3013'!R305+'Capex forecast - 3014'!R305+'Capex forecast - 3015'!R305+'Capex forecast - 3016'!R305+'Capex forecast - 3017'!R305+'Capex forecast - 3018'!R305+'Capex forecast - 3019'!R305+'Capex forecast - 3020'!R305+'Capex forecast - 3021'!R305+'Capex forecast - 3022'!R305+'Capex forecast - 3023'!R305+'Capex forecast - 3024'!R305+'Capex forecast - 3025'!R305+'Capex forecast - IT'!R305+'Capex forecast - other non-IT'!R305</f>
        <v>14115679.613900786</v>
      </c>
      <c r="K42" s="45">
        <f>'Capex forecast - 3001'!S305+'Capex forecast - 3002'!S305+'Capex forecast - 3003'!S305+'Capex forecast - 3004'!S305+'Capex forecast - 3005'!S305+'Capex forecast - 3006'!S305++'Capex forecast - 3007'!S305+'Capex forecast - 3008'!S305+'Capex forecast - 3009'!S305+'Capex forecast - 3010'!S305+'Capex forecast - 3011'!S305+'Capex forecast - 3012'!S305+'Capex forecast - 3013'!S305+'Capex forecast - 3014'!S305+'Capex forecast - 3015'!S305+'Capex forecast - 3016'!S305+'Capex forecast - 3017'!S305+'Capex forecast - 3018'!S305+'Capex forecast - 3019'!S305+'Capex forecast - 3020'!S305+'Capex forecast - 3021'!S305+'Capex forecast - 3022'!S305+'Capex forecast - 3023'!S305+'Capex forecast - 3024'!S305+'Capex forecast - 3025'!S305+'Capex forecast - IT'!S305+'Capex forecast - other non-IT'!S305</f>
        <v>15330008.166965332</v>
      </c>
      <c r="L42" s="45">
        <f>'Capex forecast - 3001'!T305+'Capex forecast - 3002'!T305+'Capex forecast - 3003'!T305+'Capex forecast - 3004'!T305+'Capex forecast - 3005'!T305+'Capex forecast - 3006'!T305++'Capex forecast - 3007'!T305+'Capex forecast - 3008'!T305+'Capex forecast - 3009'!T305+'Capex forecast - 3010'!T305+'Capex forecast - 3011'!T305+'Capex forecast - 3012'!T305+'Capex forecast - 3013'!T305+'Capex forecast - 3014'!T305+'Capex forecast - 3015'!T305+'Capex forecast - 3016'!T305+'Capex forecast - 3017'!T305+'Capex forecast - 3018'!T305+'Capex forecast - 3019'!T305+'Capex forecast - 3020'!T305+'Capex forecast - 3021'!T305+'Capex forecast - 3022'!T305+'Capex forecast - 3023'!T305+'Capex forecast - 3024'!T305+'Capex forecast - 3025'!T305+'Capex forecast - IT'!T305+'Capex forecast - other non-IT'!T305</f>
        <v>12725325.750282558</v>
      </c>
      <c r="M42" s="45">
        <f>'Capex forecast - 3001'!U305+'Capex forecast - 3002'!U305+'Capex forecast - 3003'!U305+'Capex forecast - 3004'!U305+'Capex forecast - 3005'!U305+'Capex forecast - 3006'!U305++'Capex forecast - 3007'!U305+'Capex forecast - 3008'!U305+'Capex forecast - 3009'!U305+'Capex forecast - 3010'!U305+'Capex forecast - 3011'!U305+'Capex forecast - 3012'!U305+'Capex forecast - 3013'!U305+'Capex forecast - 3014'!U305+'Capex forecast - 3015'!U305+'Capex forecast - 3016'!U305+'Capex forecast - 3017'!U305+'Capex forecast - 3018'!U305+'Capex forecast - 3019'!U305+'Capex forecast - 3020'!U305+'Capex forecast - 3021'!U305+'Capex forecast - 3022'!U305+'Capex forecast - 3023'!U305+'Capex forecast - 3024'!U305+'Capex forecast - 3025'!U305+'Capex forecast - IT'!U305+'Capex forecast - other non-IT'!U305</f>
        <v>10137616.817740591</v>
      </c>
      <c r="N42" s="45">
        <f>'Capex forecast - 3001'!V305+'Capex forecast - 3002'!V305+'Capex forecast - 3003'!V305+'Capex forecast - 3004'!V305+'Capex forecast - 3005'!V305+'Capex forecast - 3006'!V305++'Capex forecast - 3007'!V305+'Capex forecast - 3008'!V305+'Capex forecast - 3009'!V305+'Capex forecast - 3010'!V305+'Capex forecast - 3011'!V305+'Capex forecast - 3012'!V305+'Capex forecast - 3013'!V305+'Capex forecast - 3014'!V305+'Capex forecast - 3015'!V305+'Capex forecast - 3016'!V305+'Capex forecast - 3017'!V305+'Capex forecast - 3018'!V305+'Capex forecast - 3019'!V305+'Capex forecast - 3020'!V305+'Capex forecast - 3021'!V305+'Capex forecast - 3022'!V305+'Capex forecast - 3023'!V305+'Capex forecast - 3024'!V305+'Capex forecast - 3025'!V305+'Capex forecast - IT'!V305+'Capex forecast - other non-IT'!V305</f>
        <v>7137243.3653480504</v>
      </c>
      <c r="P42" s="40">
        <f t="shared" si="2"/>
        <v>59445873.71423731</v>
      </c>
    </row>
    <row r="43" spans="1:16">
      <c r="B43" s="38" t="s">
        <v>68</v>
      </c>
      <c r="D43" s="29"/>
      <c r="E43" s="29"/>
      <c r="H43" s="45"/>
      <c r="I43" s="45">
        <f>'Capex forecast - 3001'!Q306+'Capex forecast - 3002'!Q306+'Capex forecast - 3003'!Q306+'Capex forecast - 3004'!Q306+'Capex forecast - 3005'!Q306+'Capex forecast - 3006'!Q306++'Capex forecast - 3007'!Q306+'Capex forecast - 3008'!Q306+'Capex forecast - 3009'!Q306+'Capex forecast - 3010'!Q306+'Capex forecast - 3011'!Q306+'Capex forecast - 3012'!Q306+'Capex forecast - 3013'!Q306+'Capex forecast - 3014'!Q306+'Capex forecast - 3015'!Q306+'Capex forecast - 3016'!Q306+'Capex forecast - 3017'!Q306+'Capex forecast - 3018'!Q306+'Capex forecast - 3019'!Q306+'Capex forecast - 3020'!Q306+'Capex forecast - 3021'!Q306+'Capex forecast - 3022'!Q306+'Capex forecast - 3023'!Q306+'Capex forecast - 3024'!Q306+'Capex forecast - 3025'!Q306+'Capex forecast - IT'!Q306+'Capex forecast - other non-IT'!Q306</f>
        <v>360914.01009034616</v>
      </c>
      <c r="J43" s="45">
        <f>'Capex forecast - 3001'!R306+'Capex forecast - 3002'!R306+'Capex forecast - 3003'!R306+'Capex forecast - 3004'!R306+'Capex forecast - 3005'!R306+'Capex forecast - 3006'!R306++'Capex forecast - 3007'!R306+'Capex forecast - 3008'!R306+'Capex forecast - 3009'!R306+'Capex forecast - 3010'!R306+'Capex forecast - 3011'!R306+'Capex forecast - 3012'!R306+'Capex forecast - 3013'!R306+'Capex forecast - 3014'!R306+'Capex forecast - 3015'!R306+'Capex forecast - 3016'!R306+'Capex forecast - 3017'!R306+'Capex forecast - 3018'!R306+'Capex forecast - 3019'!R306+'Capex forecast - 3020'!R306+'Capex forecast - 3021'!R306+'Capex forecast - 3022'!R306+'Capex forecast - 3023'!R306+'Capex forecast - 3024'!R306+'Capex forecast - 3025'!R306+'Capex forecast - IT'!R306+'Capex forecast - other non-IT'!R306</f>
        <v>361358.76730482717</v>
      </c>
      <c r="K43" s="45">
        <f>'Capex forecast - 3001'!S306+'Capex forecast - 3002'!S306+'Capex forecast - 3003'!S306+'Capex forecast - 3004'!S306+'Capex forecast - 3005'!S306+'Capex forecast - 3006'!S306++'Capex forecast - 3007'!S306+'Capex forecast - 3008'!S306+'Capex forecast - 3009'!S306+'Capex forecast - 3010'!S306+'Capex forecast - 3011'!S306+'Capex forecast - 3012'!S306+'Capex forecast - 3013'!S306+'Capex forecast - 3014'!S306+'Capex forecast - 3015'!S306+'Capex forecast - 3016'!S306+'Capex forecast - 3017'!S306+'Capex forecast - 3018'!S306+'Capex forecast - 3019'!S306+'Capex forecast - 3020'!S306+'Capex forecast - 3021'!S306+'Capex forecast - 3022'!S306+'Capex forecast - 3023'!S306+'Capex forecast - 3024'!S306+'Capex forecast - 3025'!S306+'Capex forecast - IT'!S306+'Capex forecast - other non-IT'!S306</f>
        <v>361894.38911896548</v>
      </c>
      <c r="L43" s="45">
        <f>'Capex forecast - 3001'!T306+'Capex forecast - 3002'!T306+'Capex forecast - 3003'!T306+'Capex forecast - 3004'!T306+'Capex forecast - 3005'!T306+'Capex forecast - 3006'!T306++'Capex forecast - 3007'!T306+'Capex forecast - 3008'!T306+'Capex forecast - 3009'!T306+'Capex forecast - 3010'!T306+'Capex forecast - 3011'!T306+'Capex forecast - 3012'!T306+'Capex forecast - 3013'!T306+'Capex forecast - 3014'!T306+'Capex forecast - 3015'!T306+'Capex forecast - 3016'!T306+'Capex forecast - 3017'!T306+'Capex forecast - 3018'!T306+'Capex forecast - 3019'!T306+'Capex forecast - 3020'!T306+'Capex forecast - 3021'!T306+'Capex forecast - 3022'!T306+'Capex forecast - 3023'!T306+'Capex forecast - 3024'!T306+'Capex forecast - 3025'!T306+'Capex forecast - IT'!T306+'Capex forecast - other non-IT'!T306</f>
        <v>362574.19659318496</v>
      </c>
      <c r="M43" s="45">
        <f>'Capex forecast - 3001'!U306+'Capex forecast - 3002'!U306+'Capex forecast - 3003'!U306+'Capex forecast - 3004'!U306+'Capex forecast - 3005'!U306+'Capex forecast - 3006'!U306++'Capex forecast - 3007'!U306+'Capex forecast - 3008'!U306+'Capex forecast - 3009'!U306+'Capex forecast - 3010'!U306+'Capex forecast - 3011'!U306+'Capex forecast - 3012'!U306+'Capex forecast - 3013'!U306+'Capex forecast - 3014'!U306+'Capex forecast - 3015'!U306+'Capex forecast - 3016'!U306+'Capex forecast - 3017'!U306+'Capex forecast - 3018'!U306+'Capex forecast - 3019'!U306+'Capex forecast - 3020'!U306+'Capex forecast - 3021'!U306+'Capex forecast - 3022'!U306+'Capex forecast - 3023'!U306+'Capex forecast - 3024'!U306+'Capex forecast - 3025'!U306+'Capex forecast - IT'!U306+'Capex forecast - other non-IT'!U306</f>
        <v>363446.01291519118</v>
      </c>
      <c r="N43" s="45">
        <f>'Capex forecast - 3001'!V306+'Capex forecast - 3002'!V306+'Capex forecast - 3003'!V306+'Capex forecast - 3004'!V306+'Capex forecast - 3005'!V306+'Capex forecast - 3006'!V306++'Capex forecast - 3007'!V306+'Capex forecast - 3008'!V306+'Capex forecast - 3009'!V306+'Capex forecast - 3010'!V306+'Capex forecast - 3011'!V306+'Capex forecast - 3012'!V306+'Capex forecast - 3013'!V306+'Capex forecast - 3014'!V306+'Capex forecast - 3015'!V306+'Capex forecast - 3016'!V306+'Capex forecast - 3017'!V306+'Capex forecast - 3018'!V306+'Capex forecast - 3019'!V306+'Capex forecast - 3020'!V306+'Capex forecast - 3021'!V306+'Capex forecast - 3022'!V306+'Capex forecast - 3023'!V306+'Capex forecast - 3024'!V306+'Capex forecast - 3025'!V306+'Capex forecast - IT'!V306+'Capex forecast - other non-IT'!V306</f>
        <v>364411.70301263226</v>
      </c>
      <c r="P43" s="40">
        <f t="shared" si="2"/>
        <v>1813685.0689448011</v>
      </c>
    </row>
    <row r="44" spans="1:16">
      <c r="B44" s="38" t="s">
        <v>108</v>
      </c>
      <c r="D44" s="29"/>
      <c r="E44" s="29"/>
      <c r="H44" s="45"/>
      <c r="I44" s="45">
        <f>'Capex forecast - 3001'!Q307+'Capex forecast - 3002'!Q307+'Capex forecast - 3003'!Q307+'Capex forecast - 3004'!Q307+'Capex forecast - 3005'!Q307+'Capex forecast - 3006'!Q307++'Capex forecast - 3007'!Q307+'Capex forecast - 3008'!Q307+'Capex forecast - 3009'!Q307+'Capex forecast - 3010'!Q307+'Capex forecast - 3011'!Q307+'Capex forecast - 3012'!Q307+'Capex forecast - 3013'!Q307+'Capex forecast - 3014'!Q307+'Capex forecast - 3015'!Q307+'Capex forecast - 3016'!Q307+'Capex forecast - 3017'!Q307+'Capex forecast - 3018'!Q307+'Capex forecast - 3019'!Q307+'Capex forecast - 3020'!Q307+'Capex forecast - 3021'!Q307+'Capex forecast - 3022'!Q307+'Capex forecast - 3023'!Q307+'Capex forecast - 3024'!Q307+'Capex forecast - 3025'!Q307+'Capex forecast - IT'!Q307+'Capex forecast - other non-IT'!Q307</f>
        <v>0</v>
      </c>
      <c r="J44" s="45">
        <f>'Capex forecast - 3001'!R307+'Capex forecast - 3002'!R307+'Capex forecast - 3003'!R307+'Capex forecast - 3004'!R307+'Capex forecast - 3005'!R307+'Capex forecast - 3006'!R307++'Capex forecast - 3007'!R307+'Capex forecast - 3008'!R307+'Capex forecast - 3009'!R307+'Capex forecast - 3010'!R307+'Capex forecast - 3011'!R307+'Capex forecast - 3012'!R307+'Capex forecast - 3013'!R307+'Capex forecast - 3014'!R307+'Capex forecast - 3015'!R307+'Capex forecast - 3016'!R307+'Capex forecast - 3017'!R307+'Capex forecast - 3018'!R307+'Capex forecast - 3019'!R307+'Capex forecast - 3020'!R307+'Capex forecast - 3021'!R307+'Capex forecast - 3022'!R307+'Capex forecast - 3023'!R307+'Capex forecast - 3024'!R307+'Capex forecast - 3025'!R307+'Capex forecast - IT'!R307+'Capex forecast - other non-IT'!R307</f>
        <v>0</v>
      </c>
      <c r="K44" s="45">
        <f>'Capex forecast - 3001'!S307+'Capex forecast - 3002'!S307+'Capex forecast - 3003'!S307+'Capex forecast - 3004'!S307+'Capex forecast - 3005'!S307+'Capex forecast - 3006'!S307++'Capex forecast - 3007'!S307+'Capex forecast - 3008'!S307+'Capex forecast - 3009'!S307+'Capex forecast - 3010'!S307+'Capex forecast - 3011'!S307+'Capex forecast - 3012'!S307+'Capex forecast - 3013'!S307+'Capex forecast - 3014'!S307+'Capex forecast - 3015'!S307+'Capex forecast - 3016'!S307+'Capex forecast - 3017'!S307+'Capex forecast - 3018'!S307+'Capex forecast - 3019'!S307+'Capex forecast - 3020'!S307+'Capex forecast - 3021'!S307+'Capex forecast - 3022'!S307+'Capex forecast - 3023'!S307+'Capex forecast - 3024'!S307+'Capex forecast - 3025'!S307+'Capex forecast - IT'!S307+'Capex forecast - other non-IT'!S307</f>
        <v>0</v>
      </c>
      <c r="L44" s="45">
        <f>'Capex forecast - 3001'!T307+'Capex forecast - 3002'!T307+'Capex forecast - 3003'!T307+'Capex forecast - 3004'!T307+'Capex forecast - 3005'!T307+'Capex forecast - 3006'!T307++'Capex forecast - 3007'!T307+'Capex forecast - 3008'!T307+'Capex forecast - 3009'!T307+'Capex forecast - 3010'!T307+'Capex forecast - 3011'!T307+'Capex forecast - 3012'!T307+'Capex forecast - 3013'!T307+'Capex forecast - 3014'!T307+'Capex forecast - 3015'!T307+'Capex forecast - 3016'!T307+'Capex forecast - 3017'!T307+'Capex forecast - 3018'!T307+'Capex forecast - 3019'!T307+'Capex forecast - 3020'!T307+'Capex forecast - 3021'!T307+'Capex forecast - 3022'!T307+'Capex forecast - 3023'!T307+'Capex forecast - 3024'!T307+'Capex forecast - 3025'!T307+'Capex forecast - IT'!T307+'Capex forecast - other non-IT'!T307</f>
        <v>0</v>
      </c>
      <c r="M44" s="45">
        <f>'Capex forecast - 3001'!U307+'Capex forecast - 3002'!U307+'Capex forecast - 3003'!U307+'Capex forecast - 3004'!U307+'Capex forecast - 3005'!U307+'Capex forecast - 3006'!U307++'Capex forecast - 3007'!U307+'Capex forecast - 3008'!U307+'Capex forecast - 3009'!U307+'Capex forecast - 3010'!U307+'Capex forecast - 3011'!U307+'Capex forecast - 3012'!U307+'Capex forecast - 3013'!U307+'Capex forecast - 3014'!U307+'Capex forecast - 3015'!U307+'Capex forecast - 3016'!U307+'Capex forecast - 3017'!U307+'Capex forecast - 3018'!U307+'Capex forecast - 3019'!U307+'Capex forecast - 3020'!U307+'Capex forecast - 3021'!U307+'Capex forecast - 3022'!U307+'Capex forecast - 3023'!U307+'Capex forecast - 3024'!U307+'Capex forecast - 3025'!U307+'Capex forecast - IT'!U307+'Capex forecast - other non-IT'!U307</f>
        <v>0</v>
      </c>
      <c r="N44" s="45">
        <f>'Capex forecast - 3001'!V307+'Capex forecast - 3002'!V307+'Capex forecast - 3003'!V307+'Capex forecast - 3004'!V307+'Capex forecast - 3005'!V307+'Capex forecast - 3006'!V307++'Capex forecast - 3007'!V307+'Capex forecast - 3008'!V307+'Capex forecast - 3009'!V307+'Capex forecast - 3010'!V307+'Capex forecast - 3011'!V307+'Capex forecast - 3012'!V307+'Capex forecast - 3013'!V307+'Capex forecast - 3014'!V307+'Capex forecast - 3015'!V307+'Capex forecast - 3016'!V307+'Capex forecast - 3017'!V307+'Capex forecast - 3018'!V307+'Capex forecast - 3019'!V307+'Capex forecast - 3020'!V307+'Capex forecast - 3021'!V307+'Capex forecast - 3022'!V307+'Capex forecast - 3023'!V307+'Capex forecast - 3024'!V307+'Capex forecast - 3025'!V307+'Capex forecast - IT'!V307+'Capex forecast - other non-IT'!V307</f>
        <v>0</v>
      </c>
      <c r="P44" s="40">
        <f t="shared" si="2"/>
        <v>0</v>
      </c>
    </row>
    <row r="45" spans="1:16">
      <c r="B45" s="38"/>
      <c r="D45" s="29"/>
      <c r="E45" s="29"/>
      <c r="H45" s="18"/>
      <c r="I45" s="18"/>
      <c r="J45" s="18"/>
      <c r="K45" s="18"/>
      <c r="L45" s="18"/>
      <c r="M45" s="18"/>
      <c r="N45" s="18"/>
    </row>
    <row r="46" spans="1:16" ht="12.75" thickBot="1">
      <c r="B46" s="5" t="s">
        <v>229</v>
      </c>
      <c r="D46" s="29"/>
      <c r="E46" s="29"/>
      <c r="H46" s="37"/>
      <c r="I46" s="37">
        <f t="shared" ref="I46:N46" si="3">SUM(I34:I44)</f>
        <v>96470143.127865776</v>
      </c>
      <c r="J46" s="37">
        <f t="shared" si="3"/>
        <v>107123009.39009131</v>
      </c>
      <c r="K46" s="37">
        <f t="shared" si="3"/>
        <v>104268566.36421099</v>
      </c>
      <c r="L46" s="37">
        <f t="shared" si="3"/>
        <v>101123117.02340275</v>
      </c>
      <c r="M46" s="37">
        <f t="shared" si="3"/>
        <v>95065551.787457556</v>
      </c>
      <c r="N46" s="37">
        <f t="shared" si="3"/>
        <v>90483351.061785311</v>
      </c>
      <c r="P46" s="37">
        <f t="shared" si="2"/>
        <v>498063595.626948</v>
      </c>
    </row>
    <row r="48" spans="1:16" s="1" customFormat="1">
      <c r="A48" s="2">
        <v>3</v>
      </c>
      <c r="B48" s="2" t="s">
        <v>230</v>
      </c>
    </row>
    <row r="50" spans="2:16">
      <c r="H50" s="187" t="s">
        <v>53</v>
      </c>
      <c r="I50" s="188"/>
      <c r="J50" s="187" t="s">
        <v>54</v>
      </c>
      <c r="K50" s="189"/>
      <c r="L50" s="189"/>
      <c r="M50" s="189"/>
      <c r="N50" s="188"/>
    </row>
    <row r="51" spans="2:16">
      <c r="B51" s="5"/>
      <c r="H51" s="18">
        <v>2016</v>
      </c>
      <c r="I51" s="18">
        <v>2017</v>
      </c>
      <c r="J51" s="18">
        <v>2018</v>
      </c>
      <c r="K51" s="18">
        <v>2019</v>
      </c>
      <c r="L51" s="18">
        <v>2020</v>
      </c>
      <c r="M51" s="18">
        <v>2021</v>
      </c>
      <c r="N51" s="18">
        <v>2022</v>
      </c>
      <c r="P51" s="29" t="s">
        <v>63</v>
      </c>
    </row>
    <row r="52" spans="2:16">
      <c r="B52" s="5" t="s">
        <v>233</v>
      </c>
      <c r="D52" s="29"/>
      <c r="E52" s="29"/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P52" s="34" t="s">
        <v>13</v>
      </c>
    </row>
    <row r="53" spans="2:16">
      <c r="B53" s="5"/>
      <c r="D53" s="29"/>
      <c r="E53" s="29"/>
      <c r="H53" s="18"/>
      <c r="I53" s="18"/>
      <c r="J53" s="18"/>
      <c r="K53" s="18"/>
      <c r="L53" s="18"/>
      <c r="M53" s="18"/>
      <c r="N53" s="18"/>
    </row>
    <row r="54" spans="2:16">
      <c r="B54" s="38" t="s">
        <v>125</v>
      </c>
      <c r="D54" s="29"/>
      <c r="E54" s="29"/>
      <c r="H54" s="45"/>
      <c r="I54" s="45">
        <f>'Capex forecast - 3001'!Q318+'Capex forecast - 3002'!Q318+'Capex forecast - 3003'!Q318+'Capex forecast - 3004'!Q318+'Capex forecast - 3005'!Q318+'Capex forecast - 3006'!Q318++'Capex forecast - 3007'!Q318+'Capex forecast - 3008'!Q318+'Capex forecast - 3009'!Q318+'Capex forecast - 3010'!Q318+'Capex forecast - 3011'!Q318+'Capex forecast - 3012'!Q318+'Capex forecast - 3013'!Q318+'Capex forecast - 3014'!Q318+'Capex forecast - 3015'!Q318+'Capex forecast - 3016'!Q318+'Capex forecast - 3017'!Q318+'Capex forecast - 3018'!Q318+'Capex forecast - 3019'!Q318+'Capex forecast - 3020'!Q318+'Capex forecast - 3021'!Q318+'Capex forecast - 3022'!Q318+'Capex forecast - 3023'!Q318+'Capex forecast - 3024'!Q318+'Capex forecast - 3025'!Q318+'Capex forecast - IT'!Q318+'Capex forecast - other non-IT'!Q318</f>
        <v>0</v>
      </c>
      <c r="J54" s="45">
        <f>'Capex forecast - 3001'!R318+'Capex forecast - 3002'!R318+'Capex forecast - 3003'!R318+'Capex forecast - 3004'!R318+'Capex forecast - 3005'!R318+'Capex forecast - 3006'!R318++'Capex forecast - 3007'!R318+'Capex forecast - 3008'!R318+'Capex forecast - 3009'!R318+'Capex forecast - 3010'!R318+'Capex forecast - 3011'!R318+'Capex forecast - 3012'!R318+'Capex forecast - 3013'!R318+'Capex forecast - 3014'!R318+'Capex forecast - 3015'!R318+'Capex forecast - 3016'!R318+'Capex forecast - 3017'!R318+'Capex forecast - 3018'!R318+'Capex forecast - 3019'!R318+'Capex forecast - 3020'!R318+'Capex forecast - 3021'!R318+'Capex forecast - 3022'!R318+'Capex forecast - 3023'!R318+'Capex forecast - 3024'!R318+'Capex forecast - 3025'!R318+'Capex forecast - IT'!R318+'Capex forecast - other non-IT'!R318</f>
        <v>1651419.3226362644</v>
      </c>
      <c r="K54" s="45">
        <f>'Capex forecast - 3001'!S318+'Capex forecast - 3002'!S318+'Capex forecast - 3003'!S318+'Capex forecast - 3004'!S318+'Capex forecast - 3005'!S318+'Capex forecast - 3006'!S318++'Capex forecast - 3007'!S318+'Capex forecast - 3008'!S318+'Capex forecast - 3009'!S318+'Capex forecast - 3010'!S318+'Capex forecast - 3011'!S318+'Capex forecast - 3012'!S318+'Capex forecast - 3013'!S318+'Capex forecast - 3014'!S318+'Capex forecast - 3015'!S318+'Capex forecast - 3016'!S318+'Capex forecast - 3017'!S318+'Capex forecast - 3018'!S318+'Capex forecast - 3019'!S318+'Capex forecast - 3020'!S318+'Capex forecast - 3021'!S318+'Capex forecast - 3022'!S318+'Capex forecast - 3023'!S318+'Capex forecast - 3024'!S318+'Capex forecast - 3025'!S318+'Capex forecast - IT'!S318+'Capex forecast - other non-IT'!S318</f>
        <v>556643.13516800117</v>
      </c>
      <c r="L54" s="45">
        <f>'Capex forecast - 3001'!T318+'Capex forecast - 3002'!T318+'Capex forecast - 3003'!T318+'Capex forecast - 3004'!T318+'Capex forecast - 3005'!T318+'Capex forecast - 3006'!T318++'Capex forecast - 3007'!T318+'Capex forecast - 3008'!T318+'Capex forecast - 3009'!T318+'Capex forecast - 3010'!T318+'Capex forecast - 3011'!T318+'Capex forecast - 3012'!T318+'Capex forecast - 3013'!T318+'Capex forecast - 3014'!T318+'Capex forecast - 3015'!T318+'Capex forecast - 3016'!T318+'Capex forecast - 3017'!T318+'Capex forecast - 3018'!T318+'Capex forecast - 3019'!T318+'Capex forecast - 3020'!T318+'Capex forecast - 3021'!T318+'Capex forecast - 3022'!T318+'Capex forecast - 3023'!T318+'Capex forecast - 3024'!T318+'Capex forecast - 3025'!T318+'Capex forecast - IT'!T318+'Capex forecast - other non-IT'!T318</f>
        <v>0</v>
      </c>
      <c r="M54" s="45">
        <f>'Capex forecast - 3001'!U318+'Capex forecast - 3002'!U318+'Capex forecast - 3003'!U318+'Capex forecast - 3004'!U318+'Capex forecast - 3005'!U318+'Capex forecast - 3006'!U318++'Capex forecast - 3007'!U318+'Capex forecast - 3008'!U318+'Capex forecast - 3009'!U318+'Capex forecast - 3010'!U318+'Capex forecast - 3011'!U318+'Capex forecast - 3012'!U318+'Capex forecast - 3013'!U318+'Capex forecast - 3014'!U318+'Capex forecast - 3015'!U318+'Capex forecast - 3016'!U318+'Capex forecast - 3017'!U318+'Capex forecast - 3018'!U318+'Capex forecast - 3019'!U318+'Capex forecast - 3020'!U318+'Capex forecast - 3021'!U318+'Capex forecast - 3022'!U318+'Capex forecast - 3023'!U318+'Capex forecast - 3024'!U318+'Capex forecast - 3025'!U318+'Capex forecast - IT'!U318+'Capex forecast - other non-IT'!U318</f>
        <v>0</v>
      </c>
      <c r="N54" s="45">
        <f>'Capex forecast - 3001'!V318+'Capex forecast - 3002'!V318+'Capex forecast - 3003'!V318+'Capex forecast - 3004'!V318+'Capex forecast - 3005'!V318+'Capex forecast - 3006'!V318++'Capex forecast - 3007'!V318+'Capex forecast - 3008'!V318+'Capex forecast - 3009'!V318+'Capex forecast - 3010'!V318+'Capex forecast - 3011'!V318+'Capex forecast - 3012'!V318+'Capex forecast - 3013'!V318+'Capex forecast - 3014'!V318+'Capex forecast - 3015'!V318+'Capex forecast - 3016'!V318+'Capex forecast - 3017'!V318+'Capex forecast - 3018'!V318+'Capex forecast - 3019'!V318+'Capex forecast - 3020'!V318+'Capex forecast - 3021'!V318+'Capex forecast - 3022'!V318+'Capex forecast - 3023'!V318+'Capex forecast - 3024'!V318+'Capex forecast - 3025'!V318+'Capex forecast - IT'!V318+'Capex forecast - other non-IT'!V318</f>
        <v>1161440.7936475996</v>
      </c>
      <c r="P54" s="40">
        <f t="shared" ref="P54:P64" si="4">SUM(J54:N54)</f>
        <v>3369503.2514518648</v>
      </c>
    </row>
    <row r="55" spans="2:16">
      <c r="B55" s="38" t="s">
        <v>126</v>
      </c>
      <c r="D55" s="29"/>
      <c r="E55" s="29"/>
      <c r="H55" s="45"/>
      <c r="I55" s="45">
        <f>'Capex forecast - 3001'!Q319+'Capex forecast - 3002'!Q319+'Capex forecast - 3003'!Q319+'Capex forecast - 3004'!Q319+'Capex forecast - 3005'!Q319+'Capex forecast - 3006'!Q319++'Capex forecast - 3007'!Q319+'Capex forecast - 3008'!Q319+'Capex forecast - 3009'!Q319+'Capex forecast - 3010'!Q319+'Capex forecast - 3011'!Q319+'Capex forecast - 3012'!Q319+'Capex forecast - 3013'!Q319+'Capex forecast - 3014'!Q319+'Capex forecast - 3015'!Q319+'Capex forecast - 3016'!Q319+'Capex forecast - 3017'!Q319+'Capex forecast - 3018'!Q319+'Capex forecast - 3019'!Q319+'Capex forecast - 3020'!Q319+'Capex forecast - 3021'!Q319+'Capex forecast - 3022'!Q319+'Capex forecast - 3023'!Q319+'Capex forecast - 3024'!Q319+'Capex forecast - 3025'!Q319+'Capex forecast - IT'!Q319+'Capex forecast - other non-IT'!Q319</f>
        <v>21797764.346404508</v>
      </c>
      <c r="J55" s="45">
        <f>'Capex forecast - 3001'!R319+'Capex forecast - 3002'!R319+'Capex forecast - 3003'!R319+'Capex forecast - 3004'!R319+'Capex forecast - 3005'!R319+'Capex forecast - 3006'!R319++'Capex forecast - 3007'!R319+'Capex forecast - 3008'!R319+'Capex forecast - 3009'!R319+'Capex forecast - 3010'!R319+'Capex forecast - 3011'!R319+'Capex forecast - 3012'!R319+'Capex forecast - 3013'!R319+'Capex forecast - 3014'!R319+'Capex forecast - 3015'!R319+'Capex forecast - 3016'!R319+'Capex forecast - 3017'!R319+'Capex forecast - 3018'!R319+'Capex forecast - 3019'!R319+'Capex forecast - 3020'!R319+'Capex forecast - 3021'!R319+'Capex forecast - 3022'!R319+'Capex forecast - 3023'!R319+'Capex forecast - 3024'!R319+'Capex forecast - 3025'!R319+'Capex forecast - IT'!R319+'Capex forecast - other non-IT'!R319</f>
        <v>24983549.223907098</v>
      </c>
      <c r="K55" s="45">
        <f>'Capex forecast - 3001'!S319+'Capex forecast - 3002'!S319+'Capex forecast - 3003'!S319+'Capex forecast - 3004'!S319+'Capex forecast - 3005'!S319+'Capex forecast - 3006'!S319++'Capex forecast - 3007'!S319+'Capex forecast - 3008'!S319+'Capex forecast - 3009'!S319+'Capex forecast - 3010'!S319+'Capex forecast - 3011'!S319+'Capex forecast - 3012'!S319+'Capex forecast - 3013'!S319+'Capex forecast - 3014'!S319+'Capex forecast - 3015'!S319+'Capex forecast - 3016'!S319+'Capex forecast - 3017'!S319+'Capex forecast - 3018'!S319+'Capex forecast - 3019'!S319+'Capex forecast - 3020'!S319+'Capex forecast - 3021'!S319+'Capex forecast - 3022'!S319+'Capex forecast - 3023'!S319+'Capex forecast - 3024'!S319+'Capex forecast - 3025'!S319+'Capex forecast - IT'!S319+'Capex forecast - other non-IT'!S319</f>
        <v>22367574.044073705</v>
      </c>
      <c r="L55" s="45">
        <f>'Capex forecast - 3001'!T319+'Capex forecast - 3002'!T319+'Capex forecast - 3003'!T319+'Capex forecast - 3004'!T319+'Capex forecast - 3005'!T319+'Capex forecast - 3006'!T319++'Capex forecast - 3007'!T319+'Capex forecast - 3008'!T319+'Capex forecast - 3009'!T319+'Capex forecast - 3010'!T319+'Capex forecast - 3011'!T319+'Capex forecast - 3012'!T319+'Capex forecast - 3013'!T319+'Capex forecast - 3014'!T319+'Capex forecast - 3015'!T319+'Capex forecast - 3016'!T319+'Capex forecast - 3017'!T319+'Capex forecast - 3018'!T319+'Capex forecast - 3019'!T319+'Capex forecast - 3020'!T319+'Capex forecast - 3021'!T319+'Capex forecast - 3022'!T319+'Capex forecast - 3023'!T319+'Capex forecast - 3024'!T319+'Capex forecast - 3025'!T319+'Capex forecast - IT'!T319+'Capex forecast - other non-IT'!T319</f>
        <v>23526147.139986355</v>
      </c>
      <c r="M55" s="45">
        <f>'Capex forecast - 3001'!U319+'Capex forecast - 3002'!U319+'Capex forecast - 3003'!U319+'Capex forecast - 3004'!U319+'Capex forecast - 3005'!U319+'Capex forecast - 3006'!U319++'Capex forecast - 3007'!U319+'Capex forecast - 3008'!U319+'Capex forecast - 3009'!U319+'Capex forecast - 3010'!U319+'Capex forecast - 3011'!U319+'Capex forecast - 3012'!U319+'Capex forecast - 3013'!U319+'Capex forecast - 3014'!U319+'Capex forecast - 3015'!U319+'Capex forecast - 3016'!U319+'Capex forecast - 3017'!U319+'Capex forecast - 3018'!U319+'Capex forecast - 3019'!U319+'Capex forecast - 3020'!U319+'Capex forecast - 3021'!U319+'Capex forecast - 3022'!U319+'Capex forecast - 3023'!U319+'Capex forecast - 3024'!U319+'Capex forecast - 3025'!U319+'Capex forecast - IT'!U319+'Capex forecast - other non-IT'!U319</f>
        <v>21658154.922635719</v>
      </c>
      <c r="N55" s="45">
        <f>'Capex forecast - 3001'!V319+'Capex forecast - 3002'!V319+'Capex forecast - 3003'!V319+'Capex forecast - 3004'!V319+'Capex forecast - 3005'!V319+'Capex forecast - 3006'!V319++'Capex forecast - 3007'!V319+'Capex forecast - 3008'!V319+'Capex forecast - 3009'!V319+'Capex forecast - 3010'!V319+'Capex forecast - 3011'!V319+'Capex forecast - 3012'!V319+'Capex forecast - 3013'!V319+'Capex forecast - 3014'!V319+'Capex forecast - 3015'!V319+'Capex forecast - 3016'!V319+'Capex forecast - 3017'!V319+'Capex forecast - 3018'!V319+'Capex forecast - 3019'!V319+'Capex forecast - 3020'!V319+'Capex forecast - 3021'!V319+'Capex forecast - 3022'!V319+'Capex forecast - 3023'!V319+'Capex forecast - 3024'!V319+'Capex forecast - 3025'!V319+'Capex forecast - IT'!V319+'Capex forecast - other non-IT'!V319</f>
        <v>19619331.394500144</v>
      </c>
      <c r="P55" s="40">
        <f t="shared" si="4"/>
        <v>112154756.72510302</v>
      </c>
    </row>
    <row r="56" spans="2:16">
      <c r="B56" s="38" t="s">
        <v>127</v>
      </c>
      <c r="D56" s="29"/>
      <c r="E56" s="29"/>
      <c r="H56" s="45"/>
      <c r="I56" s="45">
        <f>'Capex forecast - 3001'!Q320+'Capex forecast - 3002'!Q320+'Capex forecast - 3003'!Q320+'Capex forecast - 3004'!Q320+'Capex forecast - 3005'!Q320+'Capex forecast - 3006'!Q320++'Capex forecast - 3007'!Q320+'Capex forecast - 3008'!Q320+'Capex forecast - 3009'!Q320+'Capex forecast - 3010'!Q320+'Capex forecast - 3011'!Q320+'Capex forecast - 3012'!Q320+'Capex forecast - 3013'!Q320+'Capex forecast - 3014'!Q320+'Capex forecast - 3015'!Q320+'Capex forecast - 3016'!Q320+'Capex forecast - 3017'!Q320+'Capex forecast - 3018'!Q320+'Capex forecast - 3019'!Q320+'Capex forecast - 3020'!Q320+'Capex forecast - 3021'!Q320+'Capex forecast - 3022'!Q320+'Capex forecast - 3023'!Q320+'Capex forecast - 3024'!Q320+'Capex forecast - 3025'!Q320+'Capex forecast - IT'!Q320+'Capex forecast - other non-IT'!Q320</f>
        <v>36835341.933079027</v>
      </c>
      <c r="J56" s="45">
        <f>'Capex forecast - 3001'!R320+'Capex forecast - 3002'!R320+'Capex forecast - 3003'!R320+'Capex forecast - 3004'!R320+'Capex forecast - 3005'!R320+'Capex forecast - 3006'!R320++'Capex forecast - 3007'!R320+'Capex forecast - 3008'!R320+'Capex forecast - 3009'!R320+'Capex forecast - 3010'!R320+'Capex forecast - 3011'!R320+'Capex forecast - 3012'!R320+'Capex forecast - 3013'!R320+'Capex forecast - 3014'!R320+'Capex forecast - 3015'!R320+'Capex forecast - 3016'!R320+'Capex forecast - 3017'!R320+'Capex forecast - 3018'!R320+'Capex forecast - 3019'!R320+'Capex forecast - 3020'!R320+'Capex forecast - 3021'!R320+'Capex forecast - 3022'!R320+'Capex forecast - 3023'!R320+'Capex forecast - 3024'!R320+'Capex forecast - 3025'!R320+'Capex forecast - IT'!R320+'Capex forecast - other non-IT'!R320</f>
        <v>38584660.931819223</v>
      </c>
      <c r="K56" s="45">
        <f>'Capex forecast - 3001'!S320+'Capex forecast - 3002'!S320+'Capex forecast - 3003'!S320+'Capex forecast - 3004'!S320+'Capex forecast - 3005'!S320+'Capex forecast - 3006'!S320++'Capex forecast - 3007'!S320+'Capex forecast - 3008'!S320+'Capex forecast - 3009'!S320+'Capex forecast - 3010'!S320+'Capex forecast - 3011'!S320+'Capex forecast - 3012'!S320+'Capex forecast - 3013'!S320+'Capex forecast - 3014'!S320+'Capex forecast - 3015'!S320+'Capex forecast - 3016'!S320+'Capex forecast - 3017'!S320+'Capex forecast - 3018'!S320+'Capex forecast - 3019'!S320+'Capex forecast - 3020'!S320+'Capex forecast - 3021'!S320+'Capex forecast - 3022'!S320+'Capex forecast - 3023'!S320+'Capex forecast - 3024'!S320+'Capex forecast - 3025'!S320+'Capex forecast - IT'!S320+'Capex forecast - other non-IT'!S320</f>
        <v>38233644.033304475</v>
      </c>
      <c r="L56" s="45">
        <f>'Capex forecast - 3001'!T320+'Capex forecast - 3002'!T320+'Capex forecast - 3003'!T320+'Capex forecast - 3004'!T320+'Capex forecast - 3005'!T320+'Capex forecast - 3006'!T320++'Capex forecast - 3007'!T320+'Capex forecast - 3008'!T320+'Capex forecast - 3009'!T320+'Capex forecast - 3010'!T320+'Capex forecast - 3011'!T320+'Capex forecast - 3012'!T320+'Capex forecast - 3013'!T320+'Capex forecast - 3014'!T320+'Capex forecast - 3015'!T320+'Capex forecast - 3016'!T320+'Capex forecast - 3017'!T320+'Capex forecast - 3018'!T320+'Capex forecast - 3019'!T320+'Capex forecast - 3020'!T320+'Capex forecast - 3021'!T320+'Capex forecast - 3022'!T320+'Capex forecast - 3023'!T320+'Capex forecast - 3024'!T320+'Capex forecast - 3025'!T320+'Capex forecast - IT'!T320+'Capex forecast - other non-IT'!T320</f>
        <v>39955295.071727052</v>
      </c>
      <c r="M56" s="45">
        <f>'Capex forecast - 3001'!U320+'Capex forecast - 3002'!U320+'Capex forecast - 3003'!U320+'Capex forecast - 3004'!U320+'Capex forecast - 3005'!U320+'Capex forecast - 3006'!U320++'Capex forecast - 3007'!U320+'Capex forecast - 3008'!U320+'Capex forecast - 3009'!U320+'Capex forecast - 3010'!U320+'Capex forecast - 3011'!U320+'Capex forecast - 3012'!U320+'Capex forecast - 3013'!U320+'Capex forecast - 3014'!U320+'Capex forecast - 3015'!U320+'Capex forecast - 3016'!U320+'Capex forecast - 3017'!U320+'Capex forecast - 3018'!U320+'Capex forecast - 3019'!U320+'Capex forecast - 3020'!U320+'Capex forecast - 3021'!U320+'Capex forecast - 3022'!U320+'Capex forecast - 3023'!U320+'Capex forecast - 3024'!U320+'Capex forecast - 3025'!U320+'Capex forecast - IT'!U320+'Capex forecast - other non-IT'!U320</f>
        <v>37406708.094858244</v>
      </c>
      <c r="N56" s="45">
        <f>'Capex forecast - 3001'!V320+'Capex forecast - 3002'!V320+'Capex forecast - 3003'!V320+'Capex forecast - 3004'!V320+'Capex forecast - 3005'!V320+'Capex forecast - 3006'!V320++'Capex forecast - 3007'!V320+'Capex forecast - 3008'!V320+'Capex forecast - 3009'!V320+'Capex forecast - 3010'!V320+'Capex forecast - 3011'!V320+'Capex forecast - 3012'!V320+'Capex forecast - 3013'!V320+'Capex forecast - 3014'!V320+'Capex forecast - 3015'!V320+'Capex forecast - 3016'!V320+'Capex forecast - 3017'!V320+'Capex forecast - 3018'!V320+'Capex forecast - 3019'!V320+'Capex forecast - 3020'!V320+'Capex forecast - 3021'!V320+'Capex forecast - 3022'!V320+'Capex forecast - 3023'!V320+'Capex forecast - 3024'!V320+'Capex forecast - 3025'!V320+'Capex forecast - IT'!V320+'Capex forecast - other non-IT'!V320</f>
        <v>36530756.577541672</v>
      </c>
      <c r="P56" s="40">
        <f t="shared" si="4"/>
        <v>190711064.70925066</v>
      </c>
    </row>
    <row r="57" spans="2:16">
      <c r="B57" s="38" t="s">
        <v>34</v>
      </c>
      <c r="D57" s="29"/>
      <c r="E57" s="29"/>
      <c r="H57" s="45"/>
      <c r="I57" s="45">
        <f>'Capex forecast - 3001'!Q321+'Capex forecast - 3002'!Q321+'Capex forecast - 3003'!Q321+'Capex forecast - 3004'!Q321+'Capex forecast - 3005'!Q321+'Capex forecast - 3006'!Q321++'Capex forecast - 3007'!Q321+'Capex forecast - 3008'!Q321+'Capex forecast - 3009'!Q321+'Capex forecast - 3010'!Q321+'Capex forecast - 3011'!Q321+'Capex forecast - 3012'!Q321+'Capex forecast - 3013'!Q321+'Capex forecast - 3014'!Q321+'Capex forecast - 3015'!Q321+'Capex forecast - 3016'!Q321+'Capex forecast - 3017'!Q321+'Capex forecast - 3018'!Q321+'Capex forecast - 3019'!Q321+'Capex forecast - 3020'!Q321+'Capex forecast - 3021'!Q321+'Capex forecast - 3022'!Q321+'Capex forecast - 3023'!Q321+'Capex forecast - 3024'!Q321+'Capex forecast - 3025'!Q321+'Capex forecast - IT'!Q321+'Capex forecast - other non-IT'!Q321</f>
        <v>318193.95702307287</v>
      </c>
      <c r="J57" s="45">
        <f>'Capex forecast - 3001'!R321+'Capex forecast - 3002'!R321+'Capex forecast - 3003'!R321+'Capex forecast - 3004'!R321+'Capex forecast - 3005'!R321+'Capex forecast - 3006'!R321++'Capex forecast - 3007'!R321+'Capex forecast - 3008'!R321+'Capex forecast - 3009'!R321+'Capex forecast - 3010'!R321+'Capex forecast - 3011'!R321+'Capex forecast - 3012'!R321+'Capex forecast - 3013'!R321+'Capex forecast - 3014'!R321+'Capex forecast - 3015'!R321+'Capex forecast - 3016'!R321+'Capex forecast - 3017'!R321+'Capex forecast - 3018'!R321+'Capex forecast - 3019'!R321+'Capex forecast - 3020'!R321+'Capex forecast - 3021'!R321+'Capex forecast - 3022'!R321+'Capex forecast - 3023'!R321+'Capex forecast - 3024'!R321+'Capex forecast - 3025'!R321+'Capex forecast - IT'!R321+'Capex forecast - other non-IT'!R321</f>
        <v>432121.38942315587</v>
      </c>
      <c r="K57" s="45">
        <f>'Capex forecast - 3001'!S321+'Capex forecast - 3002'!S321+'Capex forecast - 3003'!S321+'Capex forecast - 3004'!S321+'Capex forecast - 3005'!S321+'Capex forecast - 3006'!S321++'Capex forecast - 3007'!S321+'Capex forecast - 3008'!S321+'Capex forecast - 3009'!S321+'Capex forecast - 3010'!S321+'Capex forecast - 3011'!S321+'Capex forecast - 3012'!S321+'Capex forecast - 3013'!S321+'Capex forecast - 3014'!S321+'Capex forecast - 3015'!S321+'Capex forecast - 3016'!S321+'Capex forecast - 3017'!S321+'Capex forecast - 3018'!S321+'Capex forecast - 3019'!S321+'Capex forecast - 3020'!S321+'Capex forecast - 3021'!S321+'Capex forecast - 3022'!S321+'Capex forecast - 3023'!S321+'Capex forecast - 3024'!S321+'Capex forecast - 3025'!S321+'Capex forecast - IT'!S321+'Capex forecast - other non-IT'!S321</f>
        <v>436964.86110688088</v>
      </c>
      <c r="L57" s="45">
        <f>'Capex forecast - 3001'!T321+'Capex forecast - 3002'!T321+'Capex forecast - 3003'!T321+'Capex forecast - 3004'!T321+'Capex forecast - 3005'!T321+'Capex forecast - 3006'!T321++'Capex forecast - 3007'!T321+'Capex forecast - 3008'!T321+'Capex forecast - 3009'!T321+'Capex forecast - 3010'!T321+'Capex forecast - 3011'!T321+'Capex forecast - 3012'!T321+'Capex forecast - 3013'!T321+'Capex forecast - 3014'!T321+'Capex forecast - 3015'!T321+'Capex forecast - 3016'!T321+'Capex forecast - 3017'!T321+'Capex forecast - 3018'!T321+'Capex forecast - 3019'!T321+'Capex forecast - 3020'!T321+'Capex forecast - 3021'!T321+'Capex forecast - 3022'!T321+'Capex forecast - 3023'!T321+'Capex forecast - 3024'!T321+'Capex forecast - 3025'!T321+'Capex forecast - IT'!T321+'Capex forecast - other non-IT'!T321</f>
        <v>443815.45718243805</v>
      </c>
      <c r="M57" s="45">
        <f>'Capex forecast - 3001'!U321+'Capex forecast - 3002'!U321+'Capex forecast - 3003'!U321+'Capex forecast - 3004'!U321+'Capex forecast - 3005'!U321+'Capex forecast - 3006'!U321++'Capex forecast - 3007'!U321+'Capex forecast - 3008'!U321+'Capex forecast - 3009'!U321+'Capex forecast - 3010'!U321+'Capex forecast - 3011'!U321+'Capex forecast - 3012'!U321+'Capex forecast - 3013'!U321+'Capex forecast - 3014'!U321+'Capex forecast - 3015'!U321+'Capex forecast - 3016'!U321+'Capex forecast - 3017'!U321+'Capex forecast - 3018'!U321+'Capex forecast - 3019'!U321+'Capex forecast - 3020'!U321+'Capex forecast - 3021'!U321+'Capex forecast - 3022'!U321+'Capex forecast - 3023'!U321+'Capex forecast - 3024'!U321+'Capex forecast - 3025'!U321+'Capex forecast - IT'!U321+'Capex forecast - other non-IT'!U321</f>
        <v>451080.06115983339</v>
      </c>
      <c r="N57" s="45">
        <f>'Capex forecast - 3001'!V321+'Capex forecast - 3002'!V321+'Capex forecast - 3003'!V321+'Capex forecast - 3004'!V321+'Capex forecast - 3005'!V321+'Capex forecast - 3006'!V321++'Capex forecast - 3007'!V321+'Capex forecast - 3008'!V321+'Capex forecast - 3009'!V321+'Capex forecast - 3010'!V321+'Capex forecast - 3011'!V321+'Capex forecast - 3012'!V321+'Capex forecast - 3013'!V321+'Capex forecast - 3014'!V321+'Capex forecast - 3015'!V321+'Capex forecast - 3016'!V321+'Capex forecast - 3017'!V321+'Capex forecast - 3018'!V321+'Capex forecast - 3019'!V321+'Capex forecast - 3020'!V321+'Capex forecast - 3021'!V321+'Capex forecast - 3022'!V321+'Capex forecast - 3023'!V321+'Capex forecast - 3024'!V321+'Capex forecast - 3025'!V321+'Capex forecast - IT'!V321+'Capex forecast - other non-IT'!V321</f>
        <v>458188.39309397794</v>
      </c>
      <c r="P57" s="40">
        <f t="shared" si="4"/>
        <v>2222170.1619662861</v>
      </c>
    </row>
    <row r="58" spans="2:16">
      <c r="B58" s="38" t="s">
        <v>234</v>
      </c>
      <c r="D58" s="29"/>
      <c r="E58" s="29"/>
      <c r="H58" s="45"/>
      <c r="I58" s="45">
        <f>'Capex forecast - 3001'!Q322+'Capex forecast - 3002'!Q322+'Capex forecast - 3003'!Q322+'Capex forecast - 3004'!Q322+'Capex forecast - 3005'!Q322+'Capex forecast - 3006'!Q322++'Capex forecast - 3007'!Q322+'Capex forecast - 3008'!Q322+'Capex forecast - 3009'!Q322+'Capex forecast - 3010'!Q322+'Capex forecast - 3011'!Q322+'Capex forecast - 3012'!Q322+'Capex forecast - 3013'!Q322+'Capex forecast - 3014'!Q322+'Capex forecast - 3015'!Q322+'Capex forecast - 3016'!Q322+'Capex forecast - 3017'!Q322+'Capex forecast - 3018'!Q322+'Capex forecast - 3019'!Q322+'Capex forecast - 3020'!Q322+'Capex forecast - 3021'!Q322+'Capex forecast - 3022'!Q322+'Capex forecast - 3023'!Q322+'Capex forecast - 3024'!Q322+'Capex forecast - 3025'!Q322+'Capex forecast - IT'!Q322+'Capex forecast - other non-IT'!Q322</f>
        <v>5036281.4794982867</v>
      </c>
      <c r="J58" s="45">
        <f>'Capex forecast - 3001'!R322+'Capex forecast - 3002'!R322+'Capex forecast - 3003'!R322+'Capex forecast - 3004'!R322+'Capex forecast - 3005'!R322+'Capex forecast - 3006'!R322++'Capex forecast - 3007'!R322+'Capex forecast - 3008'!R322+'Capex forecast - 3009'!R322+'Capex forecast - 3010'!R322+'Capex forecast - 3011'!R322+'Capex forecast - 3012'!R322+'Capex forecast - 3013'!R322+'Capex forecast - 3014'!R322+'Capex forecast - 3015'!R322+'Capex forecast - 3016'!R322+'Capex forecast - 3017'!R322+'Capex forecast - 3018'!R322+'Capex forecast - 3019'!R322+'Capex forecast - 3020'!R322+'Capex forecast - 3021'!R322+'Capex forecast - 3022'!R322+'Capex forecast - 3023'!R322+'Capex forecast - 3024'!R322+'Capex forecast - 3025'!R322+'Capex forecast - IT'!R322+'Capex forecast - other non-IT'!R322</f>
        <v>7997746.6110612154</v>
      </c>
      <c r="K58" s="45">
        <f>'Capex forecast - 3001'!S322+'Capex forecast - 3002'!S322+'Capex forecast - 3003'!S322+'Capex forecast - 3004'!S322+'Capex forecast - 3005'!S322+'Capex forecast - 3006'!S322++'Capex forecast - 3007'!S322+'Capex forecast - 3008'!S322+'Capex forecast - 3009'!S322+'Capex forecast - 3010'!S322+'Capex forecast - 3011'!S322+'Capex forecast - 3012'!S322+'Capex forecast - 3013'!S322+'Capex forecast - 3014'!S322+'Capex forecast - 3015'!S322+'Capex forecast - 3016'!S322+'Capex forecast - 3017'!S322+'Capex forecast - 3018'!S322+'Capex forecast - 3019'!S322+'Capex forecast - 3020'!S322+'Capex forecast - 3021'!S322+'Capex forecast - 3022'!S322+'Capex forecast - 3023'!S322+'Capex forecast - 3024'!S322+'Capex forecast - 3025'!S322+'Capex forecast - IT'!S322+'Capex forecast - other non-IT'!S322</f>
        <v>7153482.6009892244</v>
      </c>
      <c r="L58" s="45">
        <f>'Capex forecast - 3001'!T322+'Capex forecast - 3002'!T322+'Capex forecast - 3003'!T322+'Capex forecast - 3004'!T322+'Capex forecast - 3005'!T322+'Capex forecast - 3006'!T322++'Capex forecast - 3007'!T322+'Capex forecast - 3008'!T322+'Capex forecast - 3009'!T322+'Capex forecast - 3010'!T322+'Capex forecast - 3011'!T322+'Capex forecast - 3012'!T322+'Capex forecast - 3013'!T322+'Capex forecast - 3014'!T322+'Capex forecast - 3015'!T322+'Capex forecast - 3016'!T322+'Capex forecast - 3017'!T322+'Capex forecast - 3018'!T322+'Capex forecast - 3019'!T322+'Capex forecast - 3020'!T322+'Capex forecast - 3021'!T322+'Capex forecast - 3022'!T322+'Capex forecast - 3023'!T322+'Capex forecast - 3024'!T322+'Capex forecast - 3025'!T322+'Capex forecast - IT'!T322+'Capex forecast - other non-IT'!T322</f>
        <v>4679168.8849116936</v>
      </c>
      <c r="M58" s="45">
        <f>'Capex forecast - 3001'!U322+'Capex forecast - 3002'!U322+'Capex forecast - 3003'!U322+'Capex forecast - 3004'!U322+'Capex forecast - 3005'!U322+'Capex forecast - 3006'!U322++'Capex forecast - 3007'!U322+'Capex forecast - 3008'!U322+'Capex forecast - 3009'!U322+'Capex forecast - 3010'!U322+'Capex forecast - 3011'!U322+'Capex forecast - 3012'!U322+'Capex forecast - 3013'!U322+'Capex forecast - 3014'!U322+'Capex forecast - 3015'!U322+'Capex forecast - 3016'!U322+'Capex forecast - 3017'!U322+'Capex forecast - 3018'!U322+'Capex forecast - 3019'!U322+'Capex forecast - 3020'!U322+'Capex forecast - 3021'!U322+'Capex forecast - 3022'!U322+'Capex forecast - 3023'!U322+'Capex forecast - 3024'!U322+'Capex forecast - 3025'!U322+'Capex forecast - IT'!U322+'Capex forecast - other non-IT'!U322</f>
        <v>4541490.9674027022</v>
      </c>
      <c r="N58" s="45">
        <f>'Capex forecast - 3001'!V322+'Capex forecast - 3002'!V322+'Capex forecast - 3003'!V322+'Capex forecast - 3004'!V322+'Capex forecast - 3005'!V322+'Capex forecast - 3006'!V322++'Capex forecast - 3007'!V322+'Capex forecast - 3008'!V322+'Capex forecast - 3009'!V322+'Capex forecast - 3010'!V322+'Capex forecast - 3011'!V322+'Capex forecast - 3012'!V322+'Capex forecast - 3013'!V322+'Capex forecast - 3014'!V322+'Capex forecast - 3015'!V322+'Capex forecast - 3016'!V322+'Capex forecast - 3017'!V322+'Capex forecast - 3018'!V322+'Capex forecast - 3019'!V322+'Capex forecast - 3020'!V322+'Capex forecast - 3021'!V322+'Capex forecast - 3022'!V322+'Capex forecast - 3023'!V322+'Capex forecast - 3024'!V322+'Capex forecast - 3025'!V322+'Capex forecast - IT'!V322+'Capex forecast - other non-IT'!V322</f>
        <v>4109768.1322224196</v>
      </c>
      <c r="P58" s="40">
        <f t="shared" si="4"/>
        <v>28481657.196587257</v>
      </c>
    </row>
    <row r="59" spans="2:16">
      <c r="B59" s="38" t="s">
        <v>65</v>
      </c>
      <c r="D59" s="29"/>
      <c r="E59" s="29"/>
      <c r="H59" s="45"/>
      <c r="I59" s="45">
        <f>'Capex forecast - 3001'!Q323+'Capex forecast - 3002'!Q323+'Capex forecast - 3003'!Q323+'Capex forecast - 3004'!Q323+'Capex forecast - 3005'!Q323+'Capex forecast - 3006'!Q323++'Capex forecast - 3007'!Q323+'Capex forecast - 3008'!Q323+'Capex forecast - 3009'!Q323+'Capex forecast - 3010'!Q323+'Capex forecast - 3011'!Q323+'Capex forecast - 3012'!Q323+'Capex forecast - 3013'!Q323+'Capex forecast - 3014'!Q323+'Capex forecast - 3015'!Q323+'Capex forecast - 3016'!Q323+'Capex forecast - 3017'!Q323+'Capex forecast - 3018'!Q323+'Capex forecast - 3019'!Q323+'Capex forecast - 3020'!Q323+'Capex forecast - 3021'!Q323+'Capex forecast - 3022'!Q323+'Capex forecast - 3023'!Q323+'Capex forecast - 3024'!Q323+'Capex forecast - 3025'!Q323+'Capex forecast - IT'!Q323+'Capex forecast - other non-IT'!Q323</f>
        <v>12958849.613785919</v>
      </c>
      <c r="J59" s="45">
        <f>'Capex forecast - 3001'!R323+'Capex forecast - 3002'!R323+'Capex forecast - 3003'!R323+'Capex forecast - 3004'!R323+'Capex forecast - 3005'!R323+'Capex forecast - 3006'!R323++'Capex forecast - 3007'!R323+'Capex forecast - 3008'!R323+'Capex forecast - 3009'!R323+'Capex forecast - 3010'!R323+'Capex forecast - 3011'!R323+'Capex forecast - 3012'!R323+'Capex forecast - 3013'!R323+'Capex forecast - 3014'!R323+'Capex forecast - 3015'!R323+'Capex forecast - 3016'!R323+'Capex forecast - 3017'!R323+'Capex forecast - 3018'!R323+'Capex forecast - 3019'!R323+'Capex forecast - 3020'!R323+'Capex forecast - 3021'!R323+'Capex forecast - 3022'!R323+'Capex forecast - 3023'!R323+'Capex forecast - 3024'!R323+'Capex forecast - 3025'!R323+'Capex forecast - IT'!R323+'Capex forecast - other non-IT'!R323</f>
        <v>14581384.314367123</v>
      </c>
      <c r="K59" s="45">
        <f>'Capex forecast - 3001'!S323+'Capex forecast - 3002'!S323+'Capex forecast - 3003'!S323+'Capex forecast - 3004'!S323+'Capex forecast - 3005'!S323+'Capex forecast - 3006'!S323++'Capex forecast - 3007'!S323+'Capex forecast - 3008'!S323+'Capex forecast - 3009'!S323+'Capex forecast - 3010'!S323+'Capex forecast - 3011'!S323+'Capex forecast - 3012'!S323+'Capex forecast - 3013'!S323+'Capex forecast - 3014'!S323+'Capex forecast - 3015'!S323+'Capex forecast - 3016'!S323+'Capex forecast - 3017'!S323+'Capex forecast - 3018'!S323+'Capex forecast - 3019'!S323+'Capex forecast - 3020'!S323+'Capex forecast - 3021'!S323+'Capex forecast - 3022'!S323+'Capex forecast - 3023'!S323+'Capex forecast - 3024'!S323+'Capex forecast - 3025'!S323+'Capex forecast - IT'!S323+'Capex forecast - other non-IT'!S323</f>
        <v>15389762.934457373</v>
      </c>
      <c r="L59" s="45">
        <f>'Capex forecast - 3001'!T323+'Capex forecast - 3002'!T323+'Capex forecast - 3003'!T323+'Capex forecast - 3004'!T323+'Capex forecast - 3005'!T323+'Capex forecast - 3006'!T323++'Capex forecast - 3007'!T323+'Capex forecast - 3008'!T323+'Capex forecast - 3009'!T323+'Capex forecast - 3010'!T323+'Capex forecast - 3011'!T323+'Capex forecast - 3012'!T323+'Capex forecast - 3013'!T323+'Capex forecast - 3014'!T323+'Capex forecast - 3015'!T323+'Capex forecast - 3016'!T323+'Capex forecast - 3017'!T323+'Capex forecast - 3018'!T323+'Capex forecast - 3019'!T323+'Capex forecast - 3020'!T323+'Capex forecast - 3021'!T323+'Capex forecast - 3022'!T323+'Capex forecast - 3023'!T323+'Capex forecast - 3024'!T323+'Capex forecast - 3025'!T323+'Capex forecast - IT'!T323+'Capex forecast - other non-IT'!T323</f>
        <v>14964309.648973655</v>
      </c>
      <c r="M59" s="45">
        <f>'Capex forecast - 3001'!U323+'Capex forecast - 3002'!U323+'Capex forecast - 3003'!U323+'Capex forecast - 3004'!U323+'Capex forecast - 3005'!U323+'Capex forecast - 3006'!U323++'Capex forecast - 3007'!U323+'Capex forecast - 3008'!U323+'Capex forecast - 3009'!U323+'Capex forecast - 3010'!U323+'Capex forecast - 3011'!U323+'Capex forecast - 3012'!U323+'Capex forecast - 3013'!U323+'Capex forecast - 3014'!U323+'Capex forecast - 3015'!U323+'Capex forecast - 3016'!U323+'Capex forecast - 3017'!U323+'Capex forecast - 3018'!U323+'Capex forecast - 3019'!U323+'Capex forecast - 3020'!U323+'Capex forecast - 3021'!U323+'Capex forecast - 3022'!U323+'Capex forecast - 3023'!U323+'Capex forecast - 3024'!U323+'Capex forecast - 3025'!U323+'Capex forecast - IT'!U323+'Capex forecast - other non-IT'!U323</f>
        <v>14879682.210759819</v>
      </c>
      <c r="N59" s="45">
        <f>'Capex forecast - 3001'!V323+'Capex forecast - 3002'!V323+'Capex forecast - 3003'!V323+'Capex forecast - 3004'!V323+'Capex forecast - 3005'!V323+'Capex forecast - 3006'!V323++'Capex forecast - 3007'!V323+'Capex forecast - 3008'!V323+'Capex forecast - 3009'!V323+'Capex forecast - 3010'!V323+'Capex forecast - 3011'!V323+'Capex forecast - 3012'!V323+'Capex forecast - 3013'!V323+'Capex forecast - 3014'!V323+'Capex forecast - 3015'!V323+'Capex forecast - 3016'!V323+'Capex forecast - 3017'!V323+'Capex forecast - 3018'!V323+'Capex forecast - 3019'!V323+'Capex forecast - 3020'!V323+'Capex forecast - 3021'!V323+'Capex forecast - 3022'!V323+'Capex forecast - 3023'!V323+'Capex forecast - 3024'!V323+'Capex forecast - 3025'!V323+'Capex forecast - IT'!V323+'Capex forecast - other non-IT'!V323</f>
        <v>15348861.239737384</v>
      </c>
      <c r="P59" s="40">
        <f t="shared" si="4"/>
        <v>75164000.348295361</v>
      </c>
    </row>
    <row r="60" spans="2:16">
      <c r="B60" s="38" t="s">
        <v>66</v>
      </c>
      <c r="D60" s="29"/>
      <c r="E60" s="29"/>
      <c r="H60" s="45"/>
      <c r="I60" s="45">
        <f>'Capex forecast - 3001'!Q324+'Capex forecast - 3002'!Q324+'Capex forecast - 3003'!Q324+'Capex forecast - 3004'!Q324+'Capex forecast - 3005'!Q324+'Capex forecast - 3006'!Q324++'Capex forecast - 3007'!Q324+'Capex forecast - 3008'!Q324+'Capex forecast - 3009'!Q324+'Capex forecast - 3010'!Q324+'Capex forecast - 3011'!Q324+'Capex forecast - 3012'!Q324+'Capex forecast - 3013'!Q324+'Capex forecast - 3014'!Q324+'Capex forecast - 3015'!Q324+'Capex forecast - 3016'!Q324+'Capex forecast - 3017'!Q324+'Capex forecast - 3018'!Q324+'Capex forecast - 3019'!Q324+'Capex forecast - 3020'!Q324+'Capex forecast - 3021'!Q324+'Capex forecast - 3022'!Q324+'Capex forecast - 3023'!Q324+'Capex forecast - 3024'!Q324+'Capex forecast - 3025'!Q324+'Capex forecast - IT'!Q324+'Capex forecast - other non-IT'!Q324</f>
        <v>471858.57543942035</v>
      </c>
      <c r="J60" s="45">
        <f>'Capex forecast - 3001'!R324+'Capex forecast - 3002'!R324+'Capex forecast - 3003'!R324+'Capex forecast - 3004'!R324+'Capex forecast - 3005'!R324+'Capex forecast - 3006'!R324++'Capex forecast - 3007'!R324+'Capex forecast - 3008'!R324+'Capex forecast - 3009'!R324+'Capex forecast - 3010'!R324+'Capex forecast - 3011'!R324+'Capex forecast - 3012'!R324+'Capex forecast - 3013'!R324+'Capex forecast - 3014'!R324+'Capex forecast - 3015'!R324+'Capex forecast - 3016'!R324+'Capex forecast - 3017'!R324+'Capex forecast - 3018'!R324+'Capex forecast - 3019'!R324+'Capex forecast - 3020'!R324+'Capex forecast - 3021'!R324+'Capex forecast - 3022'!R324+'Capex forecast - 3023'!R324+'Capex forecast - 3024'!R324+'Capex forecast - 3025'!R324+'Capex forecast - IT'!R324+'Capex forecast - other non-IT'!R324</f>
        <v>432745.50817818695</v>
      </c>
      <c r="K60" s="45">
        <f>'Capex forecast - 3001'!S324+'Capex forecast - 3002'!S324+'Capex forecast - 3003'!S324+'Capex forecast - 3004'!S324+'Capex forecast - 3005'!S324+'Capex forecast - 3006'!S324++'Capex forecast - 3007'!S324+'Capex forecast - 3008'!S324+'Capex forecast - 3009'!S324+'Capex forecast - 3010'!S324+'Capex forecast - 3011'!S324+'Capex forecast - 3012'!S324+'Capex forecast - 3013'!S324+'Capex forecast - 3014'!S324+'Capex forecast - 3015'!S324+'Capex forecast - 3016'!S324+'Capex forecast - 3017'!S324+'Capex forecast - 3018'!S324+'Capex forecast - 3019'!S324+'Capex forecast - 3020'!S324+'Capex forecast - 3021'!S324+'Capex forecast - 3022'!S324+'Capex forecast - 3023'!S324+'Capex forecast - 3024'!S324+'Capex forecast - 3025'!S324+'Capex forecast - IT'!S324+'Capex forecast - other non-IT'!S324</f>
        <v>389820.16040159453</v>
      </c>
      <c r="L60" s="45">
        <f>'Capex forecast - 3001'!T324+'Capex forecast - 3002'!T324+'Capex forecast - 3003'!T324+'Capex forecast - 3004'!T324+'Capex forecast - 3005'!T324+'Capex forecast - 3006'!T324++'Capex forecast - 3007'!T324+'Capex forecast - 3008'!T324+'Capex forecast - 3009'!T324+'Capex forecast - 3010'!T324+'Capex forecast - 3011'!T324+'Capex forecast - 3012'!T324+'Capex forecast - 3013'!T324+'Capex forecast - 3014'!T324+'Capex forecast - 3015'!T324+'Capex forecast - 3016'!T324+'Capex forecast - 3017'!T324+'Capex forecast - 3018'!T324+'Capex forecast - 3019'!T324+'Capex forecast - 3020'!T324+'Capex forecast - 3021'!T324+'Capex forecast - 3022'!T324+'Capex forecast - 3023'!T324+'Capex forecast - 3024'!T324+'Capex forecast - 3025'!T324+'Capex forecast - IT'!T324+'Capex forecast - other non-IT'!T324</f>
        <v>355345.40584988095</v>
      </c>
      <c r="M60" s="45">
        <f>'Capex forecast - 3001'!U324+'Capex forecast - 3002'!U324+'Capex forecast - 3003'!U324+'Capex forecast - 3004'!U324+'Capex forecast - 3005'!U324+'Capex forecast - 3006'!U324++'Capex forecast - 3007'!U324+'Capex forecast - 3008'!U324+'Capex forecast - 3009'!U324+'Capex forecast - 3010'!U324+'Capex forecast - 3011'!U324+'Capex forecast - 3012'!U324+'Capex forecast - 3013'!U324+'Capex forecast - 3014'!U324+'Capex forecast - 3015'!U324+'Capex forecast - 3016'!U324+'Capex forecast - 3017'!U324+'Capex forecast - 3018'!U324+'Capex forecast - 3019'!U324+'Capex forecast - 3020'!U324+'Capex forecast - 3021'!U324+'Capex forecast - 3022'!U324+'Capex forecast - 3023'!U324+'Capex forecast - 3024'!U324+'Capex forecast - 3025'!U324+'Capex forecast - IT'!U324+'Capex forecast - other non-IT'!U324</f>
        <v>1426996.7662634766</v>
      </c>
      <c r="N60" s="45">
        <f>'Capex forecast - 3001'!V324+'Capex forecast - 3002'!V324+'Capex forecast - 3003'!V324+'Capex forecast - 3004'!V324+'Capex forecast - 3005'!V324+'Capex forecast - 3006'!V324++'Capex forecast - 3007'!V324+'Capex forecast - 3008'!V324+'Capex forecast - 3009'!V324+'Capex forecast - 3010'!V324+'Capex forecast - 3011'!V324+'Capex forecast - 3012'!V324+'Capex forecast - 3013'!V324+'Capex forecast - 3014'!V324+'Capex forecast - 3015'!V324+'Capex forecast - 3016'!V324+'Capex forecast - 3017'!V324+'Capex forecast - 3018'!V324+'Capex forecast - 3019'!V324+'Capex forecast - 3020'!V324+'Capex forecast - 3021'!V324+'Capex forecast - 3022'!V324+'Capex forecast - 3023'!V324+'Capex forecast - 3024'!V324+'Capex forecast - 3025'!V324+'Capex forecast - IT'!V324+'Capex forecast - other non-IT'!V324</f>
        <v>1542442.0259633579</v>
      </c>
      <c r="P60" s="40">
        <f t="shared" si="4"/>
        <v>4147349.8666564971</v>
      </c>
    </row>
    <row r="61" spans="2:16">
      <c r="B61" s="38" t="s">
        <v>107</v>
      </c>
      <c r="D61" s="29"/>
      <c r="E61" s="29"/>
      <c r="H61" s="45"/>
      <c r="I61" s="45">
        <f>'Capex forecast - 3001'!Q325+'Capex forecast - 3002'!Q325+'Capex forecast - 3003'!Q325+'Capex forecast - 3004'!Q325+'Capex forecast - 3005'!Q325+'Capex forecast - 3006'!Q325++'Capex forecast - 3007'!Q325+'Capex forecast - 3008'!Q325+'Capex forecast - 3009'!Q325+'Capex forecast - 3010'!Q325+'Capex forecast - 3011'!Q325+'Capex forecast - 3012'!Q325+'Capex forecast - 3013'!Q325+'Capex forecast - 3014'!Q325+'Capex forecast - 3015'!Q325+'Capex forecast - 3016'!Q325+'Capex forecast - 3017'!Q325+'Capex forecast - 3018'!Q325+'Capex forecast - 3019'!Q325+'Capex forecast - 3020'!Q325+'Capex forecast - 3021'!Q325+'Capex forecast - 3022'!Q325+'Capex forecast - 3023'!Q325+'Capex forecast - 3024'!Q325+'Capex forecast - 3025'!Q325+'Capex forecast - IT'!Q325+'Capex forecast - other non-IT'!Q325</f>
        <v>0</v>
      </c>
      <c r="J61" s="45">
        <f>'Capex forecast - 3001'!R325+'Capex forecast - 3002'!R325+'Capex forecast - 3003'!R325+'Capex forecast - 3004'!R325+'Capex forecast - 3005'!R325+'Capex forecast - 3006'!R325++'Capex forecast - 3007'!R325+'Capex forecast - 3008'!R325+'Capex forecast - 3009'!R325+'Capex forecast - 3010'!R325+'Capex forecast - 3011'!R325+'Capex forecast - 3012'!R325+'Capex forecast - 3013'!R325+'Capex forecast - 3014'!R325+'Capex forecast - 3015'!R325+'Capex forecast - 3016'!R325+'Capex forecast - 3017'!R325+'Capex forecast - 3018'!R325+'Capex forecast - 3019'!R325+'Capex forecast - 3020'!R325+'Capex forecast - 3021'!R325+'Capex forecast - 3022'!R325+'Capex forecast - 3023'!R325+'Capex forecast - 3024'!R325+'Capex forecast - 3025'!R325+'Capex forecast - IT'!R325+'Capex forecast - other non-IT'!R325</f>
        <v>0</v>
      </c>
      <c r="K61" s="45">
        <f>'Capex forecast - 3001'!S325+'Capex forecast - 3002'!S325+'Capex forecast - 3003'!S325+'Capex forecast - 3004'!S325+'Capex forecast - 3005'!S325+'Capex forecast - 3006'!S325++'Capex forecast - 3007'!S325+'Capex forecast - 3008'!S325+'Capex forecast - 3009'!S325+'Capex forecast - 3010'!S325+'Capex forecast - 3011'!S325+'Capex forecast - 3012'!S325+'Capex forecast - 3013'!S325+'Capex forecast - 3014'!S325+'Capex forecast - 3015'!S325+'Capex forecast - 3016'!S325+'Capex forecast - 3017'!S325+'Capex forecast - 3018'!S325+'Capex forecast - 3019'!S325+'Capex forecast - 3020'!S325+'Capex forecast - 3021'!S325+'Capex forecast - 3022'!S325+'Capex forecast - 3023'!S325+'Capex forecast - 3024'!S325+'Capex forecast - 3025'!S325+'Capex forecast - IT'!S325+'Capex forecast - other non-IT'!S325</f>
        <v>0</v>
      </c>
      <c r="L61" s="45">
        <f>'Capex forecast - 3001'!T325+'Capex forecast - 3002'!T325+'Capex forecast - 3003'!T325+'Capex forecast - 3004'!T325+'Capex forecast - 3005'!T325+'Capex forecast - 3006'!T325++'Capex forecast - 3007'!T325+'Capex forecast - 3008'!T325+'Capex forecast - 3009'!T325+'Capex forecast - 3010'!T325+'Capex forecast - 3011'!T325+'Capex forecast - 3012'!T325+'Capex forecast - 3013'!T325+'Capex forecast - 3014'!T325+'Capex forecast - 3015'!T325+'Capex forecast - 3016'!T325+'Capex forecast - 3017'!T325+'Capex forecast - 3018'!T325+'Capex forecast - 3019'!T325+'Capex forecast - 3020'!T325+'Capex forecast - 3021'!T325+'Capex forecast - 3022'!T325+'Capex forecast - 3023'!T325+'Capex forecast - 3024'!T325+'Capex forecast - 3025'!T325+'Capex forecast - IT'!T325+'Capex forecast - other non-IT'!T325</f>
        <v>0</v>
      </c>
      <c r="M61" s="45">
        <f>'Capex forecast - 3001'!U325+'Capex forecast - 3002'!U325+'Capex forecast - 3003'!U325+'Capex forecast - 3004'!U325+'Capex forecast - 3005'!U325+'Capex forecast - 3006'!U325++'Capex forecast - 3007'!U325+'Capex forecast - 3008'!U325+'Capex forecast - 3009'!U325+'Capex forecast - 3010'!U325+'Capex forecast - 3011'!U325+'Capex forecast - 3012'!U325+'Capex forecast - 3013'!U325+'Capex forecast - 3014'!U325+'Capex forecast - 3015'!U325+'Capex forecast - 3016'!U325+'Capex forecast - 3017'!U325+'Capex forecast - 3018'!U325+'Capex forecast - 3019'!U325+'Capex forecast - 3020'!U325+'Capex forecast - 3021'!U325+'Capex forecast - 3022'!U325+'Capex forecast - 3023'!U325+'Capex forecast - 3024'!U325+'Capex forecast - 3025'!U325+'Capex forecast - IT'!U325+'Capex forecast - other non-IT'!U325</f>
        <v>0</v>
      </c>
      <c r="N61" s="45">
        <f>'Capex forecast - 3001'!V325+'Capex forecast - 3002'!V325+'Capex forecast - 3003'!V325+'Capex forecast - 3004'!V325+'Capex forecast - 3005'!V325+'Capex forecast - 3006'!V325++'Capex forecast - 3007'!V325+'Capex forecast - 3008'!V325+'Capex forecast - 3009'!V325+'Capex forecast - 3010'!V325+'Capex forecast - 3011'!V325+'Capex forecast - 3012'!V325+'Capex forecast - 3013'!V325+'Capex forecast - 3014'!V325+'Capex forecast - 3015'!V325+'Capex forecast - 3016'!V325+'Capex forecast - 3017'!V325+'Capex forecast - 3018'!V325+'Capex forecast - 3019'!V325+'Capex forecast - 3020'!V325+'Capex forecast - 3021'!V325+'Capex forecast - 3022'!V325+'Capex forecast - 3023'!V325+'Capex forecast - 3024'!V325+'Capex forecast - 3025'!V325+'Capex forecast - IT'!V325+'Capex forecast - other non-IT'!V325</f>
        <v>0</v>
      </c>
      <c r="P61" s="40">
        <f t="shared" si="4"/>
        <v>0</v>
      </c>
    </row>
    <row r="62" spans="2:16">
      <c r="B62" s="38" t="s">
        <v>67</v>
      </c>
      <c r="D62" s="29"/>
      <c r="E62" s="29"/>
      <c r="H62" s="45"/>
      <c r="I62" s="45">
        <f>'Capex forecast - 3001'!Q326+'Capex forecast - 3002'!Q326+'Capex forecast - 3003'!Q326+'Capex forecast - 3004'!Q326+'Capex forecast - 3005'!Q326+'Capex forecast - 3006'!Q326++'Capex forecast - 3007'!Q326+'Capex forecast - 3008'!Q326+'Capex forecast - 3009'!Q326+'Capex forecast - 3010'!Q326+'Capex forecast - 3011'!Q326+'Capex forecast - 3012'!Q326+'Capex forecast - 3013'!Q326+'Capex forecast - 3014'!Q326+'Capex forecast - 3015'!Q326+'Capex forecast - 3016'!Q326+'Capex forecast - 3017'!Q326+'Capex forecast - 3018'!Q326+'Capex forecast - 3019'!Q326+'Capex forecast - 3020'!Q326+'Capex forecast - 3021'!Q326+'Capex forecast - 3022'!Q326+'Capex forecast - 3023'!Q326+'Capex forecast - 3024'!Q326+'Capex forecast - 3025'!Q326+'Capex forecast - IT'!Q326+'Capex forecast - other non-IT'!Q326</f>
        <v>7049221.1162734153</v>
      </c>
      <c r="J62" s="45">
        <f>'Capex forecast - 3001'!R326+'Capex forecast - 3002'!R326+'Capex forecast - 3003'!R326+'Capex forecast - 3004'!R326+'Capex forecast - 3005'!R326+'Capex forecast - 3006'!R326++'Capex forecast - 3007'!R326+'Capex forecast - 3008'!R326+'Capex forecast - 3009'!R326+'Capex forecast - 3010'!R326+'Capex forecast - 3011'!R326+'Capex forecast - 3012'!R326+'Capex forecast - 3013'!R326+'Capex forecast - 3014'!R326+'Capex forecast - 3015'!R326+'Capex forecast - 3016'!R326+'Capex forecast - 3017'!R326+'Capex forecast - 3018'!R326+'Capex forecast - 3019'!R326+'Capex forecast - 3020'!R326+'Capex forecast - 3021'!R326+'Capex forecast - 3022'!R326+'Capex forecast - 3023'!R326+'Capex forecast - 3024'!R326+'Capex forecast - 3025'!R326+'Capex forecast - IT'!R326+'Capex forecast - other non-IT'!R326</f>
        <v>14115679.613900786</v>
      </c>
      <c r="K62" s="45">
        <f>'Capex forecast - 3001'!S326+'Capex forecast - 3002'!S326+'Capex forecast - 3003'!S326+'Capex forecast - 3004'!S326+'Capex forecast - 3005'!S326+'Capex forecast - 3006'!S326++'Capex forecast - 3007'!S326+'Capex forecast - 3008'!S326+'Capex forecast - 3009'!S326+'Capex forecast - 3010'!S326+'Capex forecast - 3011'!S326+'Capex forecast - 3012'!S326+'Capex forecast - 3013'!S326+'Capex forecast - 3014'!S326+'Capex forecast - 3015'!S326+'Capex forecast - 3016'!S326+'Capex forecast - 3017'!S326+'Capex forecast - 3018'!S326+'Capex forecast - 3019'!S326+'Capex forecast - 3020'!S326+'Capex forecast - 3021'!S326+'Capex forecast - 3022'!S326+'Capex forecast - 3023'!S326+'Capex forecast - 3024'!S326+'Capex forecast - 3025'!S326+'Capex forecast - IT'!S326+'Capex forecast - other non-IT'!S326</f>
        <v>15330008.166965332</v>
      </c>
      <c r="L62" s="45">
        <f>'Capex forecast - 3001'!T326+'Capex forecast - 3002'!T326+'Capex forecast - 3003'!T326+'Capex forecast - 3004'!T326+'Capex forecast - 3005'!T326+'Capex forecast - 3006'!T326++'Capex forecast - 3007'!T326+'Capex forecast - 3008'!T326+'Capex forecast - 3009'!T326+'Capex forecast - 3010'!T326+'Capex forecast - 3011'!T326+'Capex forecast - 3012'!T326+'Capex forecast - 3013'!T326+'Capex forecast - 3014'!T326+'Capex forecast - 3015'!T326+'Capex forecast - 3016'!T326+'Capex forecast - 3017'!T326+'Capex forecast - 3018'!T326+'Capex forecast - 3019'!T326+'Capex forecast - 3020'!T326+'Capex forecast - 3021'!T326+'Capex forecast - 3022'!T326+'Capex forecast - 3023'!T326+'Capex forecast - 3024'!T326+'Capex forecast - 3025'!T326+'Capex forecast - IT'!T326+'Capex forecast - other non-IT'!T326</f>
        <v>12725325.750282558</v>
      </c>
      <c r="M62" s="45">
        <f>'Capex forecast - 3001'!U326+'Capex forecast - 3002'!U326+'Capex forecast - 3003'!U326+'Capex forecast - 3004'!U326+'Capex forecast - 3005'!U326+'Capex forecast - 3006'!U326++'Capex forecast - 3007'!U326+'Capex forecast - 3008'!U326+'Capex forecast - 3009'!U326+'Capex forecast - 3010'!U326+'Capex forecast - 3011'!U326+'Capex forecast - 3012'!U326+'Capex forecast - 3013'!U326+'Capex forecast - 3014'!U326+'Capex forecast - 3015'!U326+'Capex forecast - 3016'!U326+'Capex forecast - 3017'!U326+'Capex forecast - 3018'!U326+'Capex forecast - 3019'!U326+'Capex forecast - 3020'!U326+'Capex forecast - 3021'!U326+'Capex forecast - 3022'!U326+'Capex forecast - 3023'!U326+'Capex forecast - 3024'!U326+'Capex forecast - 3025'!U326+'Capex forecast - IT'!U326+'Capex forecast - other non-IT'!U326</f>
        <v>10137616.817740591</v>
      </c>
      <c r="N62" s="45">
        <f>'Capex forecast - 3001'!V326+'Capex forecast - 3002'!V326+'Capex forecast - 3003'!V326+'Capex forecast - 3004'!V326+'Capex forecast - 3005'!V326+'Capex forecast - 3006'!V326++'Capex forecast - 3007'!V326+'Capex forecast - 3008'!V326+'Capex forecast - 3009'!V326+'Capex forecast - 3010'!V326+'Capex forecast - 3011'!V326+'Capex forecast - 3012'!V326+'Capex forecast - 3013'!V326+'Capex forecast - 3014'!V326+'Capex forecast - 3015'!V326+'Capex forecast - 3016'!V326+'Capex forecast - 3017'!V326+'Capex forecast - 3018'!V326+'Capex forecast - 3019'!V326+'Capex forecast - 3020'!V326+'Capex forecast - 3021'!V326+'Capex forecast - 3022'!V326+'Capex forecast - 3023'!V326+'Capex forecast - 3024'!V326+'Capex forecast - 3025'!V326+'Capex forecast - IT'!V326+'Capex forecast - other non-IT'!V326</f>
        <v>7137243.3653480504</v>
      </c>
      <c r="P62" s="40">
        <f t="shared" si="4"/>
        <v>59445873.71423731</v>
      </c>
    </row>
    <row r="63" spans="2:16">
      <c r="B63" s="38" t="s">
        <v>68</v>
      </c>
      <c r="D63" s="29"/>
      <c r="E63" s="29"/>
      <c r="H63" s="45"/>
      <c r="I63" s="45">
        <f>'Capex forecast - 3001'!Q327+'Capex forecast - 3002'!Q327+'Capex forecast - 3003'!Q327+'Capex forecast - 3004'!Q327+'Capex forecast - 3005'!Q327+'Capex forecast - 3006'!Q327++'Capex forecast - 3007'!Q327+'Capex forecast - 3008'!Q327+'Capex forecast - 3009'!Q327+'Capex forecast - 3010'!Q327+'Capex forecast - 3011'!Q327+'Capex forecast - 3012'!Q327+'Capex forecast - 3013'!Q327+'Capex forecast - 3014'!Q327+'Capex forecast - 3015'!Q327+'Capex forecast - 3016'!Q327+'Capex forecast - 3017'!Q327+'Capex forecast - 3018'!Q327+'Capex forecast - 3019'!Q327+'Capex forecast - 3020'!Q327+'Capex forecast - 3021'!Q327+'Capex forecast - 3022'!Q327+'Capex forecast - 3023'!Q327+'Capex forecast - 3024'!Q327+'Capex forecast - 3025'!Q327+'Capex forecast - IT'!Q327+'Capex forecast - other non-IT'!Q327</f>
        <v>360914.01009034616</v>
      </c>
      <c r="J63" s="45">
        <f>'Capex forecast - 3001'!R327+'Capex forecast - 3002'!R327+'Capex forecast - 3003'!R327+'Capex forecast - 3004'!R327+'Capex forecast - 3005'!R327+'Capex forecast - 3006'!R327++'Capex forecast - 3007'!R327+'Capex forecast - 3008'!R327+'Capex forecast - 3009'!R327+'Capex forecast - 3010'!R327+'Capex forecast - 3011'!R327+'Capex forecast - 3012'!R327+'Capex forecast - 3013'!R327+'Capex forecast - 3014'!R327+'Capex forecast - 3015'!R327+'Capex forecast - 3016'!R327+'Capex forecast - 3017'!R327+'Capex forecast - 3018'!R327+'Capex forecast - 3019'!R327+'Capex forecast - 3020'!R327+'Capex forecast - 3021'!R327+'Capex forecast - 3022'!R327+'Capex forecast - 3023'!R327+'Capex forecast - 3024'!R327+'Capex forecast - 3025'!R327+'Capex forecast - IT'!R327+'Capex forecast - other non-IT'!R327</f>
        <v>361358.76730482717</v>
      </c>
      <c r="K63" s="45">
        <f>'Capex forecast - 3001'!S327+'Capex forecast - 3002'!S327+'Capex forecast - 3003'!S327+'Capex forecast - 3004'!S327+'Capex forecast - 3005'!S327+'Capex forecast - 3006'!S327++'Capex forecast - 3007'!S327+'Capex forecast - 3008'!S327+'Capex forecast - 3009'!S327+'Capex forecast - 3010'!S327+'Capex forecast - 3011'!S327+'Capex forecast - 3012'!S327+'Capex forecast - 3013'!S327+'Capex forecast - 3014'!S327+'Capex forecast - 3015'!S327+'Capex forecast - 3016'!S327+'Capex forecast - 3017'!S327+'Capex forecast - 3018'!S327+'Capex forecast - 3019'!S327+'Capex forecast - 3020'!S327+'Capex forecast - 3021'!S327+'Capex forecast - 3022'!S327+'Capex forecast - 3023'!S327+'Capex forecast - 3024'!S327+'Capex forecast - 3025'!S327+'Capex forecast - IT'!S327+'Capex forecast - other non-IT'!S327</f>
        <v>361894.38911896548</v>
      </c>
      <c r="L63" s="45">
        <f>'Capex forecast - 3001'!T327+'Capex forecast - 3002'!T327+'Capex forecast - 3003'!T327+'Capex forecast - 3004'!T327+'Capex forecast - 3005'!T327+'Capex forecast - 3006'!T327++'Capex forecast - 3007'!T327+'Capex forecast - 3008'!T327+'Capex forecast - 3009'!T327+'Capex forecast - 3010'!T327+'Capex forecast - 3011'!T327+'Capex forecast - 3012'!T327+'Capex forecast - 3013'!T327+'Capex forecast - 3014'!T327+'Capex forecast - 3015'!T327+'Capex forecast - 3016'!T327+'Capex forecast - 3017'!T327+'Capex forecast - 3018'!T327+'Capex forecast - 3019'!T327+'Capex forecast - 3020'!T327+'Capex forecast - 3021'!T327+'Capex forecast - 3022'!T327+'Capex forecast - 3023'!T327+'Capex forecast - 3024'!T327+'Capex forecast - 3025'!T327+'Capex forecast - IT'!T327+'Capex forecast - other non-IT'!T327</f>
        <v>362574.19659318496</v>
      </c>
      <c r="M63" s="45">
        <f>'Capex forecast - 3001'!U327+'Capex forecast - 3002'!U327+'Capex forecast - 3003'!U327+'Capex forecast - 3004'!U327+'Capex forecast - 3005'!U327+'Capex forecast - 3006'!U327++'Capex forecast - 3007'!U327+'Capex forecast - 3008'!U327+'Capex forecast - 3009'!U327+'Capex forecast - 3010'!U327+'Capex forecast - 3011'!U327+'Capex forecast - 3012'!U327+'Capex forecast - 3013'!U327+'Capex forecast - 3014'!U327+'Capex forecast - 3015'!U327+'Capex forecast - 3016'!U327+'Capex forecast - 3017'!U327+'Capex forecast - 3018'!U327+'Capex forecast - 3019'!U327+'Capex forecast - 3020'!U327+'Capex forecast - 3021'!U327+'Capex forecast - 3022'!U327+'Capex forecast - 3023'!U327+'Capex forecast - 3024'!U327+'Capex forecast - 3025'!U327+'Capex forecast - IT'!U327+'Capex forecast - other non-IT'!U327</f>
        <v>363446.01291519118</v>
      </c>
      <c r="N63" s="45">
        <f>'Capex forecast - 3001'!V327+'Capex forecast - 3002'!V327+'Capex forecast - 3003'!V327+'Capex forecast - 3004'!V327+'Capex forecast - 3005'!V327+'Capex forecast - 3006'!V327++'Capex forecast - 3007'!V327+'Capex forecast - 3008'!V327+'Capex forecast - 3009'!V327+'Capex forecast - 3010'!V327+'Capex forecast - 3011'!V327+'Capex forecast - 3012'!V327+'Capex forecast - 3013'!V327+'Capex forecast - 3014'!V327+'Capex forecast - 3015'!V327+'Capex forecast - 3016'!V327+'Capex forecast - 3017'!V327+'Capex forecast - 3018'!V327+'Capex forecast - 3019'!V327+'Capex forecast - 3020'!V327+'Capex forecast - 3021'!V327+'Capex forecast - 3022'!V327+'Capex forecast - 3023'!V327+'Capex forecast - 3024'!V327+'Capex forecast - 3025'!V327+'Capex forecast - IT'!V327+'Capex forecast - other non-IT'!V327</f>
        <v>364411.70301263226</v>
      </c>
      <c r="P63" s="40">
        <f t="shared" si="4"/>
        <v>1813685.0689448011</v>
      </c>
    </row>
    <row r="64" spans="2:16">
      <c r="B64" s="38" t="s">
        <v>108</v>
      </c>
      <c r="D64" s="29"/>
      <c r="E64" s="29"/>
      <c r="H64" s="45"/>
      <c r="I64" s="45">
        <f>'Capex forecast - 3001'!Q328+'Capex forecast - 3002'!Q328+'Capex forecast - 3003'!Q328+'Capex forecast - 3004'!Q328+'Capex forecast - 3005'!Q328+'Capex forecast - 3006'!Q328++'Capex forecast - 3007'!Q328+'Capex forecast - 3008'!Q328+'Capex forecast - 3009'!Q328+'Capex forecast - 3010'!Q328+'Capex forecast - 3011'!Q328+'Capex forecast - 3012'!Q328+'Capex forecast - 3013'!Q328+'Capex forecast - 3014'!Q328+'Capex forecast - 3015'!Q328+'Capex forecast - 3016'!Q328+'Capex forecast - 3017'!Q328+'Capex forecast - 3018'!Q328+'Capex forecast - 3019'!Q328+'Capex forecast - 3020'!Q328+'Capex forecast - 3021'!Q328+'Capex forecast - 3022'!Q328+'Capex forecast - 3023'!Q328+'Capex forecast - 3024'!Q328+'Capex forecast - 3025'!Q328+'Capex forecast - IT'!Q328+'Capex forecast - other non-IT'!Q328</f>
        <v>0</v>
      </c>
      <c r="J64" s="45">
        <f>'Capex forecast - 3001'!R328+'Capex forecast - 3002'!R328+'Capex forecast - 3003'!R328+'Capex forecast - 3004'!R328+'Capex forecast - 3005'!R328+'Capex forecast - 3006'!R328++'Capex forecast - 3007'!R328+'Capex forecast - 3008'!R328+'Capex forecast - 3009'!R328+'Capex forecast - 3010'!R328+'Capex forecast - 3011'!R328+'Capex forecast - 3012'!R328+'Capex forecast - 3013'!R328+'Capex forecast - 3014'!R328+'Capex forecast - 3015'!R328+'Capex forecast - 3016'!R328+'Capex forecast - 3017'!R328+'Capex forecast - 3018'!R328+'Capex forecast - 3019'!R328+'Capex forecast - 3020'!R328+'Capex forecast - 3021'!R328+'Capex forecast - 3022'!R328+'Capex forecast - 3023'!R328+'Capex forecast - 3024'!R328+'Capex forecast - 3025'!R328+'Capex forecast - IT'!R328+'Capex forecast - other non-IT'!R328</f>
        <v>0</v>
      </c>
      <c r="K64" s="45">
        <f>'Capex forecast - 3001'!S328+'Capex forecast - 3002'!S328+'Capex forecast - 3003'!S328+'Capex forecast - 3004'!S328+'Capex forecast - 3005'!S328+'Capex forecast - 3006'!S328++'Capex forecast - 3007'!S328+'Capex forecast - 3008'!S328+'Capex forecast - 3009'!S328+'Capex forecast - 3010'!S328+'Capex forecast - 3011'!S328+'Capex forecast - 3012'!S328+'Capex forecast - 3013'!S328+'Capex forecast - 3014'!S328+'Capex forecast - 3015'!S328+'Capex forecast - 3016'!S328+'Capex forecast - 3017'!S328+'Capex forecast - 3018'!S328+'Capex forecast - 3019'!S328+'Capex forecast - 3020'!S328+'Capex forecast - 3021'!S328+'Capex forecast - 3022'!S328+'Capex forecast - 3023'!S328+'Capex forecast - 3024'!S328+'Capex forecast - 3025'!S328+'Capex forecast - IT'!S328+'Capex forecast - other non-IT'!S328</f>
        <v>0</v>
      </c>
      <c r="L64" s="45">
        <f>'Capex forecast - 3001'!T328+'Capex forecast - 3002'!T328+'Capex forecast - 3003'!T328+'Capex forecast - 3004'!T328+'Capex forecast - 3005'!T328+'Capex forecast - 3006'!T328++'Capex forecast - 3007'!T328+'Capex forecast - 3008'!T328+'Capex forecast - 3009'!T328+'Capex forecast - 3010'!T328+'Capex forecast - 3011'!T328+'Capex forecast - 3012'!T328+'Capex forecast - 3013'!T328+'Capex forecast - 3014'!T328+'Capex forecast - 3015'!T328+'Capex forecast - 3016'!T328+'Capex forecast - 3017'!T328+'Capex forecast - 3018'!T328+'Capex forecast - 3019'!T328+'Capex forecast - 3020'!T328+'Capex forecast - 3021'!T328+'Capex forecast - 3022'!T328+'Capex forecast - 3023'!T328+'Capex forecast - 3024'!T328+'Capex forecast - 3025'!T328+'Capex forecast - IT'!T328+'Capex forecast - other non-IT'!T328</f>
        <v>0</v>
      </c>
      <c r="M64" s="45">
        <f>'Capex forecast - 3001'!U328+'Capex forecast - 3002'!U328+'Capex forecast - 3003'!U328+'Capex forecast - 3004'!U328+'Capex forecast - 3005'!U328+'Capex forecast - 3006'!U328++'Capex forecast - 3007'!U328+'Capex forecast - 3008'!U328+'Capex forecast - 3009'!U328+'Capex forecast - 3010'!U328+'Capex forecast - 3011'!U328+'Capex forecast - 3012'!U328+'Capex forecast - 3013'!U328+'Capex forecast - 3014'!U328+'Capex forecast - 3015'!U328+'Capex forecast - 3016'!U328+'Capex forecast - 3017'!U328+'Capex forecast - 3018'!U328+'Capex forecast - 3019'!U328+'Capex forecast - 3020'!U328+'Capex forecast - 3021'!U328+'Capex forecast - 3022'!U328+'Capex forecast - 3023'!U328+'Capex forecast - 3024'!U328+'Capex forecast - 3025'!U328+'Capex forecast - IT'!U328+'Capex forecast - other non-IT'!U328</f>
        <v>0</v>
      </c>
      <c r="N64" s="45">
        <f>'Capex forecast - 3001'!V328+'Capex forecast - 3002'!V328+'Capex forecast - 3003'!V328+'Capex forecast - 3004'!V328+'Capex forecast - 3005'!V328+'Capex forecast - 3006'!V328++'Capex forecast - 3007'!V328+'Capex forecast - 3008'!V328+'Capex forecast - 3009'!V328+'Capex forecast - 3010'!V328+'Capex forecast - 3011'!V328+'Capex forecast - 3012'!V328+'Capex forecast - 3013'!V328+'Capex forecast - 3014'!V328+'Capex forecast - 3015'!V328+'Capex forecast - 3016'!V328+'Capex forecast - 3017'!V328+'Capex forecast - 3018'!V328+'Capex forecast - 3019'!V328+'Capex forecast - 3020'!V328+'Capex forecast - 3021'!V328+'Capex forecast - 3022'!V328+'Capex forecast - 3023'!V328+'Capex forecast - 3024'!V328+'Capex forecast - 3025'!V328+'Capex forecast - IT'!V328+'Capex forecast - other non-IT'!V328</f>
        <v>0</v>
      </c>
      <c r="P64" s="40">
        <f t="shared" si="4"/>
        <v>0</v>
      </c>
    </row>
    <row r="66" spans="1:16" ht="12.75" thickBot="1">
      <c r="B66" s="5" t="s">
        <v>231</v>
      </c>
      <c r="H66" s="37"/>
      <c r="I66" s="37">
        <f t="shared" ref="I66:N66" si="5">SUM(I54:I64)</f>
        <v>84828425.031594008</v>
      </c>
      <c r="J66" s="37">
        <f>SUM(J54:J64)</f>
        <v>103140665.68259788</v>
      </c>
      <c r="K66" s="37">
        <f t="shared" si="5"/>
        <v>100219794.32558557</v>
      </c>
      <c r="L66" s="37">
        <f t="shared" si="5"/>
        <v>97011981.555506796</v>
      </c>
      <c r="M66" s="37">
        <f t="shared" si="5"/>
        <v>90865175.853735581</v>
      </c>
      <c r="N66" s="37">
        <f t="shared" si="5"/>
        <v>86272443.625067249</v>
      </c>
      <c r="P66" s="37">
        <f t="shared" ref="P66" si="6">SUM(J66:N66)</f>
        <v>477510061.04249305</v>
      </c>
    </row>
    <row r="68" spans="1:16" s="1" customFormat="1">
      <c r="A68" s="2">
        <v>4</v>
      </c>
      <c r="B68" s="2" t="s">
        <v>74</v>
      </c>
    </row>
    <row r="70" spans="1:16">
      <c r="H70" s="187" t="s">
        <v>53</v>
      </c>
      <c r="I70" s="188"/>
      <c r="J70" s="187" t="s">
        <v>54</v>
      </c>
      <c r="K70" s="189"/>
      <c r="L70" s="189"/>
      <c r="M70" s="189"/>
      <c r="N70" s="188"/>
    </row>
    <row r="71" spans="1:16">
      <c r="B71" s="5"/>
      <c r="H71" s="18">
        <v>2016</v>
      </c>
      <c r="I71" s="18">
        <v>2017</v>
      </c>
      <c r="J71" s="18">
        <v>2018</v>
      </c>
      <c r="K71" s="18">
        <v>2019</v>
      </c>
      <c r="L71" s="18">
        <v>2020</v>
      </c>
      <c r="M71" s="18">
        <v>2021</v>
      </c>
      <c r="N71" s="18">
        <v>2022</v>
      </c>
      <c r="P71" s="29" t="s">
        <v>63</v>
      </c>
    </row>
    <row r="72" spans="1:16">
      <c r="B72" s="5" t="s">
        <v>233</v>
      </c>
      <c r="D72" s="29"/>
      <c r="E72" s="29"/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P72" s="34" t="s">
        <v>13</v>
      </c>
    </row>
    <row r="73" spans="1:16">
      <c r="B73" s="5"/>
      <c r="D73" s="29"/>
      <c r="E73" s="29"/>
      <c r="H73" s="18"/>
      <c r="I73" s="18"/>
      <c r="J73" s="18"/>
      <c r="K73" s="18"/>
      <c r="L73" s="18"/>
      <c r="M73" s="18"/>
      <c r="N73" s="18"/>
    </row>
    <row r="74" spans="1:16">
      <c r="B74" s="38" t="s">
        <v>125</v>
      </c>
      <c r="D74" s="29"/>
      <c r="E74" s="29"/>
      <c r="H74" s="45"/>
      <c r="I74" s="45">
        <f>'Capex forecast - 3001'!Q339+'Capex forecast - 3002'!Q339+'Capex forecast - 3003'!Q339+'Capex forecast - 3004'!Q339+'Capex forecast - 3005'!Q339+'Capex forecast - 3006'!Q339++'Capex forecast - 3007'!Q339+'Capex forecast - 3008'!Q339+'Capex forecast - 3009'!Q339+'Capex forecast - 3010'!Q339+'Capex forecast - 3011'!Q339+'Capex forecast - 3012'!Q339+'Capex forecast - 3013'!Q339+'Capex forecast - 3014'!Q339+'Capex forecast - 3015'!Q339+'Capex forecast - 3016'!Q339+'Capex forecast - 3017'!Q339+'Capex forecast - 3018'!Q339+'Capex forecast - 3019'!Q339+'Capex forecast - 3020'!Q339+'Capex forecast - 3021'!Q339+'Capex forecast - 3022'!Q339+'Capex forecast - 3023'!Q339+'Capex forecast - 3024'!Q339+'Capex forecast - 3025'!Q339+'Capex forecast - IT'!Q339+'Capex forecast - other non-IT'!Q339</f>
        <v>1493491.7082042377</v>
      </c>
      <c r="J74" s="45">
        <f>'Capex forecast - 3001'!R339+'Capex forecast - 3002'!R339+'Capex forecast - 3003'!R339+'Capex forecast - 3004'!R339+'Capex forecast - 3005'!R339+'Capex forecast - 3006'!R339++'Capex forecast - 3007'!R339+'Capex forecast - 3008'!R339+'Capex forecast - 3009'!R339+'Capex forecast - 3010'!R339+'Capex forecast - 3011'!R339+'Capex forecast - 3012'!R339+'Capex forecast - 3013'!R339+'Capex forecast - 3014'!R339+'Capex forecast - 3015'!R339+'Capex forecast - 3016'!R339+'Capex forecast - 3017'!R339+'Capex forecast - 3018'!R339+'Capex forecast - 3019'!R339+'Capex forecast - 3020'!R339+'Capex forecast - 3021'!R339+'Capex forecast - 3022'!R339+'Capex forecast - 3023'!R339+'Capex forecast - 3024'!R339+'Capex forecast - 3025'!R339+'Capex forecast - IT'!R339+'Capex forecast - other non-IT'!R339</f>
        <v>1081376.1075560397</v>
      </c>
      <c r="K74" s="45">
        <f>'Capex forecast - 3001'!S339+'Capex forecast - 3002'!S339+'Capex forecast - 3003'!S339+'Capex forecast - 3004'!S339+'Capex forecast - 3005'!S339+'Capex forecast - 3006'!S339++'Capex forecast - 3007'!S339+'Capex forecast - 3008'!S339+'Capex forecast - 3009'!S339+'Capex forecast - 3010'!S339+'Capex forecast - 3011'!S339+'Capex forecast - 3012'!S339+'Capex forecast - 3013'!S339+'Capex forecast - 3014'!S339+'Capex forecast - 3015'!S339+'Capex forecast - 3016'!S339+'Capex forecast - 3017'!S339+'Capex forecast - 3018'!S339+'Capex forecast - 3019'!S339+'Capex forecast - 3020'!S339+'Capex forecast - 3021'!S339+'Capex forecast - 3022'!S339+'Capex forecast - 3023'!S339+'Capex forecast - 3024'!S339+'Capex forecast - 3025'!S339+'Capex forecast - IT'!S339+'Capex forecast - other non-IT'!S339</f>
        <v>1091506.7342516114</v>
      </c>
      <c r="L74" s="45">
        <f>'Capex forecast - 3001'!T339+'Capex forecast - 3002'!T339+'Capex forecast - 3003'!T339+'Capex forecast - 3004'!T339+'Capex forecast - 3005'!T339+'Capex forecast - 3006'!T339++'Capex forecast - 3007'!T339+'Capex forecast - 3008'!T339+'Capex forecast - 3009'!T339+'Capex forecast - 3010'!T339+'Capex forecast - 3011'!T339+'Capex forecast - 3012'!T339+'Capex forecast - 3013'!T339+'Capex forecast - 3014'!T339+'Capex forecast - 3015'!T339+'Capex forecast - 3016'!T339+'Capex forecast - 3017'!T339+'Capex forecast - 3018'!T339+'Capex forecast - 3019'!T339+'Capex forecast - 3020'!T339+'Capex forecast - 3021'!T339+'Capex forecast - 3022'!T339+'Capex forecast - 3023'!T339+'Capex forecast - 3024'!T339+'Capex forecast - 3025'!T339+'Capex forecast - IT'!T339+'Capex forecast - other non-IT'!T339</f>
        <v>1100430.1339509764</v>
      </c>
      <c r="M74" s="45">
        <f>'Capex forecast - 3001'!U339+'Capex forecast - 3002'!U339+'Capex forecast - 3003'!U339+'Capex forecast - 3004'!U339+'Capex forecast - 3005'!U339+'Capex forecast - 3006'!U339++'Capex forecast - 3007'!U339+'Capex forecast - 3008'!U339+'Capex forecast - 3009'!U339+'Capex forecast - 3010'!U339+'Capex forecast - 3011'!U339+'Capex forecast - 3012'!U339+'Capex forecast - 3013'!U339+'Capex forecast - 3014'!U339+'Capex forecast - 3015'!U339+'Capex forecast - 3016'!U339+'Capex forecast - 3017'!U339+'Capex forecast - 3018'!U339+'Capex forecast - 3019'!U339+'Capex forecast - 3020'!U339+'Capex forecast - 3021'!U339+'Capex forecast - 3022'!U339+'Capex forecast - 3023'!U339+'Capex forecast - 3024'!U339+'Capex forecast - 3025'!U339+'Capex forecast - IT'!U339+'Capex forecast - other non-IT'!U339</f>
        <v>1115038.0307557539</v>
      </c>
      <c r="N74" s="45">
        <f>'Capex forecast - 3001'!V339+'Capex forecast - 3002'!V339+'Capex forecast - 3003'!V339+'Capex forecast - 3004'!V339+'Capex forecast - 3005'!V339+'Capex forecast - 3006'!V339++'Capex forecast - 3007'!V339+'Capex forecast - 3008'!V339+'Capex forecast - 3009'!V339+'Capex forecast - 3010'!V339+'Capex forecast - 3011'!V339+'Capex forecast - 3012'!V339+'Capex forecast - 3013'!V339+'Capex forecast - 3014'!V339+'Capex forecast - 3015'!V339+'Capex forecast - 3016'!V339+'Capex forecast - 3017'!V339+'Capex forecast - 3018'!V339+'Capex forecast - 3019'!V339+'Capex forecast - 3020'!V339+'Capex forecast - 3021'!V339+'Capex forecast - 3022'!V339+'Capex forecast - 3023'!V339+'Capex forecast - 3024'!V339+'Capex forecast - 3025'!V339+'Capex forecast - IT'!V339+'Capex forecast - other non-IT'!V339</f>
        <v>1128964.8642404492</v>
      </c>
      <c r="P74" s="40">
        <f t="shared" ref="P74:P84" si="7">SUM(J74:N74)</f>
        <v>5517315.8707548305</v>
      </c>
    </row>
    <row r="75" spans="1:16">
      <c r="B75" s="38" t="s">
        <v>126</v>
      </c>
      <c r="D75" s="29"/>
      <c r="E75" s="29"/>
      <c r="H75" s="45"/>
      <c r="I75" s="45">
        <f>'Capex forecast - 3001'!Q340+'Capex forecast - 3002'!Q340+'Capex forecast - 3003'!Q340+'Capex forecast - 3004'!Q340+'Capex forecast - 3005'!Q340+'Capex forecast - 3006'!Q340++'Capex forecast - 3007'!Q340+'Capex forecast - 3008'!Q340+'Capex forecast - 3009'!Q340+'Capex forecast - 3010'!Q340+'Capex forecast - 3011'!Q340+'Capex forecast - 3012'!Q340+'Capex forecast - 3013'!Q340+'Capex forecast - 3014'!Q340+'Capex forecast - 3015'!Q340+'Capex forecast - 3016'!Q340+'Capex forecast - 3017'!Q340+'Capex forecast - 3018'!Q340+'Capex forecast - 3019'!Q340+'Capex forecast - 3020'!Q340+'Capex forecast - 3021'!Q340+'Capex forecast - 3022'!Q340+'Capex forecast - 3023'!Q340+'Capex forecast - 3024'!Q340+'Capex forecast - 3025'!Q340+'Capex forecast - IT'!Q340+'Capex forecast - other non-IT'!Q340</f>
        <v>7623879.8023814363</v>
      </c>
      <c r="J75" s="45">
        <f>'Capex forecast - 3001'!R340+'Capex forecast - 3002'!R340+'Capex forecast - 3003'!R340+'Capex forecast - 3004'!R340+'Capex forecast - 3005'!R340+'Capex forecast - 3006'!R340++'Capex forecast - 3007'!R340+'Capex forecast - 3008'!R340+'Capex forecast - 3009'!R340+'Capex forecast - 3010'!R340+'Capex forecast - 3011'!R340+'Capex forecast - 3012'!R340+'Capex forecast - 3013'!R340+'Capex forecast - 3014'!R340+'Capex forecast - 3015'!R340+'Capex forecast - 3016'!R340+'Capex forecast - 3017'!R340+'Capex forecast - 3018'!R340+'Capex forecast - 3019'!R340+'Capex forecast - 3020'!R340+'Capex forecast - 3021'!R340+'Capex forecast - 3022'!R340+'Capex forecast - 3023'!R340+'Capex forecast - 3024'!R340+'Capex forecast - 3025'!R340+'Capex forecast - IT'!R340+'Capex forecast - other non-IT'!R340</f>
        <v>1629594.8157909028</v>
      </c>
      <c r="K75" s="45">
        <f>'Capex forecast - 3001'!S340+'Capex forecast - 3002'!S340+'Capex forecast - 3003'!S340+'Capex forecast - 3004'!S340+'Capex forecast - 3005'!S340+'Capex forecast - 3006'!S340++'Capex forecast - 3007'!S340+'Capex forecast - 3008'!S340+'Capex forecast - 3009'!S340+'Capex forecast - 3010'!S340+'Capex forecast - 3011'!S340+'Capex forecast - 3012'!S340+'Capex forecast - 3013'!S340+'Capex forecast - 3014'!S340+'Capex forecast - 3015'!S340+'Capex forecast - 3016'!S340+'Capex forecast - 3017'!S340+'Capex forecast - 3018'!S340+'Capex forecast - 3019'!S340+'Capex forecast - 3020'!S340+'Capex forecast - 3021'!S340+'Capex forecast - 3022'!S340+'Capex forecast - 3023'!S340+'Capex forecast - 3024'!S340+'Capex forecast - 3025'!S340+'Capex forecast - IT'!S340+'Capex forecast - other non-IT'!S340</f>
        <v>1654749.0278769296</v>
      </c>
      <c r="L75" s="45">
        <f>'Capex forecast - 3001'!T340+'Capex forecast - 3002'!T340+'Capex forecast - 3003'!T340+'Capex forecast - 3004'!T340+'Capex forecast - 3005'!T340+'Capex forecast - 3006'!T340++'Capex forecast - 3007'!T340+'Capex forecast - 3008'!T340+'Capex forecast - 3009'!T340+'Capex forecast - 3010'!T340+'Capex forecast - 3011'!T340+'Capex forecast - 3012'!T340+'Capex forecast - 3013'!T340+'Capex forecast - 3014'!T340+'Capex forecast - 3015'!T340+'Capex forecast - 3016'!T340+'Capex forecast - 3017'!T340+'Capex forecast - 3018'!T340+'Capex forecast - 3019'!T340+'Capex forecast - 3020'!T340+'Capex forecast - 3021'!T340+'Capex forecast - 3022'!T340+'Capex forecast - 3023'!T340+'Capex forecast - 3024'!T340+'Capex forecast - 3025'!T340+'Capex forecast - IT'!T340+'Capex forecast - other non-IT'!T340</f>
        <v>1678545.0976852486</v>
      </c>
      <c r="M75" s="45">
        <f>'Capex forecast - 3001'!U340+'Capex forecast - 3002'!U340+'Capex forecast - 3003'!U340+'Capex forecast - 3004'!U340+'Capex forecast - 3005'!U340+'Capex forecast - 3006'!U340++'Capex forecast - 3007'!U340+'Capex forecast - 3008'!U340+'Capex forecast - 3009'!U340+'Capex forecast - 3010'!U340+'Capex forecast - 3011'!U340+'Capex forecast - 3012'!U340+'Capex forecast - 3013'!U340+'Capex forecast - 3014'!U340+'Capex forecast - 3015'!U340+'Capex forecast - 3016'!U340+'Capex forecast - 3017'!U340+'Capex forecast - 3018'!U340+'Capex forecast - 3019'!U340+'Capex forecast - 3020'!U340+'Capex forecast - 3021'!U340+'Capex forecast - 3022'!U340+'Capex forecast - 3023'!U340+'Capex forecast - 3024'!U340+'Capex forecast - 3025'!U340+'Capex forecast - IT'!U340+'Capex forecast - other non-IT'!U340</f>
        <v>1713205.3749907969</v>
      </c>
      <c r="N75" s="45">
        <f>'Capex forecast - 3001'!V340+'Capex forecast - 3002'!V340+'Capex forecast - 3003'!V340+'Capex forecast - 3004'!V340+'Capex forecast - 3005'!V340+'Capex forecast - 3006'!V340++'Capex forecast - 3007'!V340+'Capex forecast - 3008'!V340+'Capex forecast - 3009'!V340+'Capex forecast - 3010'!V340+'Capex forecast - 3011'!V340+'Capex forecast - 3012'!V340+'Capex forecast - 3013'!V340+'Capex forecast - 3014'!V340+'Capex forecast - 3015'!V340+'Capex forecast - 3016'!V340+'Capex forecast - 3017'!V340+'Capex forecast - 3018'!V340+'Capex forecast - 3019'!V340+'Capex forecast - 3020'!V340+'Capex forecast - 3021'!V340+'Capex forecast - 3022'!V340+'Capex forecast - 3023'!V340+'Capex forecast - 3024'!V340+'Capex forecast - 3025'!V340+'Capex forecast - IT'!V340+'Capex forecast - other non-IT'!V340</f>
        <v>1724148.0123955437</v>
      </c>
      <c r="P75" s="40">
        <f t="shared" si="7"/>
        <v>8400242.3287394214</v>
      </c>
    </row>
    <row r="76" spans="1:16">
      <c r="B76" s="38" t="s">
        <v>127</v>
      </c>
      <c r="D76" s="29"/>
      <c r="E76" s="29"/>
      <c r="H76" s="45"/>
      <c r="I76" s="45">
        <f>'Capex forecast - 3001'!Q341+'Capex forecast - 3002'!Q341+'Capex forecast - 3003'!Q341+'Capex forecast - 3004'!Q341+'Capex forecast - 3005'!Q341+'Capex forecast - 3006'!Q341++'Capex forecast - 3007'!Q341+'Capex forecast - 3008'!Q341+'Capex forecast - 3009'!Q341+'Capex forecast - 3010'!Q341+'Capex forecast - 3011'!Q341+'Capex forecast - 3012'!Q341+'Capex forecast - 3013'!Q341+'Capex forecast - 3014'!Q341+'Capex forecast - 3015'!Q341+'Capex forecast - 3016'!Q341+'Capex forecast - 3017'!Q341+'Capex forecast - 3018'!Q341+'Capex forecast - 3019'!Q341+'Capex forecast - 3020'!Q341+'Capex forecast - 3021'!Q341+'Capex forecast - 3022'!Q341+'Capex forecast - 3023'!Q341+'Capex forecast - 3024'!Q341+'Capex forecast - 3025'!Q341+'Capex forecast - IT'!Q341+'Capex forecast - other non-IT'!Q341</f>
        <v>1686298.0420764133</v>
      </c>
      <c r="J76" s="45">
        <f>'Capex forecast - 3001'!R341+'Capex forecast - 3002'!R341+'Capex forecast - 3003'!R341+'Capex forecast - 3004'!R341+'Capex forecast - 3005'!R341+'Capex forecast - 3006'!R341++'Capex forecast - 3007'!R341+'Capex forecast - 3008'!R341+'Capex forecast - 3009'!R341+'Capex forecast - 3010'!R341+'Capex forecast - 3011'!R341+'Capex forecast - 3012'!R341+'Capex forecast - 3013'!R341+'Capex forecast - 3014'!R341+'Capex forecast - 3015'!R341+'Capex forecast - 3016'!R341+'Capex forecast - 3017'!R341+'Capex forecast - 3018'!R341+'Capex forecast - 3019'!R341+'Capex forecast - 3020'!R341+'Capex forecast - 3021'!R341+'Capex forecast - 3022'!R341+'Capex forecast - 3023'!R341+'Capex forecast - 3024'!R341+'Capex forecast - 3025'!R341+'Capex forecast - IT'!R341+'Capex forecast - other non-IT'!R341</f>
        <v>663363.40709612903</v>
      </c>
      <c r="K76" s="45">
        <f>'Capex forecast - 3001'!S341+'Capex forecast - 3002'!S341+'Capex forecast - 3003'!S341+'Capex forecast - 3004'!S341+'Capex forecast - 3005'!S341+'Capex forecast - 3006'!S341++'Capex forecast - 3007'!S341+'Capex forecast - 3008'!S341+'Capex forecast - 3009'!S341+'Capex forecast - 3010'!S341+'Capex forecast - 3011'!S341+'Capex forecast - 3012'!S341+'Capex forecast - 3013'!S341+'Capex forecast - 3014'!S341+'Capex forecast - 3015'!S341+'Capex forecast - 3016'!S341+'Capex forecast - 3017'!S341+'Capex forecast - 3018'!S341+'Capex forecast - 3019'!S341+'Capex forecast - 3020'!S341+'Capex forecast - 3021'!S341+'Capex forecast - 3022'!S341+'Capex forecast - 3023'!S341+'Capex forecast - 3024'!S341+'Capex forecast - 3025'!S341+'Capex forecast - IT'!S341+'Capex forecast - other non-IT'!S341</f>
        <v>681658.68723919604</v>
      </c>
      <c r="L76" s="45">
        <f>'Capex forecast - 3001'!T341+'Capex forecast - 3002'!T341+'Capex forecast - 3003'!T341+'Capex forecast - 3004'!T341+'Capex forecast - 3005'!T341+'Capex forecast - 3006'!T341++'Capex forecast - 3007'!T341+'Capex forecast - 3008'!T341+'Capex forecast - 3009'!T341+'Capex forecast - 3010'!T341+'Capex forecast - 3011'!T341+'Capex forecast - 3012'!T341+'Capex forecast - 3013'!T341+'Capex forecast - 3014'!T341+'Capex forecast - 3015'!T341+'Capex forecast - 3016'!T341+'Capex forecast - 3017'!T341+'Capex forecast - 3018'!T341+'Capex forecast - 3019'!T341+'Capex forecast - 3020'!T341+'Capex forecast - 3021'!T341+'Capex forecast - 3022'!T341+'Capex forecast - 3023'!T341+'Capex forecast - 3024'!T341+'Capex forecast - 3025'!T341+'Capex forecast - IT'!T341+'Capex forecast - other non-IT'!T341</f>
        <v>699076.51441009017</v>
      </c>
      <c r="M76" s="45">
        <f>'Capex forecast - 3001'!U341+'Capex forecast - 3002'!U341+'Capex forecast - 3003'!U341+'Capex forecast - 3004'!U341+'Capex forecast - 3005'!U341+'Capex forecast - 3006'!U341++'Capex forecast - 3007'!U341+'Capex forecast - 3008'!U341+'Capex forecast - 3009'!U341+'Capex forecast - 3010'!U341+'Capex forecast - 3011'!U341+'Capex forecast - 3012'!U341+'Capex forecast - 3013'!U341+'Capex forecast - 3014'!U341+'Capex forecast - 3015'!U341+'Capex forecast - 3016'!U341+'Capex forecast - 3017'!U341+'Capex forecast - 3018'!U341+'Capex forecast - 3019'!U341+'Capex forecast - 3020'!U341+'Capex forecast - 3021'!U341+'Capex forecast - 3022'!U341+'Capex forecast - 3023'!U341+'Capex forecast - 3024'!U341+'Capex forecast - 3025'!U341+'Capex forecast - IT'!U341+'Capex forecast - other non-IT'!U341</f>
        <v>722198.01898375095</v>
      </c>
      <c r="N76" s="45">
        <f>'Capex forecast - 3001'!V341+'Capex forecast - 3002'!V341+'Capex forecast - 3003'!V341+'Capex forecast - 3004'!V341+'Capex forecast - 3005'!V341+'Capex forecast - 3006'!V341++'Capex forecast - 3007'!V341+'Capex forecast - 3008'!V341+'Capex forecast - 3009'!V341+'Capex forecast - 3010'!V341+'Capex forecast - 3011'!V341+'Capex forecast - 3012'!V341+'Capex forecast - 3013'!V341+'Capex forecast - 3014'!V341+'Capex forecast - 3015'!V341+'Capex forecast - 3016'!V341+'Capex forecast - 3017'!V341+'Capex forecast - 3018'!V341+'Capex forecast - 3019'!V341+'Capex forecast - 3020'!V341+'Capex forecast - 3021'!V341+'Capex forecast - 3022'!V341+'Capex forecast - 3023'!V341+'Capex forecast - 3024'!V341+'Capex forecast - 3025'!V341+'Capex forecast - IT'!V341+'Capex forecast - other non-IT'!V341</f>
        <v>710461.17650389206</v>
      </c>
      <c r="P76" s="40">
        <f t="shared" si="7"/>
        <v>3476757.8042330584</v>
      </c>
    </row>
    <row r="77" spans="1:16">
      <c r="B77" s="38" t="s">
        <v>34</v>
      </c>
      <c r="D77" s="29"/>
      <c r="E77" s="29"/>
      <c r="H77" s="45"/>
      <c r="I77" s="45">
        <f>'Capex forecast - 3001'!Q342+'Capex forecast - 3002'!Q342+'Capex forecast - 3003'!Q342+'Capex forecast - 3004'!Q342+'Capex forecast - 3005'!Q342+'Capex forecast - 3006'!Q342++'Capex forecast - 3007'!Q342+'Capex forecast - 3008'!Q342+'Capex forecast - 3009'!Q342+'Capex forecast - 3010'!Q342+'Capex forecast - 3011'!Q342+'Capex forecast - 3012'!Q342+'Capex forecast - 3013'!Q342+'Capex forecast - 3014'!Q342+'Capex forecast - 3015'!Q342+'Capex forecast - 3016'!Q342+'Capex forecast - 3017'!Q342+'Capex forecast - 3018'!Q342+'Capex forecast - 3019'!Q342+'Capex forecast - 3020'!Q342+'Capex forecast - 3021'!Q342+'Capex forecast - 3022'!Q342+'Capex forecast - 3023'!Q342+'Capex forecast - 3024'!Q342+'Capex forecast - 3025'!Q342+'Capex forecast - IT'!Q342+'Capex forecast - other non-IT'!Q342</f>
        <v>0</v>
      </c>
      <c r="J77" s="45">
        <f>'Capex forecast - 3001'!R342+'Capex forecast - 3002'!R342+'Capex forecast - 3003'!R342+'Capex forecast - 3004'!R342+'Capex forecast - 3005'!R342+'Capex forecast - 3006'!R342++'Capex forecast - 3007'!R342+'Capex forecast - 3008'!R342+'Capex forecast - 3009'!R342+'Capex forecast - 3010'!R342+'Capex forecast - 3011'!R342+'Capex forecast - 3012'!R342+'Capex forecast - 3013'!R342+'Capex forecast - 3014'!R342+'Capex forecast - 3015'!R342+'Capex forecast - 3016'!R342+'Capex forecast - 3017'!R342+'Capex forecast - 3018'!R342+'Capex forecast - 3019'!R342+'Capex forecast - 3020'!R342+'Capex forecast - 3021'!R342+'Capex forecast - 3022'!R342+'Capex forecast - 3023'!R342+'Capex forecast - 3024'!R342+'Capex forecast - 3025'!R342+'Capex forecast - IT'!R342+'Capex forecast - other non-IT'!R342</f>
        <v>0</v>
      </c>
      <c r="K77" s="45">
        <f>'Capex forecast - 3001'!S342+'Capex forecast - 3002'!S342+'Capex forecast - 3003'!S342+'Capex forecast - 3004'!S342+'Capex forecast - 3005'!S342+'Capex forecast - 3006'!S342++'Capex forecast - 3007'!S342+'Capex forecast - 3008'!S342+'Capex forecast - 3009'!S342+'Capex forecast - 3010'!S342+'Capex forecast - 3011'!S342+'Capex forecast - 3012'!S342+'Capex forecast - 3013'!S342+'Capex forecast - 3014'!S342+'Capex forecast - 3015'!S342+'Capex forecast - 3016'!S342+'Capex forecast - 3017'!S342+'Capex forecast - 3018'!S342+'Capex forecast - 3019'!S342+'Capex forecast - 3020'!S342+'Capex forecast - 3021'!S342+'Capex forecast - 3022'!S342+'Capex forecast - 3023'!S342+'Capex forecast - 3024'!S342+'Capex forecast - 3025'!S342+'Capex forecast - IT'!S342+'Capex forecast - other non-IT'!S342</f>
        <v>0</v>
      </c>
      <c r="L77" s="45">
        <f>'Capex forecast - 3001'!T342+'Capex forecast - 3002'!T342+'Capex forecast - 3003'!T342+'Capex forecast - 3004'!T342+'Capex forecast - 3005'!T342+'Capex forecast - 3006'!T342++'Capex forecast - 3007'!T342+'Capex forecast - 3008'!T342+'Capex forecast - 3009'!T342+'Capex forecast - 3010'!T342+'Capex forecast - 3011'!T342+'Capex forecast - 3012'!T342+'Capex forecast - 3013'!T342+'Capex forecast - 3014'!T342+'Capex forecast - 3015'!T342+'Capex forecast - 3016'!T342+'Capex forecast - 3017'!T342+'Capex forecast - 3018'!T342+'Capex forecast - 3019'!T342+'Capex forecast - 3020'!T342+'Capex forecast - 3021'!T342+'Capex forecast - 3022'!T342+'Capex forecast - 3023'!T342+'Capex forecast - 3024'!T342+'Capex forecast - 3025'!T342+'Capex forecast - IT'!T342+'Capex forecast - other non-IT'!T342</f>
        <v>0</v>
      </c>
      <c r="M77" s="45">
        <f>'Capex forecast - 3001'!U342+'Capex forecast - 3002'!U342+'Capex forecast - 3003'!U342+'Capex forecast - 3004'!U342+'Capex forecast - 3005'!U342+'Capex forecast - 3006'!U342++'Capex forecast - 3007'!U342+'Capex forecast - 3008'!U342+'Capex forecast - 3009'!U342+'Capex forecast - 3010'!U342+'Capex forecast - 3011'!U342+'Capex forecast - 3012'!U342+'Capex forecast - 3013'!U342+'Capex forecast - 3014'!U342+'Capex forecast - 3015'!U342+'Capex forecast - 3016'!U342+'Capex forecast - 3017'!U342+'Capex forecast - 3018'!U342+'Capex forecast - 3019'!U342+'Capex forecast - 3020'!U342+'Capex forecast - 3021'!U342+'Capex forecast - 3022'!U342+'Capex forecast - 3023'!U342+'Capex forecast - 3024'!U342+'Capex forecast - 3025'!U342+'Capex forecast - IT'!U342+'Capex forecast - other non-IT'!U342</f>
        <v>0</v>
      </c>
      <c r="N77" s="45">
        <f>'Capex forecast - 3001'!V342+'Capex forecast - 3002'!V342+'Capex forecast - 3003'!V342+'Capex forecast - 3004'!V342+'Capex forecast - 3005'!V342+'Capex forecast - 3006'!V342++'Capex forecast - 3007'!V342+'Capex forecast - 3008'!V342+'Capex forecast - 3009'!V342+'Capex forecast - 3010'!V342+'Capex forecast - 3011'!V342+'Capex forecast - 3012'!V342+'Capex forecast - 3013'!V342+'Capex forecast - 3014'!V342+'Capex forecast - 3015'!V342+'Capex forecast - 3016'!V342+'Capex forecast - 3017'!V342+'Capex forecast - 3018'!V342+'Capex forecast - 3019'!V342+'Capex forecast - 3020'!V342+'Capex forecast - 3021'!V342+'Capex forecast - 3022'!V342+'Capex forecast - 3023'!V342+'Capex forecast - 3024'!V342+'Capex forecast - 3025'!V342+'Capex forecast - IT'!V342+'Capex forecast - other non-IT'!V342</f>
        <v>0</v>
      </c>
      <c r="P77" s="40">
        <f t="shared" si="7"/>
        <v>0</v>
      </c>
    </row>
    <row r="78" spans="1:16">
      <c r="B78" s="38" t="s">
        <v>234</v>
      </c>
      <c r="D78" s="29"/>
      <c r="E78" s="29"/>
      <c r="H78" s="45"/>
      <c r="I78" s="45">
        <f>'Capex forecast - 3001'!Q343+'Capex forecast - 3002'!Q343+'Capex forecast - 3003'!Q343+'Capex forecast - 3004'!Q343+'Capex forecast - 3005'!Q343+'Capex forecast - 3006'!Q343++'Capex forecast - 3007'!Q343+'Capex forecast - 3008'!Q343+'Capex forecast - 3009'!Q343+'Capex forecast - 3010'!Q343+'Capex forecast - 3011'!Q343+'Capex forecast - 3012'!Q343+'Capex forecast - 3013'!Q343+'Capex forecast - 3014'!Q343+'Capex forecast - 3015'!Q343+'Capex forecast - 3016'!Q343+'Capex forecast - 3017'!Q343+'Capex forecast - 3018'!Q343+'Capex forecast - 3019'!Q343+'Capex forecast - 3020'!Q343+'Capex forecast - 3021'!Q343+'Capex forecast - 3022'!Q343+'Capex forecast - 3023'!Q343+'Capex forecast - 3024'!Q343+'Capex forecast - 3025'!Q343+'Capex forecast - IT'!Q343+'Capex forecast - other non-IT'!Q343</f>
        <v>396274.87254934927</v>
      </c>
      <c r="J78" s="45">
        <f>'Capex forecast - 3001'!R343+'Capex forecast - 3002'!R343+'Capex forecast - 3003'!R343+'Capex forecast - 3004'!R343+'Capex forecast - 3005'!R343+'Capex forecast - 3006'!R343++'Capex forecast - 3007'!R343+'Capex forecast - 3008'!R343+'Capex forecast - 3009'!R343+'Capex forecast - 3010'!R343+'Capex forecast - 3011'!R343+'Capex forecast - 3012'!R343+'Capex forecast - 3013'!R343+'Capex forecast - 3014'!R343+'Capex forecast - 3015'!R343+'Capex forecast - 3016'!R343+'Capex forecast - 3017'!R343+'Capex forecast - 3018'!R343+'Capex forecast - 3019'!R343+'Capex forecast - 3020'!R343+'Capex forecast - 3021'!R343+'Capex forecast - 3022'!R343+'Capex forecast - 3023'!R343+'Capex forecast - 3024'!R343+'Capex forecast - 3025'!R343+'Capex forecast - IT'!R343+'Capex forecast - other non-IT'!R343</f>
        <v>0</v>
      </c>
      <c r="K78" s="45">
        <f>'Capex forecast - 3001'!S343+'Capex forecast - 3002'!S343+'Capex forecast - 3003'!S343+'Capex forecast - 3004'!S343+'Capex forecast - 3005'!S343+'Capex forecast - 3006'!S343++'Capex forecast - 3007'!S343+'Capex forecast - 3008'!S343+'Capex forecast - 3009'!S343+'Capex forecast - 3010'!S343+'Capex forecast - 3011'!S343+'Capex forecast - 3012'!S343+'Capex forecast - 3013'!S343+'Capex forecast - 3014'!S343+'Capex forecast - 3015'!S343+'Capex forecast - 3016'!S343+'Capex forecast - 3017'!S343+'Capex forecast - 3018'!S343+'Capex forecast - 3019'!S343+'Capex forecast - 3020'!S343+'Capex forecast - 3021'!S343+'Capex forecast - 3022'!S343+'Capex forecast - 3023'!S343+'Capex forecast - 3024'!S343+'Capex forecast - 3025'!S343+'Capex forecast - IT'!S343+'Capex forecast - other non-IT'!S343</f>
        <v>0</v>
      </c>
      <c r="L78" s="45">
        <f>'Capex forecast - 3001'!T343+'Capex forecast - 3002'!T343+'Capex forecast - 3003'!T343+'Capex forecast - 3004'!T343+'Capex forecast - 3005'!T343+'Capex forecast - 3006'!T343++'Capex forecast - 3007'!T343+'Capex forecast - 3008'!T343+'Capex forecast - 3009'!T343+'Capex forecast - 3010'!T343+'Capex forecast - 3011'!T343+'Capex forecast - 3012'!T343+'Capex forecast - 3013'!T343+'Capex forecast - 3014'!T343+'Capex forecast - 3015'!T343+'Capex forecast - 3016'!T343+'Capex forecast - 3017'!T343+'Capex forecast - 3018'!T343+'Capex forecast - 3019'!T343+'Capex forecast - 3020'!T343+'Capex forecast - 3021'!T343+'Capex forecast - 3022'!T343+'Capex forecast - 3023'!T343+'Capex forecast - 3024'!T343+'Capex forecast - 3025'!T343+'Capex forecast - IT'!T343+'Capex forecast - other non-IT'!T343</f>
        <v>0</v>
      </c>
      <c r="M78" s="45">
        <f>'Capex forecast - 3001'!U343+'Capex forecast - 3002'!U343+'Capex forecast - 3003'!U343+'Capex forecast - 3004'!U343+'Capex forecast - 3005'!U343+'Capex forecast - 3006'!U343++'Capex forecast - 3007'!U343+'Capex forecast - 3008'!U343+'Capex forecast - 3009'!U343+'Capex forecast - 3010'!U343+'Capex forecast - 3011'!U343+'Capex forecast - 3012'!U343+'Capex forecast - 3013'!U343+'Capex forecast - 3014'!U343+'Capex forecast - 3015'!U343+'Capex forecast - 3016'!U343+'Capex forecast - 3017'!U343+'Capex forecast - 3018'!U343+'Capex forecast - 3019'!U343+'Capex forecast - 3020'!U343+'Capex forecast - 3021'!U343+'Capex forecast - 3022'!U343+'Capex forecast - 3023'!U343+'Capex forecast - 3024'!U343+'Capex forecast - 3025'!U343+'Capex forecast - IT'!U343+'Capex forecast - other non-IT'!U343</f>
        <v>0</v>
      </c>
      <c r="N78" s="45">
        <f>'Capex forecast - 3001'!V343+'Capex forecast - 3002'!V343+'Capex forecast - 3003'!V343+'Capex forecast - 3004'!V343+'Capex forecast - 3005'!V343+'Capex forecast - 3006'!V343++'Capex forecast - 3007'!V343+'Capex forecast - 3008'!V343+'Capex forecast - 3009'!V343+'Capex forecast - 3010'!V343+'Capex forecast - 3011'!V343+'Capex forecast - 3012'!V343+'Capex forecast - 3013'!V343+'Capex forecast - 3014'!V343+'Capex forecast - 3015'!V343+'Capex forecast - 3016'!V343+'Capex forecast - 3017'!V343+'Capex forecast - 3018'!V343+'Capex forecast - 3019'!V343+'Capex forecast - 3020'!V343+'Capex forecast - 3021'!V343+'Capex forecast - 3022'!V343+'Capex forecast - 3023'!V343+'Capex forecast - 3024'!V343+'Capex forecast - 3025'!V343+'Capex forecast - IT'!V343+'Capex forecast - other non-IT'!V343</f>
        <v>0</v>
      </c>
      <c r="P78" s="40">
        <f t="shared" si="7"/>
        <v>0</v>
      </c>
    </row>
    <row r="79" spans="1:16">
      <c r="B79" s="38" t="s">
        <v>65</v>
      </c>
      <c r="D79" s="29"/>
      <c r="E79" s="29"/>
      <c r="H79" s="45"/>
      <c r="I79" s="45">
        <f>'Capex forecast - 3001'!Q344+'Capex forecast - 3002'!Q344+'Capex forecast - 3003'!Q344+'Capex forecast - 3004'!Q344+'Capex forecast - 3005'!Q344+'Capex forecast - 3006'!Q344++'Capex forecast - 3007'!Q344+'Capex forecast - 3008'!Q344+'Capex forecast - 3009'!Q344+'Capex forecast - 3010'!Q344+'Capex forecast - 3011'!Q344+'Capex forecast - 3012'!Q344+'Capex forecast - 3013'!Q344+'Capex forecast - 3014'!Q344+'Capex forecast - 3015'!Q344+'Capex forecast - 3016'!Q344+'Capex forecast - 3017'!Q344+'Capex forecast - 3018'!Q344+'Capex forecast - 3019'!Q344+'Capex forecast - 3020'!Q344+'Capex forecast - 3021'!Q344+'Capex forecast - 3022'!Q344+'Capex forecast - 3023'!Q344+'Capex forecast - 3024'!Q344+'Capex forecast - 3025'!Q344+'Capex forecast - IT'!Q344+'Capex forecast - other non-IT'!Q344</f>
        <v>441773.67106032954</v>
      </c>
      <c r="J79" s="45">
        <f>'Capex forecast - 3001'!R344+'Capex forecast - 3002'!R344+'Capex forecast - 3003'!R344+'Capex forecast - 3004'!R344+'Capex forecast - 3005'!R344+'Capex forecast - 3006'!R344++'Capex forecast - 3007'!R344+'Capex forecast - 3008'!R344+'Capex forecast - 3009'!R344+'Capex forecast - 3010'!R344+'Capex forecast - 3011'!R344+'Capex forecast - 3012'!R344+'Capex forecast - 3013'!R344+'Capex forecast - 3014'!R344+'Capex forecast - 3015'!R344+'Capex forecast - 3016'!R344+'Capex forecast - 3017'!R344+'Capex forecast - 3018'!R344+'Capex forecast - 3019'!R344+'Capex forecast - 3020'!R344+'Capex forecast - 3021'!R344+'Capex forecast - 3022'!R344+'Capex forecast - 3023'!R344+'Capex forecast - 3024'!R344+'Capex forecast - 3025'!R344+'Capex forecast - IT'!R344+'Capex forecast - other non-IT'!R344</f>
        <v>608009.37705035938</v>
      </c>
      <c r="K79" s="45">
        <f>'Capex forecast - 3001'!S344+'Capex forecast - 3002'!S344+'Capex forecast - 3003'!S344+'Capex forecast - 3004'!S344+'Capex forecast - 3005'!S344+'Capex forecast - 3006'!S344++'Capex forecast - 3007'!S344+'Capex forecast - 3008'!S344+'Capex forecast - 3009'!S344+'Capex forecast - 3010'!S344+'Capex forecast - 3011'!S344+'Capex forecast - 3012'!S344+'Capex forecast - 3013'!S344+'Capex forecast - 3014'!S344+'Capex forecast - 3015'!S344+'Capex forecast - 3016'!S344+'Capex forecast - 3017'!S344+'Capex forecast - 3018'!S344+'Capex forecast - 3019'!S344+'Capex forecast - 3020'!S344+'Capex forecast - 3021'!S344+'Capex forecast - 3022'!S344+'Capex forecast - 3023'!S344+'Capex forecast - 3024'!S344+'Capex forecast - 3025'!S344+'Capex forecast - IT'!S344+'Capex forecast - other non-IT'!S344</f>
        <v>620857.58925769501</v>
      </c>
      <c r="L79" s="45">
        <f>'Capex forecast - 3001'!T344+'Capex forecast - 3002'!T344+'Capex forecast - 3003'!T344+'Capex forecast - 3004'!T344+'Capex forecast - 3005'!T344+'Capex forecast - 3006'!T344++'Capex forecast - 3007'!T344+'Capex forecast - 3008'!T344+'Capex forecast - 3009'!T344+'Capex forecast - 3010'!T344+'Capex forecast - 3011'!T344+'Capex forecast - 3012'!T344+'Capex forecast - 3013'!T344+'Capex forecast - 3014'!T344+'Capex forecast - 3015'!T344+'Capex forecast - 3016'!T344+'Capex forecast - 3017'!T344+'Capex forecast - 3018'!T344+'Capex forecast - 3019'!T344+'Capex forecast - 3020'!T344+'Capex forecast - 3021'!T344+'Capex forecast - 3022'!T344+'Capex forecast - 3023'!T344+'Capex forecast - 3024'!T344+'Capex forecast - 3025'!T344+'Capex forecast - IT'!T344+'Capex forecast - other non-IT'!T344</f>
        <v>633083.72184962768</v>
      </c>
      <c r="M79" s="45">
        <f>'Capex forecast - 3001'!U344+'Capex forecast - 3002'!U344+'Capex forecast - 3003'!U344+'Capex forecast - 3004'!U344+'Capex forecast - 3005'!U344+'Capex forecast - 3006'!U344++'Capex forecast - 3007'!U344+'Capex forecast - 3008'!U344+'Capex forecast - 3009'!U344+'Capex forecast - 3010'!U344+'Capex forecast - 3011'!U344+'Capex forecast - 3012'!U344+'Capex forecast - 3013'!U344+'Capex forecast - 3014'!U344+'Capex forecast - 3015'!U344+'Capex forecast - 3016'!U344+'Capex forecast - 3017'!U344+'Capex forecast - 3018'!U344+'Capex forecast - 3019'!U344+'Capex forecast - 3020'!U344+'Capex forecast - 3021'!U344+'Capex forecast - 3022'!U344+'Capex forecast - 3023'!U344+'Capex forecast - 3024'!U344+'Capex forecast - 3025'!U344+'Capex forecast - IT'!U344+'Capex forecast - other non-IT'!U344</f>
        <v>649934.50899169035</v>
      </c>
      <c r="N79" s="45">
        <f>'Capex forecast - 3001'!V344+'Capex forecast - 3002'!V344+'Capex forecast - 3003'!V344+'Capex forecast - 3004'!V344+'Capex forecast - 3005'!V344+'Capex forecast - 3006'!V344++'Capex forecast - 3007'!V344+'Capex forecast - 3008'!V344+'Capex forecast - 3009'!V344+'Capex forecast - 3010'!V344+'Capex forecast - 3011'!V344+'Capex forecast - 3012'!V344+'Capex forecast - 3013'!V344+'Capex forecast - 3014'!V344+'Capex forecast - 3015'!V344+'Capex forecast - 3016'!V344+'Capex forecast - 3017'!V344+'Capex forecast - 3018'!V344+'Capex forecast - 3019'!V344+'Capex forecast - 3020'!V344+'Capex forecast - 3021'!V344+'Capex forecast - 3022'!V344+'Capex forecast - 3023'!V344+'Capex forecast - 3024'!V344+'Capex forecast - 3025'!V344+'Capex forecast - IT'!V344+'Capex forecast - other non-IT'!V344</f>
        <v>647333.38357818709</v>
      </c>
      <c r="P79" s="40">
        <f t="shared" si="7"/>
        <v>3159218.5807275595</v>
      </c>
    </row>
    <row r="80" spans="1:16">
      <c r="B80" s="38" t="s">
        <v>66</v>
      </c>
      <c r="D80" s="29"/>
      <c r="E80" s="29"/>
      <c r="H80" s="45"/>
      <c r="I80" s="45">
        <f>'Capex forecast - 3001'!Q345+'Capex forecast - 3002'!Q345+'Capex forecast - 3003'!Q345+'Capex forecast - 3004'!Q345+'Capex forecast - 3005'!Q345+'Capex forecast - 3006'!Q345++'Capex forecast - 3007'!Q345+'Capex forecast - 3008'!Q345+'Capex forecast - 3009'!Q345+'Capex forecast - 3010'!Q345+'Capex forecast - 3011'!Q345+'Capex forecast - 3012'!Q345+'Capex forecast - 3013'!Q345+'Capex forecast - 3014'!Q345+'Capex forecast - 3015'!Q345+'Capex forecast - 3016'!Q345+'Capex forecast - 3017'!Q345+'Capex forecast - 3018'!Q345+'Capex forecast - 3019'!Q345+'Capex forecast - 3020'!Q345+'Capex forecast - 3021'!Q345+'Capex forecast - 3022'!Q345+'Capex forecast - 3023'!Q345+'Capex forecast - 3024'!Q345+'Capex forecast - 3025'!Q345+'Capex forecast - IT'!Q345+'Capex forecast - other non-IT'!Q345</f>
        <v>0</v>
      </c>
      <c r="J80" s="45">
        <f>'Capex forecast - 3001'!R345+'Capex forecast - 3002'!R345+'Capex forecast - 3003'!R345+'Capex forecast - 3004'!R345+'Capex forecast - 3005'!R345+'Capex forecast - 3006'!R345++'Capex forecast - 3007'!R345+'Capex forecast - 3008'!R345+'Capex forecast - 3009'!R345+'Capex forecast - 3010'!R345+'Capex forecast - 3011'!R345+'Capex forecast - 3012'!R345+'Capex forecast - 3013'!R345+'Capex forecast - 3014'!R345+'Capex forecast - 3015'!R345+'Capex forecast - 3016'!R345+'Capex forecast - 3017'!R345+'Capex forecast - 3018'!R345+'Capex forecast - 3019'!R345+'Capex forecast - 3020'!R345+'Capex forecast - 3021'!R345+'Capex forecast - 3022'!R345+'Capex forecast - 3023'!R345+'Capex forecast - 3024'!R345+'Capex forecast - 3025'!R345+'Capex forecast - IT'!R345+'Capex forecast - other non-IT'!R345</f>
        <v>0</v>
      </c>
      <c r="K80" s="45">
        <f>'Capex forecast - 3001'!S345+'Capex forecast - 3002'!S345+'Capex forecast - 3003'!S345+'Capex forecast - 3004'!S345+'Capex forecast - 3005'!S345+'Capex forecast - 3006'!S345++'Capex forecast - 3007'!S345+'Capex forecast - 3008'!S345+'Capex forecast - 3009'!S345+'Capex forecast - 3010'!S345+'Capex forecast - 3011'!S345+'Capex forecast - 3012'!S345+'Capex forecast - 3013'!S345+'Capex forecast - 3014'!S345+'Capex forecast - 3015'!S345+'Capex forecast - 3016'!S345+'Capex forecast - 3017'!S345+'Capex forecast - 3018'!S345+'Capex forecast - 3019'!S345+'Capex forecast - 3020'!S345+'Capex forecast - 3021'!S345+'Capex forecast - 3022'!S345+'Capex forecast - 3023'!S345+'Capex forecast - 3024'!S345+'Capex forecast - 3025'!S345+'Capex forecast - IT'!S345+'Capex forecast - other non-IT'!S345</f>
        <v>0</v>
      </c>
      <c r="L80" s="45">
        <f>'Capex forecast - 3001'!T345+'Capex forecast - 3002'!T345+'Capex forecast - 3003'!T345+'Capex forecast - 3004'!T345+'Capex forecast - 3005'!T345+'Capex forecast - 3006'!T345++'Capex forecast - 3007'!T345+'Capex forecast - 3008'!T345+'Capex forecast - 3009'!T345+'Capex forecast - 3010'!T345+'Capex forecast - 3011'!T345+'Capex forecast - 3012'!T345+'Capex forecast - 3013'!T345+'Capex forecast - 3014'!T345+'Capex forecast - 3015'!T345+'Capex forecast - 3016'!T345+'Capex forecast - 3017'!T345+'Capex forecast - 3018'!T345+'Capex forecast - 3019'!T345+'Capex forecast - 3020'!T345+'Capex forecast - 3021'!T345+'Capex forecast - 3022'!T345+'Capex forecast - 3023'!T345+'Capex forecast - 3024'!T345+'Capex forecast - 3025'!T345+'Capex forecast - IT'!T345+'Capex forecast - other non-IT'!T345</f>
        <v>0</v>
      </c>
      <c r="M80" s="45">
        <f>'Capex forecast - 3001'!U345+'Capex forecast - 3002'!U345+'Capex forecast - 3003'!U345+'Capex forecast - 3004'!U345+'Capex forecast - 3005'!U345+'Capex forecast - 3006'!U345++'Capex forecast - 3007'!U345+'Capex forecast - 3008'!U345+'Capex forecast - 3009'!U345+'Capex forecast - 3010'!U345+'Capex forecast - 3011'!U345+'Capex forecast - 3012'!U345+'Capex forecast - 3013'!U345+'Capex forecast - 3014'!U345+'Capex forecast - 3015'!U345+'Capex forecast - 3016'!U345+'Capex forecast - 3017'!U345+'Capex forecast - 3018'!U345+'Capex forecast - 3019'!U345+'Capex forecast - 3020'!U345+'Capex forecast - 3021'!U345+'Capex forecast - 3022'!U345+'Capex forecast - 3023'!U345+'Capex forecast - 3024'!U345+'Capex forecast - 3025'!U345+'Capex forecast - IT'!U345+'Capex forecast - other non-IT'!U345</f>
        <v>0</v>
      </c>
      <c r="N80" s="45">
        <f>'Capex forecast - 3001'!V345+'Capex forecast - 3002'!V345+'Capex forecast - 3003'!V345+'Capex forecast - 3004'!V345+'Capex forecast - 3005'!V345+'Capex forecast - 3006'!V345++'Capex forecast - 3007'!V345+'Capex forecast - 3008'!V345+'Capex forecast - 3009'!V345+'Capex forecast - 3010'!V345+'Capex forecast - 3011'!V345+'Capex forecast - 3012'!V345+'Capex forecast - 3013'!V345+'Capex forecast - 3014'!V345+'Capex forecast - 3015'!V345+'Capex forecast - 3016'!V345+'Capex forecast - 3017'!V345+'Capex forecast - 3018'!V345+'Capex forecast - 3019'!V345+'Capex forecast - 3020'!V345+'Capex forecast - 3021'!V345+'Capex forecast - 3022'!V345+'Capex forecast - 3023'!V345+'Capex forecast - 3024'!V345+'Capex forecast - 3025'!V345+'Capex forecast - IT'!V345+'Capex forecast - other non-IT'!V345</f>
        <v>0</v>
      </c>
      <c r="P80" s="40">
        <f t="shared" si="7"/>
        <v>0</v>
      </c>
    </row>
    <row r="81" spans="1:16">
      <c r="B81" s="38" t="s">
        <v>107</v>
      </c>
      <c r="D81" s="29"/>
      <c r="E81" s="29"/>
      <c r="H81" s="45"/>
      <c r="I81" s="45">
        <f>'Capex forecast - 3001'!Q346+'Capex forecast - 3002'!Q346+'Capex forecast - 3003'!Q346+'Capex forecast - 3004'!Q346+'Capex forecast - 3005'!Q346+'Capex forecast - 3006'!Q346++'Capex forecast - 3007'!Q346+'Capex forecast - 3008'!Q346+'Capex forecast - 3009'!Q346+'Capex forecast - 3010'!Q346+'Capex forecast - 3011'!Q346+'Capex forecast - 3012'!Q346+'Capex forecast - 3013'!Q346+'Capex forecast - 3014'!Q346+'Capex forecast - 3015'!Q346+'Capex forecast - 3016'!Q346+'Capex forecast - 3017'!Q346+'Capex forecast - 3018'!Q346+'Capex forecast - 3019'!Q346+'Capex forecast - 3020'!Q346+'Capex forecast - 3021'!Q346+'Capex forecast - 3022'!Q346+'Capex forecast - 3023'!Q346+'Capex forecast - 3024'!Q346+'Capex forecast - 3025'!Q346+'Capex forecast - IT'!Q346+'Capex forecast - other non-IT'!Q346</f>
        <v>0</v>
      </c>
      <c r="J81" s="45">
        <f>'Capex forecast - 3001'!R346+'Capex forecast - 3002'!R346+'Capex forecast - 3003'!R346+'Capex forecast - 3004'!R346+'Capex forecast - 3005'!R346+'Capex forecast - 3006'!R346++'Capex forecast - 3007'!R346+'Capex forecast - 3008'!R346+'Capex forecast - 3009'!R346+'Capex forecast - 3010'!R346+'Capex forecast - 3011'!R346+'Capex forecast - 3012'!R346+'Capex forecast - 3013'!R346+'Capex forecast - 3014'!R346+'Capex forecast - 3015'!R346+'Capex forecast - 3016'!R346+'Capex forecast - 3017'!R346+'Capex forecast - 3018'!R346+'Capex forecast - 3019'!R346+'Capex forecast - 3020'!R346+'Capex forecast - 3021'!R346+'Capex forecast - 3022'!R346+'Capex forecast - 3023'!R346+'Capex forecast - 3024'!R346+'Capex forecast - 3025'!R346+'Capex forecast - IT'!R346+'Capex forecast - other non-IT'!R346</f>
        <v>0</v>
      </c>
      <c r="K81" s="45">
        <f>'Capex forecast - 3001'!S346+'Capex forecast - 3002'!S346+'Capex forecast - 3003'!S346+'Capex forecast - 3004'!S346+'Capex forecast - 3005'!S346+'Capex forecast - 3006'!S346++'Capex forecast - 3007'!S346+'Capex forecast - 3008'!S346+'Capex forecast - 3009'!S346+'Capex forecast - 3010'!S346+'Capex forecast - 3011'!S346+'Capex forecast - 3012'!S346+'Capex forecast - 3013'!S346+'Capex forecast - 3014'!S346+'Capex forecast - 3015'!S346+'Capex forecast - 3016'!S346+'Capex forecast - 3017'!S346+'Capex forecast - 3018'!S346+'Capex forecast - 3019'!S346+'Capex forecast - 3020'!S346+'Capex forecast - 3021'!S346+'Capex forecast - 3022'!S346+'Capex forecast - 3023'!S346+'Capex forecast - 3024'!S346+'Capex forecast - 3025'!S346+'Capex forecast - IT'!S346+'Capex forecast - other non-IT'!S346</f>
        <v>0</v>
      </c>
      <c r="L81" s="45">
        <f>'Capex forecast - 3001'!T346+'Capex forecast - 3002'!T346+'Capex forecast - 3003'!T346+'Capex forecast - 3004'!T346+'Capex forecast - 3005'!T346+'Capex forecast - 3006'!T346++'Capex forecast - 3007'!T346+'Capex forecast - 3008'!T346+'Capex forecast - 3009'!T346+'Capex forecast - 3010'!T346+'Capex forecast - 3011'!T346+'Capex forecast - 3012'!T346+'Capex forecast - 3013'!T346+'Capex forecast - 3014'!T346+'Capex forecast - 3015'!T346+'Capex forecast - 3016'!T346+'Capex forecast - 3017'!T346+'Capex forecast - 3018'!T346+'Capex forecast - 3019'!T346+'Capex forecast - 3020'!T346+'Capex forecast - 3021'!T346+'Capex forecast - 3022'!T346+'Capex forecast - 3023'!T346+'Capex forecast - 3024'!T346+'Capex forecast - 3025'!T346+'Capex forecast - IT'!T346+'Capex forecast - other non-IT'!T346</f>
        <v>0</v>
      </c>
      <c r="M81" s="45">
        <f>'Capex forecast - 3001'!U346+'Capex forecast - 3002'!U346+'Capex forecast - 3003'!U346+'Capex forecast - 3004'!U346+'Capex forecast - 3005'!U346+'Capex forecast - 3006'!U346++'Capex forecast - 3007'!U346+'Capex forecast - 3008'!U346+'Capex forecast - 3009'!U346+'Capex forecast - 3010'!U346+'Capex forecast - 3011'!U346+'Capex forecast - 3012'!U346+'Capex forecast - 3013'!U346+'Capex forecast - 3014'!U346+'Capex forecast - 3015'!U346+'Capex forecast - 3016'!U346+'Capex forecast - 3017'!U346+'Capex forecast - 3018'!U346+'Capex forecast - 3019'!U346+'Capex forecast - 3020'!U346+'Capex forecast - 3021'!U346+'Capex forecast - 3022'!U346+'Capex forecast - 3023'!U346+'Capex forecast - 3024'!U346+'Capex forecast - 3025'!U346+'Capex forecast - IT'!U346+'Capex forecast - other non-IT'!U346</f>
        <v>0</v>
      </c>
      <c r="N81" s="45">
        <f>'Capex forecast - 3001'!V346+'Capex forecast - 3002'!V346+'Capex forecast - 3003'!V346+'Capex forecast - 3004'!V346+'Capex forecast - 3005'!V346+'Capex forecast - 3006'!V346++'Capex forecast - 3007'!V346+'Capex forecast - 3008'!V346+'Capex forecast - 3009'!V346+'Capex forecast - 3010'!V346+'Capex forecast - 3011'!V346+'Capex forecast - 3012'!V346+'Capex forecast - 3013'!V346+'Capex forecast - 3014'!V346+'Capex forecast - 3015'!V346+'Capex forecast - 3016'!V346+'Capex forecast - 3017'!V346+'Capex forecast - 3018'!V346+'Capex forecast - 3019'!V346+'Capex forecast - 3020'!V346+'Capex forecast - 3021'!V346+'Capex forecast - 3022'!V346+'Capex forecast - 3023'!V346+'Capex forecast - 3024'!V346+'Capex forecast - 3025'!V346+'Capex forecast - IT'!V346+'Capex forecast - other non-IT'!V346</f>
        <v>0</v>
      </c>
      <c r="P81" s="40">
        <f t="shared" si="7"/>
        <v>0</v>
      </c>
    </row>
    <row r="82" spans="1:16">
      <c r="B82" s="38" t="s">
        <v>67</v>
      </c>
      <c r="D82" s="29"/>
      <c r="E82" s="29"/>
      <c r="H82" s="45"/>
      <c r="I82" s="45">
        <f>'Capex forecast - 3001'!Q347+'Capex forecast - 3002'!Q347+'Capex forecast - 3003'!Q347+'Capex forecast - 3004'!Q347+'Capex forecast - 3005'!Q347+'Capex forecast - 3006'!Q347++'Capex forecast - 3007'!Q347+'Capex forecast - 3008'!Q347+'Capex forecast - 3009'!Q347+'Capex forecast - 3010'!Q347+'Capex forecast - 3011'!Q347+'Capex forecast - 3012'!Q347+'Capex forecast - 3013'!Q347+'Capex forecast - 3014'!Q347+'Capex forecast - 3015'!Q347+'Capex forecast - 3016'!Q347+'Capex forecast - 3017'!Q347+'Capex forecast - 3018'!Q347+'Capex forecast - 3019'!Q347+'Capex forecast - 3020'!Q347+'Capex forecast - 3021'!Q347+'Capex forecast - 3022'!Q347+'Capex forecast - 3023'!Q347+'Capex forecast - 3024'!Q347+'Capex forecast - 3025'!Q347+'Capex forecast - IT'!Q347+'Capex forecast - other non-IT'!Q347</f>
        <v>0</v>
      </c>
      <c r="J82" s="45">
        <f>'Capex forecast - 3001'!R347+'Capex forecast - 3002'!R347+'Capex forecast - 3003'!R347+'Capex forecast - 3004'!R347+'Capex forecast - 3005'!R347+'Capex forecast - 3006'!R347++'Capex forecast - 3007'!R347+'Capex forecast - 3008'!R347+'Capex forecast - 3009'!R347+'Capex forecast - 3010'!R347+'Capex forecast - 3011'!R347+'Capex forecast - 3012'!R347+'Capex forecast - 3013'!R347+'Capex forecast - 3014'!R347+'Capex forecast - 3015'!R347+'Capex forecast - 3016'!R347+'Capex forecast - 3017'!R347+'Capex forecast - 3018'!R347+'Capex forecast - 3019'!R347+'Capex forecast - 3020'!R347+'Capex forecast - 3021'!R347+'Capex forecast - 3022'!R347+'Capex forecast - 3023'!R347+'Capex forecast - 3024'!R347+'Capex forecast - 3025'!R347+'Capex forecast - IT'!R347+'Capex forecast - other non-IT'!R347</f>
        <v>0</v>
      </c>
      <c r="K82" s="45">
        <f>'Capex forecast - 3001'!S347+'Capex forecast - 3002'!S347+'Capex forecast - 3003'!S347+'Capex forecast - 3004'!S347+'Capex forecast - 3005'!S347+'Capex forecast - 3006'!S347++'Capex forecast - 3007'!S347+'Capex forecast - 3008'!S347+'Capex forecast - 3009'!S347+'Capex forecast - 3010'!S347+'Capex forecast - 3011'!S347+'Capex forecast - 3012'!S347+'Capex forecast - 3013'!S347+'Capex forecast - 3014'!S347+'Capex forecast - 3015'!S347+'Capex forecast - 3016'!S347+'Capex forecast - 3017'!S347+'Capex forecast - 3018'!S347+'Capex forecast - 3019'!S347+'Capex forecast - 3020'!S347+'Capex forecast - 3021'!S347+'Capex forecast - 3022'!S347+'Capex forecast - 3023'!S347+'Capex forecast - 3024'!S347+'Capex forecast - 3025'!S347+'Capex forecast - IT'!S347+'Capex forecast - other non-IT'!S347</f>
        <v>0</v>
      </c>
      <c r="L82" s="45">
        <f>'Capex forecast - 3001'!T347+'Capex forecast - 3002'!T347+'Capex forecast - 3003'!T347+'Capex forecast - 3004'!T347+'Capex forecast - 3005'!T347+'Capex forecast - 3006'!T347++'Capex forecast - 3007'!T347+'Capex forecast - 3008'!T347+'Capex forecast - 3009'!T347+'Capex forecast - 3010'!T347+'Capex forecast - 3011'!T347+'Capex forecast - 3012'!T347+'Capex forecast - 3013'!T347+'Capex forecast - 3014'!T347+'Capex forecast - 3015'!T347+'Capex forecast - 3016'!T347+'Capex forecast - 3017'!T347+'Capex forecast - 3018'!T347+'Capex forecast - 3019'!T347+'Capex forecast - 3020'!T347+'Capex forecast - 3021'!T347+'Capex forecast - 3022'!T347+'Capex forecast - 3023'!T347+'Capex forecast - 3024'!T347+'Capex forecast - 3025'!T347+'Capex forecast - IT'!T347+'Capex forecast - other non-IT'!T347</f>
        <v>0</v>
      </c>
      <c r="M82" s="45">
        <f>'Capex forecast - 3001'!U347+'Capex forecast - 3002'!U347+'Capex forecast - 3003'!U347+'Capex forecast - 3004'!U347+'Capex forecast - 3005'!U347+'Capex forecast - 3006'!U347++'Capex forecast - 3007'!U347+'Capex forecast - 3008'!U347+'Capex forecast - 3009'!U347+'Capex forecast - 3010'!U347+'Capex forecast - 3011'!U347+'Capex forecast - 3012'!U347+'Capex forecast - 3013'!U347+'Capex forecast - 3014'!U347+'Capex forecast - 3015'!U347+'Capex forecast - 3016'!U347+'Capex forecast - 3017'!U347+'Capex forecast - 3018'!U347+'Capex forecast - 3019'!U347+'Capex forecast - 3020'!U347+'Capex forecast - 3021'!U347+'Capex forecast - 3022'!U347+'Capex forecast - 3023'!U347+'Capex forecast - 3024'!U347+'Capex forecast - 3025'!U347+'Capex forecast - IT'!U347+'Capex forecast - other non-IT'!U347</f>
        <v>0</v>
      </c>
      <c r="N82" s="45">
        <f>'Capex forecast - 3001'!V347+'Capex forecast - 3002'!V347+'Capex forecast - 3003'!V347+'Capex forecast - 3004'!V347+'Capex forecast - 3005'!V347+'Capex forecast - 3006'!V347++'Capex forecast - 3007'!V347+'Capex forecast - 3008'!V347+'Capex forecast - 3009'!V347+'Capex forecast - 3010'!V347+'Capex forecast - 3011'!V347+'Capex forecast - 3012'!V347+'Capex forecast - 3013'!V347+'Capex forecast - 3014'!V347+'Capex forecast - 3015'!V347+'Capex forecast - 3016'!V347+'Capex forecast - 3017'!V347+'Capex forecast - 3018'!V347+'Capex forecast - 3019'!V347+'Capex forecast - 3020'!V347+'Capex forecast - 3021'!V347+'Capex forecast - 3022'!V347+'Capex forecast - 3023'!V347+'Capex forecast - 3024'!V347+'Capex forecast - 3025'!V347+'Capex forecast - IT'!V347+'Capex forecast - other non-IT'!V347</f>
        <v>0</v>
      </c>
      <c r="P82" s="40">
        <f t="shared" si="7"/>
        <v>0</v>
      </c>
    </row>
    <row r="83" spans="1:16">
      <c r="B83" s="38" t="s">
        <v>68</v>
      </c>
      <c r="D83" s="29"/>
      <c r="E83" s="29"/>
      <c r="H83" s="45"/>
      <c r="I83" s="45">
        <f>'Capex forecast - 3001'!Q348+'Capex forecast - 3002'!Q348+'Capex forecast - 3003'!Q348+'Capex forecast - 3004'!Q348+'Capex forecast - 3005'!Q348+'Capex forecast - 3006'!Q348++'Capex forecast - 3007'!Q348+'Capex forecast - 3008'!Q348+'Capex forecast - 3009'!Q348+'Capex forecast - 3010'!Q348+'Capex forecast - 3011'!Q348+'Capex forecast - 3012'!Q348+'Capex forecast - 3013'!Q348+'Capex forecast - 3014'!Q348+'Capex forecast - 3015'!Q348+'Capex forecast - 3016'!Q348+'Capex forecast - 3017'!Q348+'Capex forecast - 3018'!Q348+'Capex forecast - 3019'!Q348+'Capex forecast - 3020'!Q348+'Capex forecast - 3021'!Q348+'Capex forecast - 3022'!Q348+'Capex forecast - 3023'!Q348+'Capex forecast - 3024'!Q348+'Capex forecast - 3025'!Q348+'Capex forecast - IT'!Q348+'Capex forecast - other non-IT'!Q348</f>
        <v>0</v>
      </c>
      <c r="J83" s="45">
        <f>'Capex forecast - 3001'!R348+'Capex forecast - 3002'!R348+'Capex forecast - 3003'!R348+'Capex forecast - 3004'!R348+'Capex forecast - 3005'!R348+'Capex forecast - 3006'!R348++'Capex forecast - 3007'!R348+'Capex forecast - 3008'!R348+'Capex forecast - 3009'!R348+'Capex forecast - 3010'!R348+'Capex forecast - 3011'!R348+'Capex forecast - 3012'!R348+'Capex forecast - 3013'!R348+'Capex forecast - 3014'!R348+'Capex forecast - 3015'!R348+'Capex forecast - 3016'!R348+'Capex forecast - 3017'!R348+'Capex forecast - 3018'!R348+'Capex forecast - 3019'!R348+'Capex forecast - 3020'!R348+'Capex forecast - 3021'!R348+'Capex forecast - 3022'!R348+'Capex forecast - 3023'!R348+'Capex forecast - 3024'!R348+'Capex forecast - 3025'!R348+'Capex forecast - IT'!R348+'Capex forecast - other non-IT'!R348</f>
        <v>0</v>
      </c>
      <c r="K83" s="45">
        <f>'Capex forecast - 3001'!S348+'Capex forecast - 3002'!S348+'Capex forecast - 3003'!S348+'Capex forecast - 3004'!S348+'Capex forecast - 3005'!S348+'Capex forecast - 3006'!S348++'Capex forecast - 3007'!S348+'Capex forecast - 3008'!S348+'Capex forecast - 3009'!S348+'Capex forecast - 3010'!S348+'Capex forecast - 3011'!S348+'Capex forecast - 3012'!S348+'Capex forecast - 3013'!S348+'Capex forecast - 3014'!S348+'Capex forecast - 3015'!S348+'Capex forecast - 3016'!S348+'Capex forecast - 3017'!S348+'Capex forecast - 3018'!S348+'Capex forecast - 3019'!S348+'Capex forecast - 3020'!S348+'Capex forecast - 3021'!S348+'Capex forecast - 3022'!S348+'Capex forecast - 3023'!S348+'Capex forecast - 3024'!S348+'Capex forecast - 3025'!S348+'Capex forecast - IT'!S348+'Capex forecast - other non-IT'!S348</f>
        <v>0</v>
      </c>
      <c r="L83" s="45">
        <f>'Capex forecast - 3001'!T348+'Capex forecast - 3002'!T348+'Capex forecast - 3003'!T348+'Capex forecast - 3004'!T348+'Capex forecast - 3005'!T348+'Capex forecast - 3006'!T348++'Capex forecast - 3007'!T348+'Capex forecast - 3008'!T348+'Capex forecast - 3009'!T348+'Capex forecast - 3010'!T348+'Capex forecast - 3011'!T348+'Capex forecast - 3012'!T348+'Capex forecast - 3013'!T348+'Capex forecast - 3014'!T348+'Capex forecast - 3015'!T348+'Capex forecast - 3016'!T348+'Capex forecast - 3017'!T348+'Capex forecast - 3018'!T348+'Capex forecast - 3019'!T348+'Capex forecast - 3020'!T348+'Capex forecast - 3021'!T348+'Capex forecast - 3022'!T348+'Capex forecast - 3023'!T348+'Capex forecast - 3024'!T348+'Capex forecast - 3025'!T348+'Capex forecast - IT'!T348+'Capex forecast - other non-IT'!T348</f>
        <v>0</v>
      </c>
      <c r="M83" s="45">
        <f>'Capex forecast - 3001'!U348+'Capex forecast - 3002'!U348+'Capex forecast - 3003'!U348+'Capex forecast - 3004'!U348+'Capex forecast - 3005'!U348+'Capex forecast - 3006'!U348++'Capex forecast - 3007'!U348+'Capex forecast - 3008'!U348+'Capex forecast - 3009'!U348+'Capex forecast - 3010'!U348+'Capex forecast - 3011'!U348+'Capex forecast - 3012'!U348+'Capex forecast - 3013'!U348+'Capex forecast - 3014'!U348+'Capex forecast - 3015'!U348+'Capex forecast - 3016'!U348+'Capex forecast - 3017'!U348+'Capex forecast - 3018'!U348+'Capex forecast - 3019'!U348+'Capex forecast - 3020'!U348+'Capex forecast - 3021'!U348+'Capex forecast - 3022'!U348+'Capex forecast - 3023'!U348+'Capex forecast - 3024'!U348+'Capex forecast - 3025'!U348+'Capex forecast - IT'!U348+'Capex forecast - other non-IT'!U348</f>
        <v>0</v>
      </c>
      <c r="N83" s="45">
        <f>'Capex forecast - 3001'!V348+'Capex forecast - 3002'!V348+'Capex forecast - 3003'!V348+'Capex forecast - 3004'!V348+'Capex forecast - 3005'!V348+'Capex forecast - 3006'!V348++'Capex forecast - 3007'!V348+'Capex forecast - 3008'!V348+'Capex forecast - 3009'!V348+'Capex forecast - 3010'!V348+'Capex forecast - 3011'!V348+'Capex forecast - 3012'!V348+'Capex forecast - 3013'!V348+'Capex forecast - 3014'!V348+'Capex forecast - 3015'!V348+'Capex forecast - 3016'!V348+'Capex forecast - 3017'!V348+'Capex forecast - 3018'!V348+'Capex forecast - 3019'!V348+'Capex forecast - 3020'!V348+'Capex forecast - 3021'!V348+'Capex forecast - 3022'!V348+'Capex forecast - 3023'!V348+'Capex forecast - 3024'!V348+'Capex forecast - 3025'!V348+'Capex forecast - IT'!V348+'Capex forecast - other non-IT'!V348</f>
        <v>0</v>
      </c>
      <c r="P83" s="40">
        <f t="shared" si="7"/>
        <v>0</v>
      </c>
    </row>
    <row r="84" spans="1:16">
      <c r="B84" s="38" t="s">
        <v>108</v>
      </c>
      <c r="D84" s="29"/>
      <c r="E84" s="29"/>
      <c r="H84" s="45"/>
      <c r="I84" s="45">
        <f>'Capex forecast - 3001'!Q349+'Capex forecast - 3002'!Q349+'Capex forecast - 3003'!Q349+'Capex forecast - 3004'!Q349+'Capex forecast - 3005'!Q349+'Capex forecast - 3006'!Q349++'Capex forecast - 3007'!Q349+'Capex forecast - 3008'!Q349+'Capex forecast - 3009'!Q349+'Capex forecast - 3010'!Q349+'Capex forecast - 3011'!Q349+'Capex forecast - 3012'!Q349+'Capex forecast - 3013'!Q349+'Capex forecast - 3014'!Q349+'Capex forecast - 3015'!Q349+'Capex forecast - 3016'!Q349+'Capex forecast - 3017'!Q349+'Capex forecast - 3018'!Q349+'Capex forecast - 3019'!Q349+'Capex forecast - 3020'!Q349+'Capex forecast - 3021'!Q349+'Capex forecast - 3022'!Q349+'Capex forecast - 3023'!Q349+'Capex forecast - 3024'!Q349+'Capex forecast - 3025'!Q349+'Capex forecast - IT'!Q349+'Capex forecast - other non-IT'!Q349</f>
        <v>0</v>
      </c>
      <c r="J84" s="45">
        <f>'Capex forecast - 3001'!R349+'Capex forecast - 3002'!R349+'Capex forecast - 3003'!R349+'Capex forecast - 3004'!R349+'Capex forecast - 3005'!R349+'Capex forecast - 3006'!R349++'Capex forecast - 3007'!R349+'Capex forecast - 3008'!R349+'Capex forecast - 3009'!R349+'Capex forecast - 3010'!R349+'Capex forecast - 3011'!R349+'Capex forecast - 3012'!R349+'Capex forecast - 3013'!R349+'Capex forecast - 3014'!R349+'Capex forecast - 3015'!R349+'Capex forecast - 3016'!R349+'Capex forecast - 3017'!R349+'Capex forecast - 3018'!R349+'Capex forecast - 3019'!R349+'Capex forecast - 3020'!R349+'Capex forecast - 3021'!R349+'Capex forecast - 3022'!R349+'Capex forecast - 3023'!R349+'Capex forecast - 3024'!R349+'Capex forecast - 3025'!R349+'Capex forecast - IT'!R349+'Capex forecast - other non-IT'!R349</f>
        <v>0</v>
      </c>
      <c r="K84" s="45">
        <f>'Capex forecast - 3001'!S349+'Capex forecast - 3002'!S349+'Capex forecast - 3003'!S349+'Capex forecast - 3004'!S349+'Capex forecast - 3005'!S349+'Capex forecast - 3006'!S349++'Capex forecast - 3007'!S349+'Capex forecast - 3008'!S349+'Capex forecast - 3009'!S349+'Capex forecast - 3010'!S349+'Capex forecast - 3011'!S349+'Capex forecast - 3012'!S349+'Capex forecast - 3013'!S349+'Capex forecast - 3014'!S349+'Capex forecast - 3015'!S349+'Capex forecast - 3016'!S349+'Capex forecast - 3017'!S349+'Capex forecast - 3018'!S349+'Capex forecast - 3019'!S349+'Capex forecast - 3020'!S349+'Capex forecast - 3021'!S349+'Capex forecast - 3022'!S349+'Capex forecast - 3023'!S349+'Capex forecast - 3024'!S349+'Capex forecast - 3025'!S349+'Capex forecast - IT'!S349+'Capex forecast - other non-IT'!S349</f>
        <v>0</v>
      </c>
      <c r="L84" s="45">
        <f>'Capex forecast - 3001'!T349+'Capex forecast - 3002'!T349+'Capex forecast - 3003'!T349+'Capex forecast - 3004'!T349+'Capex forecast - 3005'!T349+'Capex forecast - 3006'!T349++'Capex forecast - 3007'!T349+'Capex forecast - 3008'!T349+'Capex forecast - 3009'!T349+'Capex forecast - 3010'!T349+'Capex forecast - 3011'!T349+'Capex forecast - 3012'!T349+'Capex forecast - 3013'!T349+'Capex forecast - 3014'!T349+'Capex forecast - 3015'!T349+'Capex forecast - 3016'!T349+'Capex forecast - 3017'!T349+'Capex forecast - 3018'!T349+'Capex forecast - 3019'!T349+'Capex forecast - 3020'!T349+'Capex forecast - 3021'!T349+'Capex forecast - 3022'!T349+'Capex forecast - 3023'!T349+'Capex forecast - 3024'!T349+'Capex forecast - 3025'!T349+'Capex forecast - IT'!T349+'Capex forecast - other non-IT'!T349</f>
        <v>0</v>
      </c>
      <c r="M84" s="45">
        <f>'Capex forecast - 3001'!U349+'Capex forecast - 3002'!U349+'Capex forecast - 3003'!U349+'Capex forecast - 3004'!U349+'Capex forecast - 3005'!U349+'Capex forecast - 3006'!U349++'Capex forecast - 3007'!U349+'Capex forecast - 3008'!U349+'Capex forecast - 3009'!U349+'Capex forecast - 3010'!U349+'Capex forecast - 3011'!U349+'Capex forecast - 3012'!U349+'Capex forecast - 3013'!U349+'Capex forecast - 3014'!U349+'Capex forecast - 3015'!U349+'Capex forecast - 3016'!U349+'Capex forecast - 3017'!U349+'Capex forecast - 3018'!U349+'Capex forecast - 3019'!U349+'Capex forecast - 3020'!U349+'Capex forecast - 3021'!U349+'Capex forecast - 3022'!U349+'Capex forecast - 3023'!U349+'Capex forecast - 3024'!U349+'Capex forecast - 3025'!U349+'Capex forecast - IT'!U349+'Capex forecast - other non-IT'!U349</f>
        <v>0</v>
      </c>
      <c r="N84" s="45">
        <f>'Capex forecast - 3001'!V349+'Capex forecast - 3002'!V349+'Capex forecast - 3003'!V349+'Capex forecast - 3004'!V349+'Capex forecast - 3005'!V349+'Capex forecast - 3006'!V349++'Capex forecast - 3007'!V349+'Capex forecast - 3008'!V349+'Capex forecast - 3009'!V349+'Capex forecast - 3010'!V349+'Capex forecast - 3011'!V349+'Capex forecast - 3012'!V349+'Capex forecast - 3013'!V349+'Capex forecast - 3014'!V349+'Capex forecast - 3015'!V349+'Capex forecast - 3016'!V349+'Capex forecast - 3017'!V349+'Capex forecast - 3018'!V349+'Capex forecast - 3019'!V349+'Capex forecast - 3020'!V349+'Capex forecast - 3021'!V349+'Capex forecast - 3022'!V349+'Capex forecast - 3023'!V349+'Capex forecast - 3024'!V349+'Capex forecast - 3025'!V349+'Capex forecast - IT'!V349+'Capex forecast - other non-IT'!V349</f>
        <v>0</v>
      </c>
      <c r="P84" s="40">
        <f t="shared" si="7"/>
        <v>0</v>
      </c>
    </row>
    <row r="86" spans="1:16" ht="12.75" thickBot="1">
      <c r="B86" s="5" t="s">
        <v>93</v>
      </c>
      <c r="H86" s="37"/>
      <c r="I86" s="37">
        <f t="shared" ref="I86:N86" si="8">SUM(I74:I84)</f>
        <v>11641718.096271764</v>
      </c>
      <c r="J86" s="37">
        <f t="shared" si="8"/>
        <v>3982343.7074934305</v>
      </c>
      <c r="K86" s="37">
        <f t="shared" si="8"/>
        <v>4048772.0386254322</v>
      </c>
      <c r="L86" s="37">
        <f t="shared" si="8"/>
        <v>4111135.4678959432</v>
      </c>
      <c r="M86" s="37">
        <f t="shared" si="8"/>
        <v>4200375.9337219922</v>
      </c>
      <c r="N86" s="37">
        <f t="shared" si="8"/>
        <v>4210907.4367180718</v>
      </c>
      <c r="P86" s="37">
        <f t="shared" ref="P86" si="9">SUM(J86:N86)</f>
        <v>20553534.584454872</v>
      </c>
    </row>
    <row r="88" spans="1:16" s="1" customFormat="1">
      <c r="A88" s="2"/>
      <c r="B88" s="2" t="s">
        <v>42</v>
      </c>
    </row>
  </sheetData>
  <mergeCells count="8">
    <mergeCell ref="H70:I70"/>
    <mergeCell ref="J70:N70"/>
    <mergeCell ref="H10:I10"/>
    <mergeCell ref="J10:N10"/>
    <mergeCell ref="H30:I30"/>
    <mergeCell ref="J30:N30"/>
    <mergeCell ref="H50:I50"/>
    <mergeCell ref="J50:N50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R31"/>
  <sheetViews>
    <sheetView topLeftCell="A7" workbookViewId="0">
      <selection activeCell="I34" sqref="I34"/>
    </sheetView>
  </sheetViews>
  <sheetFormatPr defaultColWidth="9.140625" defaultRowHeight="12"/>
  <cols>
    <col min="1" max="1" width="3.85546875" style="4" customWidth="1"/>
    <col min="2" max="2" width="13" style="4" customWidth="1"/>
    <col min="3" max="3" width="3.28515625" style="4" customWidth="1"/>
    <col min="4" max="7" width="9.140625" style="4"/>
    <col min="8" max="14" width="12.28515625" style="4" customWidth="1"/>
    <col min="15" max="15" width="4.42578125" style="4" customWidth="1"/>
    <col min="16" max="16" width="13" style="4" customWidth="1"/>
    <col min="17" max="17" width="9.140625" style="4"/>
    <col min="18" max="18" width="10.85546875" style="4" bestFit="1" customWidth="1"/>
    <col min="19" max="19" width="9.7109375" style="4" customWidth="1"/>
    <col min="20" max="16384" width="9.140625" style="4"/>
  </cols>
  <sheetData>
    <row r="1" spans="1:16" s="3" customFormat="1">
      <c r="A1" s="2" t="s">
        <v>2</v>
      </c>
    </row>
    <row r="2" spans="1:16" s="1" customFormat="1">
      <c r="A2" s="3" t="s">
        <v>340</v>
      </c>
    </row>
    <row r="3" spans="1:16" s="1" customFormat="1">
      <c r="A3" s="3" t="s">
        <v>95</v>
      </c>
    </row>
    <row r="4" spans="1:16" s="1" customFormat="1">
      <c r="A4" s="22" t="s">
        <v>43</v>
      </c>
    </row>
    <row r="6" spans="1:16">
      <c r="B6" s="4" t="s">
        <v>228</v>
      </c>
      <c r="E6" s="83" t="str">
        <f>'General assumptions'!F27</f>
        <v>Yes</v>
      </c>
    </row>
    <row r="7" spans="1:16">
      <c r="D7" s="31"/>
      <c r="E7" s="31"/>
      <c r="P7" s="20"/>
    </row>
    <row r="8" spans="1:16" s="1" customFormat="1">
      <c r="A8" s="2">
        <v>1</v>
      </c>
      <c r="B8" s="2" t="s">
        <v>351</v>
      </c>
    </row>
    <row r="10" spans="1:16">
      <c r="H10" s="187" t="s">
        <v>53</v>
      </c>
      <c r="I10" s="188"/>
      <c r="J10" s="187" t="s">
        <v>54</v>
      </c>
      <c r="K10" s="189"/>
      <c r="L10" s="189"/>
      <c r="M10" s="189"/>
      <c r="N10" s="188"/>
    </row>
    <row r="11" spans="1:16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63</v>
      </c>
    </row>
    <row r="12" spans="1:16">
      <c r="B12" s="5" t="s">
        <v>341</v>
      </c>
      <c r="D12" s="29"/>
      <c r="E12" s="29"/>
      <c r="H12" s="16" t="s">
        <v>13</v>
      </c>
      <c r="I12" s="16" t="s">
        <v>13</v>
      </c>
      <c r="J12" s="16" t="s">
        <v>13</v>
      </c>
      <c r="K12" s="16" t="s">
        <v>13</v>
      </c>
      <c r="L12" s="16" t="s">
        <v>13</v>
      </c>
      <c r="M12" s="16" t="s">
        <v>13</v>
      </c>
      <c r="N12" s="16" t="s">
        <v>13</v>
      </c>
      <c r="P12" s="34" t="s">
        <v>13</v>
      </c>
    </row>
    <row r="13" spans="1:16">
      <c r="B13" s="5"/>
      <c r="D13" s="29"/>
      <c r="E13" s="29"/>
      <c r="H13" s="18"/>
      <c r="I13" s="18"/>
      <c r="J13" s="97"/>
      <c r="K13" s="18"/>
      <c r="L13" s="18"/>
      <c r="M13" s="18"/>
      <c r="N13" s="18"/>
    </row>
    <row r="14" spans="1:16">
      <c r="B14" s="38" t="s">
        <v>111</v>
      </c>
      <c r="D14" s="29"/>
      <c r="E14" s="29"/>
      <c r="H14" s="45"/>
      <c r="I14" s="45">
        <f>'Capex forecast - 3001'!Q362+'Capex forecast - 3002'!Q362+'Capex forecast - 3003'!Q362+'Capex forecast - 3004'!Q362+'Capex forecast - 3005'!Q362+'Capex forecast - 3006'!Q362++'Capex forecast - 3007'!Q362+'Capex forecast - 3008'!Q362+'Capex forecast - 3009'!Q362+'Capex forecast - 3010'!Q362+'Capex forecast - 3011'!Q362+'Capex forecast - 3012'!Q362+'Capex forecast - 3013'!Q362+'Capex forecast - 3014'!Q362+'Capex forecast - 3015'!Q362+'Capex forecast - 3016'!Q362+'Capex forecast - 3017'!Q362+'Capex forecast - 3018'!Q362+'Capex forecast - 3019'!Q362+'Capex forecast - 3020'!Q362+'Capex forecast - 3021'!Q362+'Capex forecast - 3022'!Q362+'Capex forecast - 3023'!Q362+'Capex forecast - 3024'!Q362+'Capex forecast - 3025'!Q362+'Capex forecast - IT'!Q362+'Capex forecast - other non-IT'!Q362</f>
        <v>29667851.017348651</v>
      </c>
      <c r="J14" s="45">
        <f>'Capex forecast - 3001'!R362+'Capex forecast - 3002'!R362+'Capex forecast - 3003'!R362+'Capex forecast - 3004'!R362+'Capex forecast - 3005'!R362+'Capex forecast - 3006'!R362++'Capex forecast - 3007'!R362+'Capex forecast - 3008'!R362+'Capex forecast - 3009'!R362+'Capex forecast - 3010'!R362+'Capex forecast - 3011'!R362+'Capex forecast - 3012'!R362+'Capex forecast - 3013'!R362+'Capex forecast - 3014'!R362+'Capex forecast - 3015'!R362+'Capex forecast - 3016'!R362+'Capex forecast - 3017'!R362+'Capex forecast - 3018'!R362+'Capex forecast - 3019'!R362+'Capex forecast - 3020'!R362+'Capex forecast - 3021'!R362+'Capex forecast - 3022'!R362+'Capex forecast - 3023'!R362+'Capex forecast - 3024'!R362+'Capex forecast - 3025'!R362+'Capex forecast - IT'!R362+'Capex forecast - other non-IT'!R362</f>
        <v>26653082.306875333</v>
      </c>
      <c r="K14" s="45">
        <f>'Capex forecast - 3001'!S362+'Capex forecast - 3002'!S362+'Capex forecast - 3003'!S362+'Capex forecast - 3004'!S362+'Capex forecast - 3005'!S362+'Capex forecast - 3006'!S362++'Capex forecast - 3007'!S362+'Capex forecast - 3008'!S362+'Capex forecast - 3009'!S362+'Capex forecast - 3010'!S362+'Capex forecast - 3011'!S362+'Capex forecast - 3012'!S362+'Capex forecast - 3013'!S362+'Capex forecast - 3014'!S362+'Capex forecast - 3015'!S362+'Capex forecast - 3016'!S362+'Capex forecast - 3017'!S362+'Capex forecast - 3018'!S362+'Capex forecast - 3019'!S362+'Capex forecast - 3020'!S362+'Capex forecast - 3021'!S362+'Capex forecast - 3022'!S362+'Capex forecast - 3023'!S362+'Capex forecast - 3024'!S362+'Capex forecast - 3025'!S362+'Capex forecast - IT'!S362+'Capex forecast - other non-IT'!S362</f>
        <v>24622870.469153535</v>
      </c>
      <c r="L14" s="45">
        <f>'Capex forecast - 3001'!T362+'Capex forecast - 3002'!T362+'Capex forecast - 3003'!T362+'Capex forecast - 3004'!T362+'Capex forecast - 3005'!T362+'Capex forecast - 3006'!T362++'Capex forecast - 3007'!T362+'Capex forecast - 3008'!T362+'Capex forecast - 3009'!T362+'Capex forecast - 3010'!T362+'Capex forecast - 3011'!T362+'Capex forecast - 3012'!T362+'Capex forecast - 3013'!T362+'Capex forecast - 3014'!T362+'Capex forecast - 3015'!T362+'Capex forecast - 3016'!T362+'Capex forecast - 3017'!T362+'Capex forecast - 3018'!T362+'Capex forecast - 3019'!T362+'Capex forecast - 3020'!T362+'Capex forecast - 3021'!T362+'Capex forecast - 3022'!T362+'Capex forecast - 3023'!T362+'Capex forecast - 3024'!T362+'Capex forecast - 3025'!T362+'Capex forecast - IT'!T362+'Capex forecast - other non-IT'!T362</f>
        <v>26391910.620087571</v>
      </c>
      <c r="M14" s="45">
        <f>'Capex forecast - 3001'!U362+'Capex forecast - 3002'!U362+'Capex forecast - 3003'!U362+'Capex forecast - 3004'!U362+'Capex forecast - 3005'!U362+'Capex forecast - 3006'!U362++'Capex forecast - 3007'!U362+'Capex forecast - 3008'!U362+'Capex forecast - 3009'!U362+'Capex forecast - 3010'!U362+'Capex forecast - 3011'!U362+'Capex forecast - 3012'!U362+'Capex forecast - 3013'!U362+'Capex forecast - 3014'!U362+'Capex forecast - 3015'!U362+'Capex forecast - 3016'!U362+'Capex forecast - 3017'!U362+'Capex forecast - 3018'!U362+'Capex forecast - 3019'!U362+'Capex forecast - 3020'!U362+'Capex forecast - 3021'!U362+'Capex forecast - 3022'!U362+'Capex forecast - 3023'!U362+'Capex forecast - 3024'!U362+'Capex forecast - 3025'!U362+'Capex forecast - IT'!U362+'Capex forecast - other non-IT'!U362</f>
        <v>19750388.327448674</v>
      </c>
      <c r="N14" s="45">
        <f>'Capex forecast - 3001'!V362+'Capex forecast - 3002'!V362+'Capex forecast - 3003'!V362+'Capex forecast - 3004'!V362+'Capex forecast - 3005'!V362+'Capex forecast - 3006'!V362++'Capex forecast - 3007'!V362+'Capex forecast - 3008'!V362+'Capex forecast - 3009'!V362+'Capex forecast - 3010'!V362+'Capex forecast - 3011'!V362+'Capex forecast - 3012'!V362+'Capex forecast - 3013'!V362+'Capex forecast - 3014'!V362+'Capex forecast - 3015'!V362+'Capex forecast - 3016'!V362+'Capex forecast - 3017'!V362+'Capex forecast - 3018'!V362+'Capex forecast - 3019'!V362+'Capex forecast - 3020'!V362+'Capex forecast - 3021'!V362+'Capex forecast - 3022'!V362+'Capex forecast - 3023'!V362+'Capex forecast - 3024'!V362+'Capex forecast - 3025'!V362+'Capex forecast - IT'!V362+'Capex forecast - other non-IT'!V362</f>
        <v>19694627.629981529</v>
      </c>
      <c r="P14" s="40">
        <f>SUM(J14:N14)</f>
        <v>117112879.35354663</v>
      </c>
    </row>
    <row r="15" spans="1:16">
      <c r="B15" s="38" t="s">
        <v>112</v>
      </c>
      <c r="D15" s="29"/>
      <c r="E15" s="29"/>
      <c r="H15" s="45"/>
      <c r="I15" s="45">
        <f>'Capex forecast - 3001'!Q363+'Capex forecast - 3002'!Q363+'Capex forecast - 3003'!Q363+'Capex forecast - 3004'!Q363+'Capex forecast - 3005'!Q363+'Capex forecast - 3006'!Q363++'Capex forecast - 3007'!Q363+'Capex forecast - 3008'!Q363+'Capex forecast - 3009'!Q363+'Capex forecast - 3010'!Q363+'Capex forecast - 3011'!Q363+'Capex forecast - 3012'!Q363+'Capex forecast - 3013'!Q363+'Capex forecast - 3014'!Q363+'Capex forecast - 3015'!Q363+'Capex forecast - 3016'!Q363+'Capex forecast - 3017'!Q363+'Capex forecast - 3018'!Q363+'Capex forecast - 3019'!Q363+'Capex forecast - 3020'!Q363+'Capex forecast - 3021'!Q363+'Capex forecast - 3022'!Q363+'Capex forecast - 3023'!Q363+'Capex forecast - 3024'!Q363+'Capex forecast - 3025'!Q363+'Capex forecast - IT'!Q363+'Capex forecast - other non-IT'!Q363</f>
        <v>30510428.780999999</v>
      </c>
      <c r="J15" s="45">
        <f>'Capex forecast - 3001'!R363+'Capex forecast - 3002'!R363+'Capex forecast - 3003'!R363+'Capex forecast - 3004'!R363+'Capex forecast - 3005'!R363+'Capex forecast - 3006'!R363++'Capex forecast - 3007'!R363+'Capex forecast - 3008'!R363+'Capex forecast - 3009'!R363+'Capex forecast - 3010'!R363+'Capex forecast - 3011'!R363+'Capex forecast - 3012'!R363+'Capex forecast - 3013'!R363+'Capex forecast - 3014'!R363+'Capex forecast - 3015'!R363+'Capex forecast - 3016'!R363+'Capex forecast - 3017'!R363+'Capex forecast - 3018'!R363+'Capex forecast - 3019'!R363+'Capex forecast - 3020'!R363+'Capex forecast - 3021'!R363+'Capex forecast - 3022'!R363+'Capex forecast - 3023'!R363+'Capex forecast - 3024'!R363+'Capex forecast - 3025'!R363+'Capex forecast - IT'!R363+'Capex forecast - other non-IT'!R363</f>
        <v>34652225.142321877</v>
      </c>
      <c r="K15" s="45">
        <f>'Capex forecast - 3001'!S363+'Capex forecast - 3002'!S363+'Capex forecast - 3003'!S363+'Capex forecast - 3004'!S363+'Capex forecast - 3005'!S363+'Capex forecast - 3006'!S363++'Capex forecast - 3007'!S363+'Capex forecast - 3008'!S363+'Capex forecast - 3009'!S363+'Capex forecast - 3010'!S363+'Capex forecast - 3011'!S363+'Capex forecast - 3012'!S363+'Capex forecast - 3013'!S363+'Capex forecast - 3014'!S363+'Capex forecast - 3015'!S363+'Capex forecast - 3016'!S363+'Capex forecast - 3017'!S363+'Capex forecast - 3018'!S363+'Capex forecast - 3019'!S363+'Capex forecast - 3020'!S363+'Capex forecast - 3021'!S363+'Capex forecast - 3022'!S363+'Capex forecast - 3023'!S363+'Capex forecast - 3024'!S363+'Capex forecast - 3025'!S363+'Capex forecast - IT'!S363+'Capex forecast - other non-IT'!S363</f>
        <v>35499039.433977008</v>
      </c>
      <c r="L15" s="45">
        <f>'Capex forecast - 3001'!T363+'Capex forecast - 3002'!T363+'Capex forecast - 3003'!T363+'Capex forecast - 3004'!T363+'Capex forecast - 3005'!T363+'Capex forecast - 3006'!T363++'Capex forecast - 3007'!T363+'Capex forecast - 3008'!T363+'Capex forecast - 3009'!T363+'Capex forecast - 3010'!T363+'Capex forecast - 3011'!T363+'Capex forecast - 3012'!T363+'Capex forecast - 3013'!T363+'Capex forecast - 3014'!T363+'Capex forecast - 3015'!T363+'Capex forecast - 3016'!T363+'Capex forecast - 3017'!T363+'Capex forecast - 3018'!T363+'Capex forecast - 3019'!T363+'Capex forecast - 3020'!T363+'Capex forecast - 3021'!T363+'Capex forecast - 3022'!T363+'Capex forecast - 3023'!T363+'Capex forecast - 3024'!T363+'Capex forecast - 3025'!T363+'Capex forecast - IT'!T363+'Capex forecast - other non-IT'!T363</f>
        <v>36546489.877752036</v>
      </c>
      <c r="M15" s="45">
        <f>'Capex forecast - 3001'!U363+'Capex forecast - 3002'!U363+'Capex forecast - 3003'!U363+'Capex forecast - 3004'!U363+'Capex forecast - 3005'!U363+'Capex forecast - 3006'!U363++'Capex forecast - 3007'!U363+'Capex forecast - 3008'!U363+'Capex forecast - 3009'!U363+'Capex forecast - 3010'!U363+'Capex forecast - 3011'!U363+'Capex forecast - 3012'!U363+'Capex forecast - 3013'!U363+'Capex forecast - 3014'!U363+'Capex forecast - 3015'!U363+'Capex forecast - 3016'!U363+'Capex forecast - 3017'!U363+'Capex forecast - 3018'!U363+'Capex forecast - 3019'!U363+'Capex forecast - 3020'!U363+'Capex forecast - 3021'!U363+'Capex forecast - 3022'!U363+'Capex forecast - 3023'!U363+'Capex forecast - 3024'!U363+'Capex forecast - 3025'!U363+'Capex forecast - IT'!U363+'Capex forecast - other non-IT'!U363</f>
        <v>37814969.175557077</v>
      </c>
      <c r="N15" s="45">
        <f>'Capex forecast - 3001'!V363+'Capex forecast - 3002'!V363+'Capex forecast - 3003'!V363+'Capex forecast - 3004'!V363+'Capex forecast - 3005'!V363+'Capex forecast - 3006'!V363++'Capex forecast - 3007'!V363+'Capex forecast - 3008'!V363+'Capex forecast - 3009'!V363+'Capex forecast - 3010'!V363+'Capex forecast - 3011'!V363+'Capex forecast - 3012'!V363+'Capex forecast - 3013'!V363+'Capex forecast - 3014'!V363+'Capex forecast - 3015'!V363+'Capex forecast - 3016'!V363+'Capex forecast - 3017'!V363+'Capex forecast - 3018'!V363+'Capex forecast - 3019'!V363+'Capex forecast - 3020'!V363+'Capex forecast - 3021'!V363+'Capex forecast - 3022'!V363+'Capex forecast - 3023'!V363+'Capex forecast - 3024'!V363+'Capex forecast - 3025'!V363+'Capex forecast - IT'!V363+'Capex forecast - other non-IT'!V363</f>
        <v>36434911.643230163</v>
      </c>
      <c r="P15" s="40">
        <f t="shared" ref="P15:P27" si="0">SUM(J15:N15)</f>
        <v>180947635.27283818</v>
      </c>
    </row>
    <row r="16" spans="1:16">
      <c r="B16" s="38" t="s">
        <v>113</v>
      </c>
      <c r="D16" s="29"/>
      <c r="E16" s="29"/>
      <c r="H16" s="45"/>
      <c r="I16" s="45">
        <f>'Capex forecast - 3001'!Q364+'Capex forecast - 3002'!Q364+'Capex forecast - 3003'!Q364+'Capex forecast - 3004'!Q364+'Capex forecast - 3005'!Q364+'Capex forecast - 3006'!Q364++'Capex forecast - 3007'!Q364+'Capex forecast - 3008'!Q364+'Capex forecast - 3009'!Q364+'Capex forecast - 3010'!Q364+'Capex forecast - 3011'!Q364+'Capex forecast - 3012'!Q364+'Capex forecast - 3013'!Q364+'Capex forecast - 3014'!Q364+'Capex forecast - 3015'!Q364+'Capex forecast - 3016'!Q364+'Capex forecast - 3017'!Q364+'Capex forecast - 3018'!Q364+'Capex forecast - 3019'!Q364+'Capex forecast - 3020'!Q364+'Capex forecast - 3021'!Q364+'Capex forecast - 3022'!Q364+'Capex forecast - 3023'!Q364+'Capex forecast - 3024'!Q364+'Capex forecast - 3025'!Q364+'Capex forecast - IT'!Q364+'Capex forecast - other non-IT'!Q364</f>
        <v>4610476.9960000003</v>
      </c>
      <c r="J16" s="45">
        <f>'Capex forecast - 3001'!R364+'Capex forecast - 3002'!R364+'Capex forecast - 3003'!R364+'Capex forecast - 3004'!R364+'Capex forecast - 3005'!R364+'Capex forecast - 3006'!R364++'Capex forecast - 3007'!R364+'Capex forecast - 3008'!R364+'Capex forecast - 3009'!R364+'Capex forecast - 3010'!R364+'Capex forecast - 3011'!R364+'Capex forecast - 3012'!R364+'Capex forecast - 3013'!R364+'Capex forecast - 3014'!R364+'Capex forecast - 3015'!R364+'Capex forecast - 3016'!R364+'Capex forecast - 3017'!R364+'Capex forecast - 3018'!R364+'Capex forecast - 3019'!R364+'Capex forecast - 3020'!R364+'Capex forecast - 3021'!R364+'Capex forecast - 3022'!R364+'Capex forecast - 3023'!R364+'Capex forecast - 3024'!R364+'Capex forecast - 3025'!R364+'Capex forecast - IT'!R364+'Capex forecast - other non-IT'!R364</f>
        <v>6220147.7805925347</v>
      </c>
      <c r="K16" s="45">
        <f>'Capex forecast - 3001'!S364+'Capex forecast - 3002'!S364+'Capex forecast - 3003'!S364+'Capex forecast - 3004'!S364+'Capex forecast - 3005'!S364+'Capex forecast - 3006'!S364++'Capex forecast - 3007'!S364+'Capex forecast - 3008'!S364+'Capex forecast - 3009'!S364+'Capex forecast - 3010'!S364+'Capex forecast - 3011'!S364+'Capex forecast - 3012'!S364+'Capex forecast - 3013'!S364+'Capex forecast - 3014'!S364+'Capex forecast - 3015'!S364+'Capex forecast - 3016'!S364+'Capex forecast - 3017'!S364+'Capex forecast - 3018'!S364+'Capex forecast - 3019'!S364+'Capex forecast - 3020'!S364+'Capex forecast - 3021'!S364+'Capex forecast - 3022'!S364+'Capex forecast - 3023'!S364+'Capex forecast - 3024'!S364+'Capex forecast - 3025'!S364+'Capex forecast - IT'!S364+'Capex forecast - other non-IT'!S364</f>
        <v>6355643.1706332639</v>
      </c>
      <c r="L16" s="45">
        <f>'Capex forecast - 3001'!T364+'Capex forecast - 3002'!T364+'Capex forecast - 3003'!T364+'Capex forecast - 3004'!T364+'Capex forecast - 3005'!T364+'Capex forecast - 3006'!T364++'Capex forecast - 3007'!T364+'Capex forecast - 3008'!T364+'Capex forecast - 3009'!T364+'Capex forecast - 3010'!T364+'Capex forecast - 3011'!T364+'Capex forecast - 3012'!T364+'Capex forecast - 3013'!T364+'Capex forecast - 3014'!T364+'Capex forecast - 3015'!T364+'Capex forecast - 3016'!T364+'Capex forecast - 3017'!T364+'Capex forecast - 3018'!T364+'Capex forecast - 3019'!T364+'Capex forecast - 3020'!T364+'Capex forecast - 3021'!T364+'Capex forecast - 3022'!T364+'Capex forecast - 3023'!T364+'Capex forecast - 3024'!T364+'Capex forecast - 3025'!T364+'Capex forecast - IT'!T364+'Capex forecast - other non-IT'!T364</f>
        <v>6500111.7843887471</v>
      </c>
      <c r="M16" s="45">
        <f>'Capex forecast - 3001'!U364+'Capex forecast - 3002'!U364+'Capex forecast - 3003'!U364+'Capex forecast - 3004'!U364+'Capex forecast - 3005'!U364+'Capex forecast - 3006'!U364++'Capex forecast - 3007'!U364+'Capex forecast - 3008'!U364+'Capex forecast - 3009'!U364+'Capex forecast - 3010'!U364+'Capex forecast - 3011'!U364+'Capex forecast - 3012'!U364+'Capex forecast - 3013'!U364+'Capex forecast - 3014'!U364+'Capex forecast - 3015'!U364+'Capex forecast - 3016'!U364+'Capex forecast - 3017'!U364+'Capex forecast - 3018'!U364+'Capex forecast - 3019'!U364+'Capex forecast - 3020'!U364+'Capex forecast - 3021'!U364+'Capex forecast - 3022'!U364+'Capex forecast - 3023'!U364+'Capex forecast - 3024'!U364+'Capex forecast - 3025'!U364+'Capex forecast - IT'!U364+'Capex forecast - other non-IT'!U364</f>
        <v>6676282.2353938101</v>
      </c>
      <c r="N16" s="45">
        <f>'Capex forecast - 3001'!V364+'Capex forecast - 3002'!V364+'Capex forecast - 3003'!V364+'Capex forecast - 3004'!V364+'Capex forecast - 3005'!V364+'Capex forecast - 3006'!V364++'Capex forecast - 3007'!V364+'Capex forecast - 3008'!V364+'Capex forecast - 3009'!V364+'Capex forecast - 3010'!V364+'Capex forecast - 3011'!V364+'Capex forecast - 3012'!V364+'Capex forecast - 3013'!V364+'Capex forecast - 3014'!V364+'Capex forecast - 3015'!V364+'Capex forecast - 3016'!V364+'Capex forecast - 3017'!V364+'Capex forecast - 3018'!V364+'Capex forecast - 3019'!V364+'Capex forecast - 3020'!V364+'Capex forecast - 3021'!V364+'Capex forecast - 3022'!V364+'Capex forecast - 3023'!V364+'Capex forecast - 3024'!V364+'Capex forecast - 3025'!V364+'Capex forecast - IT'!V364+'Capex forecast - other non-IT'!V364</f>
        <v>6575252.1621988676</v>
      </c>
      <c r="P16" s="40">
        <f t="shared" si="0"/>
        <v>32327437.133207224</v>
      </c>
    </row>
    <row r="17" spans="1:18">
      <c r="B17" s="38" t="s">
        <v>114</v>
      </c>
      <c r="D17" s="29"/>
      <c r="E17" s="29"/>
      <c r="H17" s="45"/>
      <c r="I17" s="45">
        <f>'Capex forecast - 3001'!Q365+'Capex forecast - 3002'!Q365+'Capex forecast - 3003'!Q365+'Capex forecast - 3004'!Q365+'Capex forecast - 3005'!Q365+'Capex forecast - 3006'!Q365++'Capex forecast - 3007'!Q365+'Capex forecast - 3008'!Q365+'Capex forecast - 3009'!Q365+'Capex forecast - 3010'!Q365+'Capex forecast - 3011'!Q365+'Capex forecast - 3012'!Q365+'Capex forecast - 3013'!Q365+'Capex forecast - 3014'!Q365+'Capex forecast - 3015'!Q365+'Capex forecast - 3016'!Q365+'Capex forecast - 3017'!Q365+'Capex forecast - 3018'!Q365+'Capex forecast - 3019'!Q365+'Capex forecast - 3020'!Q365+'Capex forecast - 3021'!Q365+'Capex forecast - 3022'!Q365+'Capex forecast - 3023'!Q365+'Capex forecast - 3024'!Q365+'Capex forecast - 3025'!Q365+'Capex forecast - IT'!Q365+'Capex forecast - other non-IT'!Q365</f>
        <v>4405243.7369720209</v>
      </c>
      <c r="J17" s="45">
        <f>'Capex forecast - 3001'!R365+'Capex forecast - 3002'!R365+'Capex forecast - 3003'!R365+'Capex forecast - 3004'!R365+'Capex forecast - 3005'!R365+'Capex forecast - 3006'!R365++'Capex forecast - 3007'!R365+'Capex forecast - 3008'!R365+'Capex forecast - 3009'!R365+'Capex forecast - 3010'!R365+'Capex forecast - 3011'!R365+'Capex forecast - 3012'!R365+'Capex forecast - 3013'!R365+'Capex forecast - 3014'!R365+'Capex forecast - 3015'!R365+'Capex forecast - 3016'!R365+'Capex forecast - 3017'!R365+'Capex forecast - 3018'!R365+'Capex forecast - 3019'!R365+'Capex forecast - 3020'!R365+'Capex forecast - 3021'!R365+'Capex forecast - 3022'!R365+'Capex forecast - 3023'!R365+'Capex forecast - 3024'!R365+'Capex forecast - 3025'!R365+'Capex forecast - IT'!R365+'Capex forecast - other non-IT'!R365</f>
        <v>4802556.6459911205</v>
      </c>
      <c r="K17" s="45">
        <f>'Capex forecast - 3001'!S365+'Capex forecast - 3002'!S365+'Capex forecast - 3003'!S365+'Capex forecast - 3004'!S365+'Capex forecast - 3005'!S365+'Capex forecast - 3006'!S365++'Capex forecast - 3007'!S365+'Capex forecast - 3008'!S365+'Capex forecast - 3009'!S365+'Capex forecast - 3010'!S365+'Capex forecast - 3011'!S365+'Capex forecast - 3012'!S365+'Capex forecast - 3013'!S365+'Capex forecast - 3014'!S365+'Capex forecast - 3015'!S365+'Capex forecast - 3016'!S365+'Capex forecast - 3017'!S365+'Capex forecast - 3018'!S365+'Capex forecast - 3019'!S365+'Capex forecast - 3020'!S365+'Capex forecast - 3021'!S365+'Capex forecast - 3022'!S365+'Capex forecast - 3023'!S365+'Capex forecast - 3024'!S365+'Capex forecast - 3025'!S365+'Capex forecast - IT'!S365+'Capex forecast - other non-IT'!S365</f>
        <v>5204664.208744783</v>
      </c>
      <c r="L17" s="45">
        <f>'Capex forecast - 3001'!T365+'Capex forecast - 3002'!T365+'Capex forecast - 3003'!T365+'Capex forecast - 3004'!T365+'Capex forecast - 3005'!T365+'Capex forecast - 3006'!T365++'Capex forecast - 3007'!T365+'Capex forecast - 3008'!T365+'Capex forecast - 3009'!T365+'Capex forecast - 3010'!T365+'Capex forecast - 3011'!T365+'Capex forecast - 3012'!T365+'Capex forecast - 3013'!T365+'Capex forecast - 3014'!T365+'Capex forecast - 3015'!T365+'Capex forecast - 3016'!T365+'Capex forecast - 3017'!T365+'Capex forecast - 3018'!T365+'Capex forecast - 3019'!T365+'Capex forecast - 3020'!T365+'Capex forecast - 3021'!T365+'Capex forecast - 3022'!T365+'Capex forecast - 3023'!T365+'Capex forecast - 3024'!T365+'Capex forecast - 3025'!T365+'Capex forecast - IT'!T365+'Capex forecast - other non-IT'!T365</f>
        <v>4608703.9840266164</v>
      </c>
      <c r="M17" s="45">
        <f>'Capex forecast - 3001'!U365+'Capex forecast - 3002'!U365+'Capex forecast - 3003'!U365+'Capex forecast - 3004'!U365+'Capex forecast - 3005'!U365+'Capex forecast - 3006'!U365++'Capex forecast - 3007'!U365+'Capex forecast - 3008'!U365+'Capex forecast - 3009'!U365+'Capex forecast - 3010'!U365+'Capex forecast - 3011'!U365+'Capex forecast - 3012'!U365+'Capex forecast - 3013'!U365+'Capex forecast - 3014'!U365+'Capex forecast - 3015'!U365+'Capex forecast - 3016'!U365+'Capex forecast - 3017'!U365+'Capex forecast - 3018'!U365+'Capex forecast - 3019'!U365+'Capex forecast - 3020'!U365+'Capex forecast - 3021'!U365+'Capex forecast - 3022'!U365+'Capex forecast - 3023'!U365+'Capex forecast - 3024'!U365+'Capex forecast - 3025'!U365+'Capex forecast - IT'!U365+'Capex forecast - other non-IT'!U365</f>
        <v>4288188.5838561608</v>
      </c>
      <c r="N17" s="45">
        <f>'Capex forecast - 3001'!V365+'Capex forecast - 3002'!V365+'Capex forecast - 3003'!V365+'Capex forecast - 3004'!V365+'Capex forecast - 3005'!V365+'Capex forecast - 3006'!V365++'Capex forecast - 3007'!V365+'Capex forecast - 3008'!V365+'Capex forecast - 3009'!V365+'Capex forecast - 3010'!V365+'Capex forecast - 3011'!V365+'Capex forecast - 3012'!V365+'Capex forecast - 3013'!V365+'Capex forecast - 3014'!V365+'Capex forecast - 3015'!V365+'Capex forecast - 3016'!V365+'Capex forecast - 3017'!V365+'Capex forecast - 3018'!V365+'Capex forecast - 3019'!V365+'Capex forecast - 3020'!V365+'Capex forecast - 3021'!V365+'Capex forecast - 3022'!V365+'Capex forecast - 3023'!V365+'Capex forecast - 3024'!V365+'Capex forecast - 3025'!V365+'Capex forecast - IT'!V365+'Capex forecast - other non-IT'!V365</f>
        <v>5055046.4523229608</v>
      </c>
      <c r="P17" s="40">
        <f t="shared" si="0"/>
        <v>23959159.87494164</v>
      </c>
    </row>
    <row r="18" spans="1:18">
      <c r="B18" s="38" t="s">
        <v>115</v>
      </c>
      <c r="D18" s="29"/>
      <c r="E18" s="29"/>
      <c r="H18" s="45"/>
      <c r="I18" s="45">
        <f>'Capex forecast - 3001'!Q366+'Capex forecast - 3002'!Q366+'Capex forecast - 3003'!Q366+'Capex forecast - 3004'!Q366+'Capex forecast - 3005'!Q366+'Capex forecast - 3006'!Q366++'Capex forecast - 3007'!Q366+'Capex forecast - 3008'!Q366+'Capex forecast - 3009'!Q366+'Capex forecast - 3010'!Q366+'Capex forecast - 3011'!Q366+'Capex forecast - 3012'!Q366+'Capex forecast - 3013'!Q366+'Capex forecast - 3014'!Q366+'Capex forecast - 3015'!Q366+'Capex forecast - 3016'!Q366+'Capex forecast - 3017'!Q366+'Capex forecast - 3018'!Q366+'Capex forecast - 3019'!Q366+'Capex forecast - 3020'!Q366+'Capex forecast - 3021'!Q366+'Capex forecast - 3022'!Q366+'Capex forecast - 3023'!Q366+'Capex forecast - 3024'!Q366+'Capex forecast - 3025'!Q366+'Capex forecast - IT'!Q366+'Capex forecast - other non-IT'!Q366</f>
        <v>852258.91087326931</v>
      </c>
      <c r="J18" s="45">
        <f>'Capex forecast - 3001'!R366+'Capex forecast - 3002'!R366+'Capex forecast - 3003'!R366+'Capex forecast - 3004'!R366+'Capex forecast - 3005'!R366+'Capex forecast - 3006'!R366++'Capex forecast - 3007'!R366+'Capex forecast - 3008'!R366+'Capex forecast - 3009'!R366+'Capex forecast - 3010'!R366+'Capex forecast - 3011'!R366+'Capex forecast - 3012'!R366+'Capex forecast - 3013'!R366+'Capex forecast - 3014'!R366+'Capex forecast - 3015'!R366+'Capex forecast - 3016'!R366+'Capex forecast - 3017'!R366+'Capex forecast - 3018'!R366+'Capex forecast - 3019'!R366+'Capex forecast - 3020'!R366+'Capex forecast - 3021'!R366+'Capex forecast - 3022'!R366+'Capex forecast - 3023'!R366+'Capex forecast - 3024'!R366+'Capex forecast - 3025'!R366+'Capex forecast - IT'!R366+'Capex forecast - other non-IT'!R366</f>
        <v>943759.44213977538</v>
      </c>
      <c r="K18" s="45">
        <f>'Capex forecast - 3001'!S366+'Capex forecast - 3002'!S366+'Capex forecast - 3003'!S366+'Capex forecast - 3004'!S366+'Capex forecast - 3005'!S366+'Capex forecast - 3006'!S366++'Capex forecast - 3007'!S366+'Capex forecast - 3008'!S366+'Capex forecast - 3009'!S366+'Capex forecast - 3010'!S366+'Capex forecast - 3011'!S366+'Capex forecast - 3012'!S366+'Capex forecast - 3013'!S366+'Capex forecast - 3014'!S366+'Capex forecast - 3015'!S366+'Capex forecast - 3016'!S366+'Capex forecast - 3017'!S366+'Capex forecast - 3018'!S366+'Capex forecast - 3019'!S366+'Capex forecast - 3020'!S366+'Capex forecast - 3021'!S366+'Capex forecast - 3022'!S366+'Capex forecast - 3023'!S366+'Capex forecast - 3024'!S366+'Capex forecast - 3025'!S366+'Capex forecast - IT'!S366+'Capex forecast - other non-IT'!S366</f>
        <v>1048060.898172687</v>
      </c>
      <c r="L18" s="45">
        <f>'Capex forecast - 3001'!T366+'Capex forecast - 3002'!T366+'Capex forecast - 3003'!T366+'Capex forecast - 3004'!T366+'Capex forecast - 3005'!T366+'Capex forecast - 3006'!T366++'Capex forecast - 3007'!T366+'Capex forecast - 3008'!T366+'Capex forecast - 3009'!T366+'Capex forecast - 3010'!T366+'Capex forecast - 3011'!T366+'Capex forecast - 3012'!T366+'Capex forecast - 3013'!T366+'Capex forecast - 3014'!T366+'Capex forecast - 3015'!T366+'Capex forecast - 3016'!T366+'Capex forecast - 3017'!T366+'Capex forecast - 3018'!T366+'Capex forecast - 3019'!T366+'Capex forecast - 3020'!T366+'Capex forecast - 3021'!T366+'Capex forecast - 3022'!T366+'Capex forecast - 3023'!T366+'Capex forecast - 3024'!T366+'Capex forecast - 3025'!T366+'Capex forecast - IT'!T366+'Capex forecast - other non-IT'!T366</f>
        <v>999433.34919721785</v>
      </c>
      <c r="M18" s="45">
        <f>'Capex forecast - 3001'!U366+'Capex forecast - 3002'!U366+'Capex forecast - 3003'!U366+'Capex forecast - 3004'!U366+'Capex forecast - 3005'!U366+'Capex forecast - 3006'!U366++'Capex forecast - 3007'!U366+'Capex forecast - 3008'!U366+'Capex forecast - 3009'!U366+'Capex forecast - 3010'!U366+'Capex forecast - 3011'!U366+'Capex forecast - 3012'!U366+'Capex forecast - 3013'!U366+'Capex forecast - 3014'!U366+'Capex forecast - 3015'!U366+'Capex forecast - 3016'!U366+'Capex forecast - 3017'!U366+'Capex forecast - 3018'!U366+'Capex forecast - 3019'!U366+'Capex forecast - 3020'!U366+'Capex forecast - 3021'!U366+'Capex forecast - 3022'!U366+'Capex forecast - 3023'!U366+'Capex forecast - 3024'!U366+'Capex forecast - 3025'!U366+'Capex forecast - IT'!U366+'Capex forecast - other non-IT'!U366</f>
        <v>902967.54315105756</v>
      </c>
      <c r="N18" s="45">
        <f>'Capex forecast - 3001'!V366+'Capex forecast - 3002'!V366+'Capex forecast - 3003'!V366+'Capex forecast - 3004'!V366+'Capex forecast - 3005'!V366+'Capex forecast - 3006'!V366++'Capex forecast - 3007'!V366+'Capex forecast - 3008'!V366+'Capex forecast - 3009'!V366+'Capex forecast - 3010'!V366+'Capex forecast - 3011'!V366+'Capex forecast - 3012'!V366+'Capex forecast - 3013'!V366+'Capex forecast - 3014'!V366+'Capex forecast - 3015'!V366+'Capex forecast - 3016'!V366+'Capex forecast - 3017'!V366+'Capex forecast - 3018'!V366+'Capex forecast - 3019'!V366+'Capex forecast - 3020'!V366+'Capex forecast - 3021'!V366+'Capex forecast - 3022'!V366+'Capex forecast - 3023'!V366+'Capex forecast - 3024'!V366+'Capex forecast - 3025'!V366+'Capex forecast - IT'!V366+'Capex forecast - other non-IT'!V366</f>
        <v>833089.71594745643</v>
      </c>
      <c r="P18" s="40">
        <f t="shared" si="0"/>
        <v>4727310.9486081945</v>
      </c>
    </row>
    <row r="19" spans="1:18">
      <c r="B19" s="38" t="s">
        <v>36</v>
      </c>
      <c r="D19" s="29"/>
      <c r="E19" s="29"/>
      <c r="H19" s="45"/>
      <c r="I19" s="45">
        <f>'Capex forecast - 3001'!Q367+'Capex forecast - 3002'!Q367+'Capex forecast - 3003'!Q367+'Capex forecast - 3004'!Q367+'Capex forecast - 3005'!Q367+'Capex forecast - 3006'!Q367++'Capex forecast - 3007'!Q367+'Capex forecast - 3008'!Q367+'Capex forecast - 3009'!Q367+'Capex forecast - 3010'!Q367+'Capex forecast - 3011'!Q367+'Capex forecast - 3012'!Q367+'Capex forecast - 3013'!Q367+'Capex forecast - 3014'!Q367+'Capex forecast - 3015'!Q367+'Capex forecast - 3016'!Q367+'Capex forecast - 3017'!Q367+'Capex forecast - 3018'!Q367+'Capex forecast - 3019'!Q367+'Capex forecast - 3020'!Q367+'Capex forecast - 3021'!Q367+'Capex forecast - 3022'!Q367+'Capex forecast - 3023'!Q367+'Capex forecast - 3024'!Q367+'Capex forecast - 3025'!Q367+'Capex forecast - IT'!Q367+'Capex forecast - other non-IT'!Q367</f>
        <v>930000</v>
      </c>
      <c r="J19" s="45">
        <f>'Capex forecast - 3001'!R367+'Capex forecast - 3002'!R367+'Capex forecast - 3003'!R367+'Capex forecast - 3004'!R367+'Capex forecast - 3005'!R367+'Capex forecast - 3006'!R367++'Capex forecast - 3007'!R367+'Capex forecast - 3008'!R367+'Capex forecast - 3009'!R367+'Capex forecast - 3010'!R367+'Capex forecast - 3011'!R367+'Capex forecast - 3012'!R367+'Capex forecast - 3013'!R367+'Capex forecast - 3014'!R367+'Capex forecast - 3015'!R367+'Capex forecast - 3016'!R367+'Capex forecast - 3017'!R367+'Capex forecast - 3018'!R367+'Capex forecast - 3019'!R367+'Capex forecast - 3020'!R367+'Capex forecast - 3021'!R367+'Capex forecast - 3022'!R367+'Capex forecast - 3023'!R367+'Capex forecast - 3024'!R367+'Capex forecast - 3025'!R367+'Capex forecast - IT'!R367+'Capex forecast - other non-IT'!R367</f>
        <v>6710401.5008526985</v>
      </c>
      <c r="K19" s="45">
        <f>'Capex forecast - 3001'!S367+'Capex forecast - 3002'!S367+'Capex forecast - 3003'!S367+'Capex forecast - 3004'!S367+'Capex forecast - 3005'!S367+'Capex forecast - 3006'!S367++'Capex forecast - 3007'!S367+'Capex forecast - 3008'!S367+'Capex forecast - 3009'!S367+'Capex forecast - 3010'!S367+'Capex forecast - 3011'!S367+'Capex forecast - 3012'!S367+'Capex forecast - 3013'!S367+'Capex forecast - 3014'!S367+'Capex forecast - 3015'!S367+'Capex forecast - 3016'!S367+'Capex forecast - 3017'!S367+'Capex forecast - 3018'!S367+'Capex forecast - 3019'!S367+'Capex forecast - 3020'!S367+'Capex forecast - 3021'!S367+'Capex forecast - 3022'!S367+'Capex forecast - 3023'!S367+'Capex forecast - 3024'!S367+'Capex forecast - 3025'!S367+'Capex forecast - IT'!S367+'Capex forecast - other non-IT'!S367</f>
        <v>2921122.1105312486</v>
      </c>
      <c r="L19" s="45">
        <f>'Capex forecast - 3001'!T367+'Capex forecast - 3002'!T367+'Capex forecast - 3003'!T367+'Capex forecast - 3004'!T367+'Capex forecast - 3005'!T367+'Capex forecast - 3006'!T367++'Capex forecast - 3007'!T367+'Capex forecast - 3008'!T367+'Capex forecast - 3009'!T367+'Capex forecast - 3010'!T367+'Capex forecast - 3011'!T367+'Capex forecast - 3012'!T367+'Capex forecast - 3013'!T367+'Capex forecast - 3014'!T367+'Capex forecast - 3015'!T367+'Capex forecast - 3016'!T367+'Capex forecast - 3017'!T367+'Capex forecast - 3018'!T367+'Capex forecast - 3019'!T367+'Capex forecast - 3020'!T367+'Capex forecast - 3021'!T367+'Capex forecast - 3022'!T367+'Capex forecast - 3023'!T367+'Capex forecast - 3024'!T367+'Capex forecast - 3025'!T367+'Capex forecast - IT'!T367+'Capex forecast - other non-IT'!T367</f>
        <v>583586.67918931914</v>
      </c>
      <c r="M19" s="45">
        <f>'Capex forecast - 3001'!U367+'Capex forecast - 3002'!U367+'Capex forecast - 3003'!U367+'Capex forecast - 3004'!U367+'Capex forecast - 3005'!U367+'Capex forecast - 3006'!U367++'Capex forecast - 3007'!U367+'Capex forecast - 3008'!U367+'Capex forecast - 3009'!U367+'Capex forecast - 3010'!U367+'Capex forecast - 3011'!U367+'Capex forecast - 3012'!U367+'Capex forecast - 3013'!U367+'Capex forecast - 3014'!U367+'Capex forecast - 3015'!U367+'Capex forecast - 3016'!U367+'Capex forecast - 3017'!U367+'Capex forecast - 3018'!U367+'Capex forecast - 3019'!U367+'Capex forecast - 3020'!U367+'Capex forecast - 3021'!U367+'Capex forecast - 3022'!U367+'Capex forecast - 3023'!U367+'Capex forecast - 3024'!U367+'Capex forecast - 3025'!U367+'Capex forecast - IT'!U367+'Capex forecast - other non-IT'!U367</f>
        <v>2015380.1127946689</v>
      </c>
      <c r="N19" s="45">
        <f>'Capex forecast - 3001'!V367+'Capex forecast - 3002'!V367+'Capex forecast - 3003'!V367+'Capex forecast - 3004'!V367+'Capex forecast - 3005'!V367+'Capex forecast - 3006'!V367++'Capex forecast - 3007'!V367+'Capex forecast - 3008'!V367+'Capex forecast - 3009'!V367+'Capex forecast - 3010'!V367+'Capex forecast - 3011'!V367+'Capex forecast - 3012'!V367+'Capex forecast - 3013'!V367+'Capex forecast - 3014'!V367+'Capex forecast - 3015'!V367+'Capex forecast - 3016'!V367+'Capex forecast - 3017'!V367+'Capex forecast - 3018'!V367+'Capex forecast - 3019'!V367+'Capex forecast - 3020'!V367+'Capex forecast - 3021'!V367+'Capex forecast - 3022'!V367+'Capex forecast - 3023'!V367+'Capex forecast - 3024'!V367+'Capex forecast - 3025'!V367+'Capex forecast - IT'!V367+'Capex forecast - other non-IT'!V367</f>
        <v>1071051.9420095519</v>
      </c>
      <c r="P19" s="40">
        <f t="shared" si="0"/>
        <v>13301542.345377486</v>
      </c>
    </row>
    <row r="20" spans="1:18">
      <c r="B20" s="38" t="s">
        <v>116</v>
      </c>
      <c r="D20" s="29"/>
      <c r="E20" s="29"/>
      <c r="H20" s="45"/>
      <c r="I20" s="45">
        <f>'Capex forecast - 3001'!Q368+'Capex forecast - 3002'!Q368+'Capex forecast - 3003'!Q368+'Capex forecast - 3004'!Q368+'Capex forecast - 3005'!Q368+'Capex forecast - 3006'!Q368++'Capex forecast - 3007'!Q368+'Capex forecast - 3008'!Q368+'Capex forecast - 3009'!Q368+'Capex forecast - 3010'!Q368+'Capex forecast - 3011'!Q368+'Capex forecast - 3012'!Q368+'Capex forecast - 3013'!Q368+'Capex forecast - 3014'!Q368+'Capex forecast - 3015'!Q368+'Capex forecast - 3016'!Q368+'Capex forecast - 3017'!Q368+'Capex forecast - 3018'!Q368+'Capex forecast - 3019'!Q368+'Capex forecast - 3020'!Q368+'Capex forecast - 3021'!Q368+'Capex forecast - 3022'!Q368+'Capex forecast - 3023'!Q368+'Capex forecast - 3024'!Q368+'Capex forecast - 3025'!Q368+'Capex forecast - IT'!Q368+'Capex forecast - other non-IT'!Q368</f>
        <v>6308130.1928902604</v>
      </c>
      <c r="J20" s="45">
        <f>'Capex forecast - 3001'!R368+'Capex forecast - 3002'!R368+'Capex forecast - 3003'!R368+'Capex forecast - 3004'!R368+'Capex forecast - 3005'!R368+'Capex forecast - 3006'!R368++'Capex forecast - 3007'!R368+'Capex forecast - 3008'!R368+'Capex forecast - 3009'!R368+'Capex forecast - 3010'!R368+'Capex forecast - 3011'!R368+'Capex forecast - 3012'!R368+'Capex forecast - 3013'!R368+'Capex forecast - 3014'!R368+'Capex forecast - 3015'!R368+'Capex forecast - 3016'!R368+'Capex forecast - 3017'!R368+'Capex forecast - 3018'!R368+'Capex forecast - 3019'!R368+'Capex forecast - 3020'!R368+'Capex forecast - 3021'!R368+'Capex forecast - 3022'!R368+'Capex forecast - 3023'!R368+'Capex forecast - 3024'!R368+'Capex forecast - 3025'!R368+'Capex forecast - IT'!R368+'Capex forecast - other non-IT'!R368</f>
        <v>13370409.377955636</v>
      </c>
      <c r="K20" s="45">
        <f>'Capex forecast - 3001'!S368+'Capex forecast - 3002'!S368+'Capex forecast - 3003'!S368+'Capex forecast - 3004'!S368+'Capex forecast - 3005'!S368+'Capex forecast - 3006'!S368++'Capex forecast - 3007'!S368+'Capex forecast - 3008'!S368+'Capex forecast - 3009'!S368+'Capex forecast - 3010'!S368+'Capex forecast - 3011'!S368+'Capex forecast - 3012'!S368+'Capex forecast - 3013'!S368+'Capex forecast - 3014'!S368+'Capex forecast - 3015'!S368+'Capex forecast - 3016'!S368+'Capex forecast - 3017'!S368+'Capex forecast - 3018'!S368+'Capex forecast - 3019'!S368+'Capex forecast - 3020'!S368+'Capex forecast - 3021'!S368+'Capex forecast - 3022'!S368+'Capex forecast - 3023'!S368+'Capex forecast - 3024'!S368+'Capex forecast - 3025'!S368+'Capex forecast - IT'!S368+'Capex forecast - other non-IT'!S368</f>
        <v>14579932.724899549</v>
      </c>
      <c r="L20" s="45">
        <f>'Capex forecast - 3001'!T368+'Capex forecast - 3002'!T368+'Capex forecast - 3003'!T368+'Capex forecast - 3004'!T368+'Capex forecast - 3005'!T368+'Capex forecast - 3006'!T368++'Capex forecast - 3007'!T368+'Capex forecast - 3008'!T368+'Capex forecast - 3009'!T368+'Capex forecast - 3010'!T368+'Capex forecast - 3011'!T368+'Capex forecast - 3012'!T368+'Capex forecast - 3013'!T368+'Capex forecast - 3014'!T368+'Capex forecast - 3015'!T368+'Capex forecast - 3016'!T368+'Capex forecast - 3017'!T368+'Capex forecast - 3018'!T368+'Capex forecast - 3019'!T368+'Capex forecast - 3020'!T368+'Capex forecast - 3021'!T368+'Capex forecast - 3022'!T368+'Capex forecast - 3023'!T368+'Capex forecast - 3024'!T368+'Capex forecast - 3025'!T368+'Capex forecast - IT'!T368+'Capex forecast - other non-IT'!T368</f>
        <v>11969278.594408192</v>
      </c>
      <c r="M20" s="45">
        <f>'Capex forecast - 3001'!U368+'Capex forecast - 3002'!U368+'Capex forecast - 3003'!U368+'Capex forecast - 3004'!U368+'Capex forecast - 3005'!U368+'Capex forecast - 3006'!U368++'Capex forecast - 3007'!U368+'Capex forecast - 3008'!U368+'Capex forecast - 3009'!U368+'Capex forecast - 3010'!U368+'Capex forecast - 3011'!U368+'Capex forecast - 3012'!U368+'Capex forecast - 3013'!U368+'Capex forecast - 3014'!U368+'Capex forecast - 3015'!U368+'Capex forecast - 3016'!U368+'Capex forecast - 3017'!U368+'Capex forecast - 3018'!U368+'Capex forecast - 3019'!U368+'Capex forecast - 3020'!U368+'Capex forecast - 3021'!U368+'Capex forecast - 3022'!U368+'Capex forecast - 3023'!U368+'Capex forecast - 3024'!U368+'Capex forecast - 3025'!U368+'Capex forecast - IT'!U368+'Capex forecast - other non-IT'!U368</f>
        <v>9374185.521784829</v>
      </c>
      <c r="N20" s="45">
        <f>'Capex forecast - 3001'!V368+'Capex forecast - 3002'!V368+'Capex forecast - 3003'!V368+'Capex forecast - 3004'!V368+'Capex forecast - 3005'!V368+'Capex forecast - 3006'!V368++'Capex forecast - 3007'!V368+'Capex forecast - 3008'!V368+'Capex forecast - 3009'!V368+'Capex forecast - 3010'!V368+'Capex forecast - 3011'!V368+'Capex forecast - 3012'!V368+'Capex forecast - 3013'!V368+'Capex forecast - 3014'!V368+'Capex forecast - 3015'!V368+'Capex forecast - 3016'!V368+'Capex forecast - 3017'!V368+'Capex forecast - 3018'!V368+'Capex forecast - 3019'!V368+'Capex forecast - 3020'!V368+'Capex forecast - 3021'!V368+'Capex forecast - 3022'!V368+'Capex forecast - 3023'!V368+'Capex forecast - 3024'!V368+'Capex forecast - 3025'!V368+'Capex forecast - IT'!V368+'Capex forecast - other non-IT'!V368</f>
        <v>6365470.0767898764</v>
      </c>
      <c r="P20" s="40">
        <f t="shared" si="0"/>
        <v>55659276.29583808</v>
      </c>
    </row>
    <row r="21" spans="1:18">
      <c r="B21" s="38" t="s">
        <v>35</v>
      </c>
      <c r="D21" s="29"/>
      <c r="E21" s="29"/>
      <c r="H21" s="45"/>
      <c r="I21" s="45">
        <f>'Capex forecast - 3001'!Q369+'Capex forecast - 3002'!Q369+'Capex forecast - 3003'!Q369+'Capex forecast - 3004'!Q369+'Capex forecast - 3005'!Q369+'Capex forecast - 3006'!Q369++'Capex forecast - 3007'!Q369+'Capex forecast - 3008'!Q369+'Capex forecast - 3009'!Q369+'Capex forecast - 3010'!Q369+'Capex forecast - 3011'!Q369+'Capex forecast - 3012'!Q369+'Capex forecast - 3013'!Q369+'Capex forecast - 3014'!Q369+'Capex forecast - 3015'!Q369+'Capex forecast - 3016'!Q369+'Capex forecast - 3017'!Q369+'Capex forecast - 3018'!Q369+'Capex forecast - 3019'!Q369+'Capex forecast - 3020'!Q369+'Capex forecast - 3021'!Q369+'Capex forecast - 3022'!Q369+'Capex forecast - 3023'!Q369+'Capex forecast - 3024'!Q369+'Capex forecast - 3025'!Q369+'Capex forecast - IT'!Q369+'Capex forecast - other non-IT'!Q369</f>
        <v>439002.85662744858</v>
      </c>
      <c r="J21" s="45">
        <f>'Capex forecast - 3001'!R369+'Capex forecast - 3002'!R369+'Capex forecast - 3003'!R369+'Capex forecast - 3004'!R369+'Capex forecast - 3005'!R369+'Capex forecast - 3006'!R369++'Capex forecast - 3007'!R369+'Capex forecast - 3008'!R369+'Capex forecast - 3009'!R369+'Capex forecast - 3010'!R369+'Capex forecast - 3011'!R369+'Capex forecast - 3012'!R369+'Capex forecast - 3013'!R369+'Capex forecast - 3014'!R369+'Capex forecast - 3015'!R369+'Capex forecast - 3016'!R369+'Capex forecast - 3017'!R369+'Capex forecast - 3018'!R369+'Capex forecast - 3019'!R369+'Capex forecast - 3020'!R369+'Capex forecast - 3021'!R369+'Capex forecast - 3022'!R369+'Capex forecast - 3023'!R369+'Capex forecast - 3024'!R369+'Capex forecast - 3025'!R369+'Capex forecast - IT'!R369+'Capex forecast - other non-IT'!R369</f>
        <v>403616.2003721004</v>
      </c>
      <c r="K21" s="45">
        <f>'Capex forecast - 3001'!S369+'Capex forecast - 3002'!S369+'Capex forecast - 3003'!S369+'Capex forecast - 3004'!S369+'Capex forecast - 3005'!S369+'Capex forecast - 3006'!S369++'Capex forecast - 3007'!S369+'Capex forecast - 3008'!S369+'Capex forecast - 3009'!S369+'Capex forecast - 3010'!S369+'Capex forecast - 3011'!S369+'Capex forecast - 3012'!S369+'Capex forecast - 3013'!S369+'Capex forecast - 3014'!S369+'Capex forecast - 3015'!S369+'Capex forecast - 3016'!S369+'Capex forecast - 3017'!S369+'Capex forecast - 3018'!S369+'Capex forecast - 3019'!S369+'Capex forecast - 3020'!S369+'Capex forecast - 3021'!S369+'Capex forecast - 3022'!S369+'Capex forecast - 3023'!S369+'Capex forecast - 3024'!S369+'Capex forecast - 3025'!S369+'Capex forecast - IT'!S369+'Capex forecast - other non-IT'!S369</f>
        <v>362197.83226479194</v>
      </c>
      <c r="L21" s="45">
        <f>'Capex forecast - 3001'!T369+'Capex forecast - 3002'!T369+'Capex forecast - 3003'!T369+'Capex forecast - 3004'!T369+'Capex forecast - 3005'!T369+'Capex forecast - 3006'!T369++'Capex forecast - 3007'!T369+'Capex forecast - 3008'!T369+'Capex forecast - 3009'!T369+'Capex forecast - 3010'!T369+'Capex forecast - 3011'!T369+'Capex forecast - 3012'!T369+'Capex forecast - 3013'!T369+'Capex forecast - 3014'!T369+'Capex forecast - 3015'!T369+'Capex forecast - 3016'!T369+'Capex forecast - 3017'!T369+'Capex forecast - 3018'!T369+'Capex forecast - 3019'!T369+'Capex forecast - 3020'!T369+'Capex forecast - 3021'!T369+'Capex forecast - 3022'!T369+'Capex forecast - 3023'!T369+'Capex forecast - 3024'!T369+'Capex forecast - 3025'!T369+'Capex forecast - IT'!T369+'Capex forecast - other non-IT'!T369</f>
        <v>329809.36843843543</v>
      </c>
      <c r="M21" s="45">
        <f>'Capex forecast - 3001'!U369+'Capex forecast - 3002'!U369+'Capex forecast - 3003'!U369+'Capex forecast - 3004'!U369+'Capex forecast - 3005'!U369+'Capex forecast - 3006'!U369++'Capex forecast - 3007'!U369+'Capex forecast - 3008'!U369+'Capex forecast - 3009'!U369+'Capex forecast - 3010'!U369+'Capex forecast - 3011'!U369+'Capex forecast - 3012'!U369+'Capex forecast - 3013'!U369+'Capex forecast - 3014'!U369+'Capex forecast - 3015'!U369+'Capex forecast - 3016'!U369+'Capex forecast - 3017'!U369+'Capex forecast - 3018'!U369+'Capex forecast - 3019'!U369+'Capex forecast - 3020'!U369+'Capex forecast - 3021'!U369+'Capex forecast - 3022'!U369+'Capex forecast - 3023'!U369+'Capex forecast - 3024'!U369+'Capex forecast - 3025'!U369+'Capex forecast - IT'!U369+'Capex forecast - other non-IT'!U369</f>
        <v>1319197.6312437584</v>
      </c>
      <c r="N21" s="45">
        <f>'Capex forecast - 3001'!V369+'Capex forecast - 3002'!V369+'Capex forecast - 3003'!V369+'Capex forecast - 3004'!V369+'Capex forecast - 3005'!V369+'Capex forecast - 3006'!V369++'Capex forecast - 3007'!V369+'Capex forecast - 3008'!V369+'Capex forecast - 3009'!V369+'Capex forecast - 3010'!V369+'Capex forecast - 3011'!V369+'Capex forecast - 3012'!V369+'Capex forecast - 3013'!V369+'Capex forecast - 3014'!V369+'Capex forecast - 3015'!V369+'Capex forecast - 3016'!V369+'Capex forecast - 3017'!V369+'Capex forecast - 3018'!V369+'Capex forecast - 3019'!V369+'Capex forecast - 3020'!V369+'Capex forecast - 3021'!V369+'Capex forecast - 3022'!V369+'Capex forecast - 3023'!V369+'Capex forecast - 3024'!V369+'Capex forecast - 3025'!V369+'Capex forecast - IT'!V369+'Capex forecast - other non-IT'!V369</f>
        <v>1422401.8446578321</v>
      </c>
      <c r="P21" s="40">
        <f t="shared" si="0"/>
        <v>3837222.8769769184</v>
      </c>
    </row>
    <row r="22" spans="1:18">
      <c r="B22" s="38" t="s">
        <v>117</v>
      </c>
      <c r="D22" s="29"/>
      <c r="E22" s="29"/>
      <c r="H22" s="45"/>
      <c r="I22" s="45">
        <f>'Capex forecast - 3001'!Q370+'Capex forecast - 3002'!Q370+'Capex forecast - 3003'!Q370+'Capex forecast - 3004'!Q370+'Capex forecast - 3005'!Q370+'Capex forecast - 3006'!Q370++'Capex forecast - 3007'!Q370+'Capex forecast - 3008'!Q370+'Capex forecast - 3009'!Q370+'Capex forecast - 3010'!Q370+'Capex forecast - 3011'!Q370+'Capex forecast - 3012'!Q370+'Capex forecast - 3013'!Q370+'Capex forecast - 3014'!Q370+'Capex forecast - 3015'!Q370+'Capex forecast - 3016'!Q370+'Capex forecast - 3017'!Q370+'Capex forecast - 3018'!Q370+'Capex forecast - 3019'!Q370+'Capex forecast - 3020'!Q370+'Capex forecast - 3021'!Q370+'Capex forecast - 3022'!Q370+'Capex forecast - 3023'!Q370+'Capex forecast - 3024'!Q370+'Capex forecast - 3025'!Q370+'Capex forecast - IT'!Q370+'Capex forecast - other non-IT'!Q370</f>
        <v>6132340.4360390855</v>
      </c>
      <c r="J22" s="45">
        <f>'Capex forecast - 3001'!R370+'Capex forecast - 3002'!R370+'Capex forecast - 3003'!R370+'Capex forecast - 3004'!R370+'Capex forecast - 3005'!R370+'Capex forecast - 3006'!R370++'Capex forecast - 3007'!R370+'Capex forecast - 3008'!R370+'Capex forecast - 3009'!R370+'Capex forecast - 3010'!R370+'Capex forecast - 3011'!R370+'Capex forecast - 3012'!R370+'Capex forecast - 3013'!R370+'Capex forecast - 3014'!R370+'Capex forecast - 3015'!R370+'Capex forecast - 3016'!R370+'Capex forecast - 3017'!R370+'Capex forecast - 3018'!R370+'Capex forecast - 3019'!R370+'Capex forecast - 3020'!R370+'Capex forecast - 3021'!R370+'Capex forecast - 3022'!R370+'Capex forecast - 3023'!R370+'Capex forecast - 3024'!R370+'Capex forecast - 3025'!R370+'Capex forecast - IT'!R370+'Capex forecast - other non-IT'!R370</f>
        <v>6385281.9039540282</v>
      </c>
      <c r="K22" s="45">
        <f>'Capex forecast - 3001'!S370+'Capex forecast - 3002'!S370+'Capex forecast - 3003'!S370+'Capex forecast - 3004'!S370+'Capex forecast - 3005'!S370+'Capex forecast - 3006'!S370++'Capex forecast - 3007'!S370+'Capex forecast - 3008'!S370+'Capex forecast - 3009'!S370+'Capex forecast - 3010'!S370+'Capex forecast - 3011'!S370+'Capex forecast - 3012'!S370+'Capex forecast - 3013'!S370+'Capex forecast - 3014'!S370+'Capex forecast - 3015'!S370+'Capex forecast - 3016'!S370+'Capex forecast - 3017'!S370+'Capex forecast - 3018'!S370+'Capex forecast - 3019'!S370+'Capex forecast - 3020'!S370+'Capex forecast - 3021'!S370+'Capex forecast - 3022'!S370+'Capex forecast - 3023'!S370+'Capex forecast - 3024'!S370+'Capex forecast - 3025'!S370+'Capex forecast - IT'!S370+'Capex forecast - other non-IT'!S370</f>
        <v>6648492.3034746395</v>
      </c>
      <c r="L22" s="45">
        <f>'Capex forecast - 3001'!T370+'Capex forecast - 3002'!T370+'Capex forecast - 3003'!T370+'Capex forecast - 3004'!T370+'Capex forecast - 3005'!T370+'Capex forecast - 3006'!T370++'Capex forecast - 3007'!T370+'Capex forecast - 3008'!T370+'Capex forecast - 3009'!T370+'Capex forecast - 3010'!T370+'Capex forecast - 3011'!T370+'Capex forecast - 3012'!T370+'Capex forecast - 3013'!T370+'Capex forecast - 3014'!T370+'Capex forecast - 3015'!T370+'Capex forecast - 3016'!T370+'Capex forecast - 3017'!T370+'Capex forecast - 3018'!T370+'Capex forecast - 3019'!T370+'Capex forecast - 3020'!T370+'Capex forecast - 3021'!T370+'Capex forecast - 3022'!T370+'Capex forecast - 3023'!T370+'Capex forecast - 3024'!T370+'Capex forecast - 3025'!T370+'Capex forecast - IT'!T370+'Capex forecast - other non-IT'!T370</f>
        <v>6111307.8405292071</v>
      </c>
      <c r="M22" s="45">
        <f>'Capex forecast - 3001'!U370+'Capex forecast - 3002'!U370+'Capex forecast - 3003'!U370+'Capex forecast - 3004'!U370+'Capex forecast - 3005'!U370+'Capex forecast - 3006'!U370++'Capex forecast - 3007'!U370+'Capex forecast - 3008'!U370+'Capex forecast - 3009'!U370+'Capex forecast - 3010'!U370+'Capex forecast - 3011'!U370+'Capex forecast - 3012'!U370+'Capex forecast - 3013'!U370+'Capex forecast - 3014'!U370+'Capex forecast - 3015'!U370+'Capex forecast - 3016'!U370+'Capex forecast - 3017'!U370+'Capex forecast - 3018'!U370+'Capex forecast - 3019'!U370+'Capex forecast - 3020'!U370+'Capex forecast - 3021'!U370+'Capex forecast - 3022'!U370+'Capex forecast - 3023'!U370+'Capex forecast - 3024'!U370+'Capex forecast - 3025'!U370+'Capex forecast - IT'!U370+'Capex forecast - other non-IT'!U370</f>
        <v>5772334.7164248414</v>
      </c>
      <c r="N22" s="45">
        <f>'Capex forecast - 3001'!V370+'Capex forecast - 3002'!V370+'Capex forecast - 3003'!V370+'Capex forecast - 3004'!V370+'Capex forecast - 3005'!V370+'Capex forecast - 3006'!V370++'Capex forecast - 3007'!V370+'Capex forecast - 3008'!V370+'Capex forecast - 3009'!V370+'Capex forecast - 3010'!V370+'Capex forecast - 3011'!V370+'Capex forecast - 3012'!V370+'Capex forecast - 3013'!V370+'Capex forecast - 3014'!V370+'Capex forecast - 3015'!V370+'Capex forecast - 3016'!V370+'Capex forecast - 3017'!V370+'Capex forecast - 3018'!V370+'Capex forecast - 3019'!V370+'Capex forecast - 3020'!V370+'Capex forecast - 3021'!V370+'Capex forecast - 3022'!V370+'Capex forecast - 3023'!V370+'Capex forecast - 3024'!V370+'Capex forecast - 3025'!V370+'Capex forecast - IT'!V370+'Capex forecast - other non-IT'!V370</f>
        <v>5801695.6868380271</v>
      </c>
      <c r="P22" s="40">
        <f t="shared" si="0"/>
        <v>30719112.451220743</v>
      </c>
    </row>
    <row r="23" spans="1:18">
      <c r="B23" s="38" t="s">
        <v>118</v>
      </c>
      <c r="D23" s="29"/>
      <c r="E23" s="29"/>
      <c r="H23" s="45"/>
      <c r="I23" s="45">
        <f>'Capex forecast - 3001'!Q371+'Capex forecast - 3002'!Q371+'Capex forecast - 3003'!Q371+'Capex forecast - 3004'!Q371+'Capex forecast - 3005'!Q371+'Capex forecast - 3006'!Q371++'Capex forecast - 3007'!Q371+'Capex forecast - 3008'!Q371+'Capex forecast - 3009'!Q371+'Capex forecast - 3010'!Q371+'Capex forecast - 3011'!Q371+'Capex forecast - 3012'!Q371+'Capex forecast - 3013'!Q371+'Capex forecast - 3014'!Q371+'Capex forecast - 3015'!Q371+'Capex forecast - 3016'!Q371+'Capex forecast - 3017'!Q371+'Capex forecast - 3018'!Q371+'Capex forecast - 3019'!Q371+'Capex forecast - 3020'!Q371+'Capex forecast - 3021'!Q371+'Capex forecast - 3022'!Q371+'Capex forecast - 3023'!Q371+'Capex forecast - 3024'!Q371+'Capex forecast - 3025'!Q371+'Capex forecast - IT'!Q371+'Capex forecast - other non-IT'!Q371</f>
        <v>5672032</v>
      </c>
      <c r="J23" s="45">
        <f>'Capex forecast - 3001'!R371+'Capex forecast - 3002'!R371+'Capex forecast - 3003'!R371+'Capex forecast - 3004'!R371+'Capex forecast - 3005'!R371+'Capex forecast - 3006'!R371++'Capex forecast - 3007'!R371+'Capex forecast - 3008'!R371+'Capex forecast - 3009'!R371+'Capex forecast - 3010'!R371+'Capex forecast - 3011'!R371+'Capex forecast - 3012'!R371+'Capex forecast - 3013'!R371+'Capex forecast - 3014'!R371+'Capex forecast - 3015'!R371+'Capex forecast - 3016'!R371+'Capex forecast - 3017'!R371+'Capex forecast - 3018'!R371+'Capex forecast - 3019'!R371+'Capex forecast - 3020'!R371+'Capex forecast - 3021'!R371+'Capex forecast - 3022'!R371+'Capex forecast - 3023'!R371+'Capex forecast - 3024'!R371+'Capex forecast - 3025'!R371+'Capex forecast - IT'!R371+'Capex forecast - other non-IT'!R371</f>
        <v>0</v>
      </c>
      <c r="K23" s="45">
        <f>'Capex forecast - 3001'!S371+'Capex forecast - 3002'!S371+'Capex forecast - 3003'!S371+'Capex forecast - 3004'!S371+'Capex forecast - 3005'!S371+'Capex forecast - 3006'!S371++'Capex forecast - 3007'!S371+'Capex forecast - 3008'!S371+'Capex forecast - 3009'!S371+'Capex forecast - 3010'!S371+'Capex forecast - 3011'!S371+'Capex forecast - 3012'!S371+'Capex forecast - 3013'!S371+'Capex forecast - 3014'!S371+'Capex forecast - 3015'!S371+'Capex forecast - 3016'!S371+'Capex forecast - 3017'!S371+'Capex forecast - 3018'!S371+'Capex forecast - 3019'!S371+'Capex forecast - 3020'!S371+'Capex forecast - 3021'!S371+'Capex forecast - 3022'!S371+'Capex forecast - 3023'!S371+'Capex forecast - 3024'!S371+'Capex forecast - 3025'!S371+'Capex forecast - IT'!S371+'Capex forecast - other non-IT'!S371</f>
        <v>0</v>
      </c>
      <c r="L23" s="45">
        <f>'Capex forecast - 3001'!T371+'Capex forecast - 3002'!T371+'Capex forecast - 3003'!T371+'Capex forecast - 3004'!T371+'Capex forecast - 3005'!T371+'Capex forecast - 3006'!T371++'Capex forecast - 3007'!T371+'Capex forecast - 3008'!T371+'Capex forecast - 3009'!T371+'Capex forecast - 3010'!T371+'Capex forecast - 3011'!T371+'Capex forecast - 3012'!T371+'Capex forecast - 3013'!T371+'Capex forecast - 3014'!T371+'Capex forecast - 3015'!T371+'Capex forecast - 3016'!T371+'Capex forecast - 3017'!T371+'Capex forecast - 3018'!T371+'Capex forecast - 3019'!T371+'Capex forecast - 3020'!T371+'Capex forecast - 3021'!T371+'Capex forecast - 3022'!T371+'Capex forecast - 3023'!T371+'Capex forecast - 3024'!T371+'Capex forecast - 3025'!T371+'Capex forecast - IT'!T371+'Capex forecast - other non-IT'!T371</f>
        <v>0</v>
      </c>
      <c r="M23" s="45">
        <f>'Capex forecast - 3001'!U371+'Capex forecast - 3002'!U371+'Capex forecast - 3003'!U371+'Capex forecast - 3004'!U371+'Capex forecast - 3005'!U371+'Capex forecast - 3006'!U371++'Capex forecast - 3007'!U371+'Capex forecast - 3008'!U371+'Capex forecast - 3009'!U371+'Capex forecast - 3010'!U371+'Capex forecast - 3011'!U371+'Capex forecast - 3012'!U371+'Capex forecast - 3013'!U371+'Capex forecast - 3014'!U371+'Capex forecast - 3015'!U371+'Capex forecast - 3016'!U371+'Capex forecast - 3017'!U371+'Capex forecast - 3018'!U371+'Capex forecast - 3019'!U371+'Capex forecast - 3020'!U371+'Capex forecast - 3021'!U371+'Capex forecast - 3022'!U371+'Capex forecast - 3023'!U371+'Capex forecast - 3024'!U371+'Capex forecast - 3025'!U371+'Capex forecast - IT'!U371+'Capex forecast - other non-IT'!U371</f>
        <v>0</v>
      </c>
      <c r="N23" s="45">
        <f>'Capex forecast - 3001'!V371+'Capex forecast - 3002'!V371+'Capex forecast - 3003'!V371+'Capex forecast - 3004'!V371+'Capex forecast - 3005'!V371+'Capex forecast - 3006'!V371++'Capex forecast - 3007'!V371+'Capex forecast - 3008'!V371+'Capex forecast - 3009'!V371+'Capex forecast - 3010'!V371+'Capex forecast - 3011'!V371+'Capex forecast - 3012'!V371+'Capex forecast - 3013'!V371+'Capex forecast - 3014'!V371+'Capex forecast - 3015'!V371+'Capex forecast - 3016'!V371+'Capex forecast - 3017'!V371+'Capex forecast - 3018'!V371+'Capex forecast - 3019'!V371+'Capex forecast - 3020'!V371+'Capex forecast - 3021'!V371+'Capex forecast - 3022'!V371+'Capex forecast - 3023'!V371+'Capex forecast - 3024'!V371+'Capex forecast - 3025'!V371+'Capex forecast - IT'!V371+'Capex forecast - other non-IT'!V371</f>
        <v>0</v>
      </c>
      <c r="P23" s="40">
        <f t="shared" si="0"/>
        <v>0</v>
      </c>
    </row>
    <row r="24" spans="1:18">
      <c r="B24" s="38" t="s">
        <v>119</v>
      </c>
      <c r="D24" s="29"/>
      <c r="E24" s="29"/>
      <c r="H24" s="45"/>
      <c r="I24" s="45">
        <f>'Capex forecast - 3001'!Q372+'Capex forecast - 3002'!Q372+'Capex forecast - 3003'!Q372+'Capex forecast - 3004'!Q372+'Capex forecast - 3005'!Q372+'Capex forecast - 3006'!Q372++'Capex forecast - 3007'!Q372+'Capex forecast - 3008'!Q372+'Capex forecast - 3009'!Q372+'Capex forecast - 3010'!Q372+'Capex forecast - 3011'!Q372+'Capex forecast - 3012'!Q372+'Capex forecast - 3013'!Q372+'Capex forecast - 3014'!Q372+'Capex forecast - 3015'!Q372+'Capex forecast - 3016'!Q372+'Capex forecast - 3017'!Q372+'Capex forecast - 3018'!Q372+'Capex forecast - 3019'!Q372+'Capex forecast - 3020'!Q372+'Capex forecast - 3021'!Q372+'Capex forecast - 3022'!Q372+'Capex forecast - 3023'!Q372+'Capex forecast - 3024'!Q372+'Capex forecast - 3025'!Q372+'Capex forecast - IT'!Q372+'Capex forecast - other non-IT'!Q372</f>
        <v>0</v>
      </c>
      <c r="J24" s="45">
        <f>'Capex forecast - 3001'!R372+'Capex forecast - 3002'!R372+'Capex forecast - 3003'!R372+'Capex forecast - 3004'!R372+'Capex forecast - 3005'!R372+'Capex forecast - 3006'!R372++'Capex forecast - 3007'!R372+'Capex forecast - 3008'!R372+'Capex forecast - 3009'!R372+'Capex forecast - 3010'!R372+'Capex forecast - 3011'!R372+'Capex forecast - 3012'!R372+'Capex forecast - 3013'!R372+'Capex forecast - 3014'!R372+'Capex forecast - 3015'!R372+'Capex forecast - 3016'!R372+'Capex forecast - 3017'!R372+'Capex forecast - 3018'!R372+'Capex forecast - 3019'!R372+'Capex forecast - 3020'!R372+'Capex forecast - 3021'!R372+'Capex forecast - 3022'!R372+'Capex forecast - 3023'!R372+'Capex forecast - 3024'!R372+'Capex forecast - 3025'!R372+'Capex forecast - IT'!R372+'Capex forecast - other non-IT'!R372</f>
        <v>0</v>
      </c>
      <c r="K24" s="45">
        <f>'Capex forecast - 3001'!S372+'Capex forecast - 3002'!S372+'Capex forecast - 3003'!S372+'Capex forecast - 3004'!S372+'Capex forecast - 3005'!S372+'Capex forecast - 3006'!S372++'Capex forecast - 3007'!S372+'Capex forecast - 3008'!S372+'Capex forecast - 3009'!S372+'Capex forecast - 3010'!S372+'Capex forecast - 3011'!S372+'Capex forecast - 3012'!S372+'Capex forecast - 3013'!S372+'Capex forecast - 3014'!S372+'Capex forecast - 3015'!S372+'Capex forecast - 3016'!S372+'Capex forecast - 3017'!S372+'Capex forecast - 3018'!S372+'Capex forecast - 3019'!S372+'Capex forecast - 3020'!S372+'Capex forecast - 3021'!S372+'Capex forecast - 3022'!S372+'Capex forecast - 3023'!S372+'Capex forecast - 3024'!S372+'Capex forecast - 3025'!S372+'Capex forecast - IT'!S372+'Capex forecast - other non-IT'!S372</f>
        <v>0</v>
      </c>
      <c r="L24" s="45">
        <f>'Capex forecast - 3001'!T372+'Capex forecast - 3002'!T372+'Capex forecast - 3003'!T372+'Capex forecast - 3004'!T372+'Capex forecast - 3005'!T372+'Capex forecast - 3006'!T372++'Capex forecast - 3007'!T372+'Capex forecast - 3008'!T372+'Capex forecast - 3009'!T372+'Capex forecast - 3010'!T372+'Capex forecast - 3011'!T372+'Capex forecast - 3012'!T372+'Capex forecast - 3013'!T372+'Capex forecast - 3014'!T372+'Capex forecast - 3015'!T372+'Capex forecast - 3016'!T372+'Capex forecast - 3017'!T372+'Capex forecast - 3018'!T372+'Capex forecast - 3019'!T372+'Capex forecast - 3020'!T372+'Capex forecast - 3021'!T372+'Capex forecast - 3022'!T372+'Capex forecast - 3023'!T372+'Capex forecast - 3024'!T372+'Capex forecast - 3025'!T372+'Capex forecast - IT'!T372+'Capex forecast - other non-IT'!T372</f>
        <v>0</v>
      </c>
      <c r="M24" s="45">
        <f>'Capex forecast - 3001'!U372+'Capex forecast - 3002'!U372+'Capex forecast - 3003'!U372+'Capex forecast - 3004'!U372+'Capex forecast - 3005'!U372+'Capex forecast - 3006'!U372++'Capex forecast - 3007'!U372+'Capex forecast - 3008'!U372+'Capex forecast - 3009'!U372+'Capex forecast - 3010'!U372+'Capex forecast - 3011'!U372+'Capex forecast - 3012'!U372+'Capex forecast - 3013'!U372+'Capex forecast - 3014'!U372+'Capex forecast - 3015'!U372+'Capex forecast - 3016'!U372+'Capex forecast - 3017'!U372+'Capex forecast - 3018'!U372+'Capex forecast - 3019'!U372+'Capex forecast - 3020'!U372+'Capex forecast - 3021'!U372+'Capex forecast - 3022'!U372+'Capex forecast - 3023'!U372+'Capex forecast - 3024'!U372+'Capex forecast - 3025'!U372+'Capex forecast - IT'!U372+'Capex forecast - other non-IT'!U372</f>
        <v>0</v>
      </c>
      <c r="N24" s="45">
        <f>'Capex forecast - 3001'!V372+'Capex forecast - 3002'!V372+'Capex forecast - 3003'!V372+'Capex forecast - 3004'!V372+'Capex forecast - 3005'!V372+'Capex forecast - 3006'!V372++'Capex forecast - 3007'!V372+'Capex forecast - 3008'!V372+'Capex forecast - 3009'!V372+'Capex forecast - 3010'!V372+'Capex forecast - 3011'!V372+'Capex forecast - 3012'!V372+'Capex forecast - 3013'!V372+'Capex forecast - 3014'!V372+'Capex forecast - 3015'!V372+'Capex forecast - 3016'!V372+'Capex forecast - 3017'!V372+'Capex forecast - 3018'!V372+'Capex forecast - 3019'!V372+'Capex forecast - 3020'!V372+'Capex forecast - 3021'!V372+'Capex forecast - 3022'!V372+'Capex forecast - 3023'!V372+'Capex forecast - 3024'!V372+'Capex forecast - 3025'!V372+'Capex forecast - IT'!V372+'Capex forecast - other non-IT'!V372</f>
        <v>0</v>
      </c>
      <c r="P24" s="40">
        <f t="shared" si="0"/>
        <v>0</v>
      </c>
    </row>
    <row r="25" spans="1:18">
      <c r="B25" s="38" t="s">
        <v>74</v>
      </c>
      <c r="D25" s="29"/>
      <c r="E25" s="29"/>
      <c r="H25" s="45"/>
      <c r="I25" s="45">
        <f>'Capex forecast - 3001'!Q373+'Capex forecast - 3002'!Q373+'Capex forecast - 3003'!Q373+'Capex forecast - 3004'!Q373+'Capex forecast - 3005'!Q373+'Capex forecast - 3006'!Q373++'Capex forecast - 3007'!Q373+'Capex forecast - 3008'!Q373+'Capex forecast - 3009'!Q373+'Capex forecast - 3010'!Q373+'Capex forecast - 3011'!Q373+'Capex forecast - 3012'!Q373+'Capex forecast - 3013'!Q373+'Capex forecast - 3014'!Q373+'Capex forecast - 3015'!Q373+'Capex forecast - 3016'!Q373+'Capex forecast - 3017'!Q373+'Capex forecast - 3018'!Q373+'Capex forecast - 3019'!Q373+'Capex forecast - 3020'!Q373+'Capex forecast - 3021'!Q373+'Capex forecast - 3022'!Q373+'Capex forecast - 3023'!Q373+'Capex forecast - 3024'!Q373+'Capex forecast - 3025'!Q373+'Capex forecast - IT'!Q373+'Capex forecast - other non-IT'!Q373</f>
        <v>-11641718.096271764</v>
      </c>
      <c r="J25" s="45">
        <f>'Capex forecast - 3001'!R373+'Capex forecast - 3002'!R373+'Capex forecast - 3003'!R373+'Capex forecast - 3004'!R373+'Capex forecast - 3005'!R373+'Capex forecast - 3006'!R373++'Capex forecast - 3007'!R373+'Capex forecast - 3008'!R373+'Capex forecast - 3009'!R373+'Capex forecast - 3010'!R373+'Capex forecast - 3011'!R373+'Capex forecast - 3012'!R373+'Capex forecast - 3013'!R373+'Capex forecast - 3014'!R373+'Capex forecast - 3015'!R373+'Capex forecast - 3016'!R373+'Capex forecast - 3017'!R373+'Capex forecast - 3018'!R373+'Capex forecast - 3019'!R373+'Capex forecast - 3020'!R373+'Capex forecast - 3021'!R373+'Capex forecast - 3022'!R373+'Capex forecast - 3023'!R373+'Capex forecast - 3024'!R373+'Capex forecast - 3025'!R373+'Capex forecast - IT'!R373+'Capex forecast - other non-IT'!R373</f>
        <v>-3982343.7074934309</v>
      </c>
      <c r="K25" s="45">
        <f>'Capex forecast - 3001'!S373+'Capex forecast - 3002'!S373+'Capex forecast - 3003'!S373+'Capex forecast - 3004'!S373+'Capex forecast - 3005'!S373+'Capex forecast - 3006'!S373++'Capex forecast - 3007'!S373+'Capex forecast - 3008'!S373+'Capex forecast - 3009'!S373+'Capex forecast - 3010'!S373+'Capex forecast - 3011'!S373+'Capex forecast - 3012'!S373+'Capex forecast - 3013'!S373+'Capex forecast - 3014'!S373+'Capex forecast - 3015'!S373+'Capex forecast - 3016'!S373+'Capex forecast - 3017'!S373+'Capex forecast - 3018'!S373+'Capex forecast - 3019'!S373+'Capex forecast - 3020'!S373+'Capex forecast - 3021'!S373+'Capex forecast - 3022'!S373+'Capex forecast - 3023'!S373+'Capex forecast - 3024'!S373+'Capex forecast - 3025'!S373+'Capex forecast - IT'!S373+'Capex forecast - other non-IT'!S373</f>
        <v>-4048772.0386254322</v>
      </c>
      <c r="L25" s="45">
        <f>'Capex forecast - 3001'!T373+'Capex forecast - 3002'!T373+'Capex forecast - 3003'!T373+'Capex forecast - 3004'!T373+'Capex forecast - 3005'!T373+'Capex forecast - 3006'!T373++'Capex forecast - 3007'!T373+'Capex forecast - 3008'!T373+'Capex forecast - 3009'!T373+'Capex forecast - 3010'!T373+'Capex forecast - 3011'!T373+'Capex forecast - 3012'!T373+'Capex forecast - 3013'!T373+'Capex forecast - 3014'!T373+'Capex forecast - 3015'!T373+'Capex forecast - 3016'!T373+'Capex forecast - 3017'!T373+'Capex forecast - 3018'!T373+'Capex forecast - 3019'!T373+'Capex forecast - 3020'!T373+'Capex forecast - 3021'!T373+'Capex forecast - 3022'!T373+'Capex forecast - 3023'!T373+'Capex forecast - 3024'!T373+'Capex forecast - 3025'!T373+'Capex forecast - IT'!T373+'Capex forecast - other non-IT'!T373</f>
        <v>-4111135.4678959427</v>
      </c>
      <c r="M25" s="45">
        <f>'Capex forecast - 3001'!U373+'Capex forecast - 3002'!U373+'Capex forecast - 3003'!U373+'Capex forecast - 3004'!U373+'Capex forecast - 3005'!U373+'Capex forecast - 3006'!U373++'Capex forecast - 3007'!U373+'Capex forecast - 3008'!U373+'Capex forecast - 3009'!U373+'Capex forecast - 3010'!U373+'Capex forecast - 3011'!U373+'Capex forecast - 3012'!U373+'Capex forecast - 3013'!U373+'Capex forecast - 3014'!U373+'Capex forecast - 3015'!U373+'Capex forecast - 3016'!U373+'Capex forecast - 3017'!U373+'Capex forecast - 3018'!U373+'Capex forecast - 3019'!U373+'Capex forecast - 3020'!U373+'Capex forecast - 3021'!U373+'Capex forecast - 3022'!U373+'Capex forecast - 3023'!U373+'Capex forecast - 3024'!U373+'Capex forecast - 3025'!U373+'Capex forecast - IT'!U373+'Capex forecast - other non-IT'!U373</f>
        <v>-4200375.9337219931</v>
      </c>
      <c r="N25" s="45">
        <f>'Capex forecast - 3001'!V373+'Capex forecast - 3002'!V373+'Capex forecast - 3003'!V373+'Capex forecast - 3004'!V373+'Capex forecast - 3005'!V373+'Capex forecast - 3006'!V373++'Capex forecast - 3007'!V373+'Capex forecast - 3008'!V373+'Capex forecast - 3009'!V373+'Capex forecast - 3010'!V373+'Capex forecast - 3011'!V373+'Capex forecast - 3012'!V373+'Capex forecast - 3013'!V373+'Capex forecast - 3014'!V373+'Capex forecast - 3015'!V373+'Capex forecast - 3016'!V373+'Capex forecast - 3017'!V373+'Capex forecast - 3018'!V373+'Capex forecast - 3019'!V373+'Capex forecast - 3020'!V373+'Capex forecast - 3021'!V373+'Capex forecast - 3022'!V373+'Capex forecast - 3023'!V373+'Capex forecast - 3024'!V373+'Capex forecast - 3025'!V373+'Capex forecast - IT'!V373+'Capex forecast - other non-IT'!V373</f>
        <v>-4210907.4367180727</v>
      </c>
      <c r="P25" s="40">
        <f t="shared" si="0"/>
        <v>-20553534.584454872</v>
      </c>
    </row>
    <row r="26" spans="1:18">
      <c r="B26" s="38" t="s">
        <v>75</v>
      </c>
      <c r="D26" s="29"/>
      <c r="E26" s="29"/>
      <c r="H26" s="45"/>
      <c r="I26" s="45">
        <f>'Capex forecast - 3001'!Q374+'Capex forecast - 3002'!Q374+'Capex forecast - 3003'!Q374+'Capex forecast - 3004'!Q374+'Capex forecast - 3005'!Q374+'Capex forecast - 3006'!Q374++'Capex forecast - 3007'!Q374+'Capex forecast - 3008'!Q374+'Capex forecast - 3009'!Q374+'Capex forecast - 3010'!Q374+'Capex forecast - 3011'!Q374+'Capex forecast - 3012'!Q374+'Capex forecast - 3013'!Q374+'Capex forecast - 3014'!Q374+'Capex forecast - 3015'!Q374+'Capex forecast - 3016'!Q374+'Capex forecast - 3017'!Q374+'Capex forecast - 3018'!Q374+'Capex forecast - 3019'!Q374+'Capex forecast - 3020'!Q374+'Capex forecast - 3021'!Q374+'Capex forecast - 3022'!Q374+'Capex forecast - 3023'!Q374+'Capex forecast - 3024'!Q374+'Capex forecast - 3025'!Q374+'Capex forecast - IT'!Q374+'Capex forecast - other non-IT'!Q374</f>
        <v>0</v>
      </c>
      <c r="J26" s="45">
        <f>'Capex forecast - 3001'!R374+'Capex forecast - 3002'!R374+'Capex forecast - 3003'!R374+'Capex forecast - 3004'!R374+'Capex forecast - 3005'!R374+'Capex forecast - 3006'!R374++'Capex forecast - 3007'!R374+'Capex forecast - 3008'!R374+'Capex forecast - 3009'!R374+'Capex forecast - 3010'!R374+'Capex forecast - 3011'!R374+'Capex forecast - 3012'!R374+'Capex forecast - 3013'!R374+'Capex forecast - 3014'!R374+'Capex forecast - 3015'!R374+'Capex forecast - 3016'!R374+'Capex forecast - 3017'!R374+'Capex forecast - 3018'!R374+'Capex forecast - 3019'!R374+'Capex forecast - 3020'!R374+'Capex forecast - 3021'!R374+'Capex forecast - 3022'!R374+'Capex forecast - 3023'!R374+'Capex forecast - 3024'!R374+'Capex forecast - 3025'!R374+'Capex forecast - IT'!R374+'Capex forecast - other non-IT'!R374</f>
        <v>0</v>
      </c>
      <c r="K26" s="45">
        <f>'Capex forecast - 3001'!S374+'Capex forecast - 3002'!S374+'Capex forecast - 3003'!S374+'Capex forecast - 3004'!S374+'Capex forecast - 3005'!S374+'Capex forecast - 3006'!S374++'Capex forecast - 3007'!S374+'Capex forecast - 3008'!S374+'Capex forecast - 3009'!S374+'Capex forecast - 3010'!S374+'Capex forecast - 3011'!S374+'Capex forecast - 3012'!S374+'Capex forecast - 3013'!S374+'Capex forecast - 3014'!S374+'Capex forecast - 3015'!S374+'Capex forecast - 3016'!S374+'Capex forecast - 3017'!S374+'Capex forecast - 3018'!S374+'Capex forecast - 3019'!S374+'Capex forecast - 3020'!S374+'Capex forecast - 3021'!S374+'Capex forecast - 3022'!S374+'Capex forecast - 3023'!S374+'Capex forecast - 3024'!S374+'Capex forecast - 3025'!S374+'Capex forecast - IT'!S374+'Capex forecast - other non-IT'!S374</f>
        <v>0</v>
      </c>
      <c r="L26" s="45">
        <f>'Capex forecast - 3001'!T374+'Capex forecast - 3002'!T374+'Capex forecast - 3003'!T374+'Capex forecast - 3004'!T374+'Capex forecast - 3005'!T374+'Capex forecast - 3006'!T374++'Capex forecast - 3007'!T374+'Capex forecast - 3008'!T374+'Capex forecast - 3009'!T374+'Capex forecast - 3010'!T374+'Capex forecast - 3011'!T374+'Capex forecast - 3012'!T374+'Capex forecast - 3013'!T374+'Capex forecast - 3014'!T374+'Capex forecast - 3015'!T374+'Capex forecast - 3016'!T374+'Capex forecast - 3017'!T374+'Capex forecast - 3018'!T374+'Capex forecast - 3019'!T374+'Capex forecast - 3020'!T374+'Capex forecast - 3021'!T374+'Capex forecast - 3022'!T374+'Capex forecast - 3023'!T374+'Capex forecast - 3024'!T374+'Capex forecast - 3025'!T374+'Capex forecast - IT'!T374+'Capex forecast - other non-IT'!T374</f>
        <v>0</v>
      </c>
      <c r="M26" s="45">
        <f>'Capex forecast - 3001'!U374+'Capex forecast - 3002'!U374+'Capex forecast - 3003'!U374+'Capex forecast - 3004'!U374+'Capex forecast - 3005'!U374+'Capex forecast - 3006'!U374++'Capex forecast - 3007'!U374+'Capex forecast - 3008'!U374+'Capex forecast - 3009'!U374+'Capex forecast - 3010'!U374+'Capex forecast - 3011'!U374+'Capex forecast - 3012'!U374+'Capex forecast - 3013'!U374+'Capex forecast - 3014'!U374+'Capex forecast - 3015'!U374+'Capex forecast - 3016'!U374+'Capex forecast - 3017'!U374+'Capex forecast - 3018'!U374+'Capex forecast - 3019'!U374+'Capex forecast - 3020'!U374+'Capex forecast - 3021'!U374+'Capex forecast - 3022'!U374+'Capex forecast - 3023'!U374+'Capex forecast - 3024'!U374+'Capex forecast - 3025'!U374+'Capex forecast - IT'!U374+'Capex forecast - other non-IT'!U374</f>
        <v>0</v>
      </c>
      <c r="N26" s="45">
        <f>'Capex forecast - 3001'!V374+'Capex forecast - 3002'!V374+'Capex forecast - 3003'!V374+'Capex forecast - 3004'!V374+'Capex forecast - 3005'!V374+'Capex forecast - 3006'!V374++'Capex forecast - 3007'!V374+'Capex forecast - 3008'!V374+'Capex forecast - 3009'!V374+'Capex forecast - 3010'!V374+'Capex forecast - 3011'!V374+'Capex forecast - 3012'!V374+'Capex forecast - 3013'!V374+'Capex forecast - 3014'!V374+'Capex forecast - 3015'!V374+'Capex forecast - 3016'!V374+'Capex forecast - 3017'!V374+'Capex forecast - 3018'!V374+'Capex forecast - 3019'!V374+'Capex forecast - 3020'!V374+'Capex forecast - 3021'!V374+'Capex forecast - 3022'!V374+'Capex forecast - 3023'!V374+'Capex forecast - 3024'!V374+'Capex forecast - 3025'!V374+'Capex forecast - IT'!V374+'Capex forecast - other non-IT'!V374</f>
        <v>0</v>
      </c>
      <c r="P26" s="40">
        <f t="shared" si="0"/>
        <v>0</v>
      </c>
    </row>
    <row r="27" spans="1:18">
      <c r="B27" s="38" t="s">
        <v>18</v>
      </c>
      <c r="D27" s="29"/>
      <c r="E27" s="29"/>
      <c r="H27" s="45"/>
      <c r="I27" s="45">
        <f>'Capex forecast - 3001'!Q375+'Capex forecast - 3002'!Q375+'Capex forecast - 3003'!Q375+'Capex forecast - 3004'!Q375+'Capex forecast - 3005'!Q375+'Capex forecast - 3006'!Q375++'Capex forecast - 3007'!Q375+'Capex forecast - 3008'!Q375+'Capex forecast - 3009'!Q375+'Capex forecast - 3010'!Q375+'Capex forecast - 3011'!Q375+'Capex forecast - 3012'!Q375+'Capex forecast - 3013'!Q375+'Capex forecast - 3014'!Q375+'Capex forecast - 3015'!Q375+'Capex forecast - 3016'!Q375+'Capex forecast - 3017'!Q375+'Capex forecast - 3018'!Q375+'Capex forecast - 3019'!Q375+'Capex forecast - 3020'!Q375+'Capex forecast - 3021'!Q375+'Capex forecast - 3022'!Q375+'Capex forecast - 3023'!Q375+'Capex forecast - 3024'!Q375+'Capex forecast - 3025'!Q375+'Capex forecast - IT'!Q375+'Capex forecast - other non-IT'!Q375</f>
        <v>6942378.2001150176</v>
      </c>
      <c r="J27" s="45">
        <f>'Capex forecast - 3001'!R375+'Capex forecast - 3002'!R375+'Capex forecast - 3003'!R375+'Capex forecast - 3004'!R375+'Capex forecast - 3005'!R375+'Capex forecast - 3006'!R375++'Capex forecast - 3007'!R375+'Capex forecast - 3008'!R375+'Capex forecast - 3009'!R375+'Capex forecast - 3010'!R375+'Capex forecast - 3011'!R375+'Capex forecast - 3012'!R375+'Capex forecast - 3013'!R375+'Capex forecast - 3014'!R375+'Capex forecast - 3015'!R375+'Capex forecast - 3016'!R375+'Capex forecast - 3017'!R375+'Capex forecast - 3018'!R375+'Capex forecast - 3019'!R375+'Capex forecast - 3020'!R375+'Capex forecast - 3021'!R375+'Capex forecast - 3022'!R375+'Capex forecast - 3023'!R375+'Capex forecast - 3024'!R375+'Capex forecast - 3025'!R375+'Capex forecast - IT'!R375+'Capex forecast - other non-IT'!R375</f>
        <v>6981529.0890362049</v>
      </c>
      <c r="K27" s="45">
        <f>'Capex forecast - 3001'!S375+'Capex forecast - 3002'!S375+'Capex forecast - 3003'!S375+'Capex forecast - 3004'!S375+'Capex forecast - 3005'!S375+'Capex forecast - 3006'!S375++'Capex forecast - 3007'!S375+'Capex forecast - 3008'!S375+'Capex forecast - 3009'!S375+'Capex forecast - 3010'!S375+'Capex forecast - 3011'!S375+'Capex forecast - 3012'!S375+'Capex forecast - 3013'!S375+'Capex forecast - 3014'!S375+'Capex forecast - 3015'!S375+'Capex forecast - 3016'!S375+'Capex forecast - 3017'!S375+'Capex forecast - 3018'!S375+'Capex forecast - 3019'!S375+'Capex forecast - 3020'!S375+'Capex forecast - 3021'!S375+'Capex forecast - 3022'!S375+'Capex forecast - 3023'!S375+'Capex forecast - 3024'!S375+'Capex forecast - 3025'!S375+'Capex forecast - IT'!S375+'Capex forecast - other non-IT'!S375</f>
        <v>7026543.212359474</v>
      </c>
      <c r="L27" s="45">
        <f>'Capex forecast - 3001'!T375+'Capex forecast - 3002'!T375+'Capex forecast - 3003'!T375+'Capex forecast - 3004'!T375+'Capex forecast - 3005'!T375+'Capex forecast - 3006'!T375++'Capex forecast - 3007'!T375+'Capex forecast - 3008'!T375+'Capex forecast - 3009'!T375+'Capex forecast - 3010'!T375+'Capex forecast - 3011'!T375+'Capex forecast - 3012'!T375+'Capex forecast - 3013'!T375+'Capex forecast - 3014'!T375+'Capex forecast - 3015'!T375+'Capex forecast - 3016'!T375+'Capex forecast - 3017'!T375+'Capex forecast - 3018'!T375+'Capex forecast - 3019'!T375+'Capex forecast - 3020'!T375+'Capex forecast - 3021'!T375+'Capex forecast - 3022'!T375+'Capex forecast - 3023'!T375+'Capex forecast - 3024'!T375+'Capex forecast - 3025'!T375+'Capex forecast - IT'!T375+'Capex forecast - other non-IT'!T375</f>
        <v>7082484.925385423</v>
      </c>
      <c r="M27" s="45">
        <f>'Capex forecast - 3001'!U375+'Capex forecast - 3002'!U375+'Capex forecast - 3003'!U375+'Capex forecast - 3004'!U375+'Capex forecast - 3005'!U375+'Capex forecast - 3006'!U375++'Capex forecast - 3007'!U375+'Capex forecast - 3008'!U375+'Capex forecast - 3009'!U375+'Capex forecast - 3010'!U375+'Capex forecast - 3011'!U375+'Capex forecast - 3012'!U375+'Capex forecast - 3013'!U375+'Capex forecast - 3014'!U375+'Capex forecast - 3015'!U375+'Capex forecast - 3016'!U375+'Capex forecast - 3017'!U375+'Capex forecast - 3018'!U375+'Capex forecast - 3019'!U375+'Capex forecast - 3020'!U375+'Capex forecast - 3021'!U375+'Capex forecast - 3022'!U375+'Capex forecast - 3023'!U375+'Capex forecast - 3024'!U375+'Capex forecast - 3025'!U375+'Capex forecast - IT'!U375+'Capex forecast - other non-IT'!U375</f>
        <v>7151657.9398026923</v>
      </c>
      <c r="N27" s="45">
        <f>'Capex forecast - 3001'!V375+'Capex forecast - 3002'!V375+'Capex forecast - 3003'!V375+'Capex forecast - 3004'!V375+'Capex forecast - 3005'!V375+'Capex forecast - 3006'!V375++'Capex forecast - 3007'!V375+'Capex forecast - 3008'!V375+'Capex forecast - 3009'!V375+'Capex forecast - 3010'!V375+'Capex forecast - 3011'!V375+'Capex forecast - 3012'!V375+'Capex forecast - 3013'!V375+'Capex forecast - 3014'!V375+'Capex forecast - 3015'!V375+'Capex forecast - 3016'!V375+'Capex forecast - 3017'!V375+'Capex forecast - 3018'!V375+'Capex forecast - 3019'!V375+'Capex forecast - 3020'!V375+'Capex forecast - 3021'!V375+'Capex forecast - 3022'!V375+'Capex forecast - 3023'!V375+'Capex forecast - 3024'!V375+'Capex forecast - 3025'!V375+'Capex forecast - IT'!V375+'Capex forecast - other non-IT'!V375</f>
        <v>7229803.9078090452</v>
      </c>
      <c r="P27" s="40">
        <f t="shared" si="0"/>
        <v>35472019.07439284</v>
      </c>
      <c r="R27" s="45"/>
    </row>
    <row r="28" spans="1:18">
      <c r="B28" s="38"/>
      <c r="D28" s="29"/>
      <c r="E28" s="29"/>
      <c r="P28" s="5"/>
    </row>
    <row r="29" spans="1:18" ht="12.75" thickBot="1">
      <c r="B29" s="5" t="s">
        <v>231</v>
      </c>
      <c r="D29" s="29"/>
      <c r="E29" s="29"/>
      <c r="H29" s="37"/>
      <c r="I29" s="37">
        <f t="shared" ref="I29:N29" si="1">SUM(I14:I27)</f>
        <v>84828425.031593978</v>
      </c>
      <c r="J29" s="37">
        <f>SUM(J14:J27)</f>
        <v>103140665.68259789</v>
      </c>
      <c r="K29" s="37">
        <f t="shared" si="1"/>
        <v>100219794.32558556</v>
      </c>
      <c r="L29" s="37">
        <f t="shared" si="1"/>
        <v>97011981.555506825</v>
      </c>
      <c r="M29" s="37">
        <f t="shared" si="1"/>
        <v>90865175.853735566</v>
      </c>
      <c r="N29" s="37">
        <f t="shared" si="1"/>
        <v>86272443.625067234</v>
      </c>
      <c r="P29" s="37">
        <f>SUM(J29:N29)</f>
        <v>477510061.0424931</v>
      </c>
    </row>
    <row r="30" spans="1:18">
      <c r="B30" s="5"/>
      <c r="D30" s="29"/>
      <c r="E30" s="29"/>
      <c r="H30" s="82"/>
      <c r="I30" s="82"/>
      <c r="J30" s="82"/>
      <c r="K30" s="82"/>
      <c r="L30" s="82"/>
      <c r="M30" s="82"/>
      <c r="N30" s="82"/>
    </row>
    <row r="31" spans="1:18" s="1" customFormat="1">
      <c r="A31" s="2"/>
      <c r="B31" s="2" t="s">
        <v>42</v>
      </c>
    </row>
  </sheetData>
  <mergeCells count="2">
    <mergeCell ref="H10:I10"/>
    <mergeCell ref="J10:N10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P40"/>
  <sheetViews>
    <sheetView workbookViewId="0">
      <selection activeCell="Q54" sqref="Q54"/>
    </sheetView>
  </sheetViews>
  <sheetFormatPr defaultColWidth="9.140625" defaultRowHeight="12"/>
  <cols>
    <col min="1" max="1" width="3.85546875" style="4" customWidth="1"/>
    <col min="2" max="2" width="13" style="4" customWidth="1"/>
    <col min="3" max="3" width="3.28515625" style="4" customWidth="1"/>
    <col min="4" max="7" width="9.140625" style="4"/>
    <col min="8" max="14" width="12.28515625" style="4" customWidth="1"/>
    <col min="15" max="15" width="4.42578125" style="4" customWidth="1"/>
    <col min="16" max="16" width="13" style="4" customWidth="1"/>
    <col min="17" max="18" width="9.140625" style="4"/>
    <col min="19" max="19" width="9.7109375" style="4" customWidth="1"/>
    <col min="20" max="16384" width="9.140625" style="4"/>
  </cols>
  <sheetData>
    <row r="1" spans="1:16" s="3" customFormat="1">
      <c r="A1" s="2" t="s">
        <v>2</v>
      </c>
    </row>
    <row r="2" spans="1:16" s="1" customFormat="1">
      <c r="A2" s="3" t="s">
        <v>342</v>
      </c>
    </row>
    <row r="3" spans="1:16" s="1" customFormat="1">
      <c r="A3" s="3"/>
    </row>
    <row r="4" spans="1:16" s="1" customFormat="1">
      <c r="A4" s="22" t="s">
        <v>43</v>
      </c>
    </row>
    <row r="6" spans="1:16">
      <c r="B6" s="4" t="s">
        <v>228</v>
      </c>
      <c r="E6" s="83" t="str">
        <f>'General assumptions'!F27</f>
        <v>Yes</v>
      </c>
    </row>
    <row r="7" spans="1:16">
      <c r="D7" s="31"/>
      <c r="E7" s="31"/>
      <c r="P7" s="20"/>
    </row>
    <row r="8" spans="1:16" s="1" customFormat="1">
      <c r="A8" s="2">
        <v>1</v>
      </c>
      <c r="B8" s="2" t="s">
        <v>344</v>
      </c>
    </row>
    <row r="10" spans="1:16">
      <c r="H10" s="187" t="s">
        <v>53</v>
      </c>
      <c r="I10" s="188"/>
      <c r="J10" s="187" t="s">
        <v>54</v>
      </c>
      <c r="K10" s="189"/>
      <c r="L10" s="189"/>
      <c r="M10" s="189"/>
      <c r="N10" s="188"/>
    </row>
    <row r="11" spans="1:16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63</v>
      </c>
    </row>
    <row r="12" spans="1:16">
      <c r="B12" s="5" t="s">
        <v>343</v>
      </c>
      <c r="D12" s="29"/>
      <c r="E12" s="29"/>
      <c r="H12" s="16" t="s">
        <v>13</v>
      </c>
      <c r="I12" s="16" t="s">
        <v>13</v>
      </c>
      <c r="J12" s="16" t="s">
        <v>13</v>
      </c>
      <c r="K12" s="16" t="s">
        <v>13</v>
      </c>
      <c r="L12" s="16" t="s">
        <v>13</v>
      </c>
      <c r="M12" s="16" t="s">
        <v>13</v>
      </c>
      <c r="N12" s="16" t="s">
        <v>13</v>
      </c>
      <c r="P12" s="34" t="s">
        <v>13</v>
      </c>
    </row>
    <row r="13" spans="1:16">
      <c r="B13" s="5"/>
      <c r="D13" s="29"/>
      <c r="E13" s="29"/>
      <c r="H13" s="18"/>
      <c r="I13" s="18"/>
      <c r="J13" s="18"/>
      <c r="K13" s="18"/>
      <c r="L13" s="18"/>
      <c r="M13" s="18"/>
      <c r="N13" s="18"/>
    </row>
    <row r="14" spans="1:16">
      <c r="B14" s="38" t="s">
        <v>134</v>
      </c>
      <c r="D14" s="29"/>
      <c r="E14" s="29"/>
      <c r="H14" s="45"/>
      <c r="I14" s="45">
        <f>'Capex forecast - 3001'!Q388+'Capex forecast - 3002'!Q388+'Capex forecast - 3003'!Q388+'Capex forecast - 3004'!Q388+'Capex forecast - 3005'!Q388+'Capex forecast - 3006'!Q388++'Capex forecast - 3007'!Q388+'Capex forecast - 3008'!Q388+'Capex forecast - 3009'!Q388+'Capex forecast - 3010'!Q388+'Capex forecast - 3011'!Q388+'Capex forecast - 3012'!Q388+'Capex forecast - 3013'!Q388+'Capex forecast - 3014'!Q388+'Capex forecast - 3015'!Q388+'Capex forecast - 3016'!Q388+'Capex forecast - 3017'!Q388+'Capex forecast - 3018'!Q388+'Capex forecast - 3019'!Q388+'Capex forecast - 3020'!Q388+'Capex forecast - 3021'!Q388+'Capex forecast - 3022'!Q388+'Capex forecast - 3023'!Q388+'Capex forecast - 3024'!Q388+'Capex forecast - 3025'!Q388+'Capex forecast - IT'!Q388+'Capex forecast - other non-IT'!Q388</f>
        <v>69436775.832145616</v>
      </c>
      <c r="J14" s="45">
        <f>'Capex forecast - 3001'!R388+'Capex forecast - 3002'!R388+'Capex forecast - 3003'!R388+'Capex forecast - 3004'!R388+'Capex forecast - 3005'!R388+'Capex forecast - 3006'!R388++'Capex forecast - 3007'!R388+'Capex forecast - 3008'!R388+'Capex forecast - 3009'!R388+'Capex forecast - 3010'!R388+'Capex forecast - 3011'!R388+'Capex forecast - 3012'!R388+'Capex forecast - 3013'!R388+'Capex forecast - 3014'!R388+'Capex forecast - 3015'!R388+'Capex forecast - 3016'!R388+'Capex forecast - 3017'!R388+'Capex forecast - 3018'!R388+'Capex forecast - 3019'!R388+'Capex forecast - 3020'!R388+'Capex forecast - 3021'!R388+'Capex forecast - 3022'!R388+'Capex forecast - 3023'!R388+'Capex forecast - 3024'!R388+'Capex forecast - 3025'!R388+'Capex forecast - IT'!R388+'Capex forecast - other non-IT'!R388</f>
        <v>68593963.808805659</v>
      </c>
      <c r="K14" s="45">
        <f>'Capex forecast - 3001'!S388+'Capex forecast - 3002'!S388+'Capex forecast - 3003'!S388+'Capex forecast - 3004'!S388+'Capex forecast - 3005'!S388+'Capex forecast - 3006'!S388++'Capex forecast - 3007'!S388+'Capex forecast - 3008'!S388+'Capex forecast - 3009'!S388+'Capex forecast - 3010'!S388+'Capex forecast - 3011'!S388+'Capex forecast - 3012'!S388+'Capex forecast - 3013'!S388+'Capex forecast - 3014'!S388+'Capex forecast - 3015'!S388+'Capex forecast - 3016'!S388+'Capex forecast - 3017'!S388+'Capex forecast - 3018'!S388+'Capex forecast - 3019'!S388+'Capex forecast - 3020'!S388+'Capex forecast - 3021'!S388+'Capex forecast - 3022'!S388+'Capex forecast - 3023'!S388+'Capex forecast - 3024'!S388+'Capex forecast - 3025'!S388+'Capex forecast - IT'!S388+'Capex forecast - other non-IT'!S388</f>
        <v>64585775.661913916</v>
      </c>
      <c r="L14" s="45">
        <f>'Capex forecast - 3001'!T388+'Capex forecast - 3002'!T388+'Capex forecast - 3003'!T388+'Capex forecast - 3004'!T388+'Capex forecast - 3005'!T388+'Capex forecast - 3006'!T388++'Capex forecast - 3007'!T388+'Capex forecast - 3008'!T388+'Capex forecast - 3009'!T388+'Capex forecast - 3010'!T388+'Capex forecast - 3011'!T388+'Capex forecast - 3012'!T388+'Capex forecast - 3013'!T388+'Capex forecast - 3014'!T388+'Capex forecast - 3015'!T388+'Capex forecast - 3016'!T388+'Capex forecast - 3017'!T388+'Capex forecast - 3018'!T388+'Capex forecast - 3019'!T388+'Capex forecast - 3020'!T388+'Capex forecast - 3021'!T388+'Capex forecast - 3022'!T388+'Capex forecast - 3023'!T388+'Capex forecast - 3024'!T388+'Capex forecast - 3025'!T388+'Capex forecast - IT'!T388+'Capex forecast - other non-IT'!T388</f>
        <v>66959493.957759723</v>
      </c>
      <c r="M14" s="45">
        <f>'Capex forecast - 3001'!U388+'Capex forecast - 3002'!U388+'Capex forecast - 3003'!U388+'Capex forecast - 3004'!U388+'Capex forecast - 3005'!U388+'Capex forecast - 3006'!U388++'Capex forecast - 3007'!U388+'Capex forecast - 3008'!U388+'Capex forecast - 3009'!U388+'Capex forecast - 3010'!U388+'Capex forecast - 3011'!U388+'Capex forecast - 3012'!U388+'Capex forecast - 3013'!U388+'Capex forecast - 3014'!U388+'Capex forecast - 3015'!U388+'Capex forecast - 3016'!U388+'Capex forecast - 3017'!U388+'Capex forecast - 3018'!U388+'Capex forecast - 3019'!U388+'Capex forecast - 3020'!U388+'Capex forecast - 3021'!U388+'Capex forecast - 3022'!U388+'Capex forecast - 3023'!U388+'Capex forecast - 3024'!U388+'Capex forecast - 3025'!U388+'Capex forecast - IT'!U388+'Capex forecast - other non-IT'!U388</f>
        <v>62615304.442224264</v>
      </c>
      <c r="N14" s="45">
        <f>'Capex forecast - 3001'!V388+'Capex forecast - 3002'!V388+'Capex forecast - 3003'!V388+'Capex forecast - 3004'!V388+'Capex forecast - 3005'!V388+'Capex forecast - 3006'!V388++'Capex forecast - 3007'!V388+'Capex forecast - 3008'!V388+'Capex forecast - 3009'!V388+'Capex forecast - 3010'!V388+'Capex forecast - 3011'!V388+'Capex forecast - 3012'!V388+'Capex forecast - 3013'!V388+'Capex forecast - 3014'!V388+'Capex forecast - 3015'!V388+'Capex forecast - 3016'!V388+'Capex forecast - 3017'!V388+'Capex forecast - 3018'!V388+'Capex forecast - 3019'!V388+'Capex forecast - 3020'!V388+'Capex forecast - 3021'!V388+'Capex forecast - 3022'!V388+'Capex forecast - 3023'!V388+'Capex forecast - 3024'!V388+'Capex forecast - 3025'!V388+'Capex forecast - IT'!V388+'Capex forecast - other non-IT'!V388</f>
        <v>60875102.818829305</v>
      </c>
      <c r="P14" s="40">
        <f>SUM(J14:N14)</f>
        <v>323629640.68953288</v>
      </c>
    </row>
    <row r="15" spans="1:16">
      <c r="B15" s="38" t="s">
        <v>135</v>
      </c>
      <c r="D15" s="29"/>
      <c r="E15" s="29"/>
      <c r="H15" s="45"/>
      <c r="I15" s="45">
        <f>'Capex forecast - 3001'!Q389+'Capex forecast - 3002'!Q389+'Capex forecast - 3003'!Q389+'Capex forecast - 3004'!Q389+'Capex forecast - 3005'!Q389+'Capex forecast - 3006'!Q389++'Capex forecast - 3007'!Q389+'Capex forecast - 3008'!Q389+'Capex forecast - 3009'!Q389+'Capex forecast - 3010'!Q389+'Capex forecast - 3011'!Q389+'Capex forecast - 3012'!Q389+'Capex forecast - 3013'!Q389+'Capex forecast - 3014'!Q389+'Capex forecast - 3015'!Q389+'Capex forecast - 3016'!Q389+'Capex forecast - 3017'!Q389+'Capex forecast - 3018'!Q389+'Capex forecast - 3019'!Q389+'Capex forecast - 3020'!Q389+'Capex forecast - 3021'!Q389+'Capex forecast - 3022'!Q389+'Capex forecast - 3023'!Q389+'Capex forecast - 3024'!Q389+'Capex forecast - 3025'!Q389+'Capex forecast - IT'!Q389+'Capex forecast - other non-IT'!Q389</f>
        <v>11293715.86419595</v>
      </c>
      <c r="J15" s="45">
        <f>'Capex forecast - 3001'!R389+'Capex forecast - 3002'!R389+'Capex forecast - 3003'!R389+'Capex forecast - 3004'!R389+'Capex forecast - 3005'!R389+'Capex forecast - 3006'!R389++'Capex forecast - 3007'!R389+'Capex forecast - 3008'!R389+'Capex forecast - 3009'!R389+'Capex forecast - 3010'!R389+'Capex forecast - 3011'!R389+'Capex forecast - 3012'!R389+'Capex forecast - 3013'!R389+'Capex forecast - 3014'!R389+'Capex forecast - 3015'!R389+'Capex forecast - 3016'!R389+'Capex forecast - 3017'!R389+'Capex forecast - 3018'!R389+'Capex forecast - 3019'!R389+'Capex forecast - 3020'!R389+'Capex forecast - 3021'!R389+'Capex forecast - 3022'!R389+'Capex forecast - 3023'!R389+'Capex forecast - 3024'!R389+'Capex forecast - 3025'!R389+'Capex forecast - IT'!R389+'Capex forecast - other non-IT'!R389</f>
        <v>12579781.900198309</v>
      </c>
      <c r="K15" s="45">
        <f>'Capex forecast - 3001'!S389+'Capex forecast - 3002'!S389+'Capex forecast - 3003'!S389+'Capex forecast - 3004'!S389+'Capex forecast - 3005'!S389+'Capex forecast - 3006'!S389++'Capex forecast - 3007'!S389+'Capex forecast - 3008'!S389+'Capex forecast - 3009'!S389+'Capex forecast - 3010'!S389+'Capex forecast - 3011'!S389+'Capex forecast - 3012'!S389+'Capex forecast - 3013'!S389+'Capex forecast - 3014'!S389+'Capex forecast - 3015'!S389+'Capex forecast - 3016'!S389+'Capex forecast - 3017'!S389+'Capex forecast - 3018'!S389+'Capex forecast - 3019'!S389+'Capex forecast - 3020'!S389+'Capex forecast - 3021'!S389+'Capex forecast - 3022'!S389+'Capex forecast - 3023'!S389+'Capex forecast - 3024'!S389+'Capex forecast - 3025'!S389+'Capex forecast - IT'!S389+'Capex forecast - other non-IT'!S389</f>
        <v>13242849.235038545</v>
      </c>
      <c r="L15" s="45">
        <f>'Capex forecast - 3001'!T389+'Capex forecast - 3002'!T389+'Capex forecast - 3003'!T389+'Capex forecast - 3004'!T389+'Capex forecast - 3005'!T389+'Capex forecast - 3006'!T389++'Capex forecast - 3007'!T389+'Capex forecast - 3008'!T389+'Capex forecast - 3009'!T389+'Capex forecast - 3010'!T389+'Capex forecast - 3011'!T389+'Capex forecast - 3012'!T389+'Capex forecast - 3013'!T389+'Capex forecast - 3014'!T389+'Capex forecast - 3015'!T389+'Capex forecast - 3016'!T389+'Capex forecast - 3017'!T389+'Capex forecast - 3018'!T389+'Capex forecast - 3019'!T389+'Capex forecast - 3020'!T389+'Capex forecast - 3021'!T389+'Capex forecast - 3022'!T389+'Capex forecast - 3023'!T389+'Capex forecast - 3024'!T389+'Capex forecast - 3025'!T389+'Capex forecast - IT'!T389+'Capex forecast - other non-IT'!T389</f>
        <v>12840773.029878654</v>
      </c>
      <c r="M15" s="45">
        <f>'Capex forecast - 3001'!U389+'Capex forecast - 3002'!U389+'Capex forecast - 3003'!U389+'Capex forecast - 3004'!U389+'Capex forecast - 3005'!U389+'Capex forecast - 3006'!U389++'Capex forecast - 3007'!U389+'Capex forecast - 3008'!U389+'Capex forecast - 3009'!U389+'Capex forecast - 3010'!U389+'Capex forecast - 3011'!U389+'Capex forecast - 3012'!U389+'Capex forecast - 3013'!U389+'Capex forecast - 3014'!U389+'Capex forecast - 3015'!U389+'Capex forecast - 3016'!U389+'Capex forecast - 3017'!U389+'Capex forecast - 3018'!U389+'Capex forecast - 3019'!U389+'Capex forecast - 3020'!U389+'Capex forecast - 3021'!U389+'Capex forecast - 3022'!U389+'Capex forecast - 3023'!U389+'Capex forecast - 3024'!U389+'Capex forecast - 3025'!U389+'Capex forecast - IT'!U389+'Capex forecast - other non-IT'!U389</f>
        <v>12819609.880834006</v>
      </c>
      <c r="N15" s="45">
        <f>'Capex forecast - 3001'!V389+'Capex forecast - 3002'!V389+'Capex forecast - 3003'!V389+'Capex forecast - 3004'!V389+'Capex forecast - 3005'!V389+'Capex forecast - 3006'!V389++'Capex forecast - 3007'!V389+'Capex forecast - 3008'!V389+'Capex forecast - 3009'!V389+'Capex forecast - 3010'!V389+'Capex forecast - 3011'!V389+'Capex forecast - 3012'!V389+'Capex forecast - 3013'!V389+'Capex forecast - 3014'!V389+'Capex forecast - 3015'!V389+'Capex forecast - 3016'!V389+'Capex forecast - 3017'!V389+'Capex forecast - 3018'!V389+'Capex forecast - 3019'!V389+'Capex forecast - 3020'!V389+'Capex forecast - 3021'!V389+'Capex forecast - 3022'!V389+'Capex forecast - 3023'!V389+'Capex forecast - 3024'!V389+'Capex forecast - 3025'!V389+'Capex forecast - IT'!V389+'Capex forecast - other non-IT'!V389</f>
        <v>13383604.604362227</v>
      </c>
      <c r="P15" s="40">
        <f t="shared" ref="P15:P22" si="0">SUM(J15:N15)</f>
        <v>64866618.650311738</v>
      </c>
    </row>
    <row r="16" spans="1:16">
      <c r="B16" s="38" t="s">
        <v>136</v>
      </c>
      <c r="D16" s="29"/>
      <c r="E16" s="29"/>
      <c r="H16" s="45"/>
      <c r="I16" s="45">
        <f>'Capex forecast - 3001'!Q390+'Capex forecast - 3002'!Q390+'Capex forecast - 3003'!Q390+'Capex forecast - 3004'!Q390+'Capex forecast - 3005'!Q390+'Capex forecast - 3006'!Q390++'Capex forecast - 3007'!Q390+'Capex forecast - 3008'!Q390+'Capex forecast - 3009'!Q390+'Capex forecast - 3010'!Q390+'Capex forecast - 3011'!Q390+'Capex forecast - 3012'!Q390+'Capex forecast - 3013'!Q390+'Capex forecast - 3014'!Q390+'Capex forecast - 3015'!Q390+'Capex forecast - 3016'!Q390+'Capex forecast - 3017'!Q390+'Capex forecast - 3018'!Q390+'Capex forecast - 3019'!Q390+'Capex forecast - 3020'!Q390+'Capex forecast - 3021'!Q390+'Capex forecast - 3022'!Q390+'Capex forecast - 3023'!Q390+'Capex forecast - 3024'!Q390+'Capex forecast - 3025'!Q390+'Capex forecast - IT'!Q390+'Capex forecast - other non-IT'!Q390</f>
        <v>2106907.4206502987</v>
      </c>
      <c r="J16" s="45">
        <f>'Capex forecast - 3001'!R390+'Capex forecast - 3002'!R390+'Capex forecast - 3003'!R390+'Capex forecast - 3004'!R390+'Capex forecast - 3005'!R390+'Capex forecast - 3006'!R390++'Capex forecast - 3007'!R390+'Capex forecast - 3008'!R390+'Capex forecast - 3009'!R390+'Capex forecast - 3010'!R390+'Capex forecast - 3011'!R390+'Capex forecast - 3012'!R390+'Capex forecast - 3013'!R390+'Capex forecast - 3014'!R390+'Capex forecast - 3015'!R390+'Capex forecast - 3016'!R390+'Capex forecast - 3017'!R390+'Capex forecast - 3018'!R390+'Capex forecast - 3019'!R390+'Capex forecast - 3020'!R390+'Capex forecast - 3021'!R390+'Capex forecast - 3022'!R390+'Capex forecast - 3023'!R390+'Capex forecast - 3024'!R390+'Capex forecast - 3025'!R390+'Capex forecast - IT'!R390+'Capex forecast - other non-IT'!R390</f>
        <v>2609611.7912191735</v>
      </c>
      <c r="K16" s="45">
        <f>'Capex forecast - 3001'!S390+'Capex forecast - 3002'!S390+'Capex forecast - 3003'!S390+'Capex forecast - 3004'!S390+'Capex forecast - 3005'!S390+'Capex forecast - 3006'!S390++'Capex forecast - 3007'!S390+'Capex forecast - 3008'!S390+'Capex forecast - 3009'!S390+'Capex forecast - 3010'!S390+'Capex forecast - 3011'!S390+'Capex forecast - 3012'!S390+'Capex forecast - 3013'!S390+'Capex forecast - 3014'!S390+'Capex forecast - 3015'!S390+'Capex forecast - 3016'!S390+'Capex forecast - 3017'!S390+'Capex forecast - 3018'!S390+'Capex forecast - 3019'!S390+'Capex forecast - 3020'!S390+'Capex forecast - 3021'!S390+'Capex forecast - 3022'!S390+'Capex forecast - 3023'!S390+'Capex forecast - 3024'!S390+'Capex forecast - 3025'!S390+'Capex forecast - IT'!S390+'Capex forecast - other non-IT'!S390</f>
        <v>2767771.2886765222</v>
      </c>
      <c r="L16" s="45">
        <f>'Capex forecast - 3001'!T390+'Capex forecast - 3002'!T390+'Capex forecast - 3003'!T390+'Capex forecast - 3004'!T390+'Capex forecast - 3005'!T390+'Capex forecast - 3006'!T390++'Capex forecast - 3007'!T390+'Capex forecast - 3008'!T390+'Capex forecast - 3009'!T390+'Capex forecast - 3010'!T390+'Capex forecast - 3011'!T390+'Capex forecast - 3012'!T390+'Capex forecast - 3013'!T390+'Capex forecast - 3014'!T390+'Capex forecast - 3015'!T390+'Capex forecast - 3016'!T390+'Capex forecast - 3017'!T390+'Capex forecast - 3018'!T390+'Capex forecast - 3019'!T390+'Capex forecast - 3020'!T390+'Capex forecast - 3021'!T390+'Capex forecast - 3022'!T390+'Capex forecast - 3023'!T390+'Capex forecast - 3024'!T390+'Capex forecast - 3025'!T390+'Capex forecast - IT'!T390+'Capex forecast - other non-IT'!T390</f>
        <v>2756620.3409446301</v>
      </c>
      <c r="M16" s="45">
        <f>'Capex forecast - 3001'!U390+'Capex forecast - 3002'!U390+'Capex forecast - 3003'!U390+'Capex forecast - 3004'!U390+'Capex forecast - 3005'!U390+'Capex forecast - 3006'!U390++'Capex forecast - 3007'!U390+'Capex forecast - 3008'!U390+'Capex forecast - 3009'!U390+'Capex forecast - 3010'!U390+'Capex forecast - 3011'!U390+'Capex forecast - 3012'!U390+'Capex forecast - 3013'!U390+'Capex forecast - 3014'!U390+'Capex forecast - 3015'!U390+'Capex forecast - 3016'!U390+'Capex forecast - 3017'!U390+'Capex forecast - 3018'!U390+'Capex forecast - 3019'!U390+'Capex forecast - 3020'!U390+'Capex forecast - 3021'!U390+'Capex forecast - 3022'!U390+'Capex forecast - 3023'!U390+'Capex forecast - 3024'!U390+'Capex forecast - 3025'!U390+'Capex forecast - IT'!U390+'Capex forecast - other non-IT'!U390</f>
        <v>2710006.8389175041</v>
      </c>
      <c r="N16" s="45">
        <f>'Capex forecast - 3001'!V390+'Capex forecast - 3002'!V390+'Capex forecast - 3003'!V390+'Capex forecast - 3004'!V390+'Capex forecast - 3005'!V390+'Capex forecast - 3006'!V390++'Capex forecast - 3007'!V390+'Capex forecast - 3008'!V390+'Capex forecast - 3009'!V390+'Capex forecast - 3010'!V390+'Capex forecast - 3011'!V390+'Capex forecast - 3012'!V390+'Capex forecast - 3013'!V390+'Capex forecast - 3014'!V390+'Capex forecast - 3015'!V390+'Capex forecast - 3016'!V390+'Capex forecast - 3017'!V390+'Capex forecast - 3018'!V390+'Capex forecast - 3019'!V390+'Capex forecast - 3020'!V390+'Capex forecast - 3021'!V390+'Capex forecast - 3022'!V390+'Capex forecast - 3023'!V390+'Capex forecast - 3024'!V390+'Capex forecast - 3025'!V390+'Capex forecast - IT'!V390+'Capex forecast - other non-IT'!V390</f>
        <v>2612590.0189533434</v>
      </c>
      <c r="P16" s="40">
        <f t="shared" si="0"/>
        <v>13456600.278711174</v>
      </c>
    </row>
    <row r="17" spans="1:16">
      <c r="B17" s="38" t="s">
        <v>107</v>
      </c>
      <c r="D17" s="29"/>
      <c r="E17" s="29"/>
      <c r="H17" s="45"/>
      <c r="I17" s="45">
        <f>'Capex forecast - 3001'!Q391+'Capex forecast - 3002'!Q391+'Capex forecast - 3003'!Q391+'Capex forecast - 3004'!Q391+'Capex forecast - 3005'!Q391+'Capex forecast - 3006'!Q391++'Capex forecast - 3007'!Q391+'Capex forecast - 3008'!Q391+'Capex forecast - 3009'!Q391+'Capex forecast - 3010'!Q391+'Capex forecast - 3011'!Q391+'Capex forecast - 3012'!Q391+'Capex forecast - 3013'!Q391+'Capex forecast - 3014'!Q391+'Capex forecast - 3015'!Q391+'Capex forecast - 3016'!Q391+'Capex forecast - 3017'!Q391+'Capex forecast - 3018'!Q391+'Capex forecast - 3019'!Q391+'Capex forecast - 3020'!Q391+'Capex forecast - 3021'!Q391+'Capex forecast - 3022'!Q391+'Capex forecast - 3023'!Q391+'Capex forecast - 3024'!Q391+'Capex forecast - 3025'!Q391+'Capex forecast - IT'!Q391+'Capex forecast - other non-IT'!Q391</f>
        <v>0</v>
      </c>
      <c r="J17" s="45">
        <f>'Capex forecast - 3001'!R391+'Capex forecast - 3002'!R391+'Capex forecast - 3003'!R391+'Capex forecast - 3004'!R391+'Capex forecast - 3005'!R391+'Capex forecast - 3006'!R391++'Capex forecast - 3007'!R391+'Capex forecast - 3008'!R391+'Capex forecast - 3009'!R391+'Capex forecast - 3010'!R391+'Capex forecast - 3011'!R391+'Capex forecast - 3012'!R391+'Capex forecast - 3013'!R391+'Capex forecast - 3014'!R391+'Capex forecast - 3015'!R391+'Capex forecast - 3016'!R391+'Capex forecast - 3017'!R391+'Capex forecast - 3018'!R391+'Capex forecast - 3019'!R391+'Capex forecast - 3020'!R391+'Capex forecast - 3021'!R391+'Capex forecast - 3022'!R391+'Capex forecast - 3023'!R391+'Capex forecast - 3024'!R391+'Capex forecast - 3025'!R391+'Capex forecast - IT'!R391+'Capex forecast - other non-IT'!R391</f>
        <v>0</v>
      </c>
      <c r="K17" s="45">
        <f>'Capex forecast - 3001'!S391+'Capex forecast - 3002'!S391+'Capex forecast - 3003'!S391+'Capex forecast - 3004'!S391+'Capex forecast - 3005'!S391+'Capex forecast - 3006'!S391++'Capex forecast - 3007'!S391+'Capex forecast - 3008'!S391+'Capex forecast - 3009'!S391+'Capex forecast - 3010'!S391+'Capex forecast - 3011'!S391+'Capex forecast - 3012'!S391+'Capex forecast - 3013'!S391+'Capex forecast - 3014'!S391+'Capex forecast - 3015'!S391+'Capex forecast - 3016'!S391+'Capex forecast - 3017'!S391+'Capex forecast - 3018'!S391+'Capex forecast - 3019'!S391+'Capex forecast - 3020'!S391+'Capex forecast - 3021'!S391+'Capex forecast - 3022'!S391+'Capex forecast - 3023'!S391+'Capex forecast - 3024'!S391+'Capex forecast - 3025'!S391+'Capex forecast - IT'!S391+'Capex forecast - other non-IT'!S391</f>
        <v>0</v>
      </c>
      <c r="L17" s="45">
        <f>'Capex forecast - 3001'!T391+'Capex forecast - 3002'!T391+'Capex forecast - 3003'!T391+'Capex forecast - 3004'!T391+'Capex forecast - 3005'!T391+'Capex forecast - 3006'!T391++'Capex forecast - 3007'!T391+'Capex forecast - 3008'!T391+'Capex forecast - 3009'!T391+'Capex forecast - 3010'!T391+'Capex forecast - 3011'!T391+'Capex forecast - 3012'!T391+'Capex forecast - 3013'!T391+'Capex forecast - 3014'!T391+'Capex forecast - 3015'!T391+'Capex forecast - 3016'!T391+'Capex forecast - 3017'!T391+'Capex forecast - 3018'!T391+'Capex forecast - 3019'!T391+'Capex forecast - 3020'!T391+'Capex forecast - 3021'!T391+'Capex forecast - 3022'!T391+'Capex forecast - 3023'!T391+'Capex forecast - 3024'!T391+'Capex forecast - 3025'!T391+'Capex forecast - IT'!T391+'Capex forecast - other non-IT'!T391</f>
        <v>0</v>
      </c>
      <c r="M17" s="45">
        <f>'Capex forecast - 3001'!U391+'Capex forecast - 3002'!U391+'Capex forecast - 3003'!U391+'Capex forecast - 3004'!U391+'Capex forecast - 3005'!U391+'Capex forecast - 3006'!U391++'Capex forecast - 3007'!U391+'Capex forecast - 3008'!U391+'Capex forecast - 3009'!U391+'Capex forecast - 3010'!U391+'Capex forecast - 3011'!U391+'Capex forecast - 3012'!U391+'Capex forecast - 3013'!U391+'Capex forecast - 3014'!U391+'Capex forecast - 3015'!U391+'Capex forecast - 3016'!U391+'Capex forecast - 3017'!U391+'Capex forecast - 3018'!U391+'Capex forecast - 3019'!U391+'Capex forecast - 3020'!U391+'Capex forecast - 3021'!U391+'Capex forecast - 3022'!U391+'Capex forecast - 3023'!U391+'Capex forecast - 3024'!U391+'Capex forecast - 3025'!U391+'Capex forecast - IT'!U391+'Capex forecast - other non-IT'!U391</f>
        <v>0</v>
      </c>
      <c r="N17" s="45">
        <f>'Capex forecast - 3001'!V391+'Capex forecast - 3002'!V391+'Capex forecast - 3003'!V391+'Capex forecast - 3004'!V391+'Capex forecast - 3005'!V391+'Capex forecast - 3006'!V391++'Capex forecast - 3007'!V391+'Capex forecast - 3008'!V391+'Capex forecast - 3009'!V391+'Capex forecast - 3010'!V391+'Capex forecast - 3011'!V391+'Capex forecast - 3012'!V391+'Capex forecast - 3013'!V391+'Capex forecast - 3014'!V391+'Capex forecast - 3015'!V391+'Capex forecast - 3016'!V391+'Capex forecast - 3017'!V391+'Capex forecast - 3018'!V391+'Capex forecast - 3019'!V391+'Capex forecast - 3020'!V391+'Capex forecast - 3021'!V391+'Capex forecast - 3022'!V391+'Capex forecast - 3023'!V391+'Capex forecast - 3024'!V391+'Capex forecast - 3025'!V391+'Capex forecast - IT'!V391+'Capex forecast - other non-IT'!V391</f>
        <v>0</v>
      </c>
      <c r="P17" s="40">
        <f t="shared" si="0"/>
        <v>0</v>
      </c>
    </row>
    <row r="18" spans="1:16">
      <c r="B18" s="38" t="s">
        <v>137</v>
      </c>
      <c r="D18" s="29"/>
      <c r="E18" s="29"/>
      <c r="H18" s="45"/>
      <c r="I18" s="45">
        <f>'Capex forecast - 3001'!Q392+'Capex forecast - 3002'!Q392+'Capex forecast - 3003'!Q392+'Capex forecast - 3004'!Q392+'Capex forecast - 3005'!Q392+'Capex forecast - 3006'!Q392++'Capex forecast - 3007'!Q392+'Capex forecast - 3008'!Q392+'Capex forecast - 3009'!Q392+'Capex forecast - 3010'!Q392+'Capex forecast - 3011'!Q392+'Capex forecast - 3012'!Q392+'Capex forecast - 3013'!Q392+'Capex forecast - 3014'!Q392+'Capex forecast - 3015'!Q392+'Capex forecast - 3016'!Q392+'Capex forecast - 3017'!Q392+'Capex forecast - 3018'!Q392+'Capex forecast - 3019'!Q392+'Capex forecast - 3020'!Q392+'Capex forecast - 3021'!Q392+'Capex forecast - 3022'!Q392+'Capex forecast - 3023'!Q392+'Capex forecast - 3024'!Q392+'Capex forecast - 3025'!Q392+'Capex forecast - IT'!Q392+'Capex forecast - other non-IT'!Q392</f>
        <v>13632744.01087389</v>
      </c>
      <c r="J18" s="45">
        <f>'Capex forecast - 3001'!R392+'Capex forecast - 3002'!R392+'Capex forecast - 3003'!R392+'Capex forecast - 3004'!R392+'Capex forecast - 3005'!R392+'Capex forecast - 3006'!R392++'Capex forecast - 3007'!R392+'Capex forecast - 3008'!R392+'Capex forecast - 3009'!R392+'Capex forecast - 3010'!R392+'Capex forecast - 3011'!R392+'Capex forecast - 3012'!R392+'Capex forecast - 3013'!R392+'Capex forecast - 3014'!R392+'Capex forecast - 3015'!R392+'Capex forecast - 3016'!R392+'Capex forecast - 3017'!R392+'Capex forecast - 3018'!R392+'Capex forecast - 3019'!R392+'Capex forecast - 3020'!R392+'Capex forecast - 3021'!R392+'Capex forecast - 3022'!R392+'Capex forecast - 3023'!R392+'Capex forecast - 3024'!R392+'Capex forecast - 3025'!R392+'Capex forecast - IT'!R392+'Capex forecast - other non-IT'!R392</f>
        <v>23339651.889868174</v>
      </c>
      <c r="K18" s="45">
        <f>'Capex forecast - 3001'!S392+'Capex forecast - 3002'!S392+'Capex forecast - 3003'!S392+'Capex forecast - 3004'!S392+'Capex forecast - 3005'!S392+'Capex forecast - 3006'!S392++'Capex forecast - 3007'!S392+'Capex forecast - 3008'!S392+'Capex forecast - 3009'!S392+'Capex forecast - 3010'!S392+'Capex forecast - 3011'!S392+'Capex forecast - 3012'!S392+'Capex forecast - 3013'!S392+'Capex forecast - 3014'!S392+'Capex forecast - 3015'!S392+'Capex forecast - 3016'!S392+'Capex forecast - 3017'!S392+'Capex forecast - 3018'!S392+'Capex forecast - 3019'!S392+'Capex forecast - 3020'!S392+'Capex forecast - 3021'!S392+'Capex forecast - 3022'!S392+'Capex forecast - 3023'!S392+'Capex forecast - 3024'!S392+'Capex forecast - 3025'!S392+'Capex forecast - IT'!S392+'Capex forecast - other non-IT'!S392</f>
        <v>23672170.178581998</v>
      </c>
      <c r="L18" s="45">
        <f>'Capex forecast - 3001'!T392+'Capex forecast - 3002'!T392+'Capex forecast - 3003'!T392+'Capex forecast - 3004'!T392+'Capex forecast - 3005'!T392+'Capex forecast - 3006'!T392++'Capex forecast - 3007'!T392+'Capex forecast - 3008'!T392+'Capex forecast - 3009'!T392+'Capex forecast - 3010'!T392+'Capex forecast - 3011'!T392+'Capex forecast - 3012'!T392+'Capex forecast - 3013'!T392+'Capex forecast - 3014'!T392+'Capex forecast - 3015'!T392+'Capex forecast - 3016'!T392+'Capex forecast - 3017'!T392+'Capex forecast - 3018'!T392+'Capex forecast - 3019'!T392+'Capex forecast - 3020'!T392+'Capex forecast - 3021'!T392+'Capex forecast - 3022'!T392+'Capex forecast - 3023'!T392+'Capex forecast - 3024'!T392+'Capex forecast - 3025'!T392+'Capex forecast - IT'!T392+'Capex forecast - other non-IT'!T392</f>
        <v>18566229.694819752</v>
      </c>
      <c r="M18" s="45">
        <f>'Capex forecast - 3001'!U392+'Capex forecast - 3002'!U392+'Capex forecast - 3003'!U392+'Capex forecast - 3004'!U392+'Capex forecast - 3005'!U392+'Capex forecast - 3006'!U392++'Capex forecast - 3007'!U392+'Capex forecast - 3008'!U392+'Capex forecast - 3009'!U392+'Capex forecast - 3010'!U392+'Capex forecast - 3011'!U392+'Capex forecast - 3012'!U392+'Capex forecast - 3013'!U392+'Capex forecast - 3014'!U392+'Capex forecast - 3015'!U392+'Capex forecast - 3016'!U392+'Capex forecast - 3017'!U392+'Capex forecast - 3018'!U392+'Capex forecast - 3019'!U392+'Capex forecast - 3020'!U392+'Capex forecast - 3021'!U392+'Capex forecast - 3022'!U392+'Capex forecast - 3023'!U392+'Capex forecast - 3024'!U392+'Capex forecast - 3025'!U392+'Capex forecast - IT'!U392+'Capex forecast - other non-IT'!U392</f>
        <v>16920630.625481796</v>
      </c>
      <c r="N18" s="45">
        <f>'Capex forecast - 3001'!V392+'Capex forecast - 3002'!V392+'Capex forecast - 3003'!V392+'Capex forecast - 3004'!V392+'Capex forecast - 3005'!V392+'Capex forecast - 3006'!V392++'Capex forecast - 3007'!V392+'Capex forecast - 3008'!V392+'Capex forecast - 3009'!V392+'Capex forecast - 3010'!V392+'Capex forecast - 3011'!V392+'Capex forecast - 3012'!V392+'Capex forecast - 3013'!V392+'Capex forecast - 3014'!V392+'Capex forecast - 3015'!V392+'Capex forecast - 3016'!V392+'Capex forecast - 3017'!V392+'Capex forecast - 3018'!V392+'Capex forecast - 3019'!V392+'Capex forecast - 3020'!V392+'Capex forecast - 3021'!V392+'Capex forecast - 3022'!V392+'Capex forecast - 3023'!V392+'Capex forecast - 3024'!V392+'Capex forecast - 3025'!V392+'Capex forecast - IT'!V392+'Capex forecast - other non-IT'!V392</f>
        <v>13612053.619640438</v>
      </c>
      <c r="P18" s="40">
        <f t="shared" si="0"/>
        <v>96110736.008392155</v>
      </c>
    </row>
    <row r="19" spans="1:16">
      <c r="B19" s="38" t="s">
        <v>138</v>
      </c>
      <c r="D19" s="29"/>
      <c r="E19" s="29"/>
      <c r="H19" s="45"/>
      <c r="I19" s="45">
        <f>'Capex forecast - 3001'!Q393+'Capex forecast - 3002'!Q393+'Capex forecast - 3003'!Q393+'Capex forecast - 3004'!Q393+'Capex forecast - 3005'!Q393+'Capex forecast - 3006'!Q393++'Capex forecast - 3007'!Q393+'Capex forecast - 3008'!Q393+'Capex forecast - 3009'!Q393+'Capex forecast - 3010'!Q393+'Capex forecast - 3011'!Q393+'Capex forecast - 3012'!Q393+'Capex forecast - 3013'!Q393+'Capex forecast - 3014'!Q393+'Capex forecast - 3015'!Q393+'Capex forecast - 3016'!Q393+'Capex forecast - 3017'!Q393+'Capex forecast - 3018'!Q393+'Capex forecast - 3019'!Q393+'Capex forecast - 3020'!Q393+'Capex forecast - 3021'!Q393+'Capex forecast - 3022'!Q393+'Capex forecast - 3023'!Q393+'Capex forecast - 3024'!Q393+'Capex forecast - 3025'!Q393+'Capex forecast - IT'!Q393+'Capex forecast - other non-IT'!Q393</f>
        <v>0</v>
      </c>
      <c r="J19" s="45">
        <f>'Capex forecast - 3001'!R393+'Capex forecast - 3002'!R393+'Capex forecast - 3003'!R393+'Capex forecast - 3004'!R393+'Capex forecast - 3005'!R393+'Capex forecast - 3006'!R393++'Capex forecast - 3007'!R393+'Capex forecast - 3008'!R393+'Capex forecast - 3009'!R393+'Capex forecast - 3010'!R393+'Capex forecast - 3011'!R393+'Capex forecast - 3012'!R393+'Capex forecast - 3013'!R393+'Capex forecast - 3014'!R393+'Capex forecast - 3015'!R393+'Capex forecast - 3016'!R393+'Capex forecast - 3017'!R393+'Capex forecast - 3018'!R393+'Capex forecast - 3019'!R393+'Capex forecast - 3020'!R393+'Capex forecast - 3021'!R393+'Capex forecast - 3022'!R393+'Capex forecast - 3023'!R393+'Capex forecast - 3024'!R393+'Capex forecast - 3025'!R393+'Capex forecast - IT'!R393+'Capex forecast - other non-IT'!R393</f>
        <v>0</v>
      </c>
      <c r="K19" s="45">
        <f>'Capex forecast - 3001'!S393+'Capex forecast - 3002'!S393+'Capex forecast - 3003'!S393+'Capex forecast - 3004'!S393+'Capex forecast - 3005'!S393+'Capex forecast - 3006'!S393++'Capex forecast - 3007'!S393+'Capex forecast - 3008'!S393+'Capex forecast - 3009'!S393+'Capex forecast - 3010'!S393+'Capex forecast - 3011'!S393+'Capex forecast - 3012'!S393+'Capex forecast - 3013'!S393+'Capex forecast - 3014'!S393+'Capex forecast - 3015'!S393+'Capex forecast - 3016'!S393+'Capex forecast - 3017'!S393+'Capex forecast - 3018'!S393+'Capex forecast - 3019'!S393+'Capex forecast - 3020'!S393+'Capex forecast - 3021'!S393+'Capex forecast - 3022'!S393+'Capex forecast - 3023'!S393+'Capex forecast - 3024'!S393+'Capex forecast - 3025'!S393+'Capex forecast - IT'!S393+'Capex forecast - other non-IT'!S393</f>
        <v>0</v>
      </c>
      <c r="L19" s="45">
        <f>'Capex forecast - 3001'!T393+'Capex forecast - 3002'!T393+'Capex forecast - 3003'!T393+'Capex forecast - 3004'!T393+'Capex forecast - 3005'!T393+'Capex forecast - 3006'!T393++'Capex forecast - 3007'!T393+'Capex forecast - 3008'!T393+'Capex forecast - 3009'!T393+'Capex forecast - 3010'!T393+'Capex forecast - 3011'!T393+'Capex forecast - 3012'!T393+'Capex forecast - 3013'!T393+'Capex forecast - 3014'!T393+'Capex forecast - 3015'!T393+'Capex forecast - 3016'!T393+'Capex forecast - 3017'!T393+'Capex forecast - 3018'!T393+'Capex forecast - 3019'!T393+'Capex forecast - 3020'!T393+'Capex forecast - 3021'!T393+'Capex forecast - 3022'!T393+'Capex forecast - 3023'!T393+'Capex forecast - 3024'!T393+'Capex forecast - 3025'!T393+'Capex forecast - IT'!T393+'Capex forecast - other non-IT'!T393</f>
        <v>0</v>
      </c>
      <c r="M19" s="45">
        <f>'Capex forecast - 3001'!U393+'Capex forecast - 3002'!U393+'Capex forecast - 3003'!U393+'Capex forecast - 3004'!U393+'Capex forecast - 3005'!U393+'Capex forecast - 3006'!U393++'Capex forecast - 3007'!U393+'Capex forecast - 3008'!U393+'Capex forecast - 3009'!U393+'Capex forecast - 3010'!U393+'Capex forecast - 3011'!U393+'Capex forecast - 3012'!U393+'Capex forecast - 3013'!U393+'Capex forecast - 3014'!U393+'Capex forecast - 3015'!U393+'Capex forecast - 3016'!U393+'Capex forecast - 3017'!U393+'Capex forecast - 3018'!U393+'Capex forecast - 3019'!U393+'Capex forecast - 3020'!U393+'Capex forecast - 3021'!U393+'Capex forecast - 3022'!U393+'Capex forecast - 3023'!U393+'Capex forecast - 3024'!U393+'Capex forecast - 3025'!U393+'Capex forecast - IT'!U393+'Capex forecast - other non-IT'!U393</f>
        <v>0</v>
      </c>
      <c r="N19" s="45">
        <f>'Capex forecast - 3001'!V393+'Capex forecast - 3002'!V393+'Capex forecast - 3003'!V393+'Capex forecast - 3004'!V393+'Capex forecast - 3005'!V393+'Capex forecast - 3006'!V393++'Capex forecast - 3007'!V393+'Capex forecast - 3008'!V393+'Capex forecast - 3009'!V393+'Capex forecast - 3010'!V393+'Capex forecast - 3011'!V393+'Capex forecast - 3012'!V393+'Capex forecast - 3013'!V393+'Capex forecast - 3014'!V393+'Capex forecast - 3015'!V393+'Capex forecast - 3016'!V393+'Capex forecast - 3017'!V393+'Capex forecast - 3018'!V393+'Capex forecast - 3019'!V393+'Capex forecast - 3020'!V393+'Capex forecast - 3021'!V393+'Capex forecast - 3022'!V393+'Capex forecast - 3023'!V393+'Capex forecast - 3024'!V393+'Capex forecast - 3025'!V393+'Capex forecast - IT'!V393+'Capex forecast - other non-IT'!V393</f>
        <v>0</v>
      </c>
      <c r="P19" s="40">
        <f t="shared" si="0"/>
        <v>0</v>
      </c>
    </row>
    <row r="20" spans="1:16">
      <c r="B20" s="38" t="s">
        <v>108</v>
      </c>
      <c r="D20" s="29"/>
      <c r="E20" s="29"/>
      <c r="H20" s="45"/>
      <c r="I20" s="45">
        <f>'Capex forecast - 3001'!Q394+'Capex forecast - 3002'!Q394+'Capex forecast - 3003'!Q394+'Capex forecast - 3004'!Q394+'Capex forecast - 3005'!Q394+'Capex forecast - 3006'!Q394++'Capex forecast - 3007'!Q394+'Capex forecast - 3008'!Q394+'Capex forecast - 3009'!Q394+'Capex forecast - 3010'!Q394+'Capex forecast - 3011'!Q394+'Capex forecast - 3012'!Q394+'Capex forecast - 3013'!Q394+'Capex forecast - 3014'!Q394+'Capex forecast - 3015'!Q394+'Capex forecast - 3016'!Q394+'Capex forecast - 3017'!Q394+'Capex forecast - 3018'!Q394+'Capex forecast - 3019'!Q394+'Capex forecast - 3020'!Q394+'Capex forecast - 3021'!Q394+'Capex forecast - 3022'!Q394+'Capex forecast - 3023'!Q394+'Capex forecast - 3024'!Q394+'Capex forecast - 3025'!Q394+'Capex forecast - IT'!Q394+'Capex forecast - other non-IT'!Q394</f>
        <v>0</v>
      </c>
      <c r="J20" s="45">
        <f>'Capex forecast - 3001'!R394+'Capex forecast - 3002'!R394+'Capex forecast - 3003'!R394+'Capex forecast - 3004'!R394+'Capex forecast - 3005'!R394+'Capex forecast - 3006'!R394++'Capex forecast - 3007'!R394+'Capex forecast - 3008'!R394+'Capex forecast - 3009'!R394+'Capex forecast - 3010'!R394+'Capex forecast - 3011'!R394+'Capex forecast - 3012'!R394+'Capex forecast - 3013'!R394+'Capex forecast - 3014'!R394+'Capex forecast - 3015'!R394+'Capex forecast - 3016'!R394+'Capex forecast - 3017'!R394+'Capex forecast - 3018'!R394+'Capex forecast - 3019'!R394+'Capex forecast - 3020'!R394+'Capex forecast - 3021'!R394+'Capex forecast - 3022'!R394+'Capex forecast - 3023'!R394+'Capex forecast - 3024'!R394+'Capex forecast - 3025'!R394+'Capex forecast - IT'!R394+'Capex forecast - other non-IT'!R394</f>
        <v>0</v>
      </c>
      <c r="K20" s="45">
        <f>'Capex forecast - 3001'!S394+'Capex forecast - 3002'!S394+'Capex forecast - 3003'!S394+'Capex forecast - 3004'!S394+'Capex forecast - 3005'!S394+'Capex forecast - 3006'!S394++'Capex forecast - 3007'!S394+'Capex forecast - 3008'!S394+'Capex forecast - 3009'!S394+'Capex forecast - 3010'!S394+'Capex forecast - 3011'!S394+'Capex forecast - 3012'!S394+'Capex forecast - 3013'!S394+'Capex forecast - 3014'!S394+'Capex forecast - 3015'!S394+'Capex forecast - 3016'!S394+'Capex forecast - 3017'!S394+'Capex forecast - 3018'!S394+'Capex forecast - 3019'!S394+'Capex forecast - 3020'!S394+'Capex forecast - 3021'!S394+'Capex forecast - 3022'!S394+'Capex forecast - 3023'!S394+'Capex forecast - 3024'!S394+'Capex forecast - 3025'!S394+'Capex forecast - IT'!S394+'Capex forecast - other non-IT'!S394</f>
        <v>0</v>
      </c>
      <c r="L20" s="45">
        <f>'Capex forecast - 3001'!T394+'Capex forecast - 3002'!T394+'Capex forecast - 3003'!T394+'Capex forecast - 3004'!T394+'Capex forecast - 3005'!T394+'Capex forecast - 3006'!T394++'Capex forecast - 3007'!T394+'Capex forecast - 3008'!T394+'Capex forecast - 3009'!T394+'Capex forecast - 3010'!T394+'Capex forecast - 3011'!T394+'Capex forecast - 3012'!T394+'Capex forecast - 3013'!T394+'Capex forecast - 3014'!T394+'Capex forecast - 3015'!T394+'Capex forecast - 3016'!T394+'Capex forecast - 3017'!T394+'Capex forecast - 3018'!T394+'Capex forecast - 3019'!T394+'Capex forecast - 3020'!T394+'Capex forecast - 3021'!T394+'Capex forecast - 3022'!T394+'Capex forecast - 3023'!T394+'Capex forecast - 3024'!T394+'Capex forecast - 3025'!T394+'Capex forecast - IT'!T394+'Capex forecast - other non-IT'!T394</f>
        <v>0</v>
      </c>
      <c r="M20" s="45">
        <f>'Capex forecast - 3001'!U394+'Capex forecast - 3002'!U394+'Capex forecast - 3003'!U394+'Capex forecast - 3004'!U394+'Capex forecast - 3005'!U394+'Capex forecast - 3006'!U394++'Capex forecast - 3007'!U394+'Capex forecast - 3008'!U394+'Capex forecast - 3009'!U394+'Capex forecast - 3010'!U394+'Capex forecast - 3011'!U394+'Capex forecast - 3012'!U394+'Capex forecast - 3013'!U394+'Capex forecast - 3014'!U394+'Capex forecast - 3015'!U394+'Capex forecast - 3016'!U394+'Capex forecast - 3017'!U394+'Capex forecast - 3018'!U394+'Capex forecast - 3019'!U394+'Capex forecast - 3020'!U394+'Capex forecast - 3021'!U394+'Capex forecast - 3022'!U394+'Capex forecast - 3023'!U394+'Capex forecast - 3024'!U394+'Capex forecast - 3025'!U394+'Capex forecast - IT'!U394+'Capex forecast - other non-IT'!U394</f>
        <v>0</v>
      </c>
      <c r="N20" s="45">
        <f>'Capex forecast - 3001'!V394+'Capex forecast - 3002'!V394+'Capex forecast - 3003'!V394+'Capex forecast - 3004'!V394+'Capex forecast - 3005'!V394+'Capex forecast - 3006'!V394++'Capex forecast - 3007'!V394+'Capex forecast - 3008'!V394+'Capex forecast - 3009'!V394+'Capex forecast - 3010'!V394+'Capex forecast - 3011'!V394+'Capex forecast - 3012'!V394+'Capex forecast - 3013'!V394+'Capex forecast - 3014'!V394+'Capex forecast - 3015'!V394+'Capex forecast - 3016'!V394+'Capex forecast - 3017'!V394+'Capex forecast - 3018'!V394+'Capex forecast - 3019'!V394+'Capex forecast - 3020'!V394+'Capex forecast - 3021'!V394+'Capex forecast - 3022'!V394+'Capex forecast - 3023'!V394+'Capex forecast - 3024'!V394+'Capex forecast - 3025'!V394+'Capex forecast - IT'!V394+'Capex forecast - other non-IT'!V394</f>
        <v>0</v>
      </c>
      <c r="P20" s="40">
        <f t="shared" si="0"/>
        <v>0</v>
      </c>
    </row>
    <row r="21" spans="1:16">
      <c r="B21" s="38"/>
      <c r="D21" s="29"/>
      <c r="E21" s="29"/>
      <c r="P21" s="5"/>
    </row>
    <row r="22" spans="1:16" ht="12.75" thickBot="1">
      <c r="B22" s="5" t="s">
        <v>229</v>
      </c>
      <c r="D22" s="29"/>
      <c r="E22" s="29"/>
      <c r="H22" s="37"/>
      <c r="I22" s="37">
        <f t="shared" ref="I22:N22" si="1">SUM(I14:I20)</f>
        <v>96470143.127865762</v>
      </c>
      <c r="J22" s="37">
        <f t="shared" si="1"/>
        <v>107123009.39009131</v>
      </c>
      <c r="K22" s="37">
        <f t="shared" si="1"/>
        <v>104268566.36421098</v>
      </c>
      <c r="L22" s="37">
        <f t="shared" si="1"/>
        <v>101123117.02340277</v>
      </c>
      <c r="M22" s="37">
        <f t="shared" si="1"/>
        <v>95065551.787457585</v>
      </c>
      <c r="N22" s="37">
        <f t="shared" si="1"/>
        <v>90483351.061785311</v>
      </c>
      <c r="P22" s="37">
        <f t="shared" si="0"/>
        <v>498063595.626948</v>
      </c>
    </row>
    <row r="23" spans="1:16">
      <c r="B23" s="5"/>
      <c r="D23" s="29"/>
      <c r="E23" s="29"/>
      <c r="H23" s="82"/>
      <c r="I23" s="82"/>
      <c r="J23" s="82"/>
      <c r="K23" s="82"/>
      <c r="L23" s="82"/>
      <c r="M23" s="82"/>
      <c r="N23" s="82"/>
    </row>
    <row r="24" spans="1:16" s="1" customFormat="1">
      <c r="A24" s="2">
        <v>2</v>
      </c>
      <c r="B24" s="2" t="s">
        <v>413</v>
      </c>
    </row>
    <row r="25" spans="1:16">
      <c r="B25" s="5"/>
      <c r="D25" s="29"/>
      <c r="E25" s="29"/>
      <c r="H25" s="82"/>
      <c r="I25" s="82"/>
      <c r="J25" s="82"/>
      <c r="K25" s="82"/>
      <c r="L25" s="82"/>
      <c r="M25" s="82"/>
      <c r="N25" s="82"/>
    </row>
    <row r="26" spans="1:16">
      <c r="H26" s="187" t="s">
        <v>53</v>
      </c>
      <c r="I26" s="188"/>
      <c r="J26" s="187" t="s">
        <v>54</v>
      </c>
      <c r="K26" s="189"/>
      <c r="L26" s="189"/>
      <c r="M26" s="189"/>
      <c r="N26" s="188"/>
    </row>
    <row r="27" spans="1:16">
      <c r="B27" s="5"/>
      <c r="H27" s="18">
        <v>2016</v>
      </c>
      <c r="I27" s="18">
        <v>2017</v>
      </c>
      <c r="J27" s="18">
        <v>2018</v>
      </c>
      <c r="K27" s="18">
        <v>2019</v>
      </c>
      <c r="L27" s="18">
        <v>2020</v>
      </c>
      <c r="M27" s="18">
        <v>2021</v>
      </c>
      <c r="N27" s="18">
        <v>2022</v>
      </c>
      <c r="P27" s="29" t="s">
        <v>63</v>
      </c>
    </row>
    <row r="28" spans="1:16">
      <c r="B28" s="5" t="s">
        <v>343</v>
      </c>
      <c r="D28" s="29"/>
      <c r="E28" s="29"/>
      <c r="H28" s="16" t="s">
        <v>13</v>
      </c>
      <c r="I28" s="16" t="s">
        <v>13</v>
      </c>
      <c r="J28" s="16" t="s">
        <v>13</v>
      </c>
      <c r="K28" s="16" t="s">
        <v>13</v>
      </c>
      <c r="L28" s="16" t="s">
        <v>13</v>
      </c>
      <c r="M28" s="16" t="s">
        <v>13</v>
      </c>
      <c r="N28" s="16" t="s">
        <v>13</v>
      </c>
      <c r="P28" s="34" t="s">
        <v>13</v>
      </c>
    </row>
    <row r="29" spans="1:16">
      <c r="B29" s="5"/>
      <c r="D29" s="29"/>
      <c r="E29" s="29"/>
      <c r="H29" s="18"/>
      <c r="I29" s="18"/>
      <c r="J29" s="18"/>
      <c r="K29" s="18"/>
      <c r="L29" s="18"/>
      <c r="M29" s="18"/>
      <c r="N29" s="18"/>
    </row>
    <row r="30" spans="1:16">
      <c r="B30" s="38" t="s">
        <v>134</v>
      </c>
      <c r="D30" s="29"/>
      <c r="E30" s="29"/>
      <c r="H30" s="45"/>
      <c r="I30" s="45">
        <f>I14/'General assumptions'!T$21*(1+'General assumptions'!$F$13)^(1/2)</f>
        <v>69436775.832145616</v>
      </c>
      <c r="J30" s="45">
        <f>J14/'General assumptions'!U$21*(1+'General assumptions'!$F$13)^(1/2)</f>
        <v>69725764.211650938</v>
      </c>
      <c r="K30" s="45">
        <f>K14/'General assumptions'!V$21*(1+'General assumptions'!$F$13)^(1/2)</f>
        <v>66734689.736181013</v>
      </c>
      <c r="L30" s="45">
        <f>L14/'General assumptions'!W$21*(1+'General assumptions'!$F$13)^(1/2)</f>
        <v>70328978.8657756</v>
      </c>
      <c r="M30" s="45">
        <f>M14/'General assumptions'!X$21*(1+'General assumptions'!$F$13)^(1/2)</f>
        <v>66851326.379365563</v>
      </c>
      <c r="N30" s="45">
        <f>N14/'General assumptions'!Y$21*(1+'General assumptions'!$F$13)^(1/2)</f>
        <v>66065788.489300683</v>
      </c>
      <c r="P30" s="40">
        <f>SUM(J30:N30)</f>
        <v>339706547.68227381</v>
      </c>
    </row>
    <row r="31" spans="1:16">
      <c r="B31" s="38" t="s">
        <v>135</v>
      </c>
      <c r="D31" s="29"/>
      <c r="E31" s="29"/>
      <c r="H31" s="45"/>
      <c r="I31" s="45">
        <f>I15/'General assumptions'!T$21*(1+'General assumptions'!$F$13)^(1/2)</f>
        <v>11293715.86419595</v>
      </c>
      <c r="J31" s="45">
        <f>J15/'General assumptions'!U$21*(1+'General assumptions'!$F$13)^(1/2)</f>
        <v>12787348.301551577</v>
      </c>
      <c r="K31" s="45">
        <f>K15/'General assumptions'!V$21*(1+'General assumptions'!$F$13)^(1/2)</f>
        <v>13683468.625499053</v>
      </c>
      <c r="L31" s="45">
        <f>L15/'General assumptions'!W$21*(1+'General assumptions'!$F$13)^(1/2)</f>
        <v>13486936.678587342</v>
      </c>
      <c r="M31" s="45">
        <f>M15/'General assumptions'!X$21*(1+'General assumptions'!$F$13)^(1/2)</f>
        <v>13686876.265059816</v>
      </c>
      <c r="N31" s="45">
        <f>N15/'General assumptions'!Y$21*(1+'General assumptions'!$F$13)^(1/2)</f>
        <v>14524795.032341758</v>
      </c>
      <c r="P31" s="40">
        <f t="shared" ref="P31:P36" si="2">SUM(J31:N31)</f>
        <v>68169424.903039545</v>
      </c>
    </row>
    <row r="32" spans="1:16">
      <c r="B32" s="38" t="s">
        <v>136</v>
      </c>
      <c r="D32" s="29"/>
      <c r="E32" s="29"/>
      <c r="H32" s="45"/>
      <c r="I32" s="45">
        <f>I16/'General assumptions'!T$21*(1+'General assumptions'!$F$13)^(1/2)</f>
        <v>2106907.4206502987</v>
      </c>
      <c r="J32" s="45">
        <f>J16/'General assumptions'!U$21*(1+'General assumptions'!$F$13)^(1/2)</f>
        <v>2652670.3857742893</v>
      </c>
      <c r="K32" s="45">
        <f>K16/'General assumptions'!V$21*(1+'General assumptions'!$F$13)^(1/2)</f>
        <v>2859861.266936189</v>
      </c>
      <c r="L32" s="45">
        <f>L16/'General assumptions'!W$21*(1+'General assumptions'!$F$13)^(1/2)</f>
        <v>2895336.9005680042</v>
      </c>
      <c r="M32" s="45">
        <f>M16/'General assumptions'!X$21*(1+'General assumptions'!$F$13)^(1/2)</f>
        <v>2893342.9820811911</v>
      </c>
      <c r="N32" s="45">
        <f>N16/'General assumptions'!Y$21*(1+'General assumptions'!$F$13)^(1/2)</f>
        <v>2835359.804074808</v>
      </c>
      <c r="P32" s="40">
        <f t="shared" si="2"/>
        <v>14136571.339434482</v>
      </c>
    </row>
    <row r="33" spans="1:16">
      <c r="B33" s="38" t="s">
        <v>107</v>
      </c>
      <c r="D33" s="29"/>
      <c r="E33" s="29"/>
      <c r="H33" s="45"/>
      <c r="I33" s="45">
        <f>I17/'General assumptions'!T$21*(1+'General assumptions'!$F$13)^(1/2)</f>
        <v>0</v>
      </c>
      <c r="J33" s="45">
        <f>J17/'General assumptions'!U$21*(1+'General assumptions'!$F$13)^(1/2)</f>
        <v>0</v>
      </c>
      <c r="K33" s="45">
        <f>K17/'General assumptions'!V$21*(1+'General assumptions'!$F$13)^(1/2)</f>
        <v>0</v>
      </c>
      <c r="L33" s="45">
        <f>L17/'General assumptions'!W$21*(1+'General assumptions'!$F$13)^(1/2)</f>
        <v>0</v>
      </c>
      <c r="M33" s="45">
        <f>M17/'General assumptions'!X$21*(1+'General assumptions'!$F$13)^(1/2)</f>
        <v>0</v>
      </c>
      <c r="N33" s="45">
        <f>N17/'General assumptions'!Y$21*(1+'General assumptions'!$F$13)^(1/2)</f>
        <v>0</v>
      </c>
      <c r="P33" s="40">
        <f t="shared" si="2"/>
        <v>0</v>
      </c>
    </row>
    <row r="34" spans="1:16">
      <c r="B34" s="38" t="s">
        <v>137</v>
      </c>
      <c r="D34" s="29"/>
      <c r="E34" s="29"/>
      <c r="H34" s="45"/>
      <c r="I34" s="45">
        <f>I18/'General assumptions'!T$21*(1+'General assumptions'!$F$13)^(1/2)</f>
        <v>13632744.01087389</v>
      </c>
      <c r="J34" s="45">
        <f>J18/'General assumptions'!U$21*(1+'General assumptions'!$F$13)^(1/2)</f>
        <v>23724756.146050993</v>
      </c>
      <c r="K34" s="45">
        <f>K18/'General assumptions'!V$21*(1+'General assumptions'!$F$13)^(1/2)</f>
        <v>24459796.542806316</v>
      </c>
      <c r="L34" s="45">
        <f>L18/'General assumptions'!W$21*(1+'General assumptions'!$F$13)^(1/2)</f>
        <v>19500505.434641138</v>
      </c>
      <c r="M34" s="45">
        <f>M18/'General assumptions'!X$21*(1+'General assumptions'!$F$13)^(1/2)</f>
        <v>18065337.389399905</v>
      </c>
      <c r="N34" s="45">
        <f>N18/'General assumptions'!Y$21*(1+'General assumptions'!$F$13)^(1/2)</f>
        <v>14772723.390982511</v>
      </c>
      <c r="P34" s="40">
        <f t="shared" si="2"/>
        <v>100523118.90388085</v>
      </c>
    </row>
    <row r="35" spans="1:16">
      <c r="B35" s="38" t="s">
        <v>138</v>
      </c>
      <c r="D35" s="29"/>
      <c r="E35" s="29"/>
      <c r="H35" s="45"/>
      <c r="I35" s="45">
        <f>I19/'General assumptions'!T$21*(1+'General assumptions'!$F$13)^(1/2)</f>
        <v>0</v>
      </c>
      <c r="J35" s="45">
        <f>J19/'General assumptions'!U$21*(1+'General assumptions'!$F$13)^(1/2)</f>
        <v>0</v>
      </c>
      <c r="K35" s="45">
        <f>K19/'General assumptions'!V$21*(1+'General assumptions'!$F$13)^(1/2)</f>
        <v>0</v>
      </c>
      <c r="L35" s="45">
        <f>L19/'General assumptions'!W$21*(1+'General assumptions'!$F$13)^(1/2)</f>
        <v>0</v>
      </c>
      <c r="M35" s="45">
        <f>M19/'General assumptions'!X$21*(1+'General assumptions'!$F$13)^(1/2)</f>
        <v>0</v>
      </c>
      <c r="N35" s="45">
        <f>N19/'General assumptions'!Y$21*(1+'General assumptions'!$F$13)^(1/2)</f>
        <v>0</v>
      </c>
      <c r="P35" s="40">
        <f t="shared" si="2"/>
        <v>0</v>
      </c>
    </row>
    <row r="36" spans="1:16">
      <c r="B36" s="38" t="s">
        <v>108</v>
      </c>
      <c r="D36" s="29"/>
      <c r="E36" s="29"/>
      <c r="H36" s="45"/>
      <c r="I36" s="45">
        <f>I20/'General assumptions'!T$21*(1+'General assumptions'!$F$13)^(1/2)</f>
        <v>0</v>
      </c>
      <c r="J36" s="45">
        <f>J20/'General assumptions'!U$21*(1+'General assumptions'!$F$13)^(1/2)</f>
        <v>0</v>
      </c>
      <c r="K36" s="45">
        <f>K20/'General assumptions'!V$21*(1+'General assumptions'!$F$13)^(1/2)</f>
        <v>0</v>
      </c>
      <c r="L36" s="45">
        <f>L20/'General assumptions'!W$21*(1+'General assumptions'!$F$13)^(1/2)</f>
        <v>0</v>
      </c>
      <c r="M36" s="45">
        <f>M20/'General assumptions'!X$21*(1+'General assumptions'!$F$13)^(1/2)</f>
        <v>0</v>
      </c>
      <c r="N36" s="45">
        <f>N20/'General assumptions'!Y$21*(1+'General assumptions'!$F$13)^(1/2)</f>
        <v>0</v>
      </c>
      <c r="P36" s="40">
        <f t="shared" si="2"/>
        <v>0</v>
      </c>
    </row>
    <row r="37" spans="1:16">
      <c r="B37" s="38"/>
      <c r="D37" s="29"/>
      <c r="E37" s="29"/>
      <c r="P37" s="5"/>
    </row>
    <row r="38" spans="1:16" ht="12.75" thickBot="1">
      <c r="B38" s="5" t="s">
        <v>229</v>
      </c>
      <c r="D38" s="29"/>
      <c r="E38" s="29"/>
      <c r="H38" s="37"/>
      <c r="I38" s="37">
        <f t="shared" ref="I38:N38" si="3">SUM(I30:I36)</f>
        <v>96470143.127865762</v>
      </c>
      <c r="J38" s="37">
        <f t="shared" si="3"/>
        <v>108890539.04502779</v>
      </c>
      <c r="K38" s="37">
        <f t="shared" si="3"/>
        <v>107737816.17142256</v>
      </c>
      <c r="L38" s="37">
        <f t="shared" si="3"/>
        <v>106211757.87957209</v>
      </c>
      <c r="M38" s="37">
        <f t="shared" si="3"/>
        <v>101496883.01590647</v>
      </c>
      <c r="N38" s="37">
        <f t="shared" si="3"/>
        <v>98198666.716699764</v>
      </c>
      <c r="P38" s="37">
        <f t="shared" ref="P38" si="4">SUM(J38:N38)</f>
        <v>522535662.82862866</v>
      </c>
    </row>
    <row r="39" spans="1:16">
      <c r="B39" s="5"/>
      <c r="D39" s="29"/>
      <c r="E39" s="29"/>
      <c r="H39" s="82"/>
      <c r="I39" s="82"/>
      <c r="J39" s="82"/>
      <c r="K39" s="82"/>
      <c r="L39" s="82"/>
      <c r="M39" s="82"/>
      <c r="N39" s="82"/>
    </row>
    <row r="40" spans="1:16" s="1" customFormat="1">
      <c r="A40" s="2"/>
      <c r="B40" s="2" t="s">
        <v>42</v>
      </c>
    </row>
  </sheetData>
  <mergeCells count="4">
    <mergeCell ref="H10:I10"/>
    <mergeCell ref="J10:N10"/>
    <mergeCell ref="H26:I26"/>
    <mergeCell ref="J26:N26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Q85"/>
  <sheetViews>
    <sheetView workbookViewId="0"/>
  </sheetViews>
  <sheetFormatPr defaultColWidth="9.140625" defaultRowHeight="12"/>
  <cols>
    <col min="1" max="1" width="3.85546875" style="94" customWidth="1"/>
    <col min="2" max="2" width="13" style="94" customWidth="1"/>
    <col min="3" max="3" width="3.28515625" style="94" customWidth="1"/>
    <col min="4" max="7" width="9.140625" style="94"/>
    <col min="8" max="14" width="12.28515625" style="94" customWidth="1"/>
    <col min="15" max="15" width="4.42578125" style="94" customWidth="1"/>
    <col min="16" max="16" width="13" style="94" customWidth="1"/>
    <col min="17" max="17" width="13.5703125" style="94" bestFit="1" customWidth="1"/>
    <col min="18" max="18" width="9.85546875" style="94" bestFit="1" customWidth="1"/>
    <col min="19" max="21" width="9.140625" style="94"/>
    <col min="22" max="22" width="14.140625" style="94" customWidth="1"/>
    <col min="23" max="16384" width="9.140625" style="94"/>
  </cols>
  <sheetData>
    <row r="1" spans="1:17" s="3" customFormat="1">
      <c r="A1" s="2" t="s">
        <v>2</v>
      </c>
    </row>
    <row r="2" spans="1:17" s="1" customFormat="1">
      <c r="A2" s="3" t="s">
        <v>415</v>
      </c>
    </row>
    <row r="3" spans="1:17" s="1" customFormat="1">
      <c r="A3" s="3" t="s">
        <v>95</v>
      </c>
    </row>
    <row r="4" spans="1:17" s="1" customFormat="1">
      <c r="A4" s="22" t="s">
        <v>43</v>
      </c>
    </row>
    <row r="6" spans="1:17">
      <c r="B6" s="94" t="s">
        <v>228</v>
      </c>
      <c r="E6" s="83" t="str">
        <f>'General assumptions'!F27</f>
        <v>Yes</v>
      </c>
    </row>
    <row r="8" spans="1:17" s="1" customFormat="1">
      <c r="A8" s="2">
        <v>1</v>
      </c>
      <c r="B8" s="2" t="s">
        <v>416</v>
      </c>
    </row>
    <row r="9" spans="1:17">
      <c r="H9" s="30"/>
      <c r="I9" s="30"/>
      <c r="J9" s="30"/>
      <c r="K9" s="30"/>
      <c r="L9" s="30"/>
      <c r="M9" s="30"/>
      <c r="N9" s="30"/>
    </row>
    <row r="10" spans="1:17">
      <c r="H10" s="187" t="s">
        <v>53</v>
      </c>
      <c r="I10" s="188"/>
      <c r="J10" s="187" t="s">
        <v>54</v>
      </c>
      <c r="K10" s="189"/>
      <c r="L10" s="189"/>
      <c r="M10" s="189"/>
      <c r="N10" s="188"/>
    </row>
    <row r="11" spans="1:17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63</v>
      </c>
    </row>
    <row r="12" spans="1:17">
      <c r="B12" s="5"/>
      <c r="D12" s="29"/>
      <c r="E12" s="29"/>
      <c r="H12" s="16" t="s">
        <v>13</v>
      </c>
      <c r="I12" s="16" t="s">
        <v>13</v>
      </c>
      <c r="J12" s="16" t="s">
        <v>13</v>
      </c>
      <c r="K12" s="16" t="s">
        <v>13</v>
      </c>
      <c r="L12" s="16" t="s">
        <v>13</v>
      </c>
      <c r="M12" s="16" t="s">
        <v>13</v>
      </c>
      <c r="N12" s="16" t="s">
        <v>13</v>
      </c>
      <c r="P12" s="34" t="s">
        <v>13</v>
      </c>
    </row>
    <row r="13" spans="1:17">
      <c r="D13" s="31"/>
      <c r="E13" s="31"/>
      <c r="P13" s="20"/>
    </row>
    <row r="14" spans="1:17">
      <c r="B14" s="8"/>
      <c r="C14" s="94" t="s">
        <v>418</v>
      </c>
      <c r="D14" s="31"/>
      <c r="E14" s="31"/>
      <c r="I14" s="45">
        <f>'Capex forecast - 3001'!Q113+'Capex forecast - 3002'!Q113+'Capex forecast - 3003'!Q113+'Capex forecast - 3004'!Q113+'Capex forecast - 3005'!Q113+'Capex forecast - 3006'!Q113+'Capex forecast - 3007'!Q113+'Capex forecast - 3008'!Q113+'Capex forecast - 3009'!Q113+'Capex forecast - 3010'!Q113+'Capex forecast - 3011'!Q113+'Capex forecast - 3012'!Q93+'Capex forecast - 3013'!Q113+'Capex forecast - 3014'!Q113+'Capex forecast - 3015'!Q113+'Capex forecast - 3016'!Q113+'Capex forecast - 3017'!Q93+'Capex forecast - 3018'!Q93+'Capex forecast - 3019'!Q113+'Capex forecast - 3020'!Q113+'Capex forecast - 3021'!Q93+'Capex forecast - 3022'!Q93+'Capex forecast - 3023'!Q93+'Capex forecast - 3024'!Q93+'Capex forecast - 3025'!Q93</f>
        <v>3195909.2352681453</v>
      </c>
      <c r="J14" s="45">
        <f>'Capex forecast - 3001'!R113+'Capex forecast - 3002'!R113+'Capex forecast - 3003'!R113+'Capex forecast - 3004'!R113+'Capex forecast - 3005'!R113+'Capex forecast - 3006'!R113+'Capex forecast - 3007'!R113+'Capex forecast - 3008'!R113+'Capex forecast - 3009'!R113+'Capex forecast - 3010'!R113+'Capex forecast - 3011'!R113+'Capex forecast - 3012'!R93+'Capex forecast - 3013'!R113+'Capex forecast - 3014'!R113+'Capex forecast - 3015'!R113+'Capex forecast - 3016'!R113+'Capex forecast - 3017'!R93+'Capex forecast - 3018'!R93+'Capex forecast - 3019'!R113+'Capex forecast - 3020'!R113+'Capex forecast - 3021'!R93+'Capex forecast - 3022'!R93+'Capex forecast - 3023'!R93+'Capex forecast - 3024'!R93+'Capex forecast - 3025'!R93</f>
        <v>3286181.8934097197</v>
      </c>
      <c r="K14" s="45">
        <f>'Capex forecast - 3001'!S113+'Capex forecast - 3002'!S113+'Capex forecast - 3003'!S113+'Capex forecast - 3004'!S113+'Capex forecast - 3005'!S113+'Capex forecast - 3006'!S113+'Capex forecast - 3007'!S113+'Capex forecast - 3008'!S113+'Capex forecast - 3009'!S113+'Capex forecast - 3010'!S113+'Capex forecast - 3011'!S113+'Capex forecast - 3012'!S93+'Capex forecast - 3013'!S113+'Capex forecast - 3014'!S113+'Capex forecast - 3015'!S113+'Capex forecast - 3016'!S113+'Capex forecast - 3017'!S93+'Capex forecast - 3018'!S93+'Capex forecast - 3019'!S113+'Capex forecast - 3020'!S113+'Capex forecast - 3021'!S93+'Capex forecast - 3022'!S93+'Capex forecast - 3023'!S93+'Capex forecast - 3024'!S93+'Capex forecast - 3025'!S93</f>
        <v>3225540.2914377786</v>
      </c>
      <c r="L14" s="45">
        <f>'Capex forecast - 3001'!T113+'Capex forecast - 3002'!T113+'Capex forecast - 3003'!T113+'Capex forecast - 3004'!T113+'Capex forecast - 3005'!T113+'Capex forecast - 3006'!T113+'Capex forecast - 3007'!T113+'Capex forecast - 3008'!T113+'Capex forecast - 3009'!T113+'Capex forecast - 3010'!T113+'Capex forecast - 3011'!T113+'Capex forecast - 3012'!T93+'Capex forecast - 3013'!T113+'Capex forecast - 3014'!T113+'Capex forecast - 3015'!T113+'Capex forecast - 3016'!T113+'Capex forecast - 3017'!T93+'Capex forecast - 3018'!T93+'Capex forecast - 3019'!T113+'Capex forecast - 3020'!T113+'Capex forecast - 3021'!T93+'Capex forecast - 3022'!T93+'Capex forecast - 3023'!T93+'Capex forecast - 3024'!T93+'Capex forecast - 3025'!T93</f>
        <v>3141463.005355807</v>
      </c>
      <c r="M14" s="45">
        <f>'Capex forecast - 3001'!U113+'Capex forecast - 3002'!U113+'Capex forecast - 3003'!U113+'Capex forecast - 3004'!U113+'Capex forecast - 3005'!U113+'Capex forecast - 3006'!U113+'Capex forecast - 3007'!U113+'Capex forecast - 3008'!U113+'Capex forecast - 3009'!U113+'Capex forecast - 3010'!U113+'Capex forecast - 3011'!U113+'Capex forecast - 3012'!U93+'Capex forecast - 3013'!U113+'Capex forecast - 3014'!U113+'Capex forecast - 3015'!U113+'Capex forecast - 3016'!U113+'Capex forecast - 3017'!U93+'Capex forecast - 3018'!U93+'Capex forecast - 3019'!U113+'Capex forecast - 3020'!U113+'Capex forecast - 3021'!U93+'Capex forecast - 3022'!U93+'Capex forecast - 3023'!U93+'Capex forecast - 3024'!U93+'Capex forecast - 3025'!U93</f>
        <v>3002742.7087614923</v>
      </c>
      <c r="N14" s="45">
        <f>'Capex forecast - 3001'!V113+'Capex forecast - 3002'!V113+'Capex forecast - 3003'!V113+'Capex forecast - 3004'!V113+'Capex forecast - 3005'!V113+'Capex forecast - 3006'!V113+'Capex forecast - 3007'!V113+'Capex forecast - 3008'!V113+'Capex forecast - 3009'!V113+'Capex forecast - 3010'!V113+'Capex forecast - 3011'!V113+'Capex forecast - 3012'!V93+'Capex forecast - 3013'!V113+'Capex forecast - 3014'!V113+'Capex forecast - 3015'!V113+'Capex forecast - 3016'!V113+'Capex forecast - 3017'!V93+'Capex forecast - 3018'!V93+'Capex forecast - 3019'!V113+'Capex forecast - 3020'!V113+'Capex forecast - 3021'!V93+'Capex forecast - 3022'!V93+'Capex forecast - 3023'!V93+'Capex forecast - 3024'!V93+'Capex forecast - 3025'!V93</f>
        <v>2928707.1620196225</v>
      </c>
      <c r="P14" s="40">
        <f t="shared" ref="P14:P18" si="0">SUM(J14:N14)</f>
        <v>15584635.060984422</v>
      </c>
    </row>
    <row r="15" spans="1:17">
      <c r="B15" s="8">
        <v>3027</v>
      </c>
      <c r="C15" s="94" t="s">
        <v>225</v>
      </c>
      <c r="H15" s="45"/>
      <c r="I15" s="45">
        <f>'Capex forecast - IT'!Q93</f>
        <v>2671505.735843027</v>
      </c>
      <c r="J15" s="45">
        <f>'Capex forecast - IT'!R93</f>
        <v>4506151.7027251367</v>
      </c>
      <c r="K15" s="45">
        <f>'Capex forecast - IT'!S93</f>
        <v>5815672.3741532993</v>
      </c>
      <c r="L15" s="45">
        <f>'Capex forecast - IT'!T93</f>
        <v>5294504.0145295253</v>
      </c>
      <c r="M15" s="45">
        <f>'Capex forecast - IT'!U93</f>
        <v>2971531.3557204492</v>
      </c>
      <c r="N15" s="45">
        <f>'Capex forecast - IT'!V93</f>
        <v>2618090.5395898465</v>
      </c>
      <c r="P15" s="40">
        <f t="shared" si="0"/>
        <v>21205949.98671826</v>
      </c>
      <c r="Q15" s="98"/>
    </row>
    <row r="16" spans="1:17">
      <c r="B16" s="8">
        <v>3031</v>
      </c>
      <c r="C16" s="94" t="s">
        <v>218</v>
      </c>
      <c r="H16" s="45"/>
      <c r="I16" s="45">
        <f>'Capex forecast - other non-IT'!Q93</f>
        <v>14436.560403613847</v>
      </c>
      <c r="J16" s="45">
        <f>'Capex forecast - other non-IT'!R93</f>
        <v>14454.350692193088</v>
      </c>
      <c r="K16" s="45">
        <f>'Capex forecast - other non-IT'!S93</f>
        <v>14475.77556475862</v>
      </c>
      <c r="L16" s="45">
        <f>'Capex forecast - other non-IT'!T93</f>
        <v>14502.967863727399</v>
      </c>
      <c r="M16" s="45">
        <f>'Capex forecast - other non-IT'!U93</f>
        <v>14537.840516607648</v>
      </c>
      <c r="N16" s="45">
        <f>'Capex forecast - other non-IT'!V93</f>
        <v>14576.468120505291</v>
      </c>
      <c r="P16" s="40">
        <f t="shared" si="0"/>
        <v>72547.402757792035</v>
      </c>
      <c r="Q16" s="98"/>
    </row>
    <row r="17" spans="1:17">
      <c r="B17" s="80"/>
      <c r="H17" s="45"/>
      <c r="I17" s="45"/>
      <c r="J17" s="45"/>
      <c r="K17" s="45"/>
      <c r="L17" s="45"/>
      <c r="M17" s="45"/>
      <c r="N17" s="45"/>
    </row>
    <row r="18" spans="1:17" ht="12.75" thickBot="1">
      <c r="B18" s="81" t="s">
        <v>417</v>
      </c>
      <c r="H18" s="37"/>
      <c r="I18" s="37">
        <f>SUM(I14:I16)</f>
        <v>5881851.5315147871</v>
      </c>
      <c r="J18" s="37">
        <f t="shared" ref="J18:N18" si="1">SUM(J14:J16)</f>
        <v>7806787.9468270494</v>
      </c>
      <c r="K18" s="37">
        <f t="shared" si="1"/>
        <v>9055688.441155836</v>
      </c>
      <c r="L18" s="37">
        <f t="shared" si="1"/>
        <v>8450469.9877490588</v>
      </c>
      <c r="M18" s="37">
        <f t="shared" si="1"/>
        <v>5988811.9049985493</v>
      </c>
      <c r="N18" s="37">
        <f t="shared" si="1"/>
        <v>5561374.1697299741</v>
      </c>
      <c r="P18" s="37">
        <f t="shared" si="0"/>
        <v>36863132.450460464</v>
      </c>
    </row>
    <row r="19" spans="1:17">
      <c r="B19" s="81"/>
      <c r="H19" s="82"/>
      <c r="I19" s="82"/>
      <c r="J19" s="82"/>
      <c r="K19" s="82"/>
      <c r="L19" s="82"/>
      <c r="M19" s="82"/>
      <c r="N19" s="82"/>
      <c r="P19" s="82"/>
    </row>
    <row r="20" spans="1:17" s="1" customFormat="1">
      <c r="A20" s="2">
        <v>2</v>
      </c>
      <c r="B20" s="2" t="s">
        <v>419</v>
      </c>
    </row>
    <row r="21" spans="1:17">
      <c r="H21" s="30"/>
      <c r="I21" s="30"/>
      <c r="J21" s="30"/>
      <c r="K21" s="30"/>
      <c r="L21" s="30"/>
      <c r="M21" s="30"/>
      <c r="N21" s="30"/>
    </row>
    <row r="22" spans="1:17">
      <c r="H22" s="187" t="s">
        <v>53</v>
      </c>
      <c r="I22" s="188"/>
      <c r="J22" s="187" t="s">
        <v>54</v>
      </c>
      <c r="K22" s="189"/>
      <c r="L22" s="189"/>
      <c r="M22" s="189"/>
      <c r="N22" s="188"/>
    </row>
    <row r="23" spans="1:17">
      <c r="B23" s="5"/>
      <c r="H23" s="18">
        <v>2016</v>
      </c>
      <c r="I23" s="18">
        <v>2017</v>
      </c>
      <c r="J23" s="18">
        <v>2018</v>
      </c>
      <c r="K23" s="18">
        <v>2019</v>
      </c>
      <c r="L23" s="18">
        <v>2020</v>
      </c>
      <c r="M23" s="18">
        <v>2021</v>
      </c>
      <c r="N23" s="18">
        <v>2022</v>
      </c>
      <c r="P23" s="29" t="s">
        <v>63</v>
      </c>
    </row>
    <row r="24" spans="1:17">
      <c r="B24" s="5"/>
      <c r="D24" s="29"/>
      <c r="E24" s="29"/>
      <c r="H24" s="16" t="s">
        <v>13</v>
      </c>
      <c r="I24" s="16" t="s">
        <v>13</v>
      </c>
      <c r="J24" s="16" t="s">
        <v>13</v>
      </c>
      <c r="K24" s="16" t="s">
        <v>13</v>
      </c>
      <c r="L24" s="16" t="s">
        <v>13</v>
      </c>
      <c r="M24" s="16" t="s">
        <v>13</v>
      </c>
      <c r="N24" s="16" t="s">
        <v>13</v>
      </c>
      <c r="P24" s="34" t="s">
        <v>13</v>
      </c>
    </row>
    <row r="25" spans="1:17">
      <c r="D25" s="31"/>
      <c r="E25" s="31"/>
      <c r="P25" s="20"/>
    </row>
    <row r="26" spans="1:17">
      <c r="B26" s="8"/>
      <c r="C26" s="94" t="s">
        <v>418</v>
      </c>
      <c r="D26" s="31"/>
      <c r="E26" s="31"/>
      <c r="I26" s="45">
        <f>'Capex forecast - 3001'!Q136+'Capex forecast - 3002'!Q136+'Capex forecast - 3003'!Q136+'Capex forecast - 3004'!Q136+'Capex forecast - 3005'!Q136+'Capex forecast - 3006'!Q136+'Capex forecast - 3007'!Q136+'Capex forecast - 3008'!Q136+'Capex forecast - 3009'!Q136+'Capex forecast - 3010'!Q136+'Capex forecast - 3011'!Q136+'Capex forecast - 3012'!Q116+'Capex forecast - 3013'!Q136+'Capex forecast - 3014'!Q136+'Capex forecast - 3015'!Q136+'Capex forecast - 3016'!Q136+'Capex forecast - 3017'!Q116+'Capex forecast - 3018'!Q116+'Capex forecast - 3019'!Q136+'Capex forecast - 3020'!Q136+'Capex forecast - 3021'!Q116+'Capex forecast - 3022'!Q116+'Capex forecast - 3023'!Q116+'Capex forecast - 3024'!Q116+'Capex forecast - 3025'!Q116</f>
        <v>59368434.881358527</v>
      </c>
      <c r="J26" s="45">
        <f>'Capex forecast - 3001'!R136+'Capex forecast - 3002'!R136+'Capex forecast - 3003'!R136+'Capex forecast - 3004'!R136+'Capex forecast - 3005'!R136+'Capex forecast - 3006'!R136+'Capex forecast - 3007'!R136+'Capex forecast - 3008'!R136+'Capex forecast - 3009'!R136+'Capex forecast - 3010'!R136+'Capex forecast - 3011'!R136+'Capex forecast - 3012'!R116+'Capex forecast - 3013'!R136+'Capex forecast - 3014'!R136+'Capex forecast - 3015'!R136+'Capex forecast - 3016'!R136+'Capex forecast - 3017'!R116+'Capex forecast - 3018'!R116+'Capex forecast - 3019'!R136+'Capex forecast - 3020'!R136+'Capex forecast - 3021'!R116+'Capex forecast - 3022'!R116+'Capex forecast - 3023'!R116+'Capex forecast - 3024'!R116+'Capex forecast - 3025'!R116</f>
        <v>61158118.552042447</v>
      </c>
      <c r="K26" s="45">
        <f>'Capex forecast - 3001'!S136+'Capex forecast - 3002'!S136+'Capex forecast - 3003'!S136+'Capex forecast - 3004'!S136+'Capex forecast - 3005'!S136+'Capex forecast - 3006'!S136+'Capex forecast - 3007'!S136+'Capex forecast - 3008'!S136+'Capex forecast - 3009'!S136+'Capex forecast - 3010'!S136+'Capex forecast - 3011'!S136+'Capex forecast - 3012'!S116+'Capex forecast - 3013'!S136+'Capex forecast - 3014'!S136+'Capex forecast - 3015'!S136+'Capex forecast - 3016'!S136+'Capex forecast - 3017'!S116+'Capex forecast - 3018'!S116+'Capex forecast - 3019'!S136+'Capex forecast - 3020'!S136+'Capex forecast - 3021'!S116+'Capex forecast - 3022'!S116+'Capex forecast - 3023'!S116+'Capex forecast - 3024'!S116+'Capex forecast - 3025'!S116</f>
        <v>57988177.768259577</v>
      </c>
      <c r="L26" s="45">
        <f>'Capex forecast - 3001'!T136+'Capex forecast - 3002'!T136+'Capex forecast - 3003'!T136+'Capex forecast - 3004'!T136+'Capex forecast - 3005'!T136+'Capex forecast - 3006'!T136+'Capex forecast - 3007'!T136+'Capex forecast - 3008'!T136+'Capex forecast - 3009'!T136+'Capex forecast - 3010'!T136+'Capex forecast - 3011'!T136+'Capex forecast - 3012'!T116+'Capex forecast - 3013'!T136+'Capex forecast - 3014'!T136+'Capex forecast - 3015'!T136+'Capex forecast - 3016'!T136+'Capex forecast - 3017'!T116+'Capex forecast - 3018'!T116+'Capex forecast - 3019'!T136+'Capex forecast - 3020'!T136+'Capex forecast - 3021'!T116+'Capex forecast - 3022'!T116+'Capex forecast - 3023'!T116+'Capex forecast - 3024'!T116+'Capex forecast - 3025'!T116</f>
        <v>58283130.278245047</v>
      </c>
      <c r="M26" s="45">
        <f>'Capex forecast - 3001'!U136+'Capex forecast - 3002'!U136+'Capex forecast - 3003'!U136+'Capex forecast - 3004'!U136+'Capex forecast - 3005'!U136+'Capex forecast - 3006'!U136+'Capex forecast - 3007'!U136+'Capex forecast - 3008'!U136+'Capex forecast - 3009'!U136+'Capex forecast - 3010'!U136+'Capex forecast - 3011'!U136+'Capex forecast - 3012'!U116+'Capex forecast - 3013'!U136+'Capex forecast - 3014'!U136+'Capex forecast - 3015'!U136+'Capex forecast - 3016'!U136+'Capex forecast - 3017'!U116+'Capex forecast - 3018'!U116+'Capex forecast - 3019'!U136+'Capex forecast - 3020'!U136+'Capex forecast - 3021'!U116+'Capex forecast - 3022'!U116+'Capex forecast - 3023'!U116+'Capex forecast - 3024'!U116+'Capex forecast - 3025'!U116</f>
        <v>55664917.315375671</v>
      </c>
      <c r="N26" s="45">
        <f>'Capex forecast - 3001'!V136+'Capex forecast - 3002'!V136+'Capex forecast - 3003'!V136+'Capex forecast - 3004'!V136+'Capex forecast - 3005'!V136+'Capex forecast - 3006'!V136+'Capex forecast - 3007'!V136+'Capex forecast - 3008'!V136+'Capex forecast - 3009'!V136+'Capex forecast - 3010'!V136+'Capex forecast - 3011'!V136+'Capex forecast - 3012'!V116+'Capex forecast - 3013'!V136+'Capex forecast - 3014'!V136+'Capex forecast - 3015'!V136+'Capex forecast - 3016'!V136+'Capex forecast - 3017'!V116+'Capex forecast - 3018'!V116+'Capex forecast - 3019'!V136+'Capex forecast - 3020'!V136+'Capex forecast - 3021'!V116+'Capex forecast - 3022'!V116+'Capex forecast - 3023'!V116+'Capex forecast - 3024'!V116+'Capex forecast - 3025'!V116</f>
        <v>54269272.606216639</v>
      </c>
      <c r="P26" s="40">
        <f t="shared" ref="P26:P28" si="2">SUM(J26:N26)</f>
        <v>287363616.52013934</v>
      </c>
    </row>
    <row r="27" spans="1:17">
      <c r="B27" s="8">
        <v>3027</v>
      </c>
      <c r="C27" s="94" t="s">
        <v>225</v>
      </c>
      <c r="H27" s="45"/>
      <c r="I27" s="45">
        <f>'Capex forecast - IT'!Q116</f>
        <v>360960.84018785559</v>
      </c>
      <c r="J27" s="45">
        <f>'Capex forecast - IT'!R116</f>
        <v>966001.79741390492</v>
      </c>
      <c r="K27" s="45">
        <f>'Capex forecast - IT'!S116</f>
        <v>830547.46038942423</v>
      </c>
      <c r="L27" s="45">
        <f>'Capex forecast - IT'!T116</f>
        <v>674580.96457144851</v>
      </c>
      <c r="M27" s="45">
        <f>'Capex forecast - IT'!U116</f>
        <v>778841.7102749811</v>
      </c>
      <c r="N27" s="45">
        <f>'Capex forecast - IT'!V116</f>
        <v>420900.34364266857</v>
      </c>
      <c r="P27" s="40">
        <f t="shared" si="2"/>
        <v>3670872.2762924274</v>
      </c>
      <c r="Q27" s="98"/>
    </row>
    <row r="28" spans="1:17">
      <c r="B28" s="8">
        <v>3031</v>
      </c>
      <c r="C28" s="94" t="s">
        <v>218</v>
      </c>
      <c r="H28" s="45"/>
      <c r="I28" s="45">
        <f>'Capex forecast - other non-IT'!Q116</f>
        <v>14436.560403613847</v>
      </c>
      <c r="J28" s="45">
        <f>'Capex forecast - other non-IT'!R116</f>
        <v>14454.350692193088</v>
      </c>
      <c r="K28" s="45">
        <f>'Capex forecast - other non-IT'!S116</f>
        <v>14475.77556475862</v>
      </c>
      <c r="L28" s="45">
        <f>'Capex forecast - other non-IT'!T116</f>
        <v>14502.967863727399</v>
      </c>
      <c r="M28" s="45">
        <f>'Capex forecast - other non-IT'!U116</f>
        <v>14537.840516607648</v>
      </c>
      <c r="N28" s="45">
        <f>'Capex forecast - other non-IT'!V116</f>
        <v>14576.468120505291</v>
      </c>
      <c r="P28" s="40">
        <f t="shared" si="2"/>
        <v>72547.402757792035</v>
      </c>
      <c r="Q28" s="98"/>
    </row>
    <row r="29" spans="1:17">
      <c r="B29" s="80"/>
      <c r="H29" s="45"/>
      <c r="I29" s="45"/>
      <c r="J29" s="45"/>
      <c r="K29" s="45"/>
      <c r="L29" s="45"/>
      <c r="M29" s="45"/>
      <c r="N29" s="45"/>
    </row>
    <row r="30" spans="1:17" ht="12.75" thickBot="1">
      <c r="B30" s="81" t="s">
        <v>420</v>
      </c>
      <c r="H30" s="37"/>
      <c r="I30" s="37">
        <f>SUM(I26:I28)</f>
        <v>59743832.281949997</v>
      </c>
      <c r="J30" s="37">
        <f t="shared" ref="J30:N30" si="3">SUM(J26:J28)</f>
        <v>62138574.700148545</v>
      </c>
      <c r="K30" s="37">
        <f t="shared" si="3"/>
        <v>58833201.004213765</v>
      </c>
      <c r="L30" s="37">
        <f t="shared" si="3"/>
        <v>58972214.210680224</v>
      </c>
      <c r="M30" s="37">
        <f t="shared" si="3"/>
        <v>56458296.866167255</v>
      </c>
      <c r="N30" s="37">
        <f t="shared" si="3"/>
        <v>54704749.417979814</v>
      </c>
      <c r="P30" s="37">
        <f t="shared" ref="P30" si="4">SUM(J30:N30)</f>
        <v>291107036.1991896</v>
      </c>
    </row>
    <row r="31" spans="1:17">
      <c r="I31" s="45"/>
      <c r="J31" s="45"/>
      <c r="K31" s="45"/>
      <c r="L31" s="45"/>
      <c r="M31" s="45"/>
      <c r="N31" s="45"/>
    </row>
    <row r="32" spans="1:17" s="1" customFormat="1">
      <c r="A32" s="2">
        <v>3</v>
      </c>
      <c r="B32" s="2" t="s">
        <v>421</v>
      </c>
    </row>
    <row r="33" spans="1:17">
      <c r="H33" s="30"/>
      <c r="I33" s="30"/>
      <c r="J33" s="30"/>
      <c r="K33" s="30"/>
      <c r="L33" s="30"/>
      <c r="M33" s="30"/>
      <c r="N33" s="30"/>
    </row>
    <row r="34" spans="1:17">
      <c r="H34" s="187" t="s">
        <v>53</v>
      </c>
      <c r="I34" s="188"/>
      <c r="J34" s="187" t="s">
        <v>54</v>
      </c>
      <c r="K34" s="189"/>
      <c r="L34" s="189"/>
      <c r="M34" s="189"/>
      <c r="N34" s="188"/>
    </row>
    <row r="35" spans="1:17">
      <c r="B35" s="5"/>
      <c r="H35" s="18">
        <v>2016</v>
      </c>
      <c r="I35" s="18">
        <v>2017</v>
      </c>
      <c r="J35" s="18">
        <v>2018</v>
      </c>
      <c r="K35" s="18">
        <v>2019</v>
      </c>
      <c r="L35" s="18">
        <v>2020</v>
      </c>
      <c r="M35" s="18">
        <v>2021</v>
      </c>
      <c r="N35" s="18">
        <v>2022</v>
      </c>
      <c r="P35" s="29" t="s">
        <v>63</v>
      </c>
    </row>
    <row r="36" spans="1:17">
      <c r="B36" s="5"/>
      <c r="D36" s="29"/>
      <c r="E36" s="29"/>
      <c r="H36" s="16" t="s">
        <v>13</v>
      </c>
      <c r="I36" s="16" t="s">
        <v>13</v>
      </c>
      <c r="J36" s="16" t="s">
        <v>13</v>
      </c>
      <c r="K36" s="16" t="s">
        <v>13</v>
      </c>
      <c r="L36" s="16" t="s">
        <v>13</v>
      </c>
      <c r="M36" s="16" t="s">
        <v>13</v>
      </c>
      <c r="N36" s="16" t="s">
        <v>13</v>
      </c>
      <c r="P36" s="34" t="s">
        <v>13</v>
      </c>
    </row>
    <row r="37" spans="1:17">
      <c r="D37" s="31"/>
      <c r="E37" s="31"/>
      <c r="P37" s="20"/>
    </row>
    <row r="38" spans="1:17">
      <c r="B38" s="8"/>
      <c r="C38" s="94" t="s">
        <v>418</v>
      </c>
      <c r="D38" s="31"/>
      <c r="E38" s="31"/>
      <c r="I38" s="45">
        <f>'Capex forecast - 3001'!Q182+'Capex forecast - 3002'!Q182+'Capex forecast - 3003'!Q182+'Capex forecast - 3004'!Q182+'Capex forecast - 3005'!Q182+'Capex forecast - 3006'!Q182+'Capex forecast - 3007'!Q182+'Capex forecast - 3008'!Q182+'Capex forecast - 3009'!Q182+'Capex forecast - 3010'!Q182+'Capex forecast - 3011'!Q182+'Capex forecast - 3012'!Q162+'Capex forecast - 3013'!Q182+'Capex forecast - 3014'!Q182+'Capex forecast - 3015'!Q182+'Capex forecast - 3016'!Q182+'Capex forecast - 3017'!Q162+'Capex forecast - 3018'!Q162+'Capex forecast - 3019'!Q182+'Capex forecast - 3020'!Q182+'Capex forecast - 3021'!Q162+'Capex forecast - 3022'!Q162+'Capex forecast - 3023'!Q162+'Capex forecast - 3024'!Q162+'Capex forecast - 3025'!Q162</f>
        <v>20294376.608143445</v>
      </c>
      <c r="J38" s="45">
        <f>'Capex forecast - 3001'!R182+'Capex forecast - 3002'!R182+'Capex forecast - 3003'!R182+'Capex forecast - 3004'!R182+'Capex forecast - 3005'!R182+'Capex forecast - 3006'!R182+'Capex forecast - 3007'!R182+'Capex forecast - 3008'!R182+'Capex forecast - 3009'!R182+'Capex forecast - 3010'!R182+'Capex forecast - 3011'!R182+'Capex forecast - 3012'!R162+'Capex forecast - 3013'!R182+'Capex forecast - 3014'!R182+'Capex forecast - 3015'!R182+'Capex forecast - 3016'!R182+'Capex forecast - 3017'!R162+'Capex forecast - 3018'!R162+'Capex forecast - 3019'!R182+'Capex forecast - 3020'!R182+'Capex forecast - 3021'!R162+'Capex forecast - 3022'!R162+'Capex forecast - 3023'!R162+'Capex forecast - 3024'!R162+'Capex forecast - 3025'!R162</f>
        <v>21965411.710342471</v>
      </c>
      <c r="K38" s="45">
        <f>'Capex forecast - 3001'!S182+'Capex forecast - 3002'!S182+'Capex forecast - 3003'!S182+'Capex forecast - 3004'!S182+'Capex forecast - 3005'!S182+'Capex forecast - 3006'!S182+'Capex forecast - 3007'!S182+'Capex forecast - 3008'!S182+'Capex forecast - 3009'!S182+'Capex forecast - 3010'!S182+'Capex forecast - 3011'!S182+'Capex forecast - 3012'!S162+'Capex forecast - 3013'!S182+'Capex forecast - 3014'!S182+'Capex forecast - 3015'!S182+'Capex forecast - 3016'!S182+'Capex forecast - 3017'!S162+'Capex forecast - 3018'!S162+'Capex forecast - 3019'!S182+'Capex forecast - 3020'!S182+'Capex forecast - 3021'!S162+'Capex forecast - 3022'!S162+'Capex forecast - 3023'!S162+'Capex forecast - 3024'!S162+'Capex forecast - 3025'!S162</f>
        <v>21086477.978135627</v>
      </c>
      <c r="L38" s="45">
        <f>'Capex forecast - 3001'!T182+'Capex forecast - 3002'!T182+'Capex forecast - 3003'!T182+'Capex forecast - 3004'!T182+'Capex forecast - 3005'!T182+'Capex forecast - 3006'!T182+'Capex forecast - 3007'!T182+'Capex forecast - 3008'!T182+'Capex forecast - 3009'!T182+'Capex forecast - 3010'!T182+'Capex forecast - 3011'!T182+'Capex forecast - 3012'!T162+'Capex forecast - 3013'!T182+'Capex forecast - 3014'!T182+'Capex forecast - 3015'!T182+'Capex forecast - 3016'!T182+'Capex forecast - 3017'!T162+'Capex forecast - 3018'!T162+'Capex forecast - 3019'!T182+'Capex forecast - 3020'!T182+'Capex forecast - 3021'!T162+'Capex forecast - 3022'!T162+'Capex forecast - 3023'!T162+'Capex forecast - 3024'!T162+'Capex forecast - 3025'!T162</f>
        <v>20284186.023415107</v>
      </c>
      <c r="M38" s="45">
        <f>'Capex forecast - 3001'!U182+'Capex forecast - 3002'!U182+'Capex forecast - 3003'!U182+'Capex forecast - 3004'!U182+'Capex forecast - 3005'!U182+'Capex forecast - 3006'!U182+'Capex forecast - 3007'!U182+'Capex forecast - 3008'!U182+'Capex forecast - 3009'!U182+'Capex forecast - 3010'!U182+'Capex forecast - 3011'!U182+'Capex forecast - 3012'!U162+'Capex forecast - 3013'!U182+'Capex forecast - 3014'!U182+'Capex forecast - 3015'!U182+'Capex forecast - 3016'!U182+'Capex forecast - 3017'!U162+'Capex forecast - 3018'!U162+'Capex forecast - 3019'!U182+'Capex forecast - 3020'!U182+'Capex forecast - 3021'!U162+'Capex forecast - 3022'!U162+'Capex forecast - 3023'!U162+'Capex forecast - 3024'!U162+'Capex forecast - 3025'!U162</f>
        <v>19508602.288817693</v>
      </c>
      <c r="N38" s="45">
        <f>'Capex forecast - 3001'!V182+'Capex forecast - 3002'!V182+'Capex forecast - 3003'!V182+'Capex forecast - 3004'!V182+'Capex forecast - 3005'!V182+'Capex forecast - 3006'!V182+'Capex forecast - 3007'!V182+'Capex forecast - 3008'!V182+'Capex forecast - 3009'!V182+'Capex forecast - 3010'!V182+'Capex forecast - 3011'!V182+'Capex forecast - 3012'!V162+'Capex forecast - 3013'!V182+'Capex forecast - 3014'!V182+'Capex forecast - 3015'!V182+'Capex forecast - 3016'!V182+'Capex forecast - 3017'!V162+'Capex forecast - 3018'!V162+'Capex forecast - 3019'!V182+'Capex forecast - 3020'!V182+'Capex forecast - 3021'!V162+'Capex forecast - 3022'!V162+'Capex forecast - 3023'!V162+'Capex forecast - 3024'!V162+'Capex forecast - 3025'!V162</f>
        <v>19325685.605937496</v>
      </c>
      <c r="P38" s="40">
        <f t="shared" ref="P38:P40" si="5">SUM(J38:N38)</f>
        <v>102170363.60664839</v>
      </c>
    </row>
    <row r="39" spans="1:17">
      <c r="B39" s="8">
        <v>3027</v>
      </c>
      <c r="C39" s="94" t="s">
        <v>225</v>
      </c>
      <c r="H39" s="45"/>
      <c r="I39" s="45">
        <f>'Capex forecast - IT'!Q162</f>
        <v>3275663.6168593774</v>
      </c>
      <c r="J39" s="45">
        <f>'Capex forecast - IT'!R162</f>
        <v>7898255.8778165951</v>
      </c>
      <c r="K39" s="45">
        <f>'Capex forecast - IT'!S162</f>
        <v>7933712.8903568275</v>
      </c>
      <c r="L39" s="45">
        <f>'Capex forecast - IT'!T162</f>
        <v>6000193.6153072193</v>
      </c>
      <c r="M39" s="45">
        <f>'Capex forecast - IT'!U162</f>
        <v>5623812.4557893984</v>
      </c>
      <c r="N39" s="45">
        <f>'Capex forecast - IT'!V162</f>
        <v>3326479.1935573616</v>
      </c>
      <c r="P39" s="40">
        <f t="shared" si="5"/>
        <v>30782454.032827403</v>
      </c>
      <c r="Q39" s="98"/>
    </row>
    <row r="40" spans="1:17">
      <c r="B40" s="8">
        <v>3031</v>
      </c>
      <c r="C40" s="94" t="s">
        <v>218</v>
      </c>
      <c r="H40" s="45"/>
      <c r="I40" s="45">
        <f>'Capex forecast - other non-IT'!Q162</f>
        <v>332040.88928311848</v>
      </c>
      <c r="J40" s="45">
        <f>'Capex forecast - other non-IT'!R162</f>
        <v>332450.065920441</v>
      </c>
      <c r="K40" s="45">
        <f>'Capex forecast - other non-IT'!S162</f>
        <v>332942.83798944828</v>
      </c>
      <c r="L40" s="45">
        <f>'Capex forecast - other non-IT'!T162</f>
        <v>333568.26086573018</v>
      </c>
      <c r="M40" s="45">
        <f>'Capex forecast - other non-IT'!U162</f>
        <v>334370.33188197593</v>
      </c>
      <c r="N40" s="45">
        <f>'Capex forecast - other non-IT'!V162</f>
        <v>335258.76677162171</v>
      </c>
      <c r="P40" s="40">
        <f t="shared" si="5"/>
        <v>1668590.2634292173</v>
      </c>
      <c r="Q40" s="98"/>
    </row>
    <row r="41" spans="1:17">
      <c r="B41" s="80"/>
      <c r="H41" s="45"/>
      <c r="I41" s="45"/>
      <c r="J41" s="45"/>
      <c r="K41" s="45"/>
      <c r="L41" s="45"/>
      <c r="M41" s="45"/>
      <c r="N41" s="45"/>
    </row>
    <row r="42" spans="1:17" ht="12.75" thickBot="1">
      <c r="B42" s="81" t="s">
        <v>422</v>
      </c>
      <c r="H42" s="37"/>
      <c r="I42" s="37">
        <f>SUM(I38:I40)</f>
        <v>23902081.114285938</v>
      </c>
      <c r="J42" s="37">
        <f t="shared" ref="J42:N42" si="6">SUM(J38:J40)</f>
        <v>30196117.654079508</v>
      </c>
      <c r="K42" s="37">
        <f t="shared" si="6"/>
        <v>29353133.706481904</v>
      </c>
      <c r="L42" s="37">
        <f t="shared" si="6"/>
        <v>26617947.899588056</v>
      </c>
      <c r="M42" s="37">
        <f t="shared" si="6"/>
        <v>25466785.076489069</v>
      </c>
      <c r="N42" s="37">
        <f t="shared" si="6"/>
        <v>22987423.566266481</v>
      </c>
      <c r="P42" s="37">
        <f t="shared" ref="P42" si="7">SUM(J42:N42)</f>
        <v>134621407.90290502</v>
      </c>
    </row>
    <row r="44" spans="1:17" s="1" customFormat="1">
      <c r="A44" s="2">
        <v>4</v>
      </c>
      <c r="B44" s="2" t="s">
        <v>423</v>
      </c>
    </row>
    <row r="45" spans="1:17">
      <c r="H45" s="30"/>
      <c r="I45" s="30"/>
      <c r="J45" s="30"/>
      <c r="K45" s="30"/>
      <c r="L45" s="30"/>
      <c r="M45" s="30"/>
      <c r="N45" s="30"/>
    </row>
    <row r="46" spans="1:17">
      <c r="H46" s="187" t="s">
        <v>53</v>
      </c>
      <c r="I46" s="188"/>
      <c r="J46" s="187" t="s">
        <v>54</v>
      </c>
      <c r="K46" s="189"/>
      <c r="L46" s="189"/>
      <c r="M46" s="189"/>
      <c r="N46" s="188"/>
    </row>
    <row r="47" spans="1:17">
      <c r="B47" s="5"/>
      <c r="H47" s="18">
        <v>2016</v>
      </c>
      <c r="I47" s="18">
        <v>2017</v>
      </c>
      <c r="J47" s="18">
        <v>2018</v>
      </c>
      <c r="K47" s="18">
        <v>2019</v>
      </c>
      <c r="L47" s="18">
        <v>2020</v>
      </c>
      <c r="M47" s="18">
        <v>2021</v>
      </c>
      <c r="N47" s="18">
        <v>2022</v>
      </c>
      <c r="P47" s="29" t="s">
        <v>63</v>
      </c>
    </row>
    <row r="48" spans="1:17">
      <c r="B48" s="5"/>
      <c r="D48" s="29"/>
      <c r="E48" s="29"/>
      <c r="H48" s="16" t="s">
        <v>13</v>
      </c>
      <c r="I48" s="16" t="s">
        <v>13</v>
      </c>
      <c r="J48" s="16" t="s">
        <v>13</v>
      </c>
      <c r="K48" s="16" t="s">
        <v>13</v>
      </c>
      <c r="L48" s="16" t="s">
        <v>13</v>
      </c>
      <c r="M48" s="16" t="s">
        <v>13</v>
      </c>
      <c r="N48" s="16" t="s">
        <v>13</v>
      </c>
      <c r="P48" s="34" t="s">
        <v>13</v>
      </c>
    </row>
    <row r="49" spans="1:17">
      <c r="D49" s="31"/>
      <c r="E49" s="31"/>
      <c r="P49" s="20"/>
    </row>
    <row r="50" spans="1:17">
      <c r="B50" s="8"/>
      <c r="C50" s="94" t="s">
        <v>418</v>
      </c>
      <c r="D50" s="31"/>
      <c r="E50" s="31"/>
      <c r="I50" s="45">
        <f>I14*(1+'Overheads forecast'!Q80)</f>
        <v>3435096.5061420188</v>
      </c>
      <c r="J50" s="45">
        <f>J14*(1+'Overheads forecast'!R80)</f>
        <v>3523348.2999902046</v>
      </c>
      <c r="K50" s="45">
        <f>K14*(1+'Overheads forecast'!S80)</f>
        <v>3471529.9810818518</v>
      </c>
      <c r="L50" s="45">
        <f>L14*(1+'Overheads forecast'!T80)</f>
        <v>3384695.9893406522</v>
      </c>
      <c r="M50" s="45">
        <f>M14*(1+'Overheads forecast'!U80)</f>
        <v>3248113.8791039316</v>
      </c>
      <c r="N50" s="45">
        <f>N14*(1+'Overheads forecast'!V80)</f>
        <v>3175868.3563333135</v>
      </c>
      <c r="P50" s="40">
        <f t="shared" ref="P50:P52" si="8">SUM(J50:N50)</f>
        <v>16803556.50584995</v>
      </c>
    </row>
    <row r="51" spans="1:17">
      <c r="B51" s="8">
        <v>3027</v>
      </c>
      <c r="C51" s="94" t="s">
        <v>225</v>
      </c>
      <c r="H51" s="45"/>
      <c r="I51" s="45">
        <f>I15*(1+'Overheads forecast'!Q96)</f>
        <v>2985359.2220679498</v>
      </c>
      <c r="J51" s="45">
        <f>J15*(1+'Overheads forecast'!R96)</f>
        <v>4757325.817725054</v>
      </c>
      <c r="K51" s="45">
        <f>K15*(1+'Overheads forecast'!S96)</f>
        <v>6114863.9485768946</v>
      </c>
      <c r="L51" s="45">
        <f>L15*(1+'Overheads forecast'!T96)</f>
        <v>5628934.7548934873</v>
      </c>
      <c r="M51" s="45">
        <f>M15*(1+'Overheads forecast'!U96)</f>
        <v>3213532.1171304835</v>
      </c>
      <c r="N51" s="45">
        <f>N15*(1+'Overheads forecast'!V96)</f>
        <v>2935517.5828572121</v>
      </c>
      <c r="P51" s="40">
        <f t="shared" si="8"/>
        <v>22650174.221183129</v>
      </c>
      <c r="Q51" s="98"/>
    </row>
    <row r="52" spans="1:17">
      <c r="B52" s="8">
        <v>3031</v>
      </c>
      <c r="C52" s="94" t="s">
        <v>218</v>
      </c>
      <c r="H52" s="45"/>
      <c r="I52" s="45">
        <f>I16</f>
        <v>14436.560403613847</v>
      </c>
      <c r="J52" s="45">
        <f t="shared" ref="J52:N52" si="9">J16</f>
        <v>14454.350692193088</v>
      </c>
      <c r="K52" s="45">
        <f t="shared" si="9"/>
        <v>14475.77556475862</v>
      </c>
      <c r="L52" s="45">
        <f t="shared" si="9"/>
        <v>14502.967863727399</v>
      </c>
      <c r="M52" s="45">
        <f t="shared" si="9"/>
        <v>14537.840516607648</v>
      </c>
      <c r="N52" s="45">
        <f t="shared" si="9"/>
        <v>14576.468120505291</v>
      </c>
      <c r="P52" s="40">
        <f t="shared" si="8"/>
        <v>72547.402757792035</v>
      </c>
      <c r="Q52" s="98"/>
    </row>
    <row r="53" spans="1:17">
      <c r="B53" s="80"/>
      <c r="H53" s="45"/>
      <c r="I53" s="45"/>
      <c r="J53" s="45"/>
      <c r="K53" s="45"/>
      <c r="L53" s="45"/>
      <c r="M53" s="45"/>
      <c r="N53" s="45"/>
    </row>
    <row r="54" spans="1:17" ht="12.75" thickBot="1">
      <c r="B54" s="81" t="s">
        <v>426</v>
      </c>
      <c r="H54" s="37"/>
      <c r="I54" s="37">
        <f>SUM(I50:I52)</f>
        <v>6434892.288613583</v>
      </c>
      <c r="J54" s="37">
        <f t="shared" ref="J54:N54" si="10">SUM(J50:J52)</f>
        <v>8295128.4684074512</v>
      </c>
      <c r="K54" s="37">
        <f t="shared" si="10"/>
        <v>9600869.7052235045</v>
      </c>
      <c r="L54" s="37">
        <f t="shared" si="10"/>
        <v>9028133.7120978665</v>
      </c>
      <c r="M54" s="37">
        <f t="shared" si="10"/>
        <v>6476183.8367510224</v>
      </c>
      <c r="N54" s="37">
        <f t="shared" si="10"/>
        <v>6125962.4073110307</v>
      </c>
      <c r="P54" s="37">
        <f t="shared" ref="P54" si="11">SUM(J54:N54)</f>
        <v>39526278.129790872</v>
      </c>
    </row>
    <row r="55" spans="1:17">
      <c r="B55" s="81"/>
      <c r="H55" s="82"/>
      <c r="I55" s="82"/>
      <c r="J55" s="82"/>
      <c r="K55" s="82"/>
      <c r="L55" s="82"/>
      <c r="M55" s="82"/>
      <c r="N55" s="82"/>
      <c r="P55" s="82"/>
    </row>
    <row r="56" spans="1:17" s="1" customFormat="1">
      <c r="A56" s="2">
        <v>5</v>
      </c>
      <c r="B56" s="2" t="s">
        <v>424</v>
      </c>
    </row>
    <row r="57" spans="1:17">
      <c r="H57" s="30"/>
      <c r="I57" s="30"/>
      <c r="J57" s="30"/>
      <c r="K57" s="30"/>
      <c r="L57" s="30"/>
      <c r="M57" s="30"/>
      <c r="N57" s="30"/>
    </row>
    <row r="58" spans="1:17">
      <c r="H58" s="187" t="s">
        <v>53</v>
      </c>
      <c r="I58" s="188"/>
      <c r="J58" s="187" t="s">
        <v>54</v>
      </c>
      <c r="K58" s="189"/>
      <c r="L58" s="189"/>
      <c r="M58" s="189"/>
      <c r="N58" s="188"/>
    </row>
    <row r="59" spans="1:17">
      <c r="B59" s="5"/>
      <c r="H59" s="18">
        <v>2016</v>
      </c>
      <c r="I59" s="18">
        <v>2017</v>
      </c>
      <c r="J59" s="18">
        <v>2018</v>
      </c>
      <c r="K59" s="18">
        <v>2019</v>
      </c>
      <c r="L59" s="18">
        <v>2020</v>
      </c>
      <c r="M59" s="18">
        <v>2021</v>
      </c>
      <c r="N59" s="18">
        <v>2022</v>
      </c>
      <c r="P59" s="29" t="s">
        <v>63</v>
      </c>
    </row>
    <row r="60" spans="1:17">
      <c r="B60" s="5"/>
      <c r="D60" s="29"/>
      <c r="E60" s="29"/>
      <c r="H60" s="16" t="s">
        <v>13</v>
      </c>
      <c r="I60" s="16" t="s">
        <v>13</v>
      </c>
      <c r="J60" s="16" t="s">
        <v>13</v>
      </c>
      <c r="K60" s="16" t="s">
        <v>13</v>
      </c>
      <c r="L60" s="16" t="s">
        <v>13</v>
      </c>
      <c r="M60" s="16" t="s">
        <v>13</v>
      </c>
      <c r="N60" s="16" t="s">
        <v>13</v>
      </c>
      <c r="P60" s="34" t="s">
        <v>13</v>
      </c>
    </row>
    <row r="61" spans="1:17">
      <c r="D61" s="31"/>
      <c r="E61" s="31"/>
      <c r="P61" s="20"/>
    </row>
    <row r="62" spans="1:17">
      <c r="B62" s="8"/>
      <c r="C62" s="94" t="s">
        <v>418</v>
      </c>
      <c r="D62" s="31"/>
      <c r="E62" s="31"/>
      <c r="I62" s="45">
        <f>I26*(1+'Overheads forecast'!Q80)</f>
        <v>63811669.300728388</v>
      </c>
      <c r="J62" s="45">
        <f>J26*(1+'Overheads forecast'!R80)</f>
        <v>65571949.459972277</v>
      </c>
      <c r="K62" s="45">
        <f>K26*(1+'Overheads forecast'!S80)</f>
        <v>62410535.749682017</v>
      </c>
      <c r="L62" s="45">
        <f>L26*(1+'Overheads forecast'!T80)</f>
        <v>62795798.315203004</v>
      </c>
      <c r="M62" s="45">
        <f>M26*(1+'Overheads forecast'!U80)</f>
        <v>60213614.034823351</v>
      </c>
      <c r="N62" s="45">
        <f>N26*(1+'Overheads forecast'!V80)</f>
        <v>58849197.293066539</v>
      </c>
      <c r="P62" s="40">
        <f t="shared" ref="P62:P64" si="12">SUM(J62:N62)</f>
        <v>309841094.8527472</v>
      </c>
    </row>
    <row r="63" spans="1:17">
      <c r="B63" s="8">
        <v>3027</v>
      </c>
      <c r="C63" s="94" t="s">
        <v>225</v>
      </c>
      <c r="H63" s="45"/>
      <c r="I63" s="45">
        <f>I27*(1+'Overheads forecast'!Q96)</f>
        <v>403367.19423893007</v>
      </c>
      <c r="J63" s="45">
        <f>J27*(1+'Overheads forecast'!R96)</f>
        <v>1019846.9989429683</v>
      </c>
      <c r="K63" s="45">
        <f>K27*(1+'Overheads forecast'!S96)</f>
        <v>873275.58988513169</v>
      </c>
      <c r="L63" s="45">
        <f>L27*(1+'Overheads forecast'!T96)</f>
        <v>717191.30366987165</v>
      </c>
      <c r="M63" s="45">
        <f>M27*(1+'Overheads forecast'!U96)</f>
        <v>842270.38200735173</v>
      </c>
      <c r="N63" s="45">
        <f>N27*(1+'Overheads forecast'!V96)</f>
        <v>471931.86817261897</v>
      </c>
      <c r="P63" s="40">
        <f t="shared" si="12"/>
        <v>3924516.1426779423</v>
      </c>
      <c r="Q63" s="98"/>
    </row>
    <row r="64" spans="1:17">
      <c r="B64" s="8">
        <v>3031</v>
      </c>
      <c r="C64" s="94" t="s">
        <v>218</v>
      </c>
      <c r="H64" s="45"/>
      <c r="I64" s="45">
        <f>I28</f>
        <v>14436.560403613847</v>
      </c>
      <c r="J64" s="45">
        <f t="shared" ref="J64:N64" si="13">J28</f>
        <v>14454.350692193088</v>
      </c>
      <c r="K64" s="45">
        <f t="shared" si="13"/>
        <v>14475.77556475862</v>
      </c>
      <c r="L64" s="45">
        <f t="shared" si="13"/>
        <v>14502.967863727399</v>
      </c>
      <c r="M64" s="45">
        <f t="shared" si="13"/>
        <v>14537.840516607648</v>
      </c>
      <c r="N64" s="45">
        <f t="shared" si="13"/>
        <v>14576.468120505291</v>
      </c>
      <c r="P64" s="40">
        <f t="shared" si="12"/>
        <v>72547.402757792035</v>
      </c>
      <c r="Q64" s="98"/>
    </row>
    <row r="65" spans="1:17">
      <c r="B65" s="80"/>
      <c r="H65" s="45"/>
      <c r="I65" s="45"/>
      <c r="J65" s="45"/>
      <c r="K65" s="45"/>
      <c r="L65" s="45"/>
      <c r="M65" s="45"/>
      <c r="N65" s="45">
        <f>N29</f>
        <v>0</v>
      </c>
    </row>
    <row r="66" spans="1:17" ht="12.75" thickBot="1">
      <c r="B66" s="81" t="s">
        <v>427</v>
      </c>
      <c r="H66" s="37"/>
      <c r="I66" s="37">
        <f>SUM(I62:I64)</f>
        <v>64229473.055370934</v>
      </c>
      <c r="J66" s="37">
        <f t="shared" ref="J66:N66" si="14">SUM(J62:J64)</f>
        <v>66606250.809607439</v>
      </c>
      <c r="K66" s="37">
        <f t="shared" si="14"/>
        <v>63298287.115131907</v>
      </c>
      <c r="L66" s="37">
        <f t="shared" si="14"/>
        <v>63527492.586736605</v>
      </c>
      <c r="M66" s="37">
        <f t="shared" si="14"/>
        <v>61070422.257347308</v>
      </c>
      <c r="N66" s="37">
        <f t="shared" si="14"/>
        <v>59335705.629359663</v>
      </c>
      <c r="P66" s="37">
        <f t="shared" ref="P66" si="15">SUM(J66:N66)</f>
        <v>313838158.39818293</v>
      </c>
    </row>
    <row r="67" spans="1:17">
      <c r="I67" s="45"/>
      <c r="J67" s="45"/>
      <c r="K67" s="45"/>
      <c r="L67" s="45"/>
      <c r="M67" s="45"/>
      <c r="N67" s="45"/>
    </row>
    <row r="68" spans="1:17" s="1" customFormat="1">
      <c r="A68" s="2">
        <v>6</v>
      </c>
      <c r="B68" s="2" t="s">
        <v>425</v>
      </c>
    </row>
    <row r="69" spans="1:17">
      <c r="H69" s="30"/>
      <c r="I69" s="30"/>
      <c r="J69" s="30"/>
      <c r="K69" s="30"/>
      <c r="L69" s="30"/>
      <c r="M69" s="30"/>
      <c r="N69" s="30"/>
    </row>
    <row r="70" spans="1:17">
      <c r="H70" s="187" t="s">
        <v>53</v>
      </c>
      <c r="I70" s="188"/>
      <c r="J70" s="187" t="s">
        <v>54</v>
      </c>
      <c r="K70" s="189"/>
      <c r="L70" s="189"/>
      <c r="M70" s="189"/>
      <c r="N70" s="188"/>
    </row>
    <row r="71" spans="1:17">
      <c r="B71" s="5"/>
      <c r="H71" s="18">
        <v>2016</v>
      </c>
      <c r="I71" s="18">
        <v>2017</v>
      </c>
      <c r="J71" s="18">
        <v>2018</v>
      </c>
      <c r="K71" s="18">
        <v>2019</v>
      </c>
      <c r="L71" s="18">
        <v>2020</v>
      </c>
      <c r="M71" s="18">
        <v>2021</v>
      </c>
      <c r="N71" s="18">
        <v>2022</v>
      </c>
      <c r="P71" s="29" t="s">
        <v>63</v>
      </c>
    </row>
    <row r="72" spans="1:17">
      <c r="B72" s="5"/>
      <c r="D72" s="29"/>
      <c r="E72" s="29"/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P72" s="34" t="s">
        <v>13</v>
      </c>
    </row>
    <row r="73" spans="1:17">
      <c r="D73" s="31"/>
      <c r="E73" s="31"/>
      <c r="P73" s="20"/>
    </row>
    <row r="74" spans="1:17">
      <c r="B74" s="8"/>
      <c r="C74" s="94" t="s">
        <v>418</v>
      </c>
      <c r="D74" s="31"/>
      <c r="E74" s="31"/>
      <c r="I74" s="45">
        <f>I38*(1+'Overheads forecast'!Q80)</f>
        <v>21813242.194631584</v>
      </c>
      <c r="J74" s="45">
        <f>J38*(1+'Overheads forecast'!R80)</f>
        <v>23550673.248923201</v>
      </c>
      <c r="K74" s="45">
        <f>K38*(1+'Overheads forecast'!S80)</f>
        <v>22694598.077362802</v>
      </c>
      <c r="L74" s="45">
        <f>L38*(1+'Overheads forecast'!T80)</f>
        <v>21854722.771983359</v>
      </c>
      <c r="M74" s="45">
        <f>M38*(1+'Overheads forecast'!U80)</f>
        <v>21102761.042874504</v>
      </c>
      <c r="N74" s="45">
        <f>N38*(1+'Overheads forecast'!V80)</f>
        <v>20956630.34402477</v>
      </c>
      <c r="P74" s="40">
        <f t="shared" ref="P74:P76" si="16">SUM(J74:N74)</f>
        <v>110159385.48516864</v>
      </c>
    </row>
    <row r="75" spans="1:17">
      <c r="B75" s="8">
        <v>3027</v>
      </c>
      <c r="C75" s="94" t="s">
        <v>225</v>
      </c>
      <c r="H75" s="45"/>
      <c r="I75" s="45">
        <f>I39*(1+'Overheads forecast'!Q96)</f>
        <v>3660494.6999665345</v>
      </c>
      <c r="J75" s="45">
        <f>J39*(1+'Overheads forecast'!R96)</f>
        <v>8338506.7972327648</v>
      </c>
      <c r="K75" s="45">
        <f>K39*(1+'Overheads forecast'!S96)</f>
        <v>8341868.6285033077</v>
      </c>
      <c r="L75" s="45">
        <f>L39*(1+'Overheads forecast'!T96)</f>
        <v>6379199.6917191995</v>
      </c>
      <c r="M75" s="45">
        <f>M39*(1+'Overheads forecast'!U96)</f>
        <v>6081814.3186027566</v>
      </c>
      <c r="N75" s="45">
        <f>N39*(1+'Overheads forecast'!V96)</f>
        <v>3729793.9143182198</v>
      </c>
      <c r="P75" s="40">
        <f t="shared" si="16"/>
        <v>32871183.350376248</v>
      </c>
      <c r="Q75" s="98"/>
    </row>
    <row r="76" spans="1:17">
      <c r="B76" s="8">
        <v>3031</v>
      </c>
      <c r="C76" s="94" t="s">
        <v>218</v>
      </c>
      <c r="H76" s="45"/>
      <c r="I76" s="45">
        <f>I40</f>
        <v>332040.88928311848</v>
      </c>
      <c r="J76" s="45">
        <f t="shared" ref="J76:N76" si="17">J40</f>
        <v>332450.065920441</v>
      </c>
      <c r="K76" s="45">
        <f t="shared" si="17"/>
        <v>332942.83798944828</v>
      </c>
      <c r="L76" s="45">
        <f t="shared" si="17"/>
        <v>333568.26086573018</v>
      </c>
      <c r="M76" s="45">
        <f t="shared" si="17"/>
        <v>334370.33188197593</v>
      </c>
      <c r="N76" s="45">
        <f t="shared" si="17"/>
        <v>335258.76677162171</v>
      </c>
      <c r="P76" s="40">
        <f t="shared" si="16"/>
        <v>1668590.2634292173</v>
      </c>
      <c r="Q76" s="98"/>
    </row>
    <row r="77" spans="1:17">
      <c r="B77" s="80"/>
      <c r="H77" s="45"/>
      <c r="I77" s="45"/>
      <c r="J77" s="45"/>
      <c r="K77" s="45"/>
      <c r="L77" s="45"/>
      <c r="M77" s="45"/>
      <c r="N77" s="45"/>
    </row>
    <row r="78" spans="1:17" ht="12.75" thickBot="1">
      <c r="B78" s="81" t="s">
        <v>428</v>
      </c>
      <c r="H78" s="37"/>
      <c r="I78" s="37">
        <f>SUM(I74:I76)</f>
        <v>25805777.783881236</v>
      </c>
      <c r="J78" s="37">
        <f t="shared" ref="J78:N78" si="18">SUM(J74:J76)</f>
        <v>32221630.112076409</v>
      </c>
      <c r="K78" s="37">
        <f t="shared" si="18"/>
        <v>31369409.543855559</v>
      </c>
      <c r="L78" s="37">
        <f t="shared" si="18"/>
        <v>28567490.724568289</v>
      </c>
      <c r="M78" s="37">
        <f t="shared" si="18"/>
        <v>27518945.693359237</v>
      </c>
      <c r="N78" s="37">
        <f t="shared" si="18"/>
        <v>25021683.025114611</v>
      </c>
      <c r="P78" s="37">
        <f t="shared" ref="P78" si="19">SUM(J78:N78)</f>
        <v>144699159.09897411</v>
      </c>
    </row>
    <row r="80" spans="1:17" s="1" customFormat="1">
      <c r="A80" s="2"/>
      <c r="B80" s="2" t="s">
        <v>42</v>
      </c>
    </row>
    <row r="82" spans="9:15">
      <c r="I82" s="45"/>
      <c r="J82" s="45"/>
      <c r="K82" s="45"/>
      <c r="L82" s="45"/>
      <c r="M82" s="45"/>
      <c r="N82" s="45"/>
      <c r="O82" s="45"/>
    </row>
    <row r="85" spans="9:15">
      <c r="I85" s="45"/>
      <c r="J85" s="45"/>
      <c r="K85" s="45"/>
      <c r="L85" s="45"/>
      <c r="M85" s="45"/>
      <c r="N85" s="45"/>
      <c r="O85" s="45"/>
    </row>
  </sheetData>
  <mergeCells count="12">
    <mergeCell ref="H10:I10"/>
    <mergeCell ref="J10:N10"/>
    <mergeCell ref="H58:I58"/>
    <mergeCell ref="J58:N58"/>
    <mergeCell ref="H70:I70"/>
    <mergeCell ref="J70:N70"/>
    <mergeCell ref="H22:I22"/>
    <mergeCell ref="J22:N22"/>
    <mergeCell ref="H34:I34"/>
    <mergeCell ref="J34:N34"/>
    <mergeCell ref="H46:I46"/>
    <mergeCell ref="J46:N46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Y100"/>
  <sheetViews>
    <sheetView topLeftCell="C1" workbookViewId="0">
      <selection activeCell="S75" sqref="S75"/>
    </sheetView>
  </sheetViews>
  <sheetFormatPr defaultColWidth="9.140625" defaultRowHeight="12"/>
  <cols>
    <col min="1" max="1" width="3.85546875" style="4" customWidth="1"/>
    <col min="2" max="2" width="60.2851562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16" width="12.28515625" style="4" customWidth="1"/>
    <col min="17" max="22" width="13.42578125" style="4" customWidth="1"/>
    <col min="23" max="23" width="4.42578125" style="4" customWidth="1"/>
    <col min="24" max="24" width="13" style="4" customWidth="1"/>
    <col min="25" max="16384" width="9.140625" style="4"/>
  </cols>
  <sheetData>
    <row r="1" spans="1:25" s="3" customFormat="1">
      <c r="A1" s="2" t="s">
        <v>2</v>
      </c>
    </row>
    <row r="2" spans="1:25" s="1" customFormat="1">
      <c r="A2" s="3" t="s">
        <v>154</v>
      </c>
    </row>
    <row r="3" spans="1:25" s="1" customFormat="1">
      <c r="A3" s="3" t="s">
        <v>95</v>
      </c>
    </row>
    <row r="4" spans="1:25" s="1" customFormat="1">
      <c r="A4" s="22" t="s">
        <v>43</v>
      </c>
    </row>
    <row r="6" spans="1:25" s="1" customFormat="1">
      <c r="A6" s="2">
        <v>1</v>
      </c>
      <c r="B6" s="2" t="s">
        <v>390</v>
      </c>
    </row>
    <row r="7" spans="1:25"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</row>
    <row r="8" spans="1:25">
      <c r="G8" s="30"/>
      <c r="H8" s="190" t="s">
        <v>52</v>
      </c>
      <c r="I8" s="190"/>
      <c r="J8" s="190"/>
      <c r="K8" s="190"/>
      <c r="L8" s="190"/>
      <c r="M8" s="190" t="s">
        <v>53</v>
      </c>
      <c r="N8" s="190"/>
      <c r="O8" s="190"/>
      <c r="P8" s="190"/>
      <c r="Q8" s="190"/>
      <c r="R8" s="190" t="s">
        <v>54</v>
      </c>
      <c r="S8" s="190"/>
      <c r="T8" s="190"/>
      <c r="U8" s="190"/>
      <c r="V8" s="190"/>
    </row>
    <row r="9" spans="1:25">
      <c r="B9" s="5"/>
      <c r="G9" s="30"/>
      <c r="H9" s="18">
        <v>2008</v>
      </c>
      <c r="I9" s="18">
        <v>2009</v>
      </c>
      <c r="J9" s="18">
        <v>2010</v>
      </c>
      <c r="K9" s="18">
        <v>2011</v>
      </c>
      <c r="L9" s="18">
        <v>2012</v>
      </c>
      <c r="M9" s="18">
        <v>2013</v>
      </c>
      <c r="N9" s="18">
        <v>2014</v>
      </c>
      <c r="O9" s="18">
        <v>2015</v>
      </c>
      <c r="P9" s="18">
        <v>2016</v>
      </c>
      <c r="Q9" s="18">
        <v>2017</v>
      </c>
      <c r="R9" s="18">
        <v>2018</v>
      </c>
      <c r="S9" s="18">
        <v>2019</v>
      </c>
      <c r="T9" s="18">
        <v>2020</v>
      </c>
      <c r="U9" s="18">
        <v>2021</v>
      </c>
      <c r="V9" s="18">
        <v>2022</v>
      </c>
    </row>
    <row r="10" spans="1:25">
      <c r="B10" s="5"/>
      <c r="D10" s="29" t="s">
        <v>55</v>
      </c>
      <c r="E10" s="29"/>
      <c r="G10" s="30"/>
      <c r="H10" s="16" t="s">
        <v>12</v>
      </c>
      <c r="I10" s="16" t="s">
        <v>12</v>
      </c>
      <c r="J10" s="16" t="s">
        <v>12</v>
      </c>
      <c r="K10" s="16" t="s">
        <v>12</v>
      </c>
      <c r="L10" s="16" t="s">
        <v>12</v>
      </c>
      <c r="M10" s="16" t="s">
        <v>12</v>
      </c>
      <c r="N10" s="16" t="s">
        <v>12</v>
      </c>
      <c r="O10" s="16" t="s">
        <v>12</v>
      </c>
      <c r="P10" s="16" t="s">
        <v>373</v>
      </c>
      <c r="Q10" s="16" t="s">
        <v>13</v>
      </c>
      <c r="R10" s="16" t="s">
        <v>13</v>
      </c>
      <c r="S10" s="16" t="s">
        <v>13</v>
      </c>
      <c r="T10" s="16" t="s">
        <v>13</v>
      </c>
      <c r="U10" s="16" t="s">
        <v>13</v>
      </c>
      <c r="V10" s="16" t="s">
        <v>13</v>
      </c>
    </row>
    <row r="11" spans="1:25">
      <c r="B11" s="5"/>
      <c r="D11" s="29"/>
      <c r="E11" s="29"/>
      <c r="G11" s="30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</row>
    <row r="12" spans="1:25">
      <c r="B12" s="38" t="s">
        <v>367</v>
      </c>
      <c r="D12" s="31" t="s">
        <v>105</v>
      </c>
      <c r="E12" s="29"/>
      <c r="G12" s="30"/>
      <c r="H12" s="18"/>
      <c r="I12" s="74"/>
      <c r="J12" s="93"/>
      <c r="K12" s="93"/>
      <c r="L12" s="93"/>
      <c r="M12" s="93">
        <f>M29/M44</f>
        <v>8.82262121208333E-2</v>
      </c>
      <c r="N12" s="93">
        <f>N29/N44</f>
        <v>4.929436518573671E-2</v>
      </c>
      <c r="O12" s="93">
        <f>O29/O44</f>
        <v>7.0783796832942003E-2</v>
      </c>
      <c r="P12" s="93">
        <f>P29/P44</f>
        <v>8.1899448849985207E-2</v>
      </c>
      <c r="Q12" s="109"/>
      <c r="R12" s="109"/>
      <c r="S12" s="109"/>
      <c r="T12" s="109"/>
      <c r="U12" s="109"/>
      <c r="V12" s="109"/>
    </row>
    <row r="13" spans="1:25">
      <c r="B13" s="5"/>
      <c r="D13" s="29"/>
      <c r="E13" s="29"/>
      <c r="G13" s="30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</row>
    <row r="14" spans="1:25" s="94" customFormat="1">
      <c r="B14" s="38" t="s">
        <v>366</v>
      </c>
      <c r="D14" s="29"/>
      <c r="E14" s="29"/>
      <c r="G14" s="30"/>
      <c r="H14" s="18"/>
      <c r="I14" s="18"/>
      <c r="J14" s="18"/>
      <c r="K14" s="18"/>
      <c r="L14" s="18"/>
      <c r="M14" s="93">
        <f>M24/M39</f>
        <v>4.8974843707655216E-2</v>
      </c>
      <c r="N14" s="93">
        <f>N24/N39</f>
        <v>7.4449621541370373E-2</v>
      </c>
      <c r="O14" s="93">
        <f>O24/O39</f>
        <v>6.6756874158144686E-2</v>
      </c>
      <c r="P14" s="93">
        <f>P24/P39</f>
        <v>9.5980481716207489E-2</v>
      </c>
      <c r="Q14" s="109"/>
      <c r="R14" s="109"/>
      <c r="S14" s="109"/>
      <c r="T14" s="109"/>
      <c r="U14" s="109"/>
      <c r="V14" s="109"/>
    </row>
    <row r="15" spans="1:25" s="94" customFormat="1">
      <c r="B15" s="5"/>
      <c r="D15" s="29"/>
      <c r="E15" s="29"/>
      <c r="G15" s="30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</row>
    <row r="16" spans="1:25">
      <c r="B16" s="69" t="s">
        <v>157</v>
      </c>
      <c r="D16" s="31"/>
      <c r="E16" s="31"/>
      <c r="M16" s="94"/>
      <c r="N16" s="94"/>
      <c r="O16" s="94"/>
      <c r="P16" s="30"/>
      <c r="Q16" s="192"/>
      <c r="R16" s="192"/>
      <c r="S16" s="192"/>
      <c r="T16" s="192"/>
      <c r="U16" s="192"/>
      <c r="V16" s="192"/>
      <c r="W16" s="30"/>
      <c r="X16" s="115"/>
      <c r="Y16" s="94"/>
    </row>
    <row r="17" spans="2:25">
      <c r="D17" s="31"/>
      <c r="E17" s="31"/>
      <c r="P17" s="30"/>
      <c r="Q17" s="116"/>
      <c r="R17" s="116"/>
      <c r="S17" s="116"/>
      <c r="T17" s="116"/>
      <c r="U17" s="116"/>
      <c r="V17" s="116"/>
      <c r="W17" s="30"/>
      <c r="X17" s="115"/>
      <c r="Y17" s="94"/>
    </row>
    <row r="18" spans="2:25">
      <c r="B18" s="4" t="s">
        <v>111</v>
      </c>
      <c r="D18" s="31" t="s">
        <v>60</v>
      </c>
      <c r="E18" s="31"/>
      <c r="M18" s="48">
        <v>2017195.7104667213</v>
      </c>
      <c r="N18" s="48">
        <v>764317.31138879643</v>
      </c>
      <c r="O18" s="114">
        <v>911441.27450717671</v>
      </c>
      <c r="P18" s="30"/>
      <c r="Q18" s="117"/>
      <c r="R18" s="116"/>
      <c r="S18" s="116"/>
      <c r="T18" s="116"/>
      <c r="U18" s="116"/>
      <c r="V18" s="116"/>
      <c r="W18" s="30"/>
      <c r="X18" s="115"/>
      <c r="Y18" s="94"/>
    </row>
    <row r="19" spans="2:25">
      <c r="B19" s="4" t="s">
        <v>112</v>
      </c>
      <c r="D19" s="31" t="s">
        <v>60</v>
      </c>
      <c r="E19" s="31"/>
      <c r="M19" s="48">
        <v>2954464.165479064</v>
      </c>
      <c r="N19" s="48">
        <v>2342937.2006989927</v>
      </c>
      <c r="O19" s="48">
        <v>3019855.810815976</v>
      </c>
      <c r="P19" s="94"/>
      <c r="Q19" s="92"/>
      <c r="R19" s="67"/>
      <c r="S19" s="67"/>
      <c r="T19" s="67"/>
      <c r="U19" s="67"/>
      <c r="V19" s="67"/>
      <c r="W19" s="94"/>
      <c r="X19" s="20"/>
      <c r="Y19" s="94"/>
    </row>
    <row r="20" spans="2:25">
      <c r="B20" s="4" t="s">
        <v>113</v>
      </c>
      <c r="D20" s="31" t="s">
        <v>60</v>
      </c>
      <c r="M20" s="48">
        <v>824925.65240822022</v>
      </c>
      <c r="N20" s="48">
        <v>244919.57859206406</v>
      </c>
      <c r="O20" s="48">
        <v>302704.26475662948</v>
      </c>
      <c r="Q20" s="92"/>
      <c r="R20" s="67"/>
      <c r="S20" s="67"/>
      <c r="T20" s="67"/>
      <c r="U20" s="67"/>
      <c r="V20" s="67"/>
      <c r="X20" s="20"/>
    </row>
    <row r="21" spans="2:25">
      <c r="B21" s="4" t="s">
        <v>114</v>
      </c>
      <c r="D21" s="31" t="s">
        <v>60</v>
      </c>
      <c r="M21" s="48">
        <v>407013.03492053295</v>
      </c>
      <c r="N21" s="48">
        <v>311892.41719917278</v>
      </c>
      <c r="O21" s="48">
        <v>347361.36195040523</v>
      </c>
      <c r="Q21" s="92"/>
      <c r="R21" s="67"/>
      <c r="S21" s="67"/>
      <c r="T21" s="67"/>
      <c r="U21" s="67"/>
      <c r="V21" s="67"/>
      <c r="X21" s="20"/>
    </row>
    <row r="22" spans="2:25">
      <c r="B22" s="4" t="s">
        <v>115</v>
      </c>
      <c r="D22" s="31" t="s">
        <v>60</v>
      </c>
      <c r="I22" s="94"/>
      <c r="J22" s="94"/>
      <c r="K22" s="94"/>
      <c r="L22" s="94"/>
      <c r="M22" s="48">
        <v>69675.84792816393</v>
      </c>
      <c r="N22" s="48">
        <v>67048.694921955743</v>
      </c>
      <c r="O22" s="48">
        <v>11284.626493736545</v>
      </c>
      <c r="Q22" s="92"/>
    </row>
    <row r="23" spans="2:25">
      <c r="B23" s="4" t="s">
        <v>36</v>
      </c>
      <c r="D23" s="31" t="s">
        <v>60</v>
      </c>
      <c r="I23" s="94"/>
      <c r="J23" s="94"/>
      <c r="K23" s="94"/>
      <c r="L23" s="94"/>
      <c r="M23" s="48">
        <v>134990.09133870548</v>
      </c>
      <c r="N23" s="48">
        <v>338388.47180612077</v>
      </c>
      <c r="O23" s="48">
        <v>427635.00579518243</v>
      </c>
      <c r="P23" s="76"/>
      <c r="Q23" s="92"/>
    </row>
    <row r="24" spans="2:25">
      <c r="B24" s="4" t="s">
        <v>116</v>
      </c>
      <c r="D24" s="31" t="s">
        <v>60</v>
      </c>
      <c r="H24" s="94"/>
      <c r="I24" s="94"/>
      <c r="J24" s="94"/>
      <c r="K24" s="94"/>
      <c r="L24" s="94"/>
      <c r="M24" s="48">
        <v>810387.8638006869</v>
      </c>
      <c r="N24" s="48">
        <v>972528.14109975973</v>
      </c>
      <c r="O24" s="48">
        <v>569934.71732197818</v>
      </c>
      <c r="P24" s="76">
        <v>605743.26319890027</v>
      </c>
      <c r="Q24" s="76"/>
      <c r="R24" s="76"/>
      <c r="S24" s="76"/>
      <c r="T24" s="76"/>
      <c r="U24" s="76"/>
      <c r="V24" s="76"/>
    </row>
    <row r="25" spans="2:25">
      <c r="B25" s="4" t="s">
        <v>35</v>
      </c>
      <c r="D25" s="31" t="s">
        <v>60</v>
      </c>
      <c r="H25" s="94"/>
      <c r="I25" s="94"/>
      <c r="J25" s="94"/>
      <c r="K25" s="94"/>
      <c r="L25" s="94"/>
      <c r="M25" s="48">
        <v>67417.733637292607</v>
      </c>
      <c r="N25" s="48">
        <v>24292.01884250862</v>
      </c>
      <c r="O25" s="48">
        <v>192286.3811001284</v>
      </c>
      <c r="Q25" s="92"/>
    </row>
    <row r="26" spans="2:25">
      <c r="B26" s="4" t="s">
        <v>117</v>
      </c>
      <c r="D26" s="31" t="s">
        <v>60</v>
      </c>
      <c r="I26" s="94"/>
      <c r="J26" s="94"/>
      <c r="K26" s="94"/>
      <c r="L26" s="94"/>
      <c r="M26" s="48">
        <v>921479.47316115734</v>
      </c>
      <c r="N26" s="48">
        <v>465360.61745760759</v>
      </c>
      <c r="O26" s="48">
        <v>223177.59551616499</v>
      </c>
      <c r="Q26" s="92"/>
    </row>
    <row r="27" spans="2:25">
      <c r="B27" s="4" t="s">
        <v>156</v>
      </c>
      <c r="D27" s="31" t="s">
        <v>60</v>
      </c>
      <c r="I27" s="94"/>
      <c r="J27" s="94"/>
      <c r="K27" s="94"/>
      <c r="L27" s="94"/>
      <c r="M27" s="48">
        <v>37199.839037159145</v>
      </c>
      <c r="N27" s="48">
        <v>404850.61687158525</v>
      </c>
      <c r="O27" s="48">
        <v>554118.98258618906</v>
      </c>
    </row>
    <row r="28" spans="2:25">
      <c r="B28" s="4" t="s">
        <v>119</v>
      </c>
      <c r="D28" s="31" t="s">
        <v>60</v>
      </c>
      <c r="I28" s="94"/>
      <c r="J28" s="94"/>
      <c r="K28" s="94"/>
      <c r="L28" s="94"/>
      <c r="M28" s="48">
        <v>0</v>
      </c>
      <c r="N28" s="48">
        <v>0</v>
      </c>
      <c r="O28" s="48">
        <v>0</v>
      </c>
    </row>
    <row r="29" spans="2:25">
      <c r="B29" s="5" t="s">
        <v>226</v>
      </c>
      <c r="D29" s="31" t="s">
        <v>60</v>
      </c>
      <c r="I29" s="94"/>
      <c r="J29" s="94"/>
      <c r="K29" s="94"/>
      <c r="L29" s="94"/>
      <c r="M29" s="137">
        <f>SUM(M18:M28)</f>
        <v>8244749.4121777033</v>
      </c>
      <c r="N29" s="137">
        <f>SUM(N18:N28)</f>
        <v>5936535.0688785641</v>
      </c>
      <c r="O29" s="137">
        <f>SUM(O18:O28)</f>
        <v>6559800.0208435664</v>
      </c>
      <c r="P29" s="137">
        <v>6974378.9308659127</v>
      </c>
      <c r="Q29" s="76"/>
      <c r="R29" s="76"/>
      <c r="S29" s="76"/>
      <c r="T29" s="76"/>
      <c r="U29" s="76"/>
      <c r="V29" s="76"/>
    </row>
    <row r="30" spans="2:25">
      <c r="I30" s="94"/>
      <c r="J30" s="94"/>
      <c r="K30" s="94"/>
      <c r="L30" s="94"/>
    </row>
    <row r="31" spans="2:25">
      <c r="B31" s="70" t="s">
        <v>155</v>
      </c>
      <c r="I31" s="94"/>
      <c r="J31" s="94"/>
      <c r="K31" s="94"/>
      <c r="L31" s="94"/>
    </row>
    <row r="32" spans="2:25">
      <c r="I32" s="94"/>
      <c r="J32" s="94"/>
      <c r="K32" s="94"/>
      <c r="L32" s="94"/>
    </row>
    <row r="33" spans="1:22">
      <c r="B33" s="4" t="s">
        <v>111</v>
      </c>
      <c r="D33" s="31" t="s">
        <v>60</v>
      </c>
      <c r="I33" s="94"/>
      <c r="J33" s="94"/>
      <c r="K33" s="94"/>
      <c r="L33" s="94"/>
      <c r="M33" s="48">
        <v>18828201.685603097</v>
      </c>
      <c r="N33" s="48">
        <v>26084410.110532492</v>
      </c>
      <c r="O33" s="48">
        <v>22183868.508727688</v>
      </c>
    </row>
    <row r="34" spans="1:22">
      <c r="B34" s="4" t="s">
        <v>112</v>
      </c>
      <c r="D34" s="31" t="s">
        <v>60</v>
      </c>
      <c r="I34" s="94"/>
      <c r="J34" s="94"/>
      <c r="K34" s="94"/>
      <c r="L34" s="94"/>
      <c r="M34" s="48">
        <v>31219177.448735725</v>
      </c>
      <c r="N34" s="48">
        <v>28960926.203253157</v>
      </c>
      <c r="O34" s="48">
        <v>31699300.926644158</v>
      </c>
    </row>
    <row r="35" spans="1:22">
      <c r="B35" s="4" t="s">
        <v>113</v>
      </c>
      <c r="D35" s="31" t="s">
        <v>60</v>
      </c>
      <c r="I35" s="94"/>
      <c r="J35" s="94"/>
      <c r="K35" s="94"/>
      <c r="L35" s="94"/>
      <c r="M35" s="48">
        <v>8785714.4305193983</v>
      </c>
      <c r="N35" s="48">
        <v>9286839.775536295</v>
      </c>
      <c r="O35" s="48">
        <v>4559010.667813289</v>
      </c>
    </row>
    <row r="36" spans="1:22">
      <c r="B36" s="4" t="s">
        <v>114</v>
      </c>
      <c r="D36" s="31" t="s">
        <v>60</v>
      </c>
      <c r="I36" s="94"/>
      <c r="J36" s="94"/>
      <c r="K36" s="94"/>
      <c r="L36" s="94"/>
      <c r="M36" s="48">
        <v>4329079.4189571775</v>
      </c>
      <c r="N36" s="48">
        <v>3361357.386703806</v>
      </c>
      <c r="O36" s="48">
        <v>4560956.6660849592</v>
      </c>
    </row>
    <row r="37" spans="1:22">
      <c r="B37" s="4" t="s">
        <v>115</v>
      </c>
      <c r="D37" s="31" t="s">
        <v>60</v>
      </c>
      <c r="I37" s="94"/>
      <c r="J37" s="94"/>
      <c r="K37" s="94"/>
      <c r="L37" s="94"/>
      <c r="M37" s="48">
        <v>741085.13040760299</v>
      </c>
      <c r="N37" s="48">
        <v>667289.23328010191</v>
      </c>
      <c r="O37" s="48">
        <v>777318.96823060792</v>
      </c>
    </row>
    <row r="38" spans="1:22">
      <c r="B38" s="4" t="s">
        <v>36</v>
      </c>
      <c r="D38" s="31" t="s">
        <v>60</v>
      </c>
      <c r="I38" s="94"/>
      <c r="J38" s="94"/>
      <c r="K38" s="94"/>
      <c r="L38" s="94"/>
      <c r="M38" s="48">
        <v>1270771.7494192799</v>
      </c>
      <c r="N38" s="48">
        <v>3746084.606696954</v>
      </c>
      <c r="O38" s="48">
        <v>7569546.6671642652</v>
      </c>
    </row>
    <row r="39" spans="1:22">
      <c r="B39" s="4" t="s">
        <v>116</v>
      </c>
      <c r="D39" s="31" t="s">
        <v>60</v>
      </c>
      <c r="I39" s="94"/>
      <c r="J39" s="94"/>
      <c r="K39" s="94"/>
      <c r="L39" s="94"/>
      <c r="M39" s="48">
        <v>16547022.970366638</v>
      </c>
      <c r="N39" s="48">
        <v>13062902.415955769</v>
      </c>
      <c r="O39" s="48">
        <v>8537468.6054326463</v>
      </c>
      <c r="P39" s="76">
        <v>6311108.8042873722</v>
      </c>
      <c r="Q39" s="76"/>
      <c r="R39" s="76"/>
      <c r="S39" s="76"/>
      <c r="T39" s="76"/>
      <c r="U39" s="76"/>
      <c r="V39" s="76"/>
    </row>
    <row r="40" spans="1:22">
      <c r="B40" s="4" t="s">
        <v>35</v>
      </c>
      <c r="D40" s="31" t="s">
        <v>60</v>
      </c>
      <c r="I40" s="94"/>
      <c r="J40" s="94"/>
      <c r="K40" s="94"/>
      <c r="L40" s="94"/>
      <c r="M40" s="48">
        <v>623498.05277595471</v>
      </c>
      <c r="N40" s="48">
        <v>270066.56140045827</v>
      </c>
      <c r="O40" s="48">
        <v>309286.11448925443</v>
      </c>
    </row>
    <row r="41" spans="1:22">
      <c r="B41" s="4" t="s">
        <v>117</v>
      </c>
      <c r="D41" s="31" t="s">
        <v>60</v>
      </c>
      <c r="I41" s="94"/>
      <c r="J41" s="94"/>
      <c r="K41" s="94"/>
      <c r="L41" s="94"/>
      <c r="M41" s="48">
        <v>10653049.232476</v>
      </c>
      <c r="N41" s="48">
        <v>30647705.451340254</v>
      </c>
      <c r="O41" s="48">
        <v>4089938.0837644334</v>
      </c>
    </row>
    <row r="42" spans="1:22">
      <c r="B42" s="4" t="s">
        <v>118</v>
      </c>
      <c r="D42" s="31" t="s">
        <v>60</v>
      </c>
      <c r="I42" s="94"/>
      <c r="J42" s="94"/>
      <c r="K42" s="94"/>
      <c r="L42" s="94"/>
      <c r="M42" s="48">
        <v>452511.97311614041</v>
      </c>
      <c r="N42" s="48">
        <v>4342715.8463182058</v>
      </c>
      <c r="O42" s="48">
        <v>8387056.6154659316</v>
      </c>
    </row>
    <row r="43" spans="1:22">
      <c r="B43" s="4" t="s">
        <v>119</v>
      </c>
      <c r="D43" s="31" t="s">
        <v>60</v>
      </c>
      <c r="I43" s="94"/>
      <c r="J43" s="94"/>
      <c r="K43" s="94"/>
      <c r="L43" s="94"/>
      <c r="M43" s="48">
        <v>0</v>
      </c>
      <c r="N43" s="48">
        <v>0</v>
      </c>
      <c r="O43" s="48">
        <v>0</v>
      </c>
    </row>
    <row r="44" spans="1:22">
      <c r="B44" s="5" t="s">
        <v>92</v>
      </c>
      <c r="D44" s="31"/>
      <c r="I44" s="94"/>
      <c r="J44" s="94"/>
      <c r="K44" s="94"/>
      <c r="L44" s="94"/>
      <c r="M44" s="137">
        <f>SUM(M33:M43)</f>
        <v>93450112.092377007</v>
      </c>
      <c r="N44" s="137">
        <f>SUM(N33:N43)</f>
        <v>120430297.59101748</v>
      </c>
      <c r="O44" s="137">
        <f>SUM(O33:O43)</f>
        <v>92673751.823817223</v>
      </c>
      <c r="P44" s="137">
        <v>85157824.976830378</v>
      </c>
      <c r="Q44" s="76"/>
      <c r="R44" s="76"/>
      <c r="S44" s="76"/>
      <c r="T44" s="76"/>
      <c r="U44" s="76"/>
      <c r="V44" s="76"/>
    </row>
    <row r="45" spans="1:22">
      <c r="I45" s="94"/>
      <c r="J45" s="94"/>
      <c r="K45" s="94"/>
      <c r="L45" s="94"/>
    </row>
    <row r="46" spans="1:22" s="1" customFormat="1">
      <c r="A46" s="2">
        <v>2</v>
      </c>
      <c r="B46" s="2" t="s">
        <v>399</v>
      </c>
    </row>
    <row r="47" spans="1:22">
      <c r="I47" s="94"/>
      <c r="J47" s="94"/>
      <c r="K47" s="94"/>
      <c r="L47" s="94"/>
    </row>
    <row r="48" spans="1:22" s="94" customFormat="1">
      <c r="G48" s="30"/>
      <c r="H48" s="190" t="s">
        <v>52</v>
      </c>
      <c r="I48" s="190"/>
      <c r="J48" s="190"/>
      <c r="K48" s="190"/>
      <c r="L48" s="190"/>
      <c r="M48" s="190" t="s">
        <v>53</v>
      </c>
      <c r="N48" s="190"/>
      <c r="O48" s="190"/>
      <c r="P48" s="190"/>
      <c r="Q48" s="190"/>
      <c r="R48" s="190" t="s">
        <v>54</v>
      </c>
      <c r="S48" s="190"/>
      <c r="T48" s="190"/>
      <c r="U48" s="190"/>
      <c r="V48" s="190"/>
    </row>
    <row r="49" spans="2:22" s="94" customFormat="1">
      <c r="B49" s="5"/>
      <c r="G49" s="30"/>
      <c r="H49" s="18">
        <v>2008</v>
      </c>
      <c r="I49" s="18">
        <v>2009</v>
      </c>
      <c r="J49" s="18">
        <v>2010</v>
      </c>
      <c r="K49" s="18">
        <v>2011</v>
      </c>
      <c r="L49" s="18">
        <v>2012</v>
      </c>
      <c r="M49" s="18">
        <v>2013</v>
      </c>
      <c r="N49" s="18">
        <v>2014</v>
      </c>
      <c r="O49" s="18">
        <v>2015</v>
      </c>
      <c r="P49" s="18">
        <v>2016</v>
      </c>
      <c r="Q49" s="18">
        <v>2017</v>
      </c>
      <c r="R49" s="18">
        <v>2018</v>
      </c>
      <c r="S49" s="18">
        <v>2019</v>
      </c>
      <c r="T49" s="18">
        <v>2020</v>
      </c>
      <c r="U49" s="18">
        <v>2021</v>
      </c>
      <c r="V49" s="18">
        <v>2022</v>
      </c>
    </row>
    <row r="50" spans="2:22" s="94" customFormat="1">
      <c r="B50" s="5"/>
      <c r="D50" s="29" t="s">
        <v>55</v>
      </c>
      <c r="E50" s="29"/>
      <c r="G50" s="30"/>
      <c r="H50" s="16" t="s">
        <v>12</v>
      </c>
      <c r="I50" s="16" t="s">
        <v>12</v>
      </c>
      <c r="J50" s="16" t="s">
        <v>12</v>
      </c>
      <c r="K50" s="16" t="s">
        <v>12</v>
      </c>
      <c r="L50" s="16" t="s">
        <v>12</v>
      </c>
      <c r="M50" s="16" t="s">
        <v>12</v>
      </c>
      <c r="N50" s="16" t="s">
        <v>12</v>
      </c>
      <c r="O50" s="16" t="s">
        <v>12</v>
      </c>
      <c r="P50" s="16" t="s">
        <v>373</v>
      </c>
      <c r="Q50" s="16" t="s">
        <v>13</v>
      </c>
      <c r="R50" s="16" t="s">
        <v>13</v>
      </c>
      <c r="S50" s="16" t="s">
        <v>13</v>
      </c>
      <c r="T50" s="16" t="s">
        <v>13</v>
      </c>
      <c r="U50" s="16" t="s">
        <v>13</v>
      </c>
      <c r="V50" s="16" t="s">
        <v>13</v>
      </c>
    </row>
    <row r="51" spans="2:22" s="94" customFormat="1">
      <c r="B51" s="9" t="s">
        <v>381</v>
      </c>
      <c r="D51" s="29"/>
    </row>
    <row r="52" spans="2:22" s="94" customFormat="1"/>
    <row r="53" spans="2:22" s="94" customFormat="1">
      <c r="B53" s="94" t="s">
        <v>369</v>
      </c>
      <c r="D53" s="31" t="s">
        <v>105</v>
      </c>
      <c r="Q53" s="15">
        <v>0.75</v>
      </c>
      <c r="R53" s="15">
        <v>0.75</v>
      </c>
      <c r="S53" s="15">
        <v>0.75</v>
      </c>
      <c r="T53" s="15">
        <v>0.75</v>
      </c>
      <c r="U53" s="15">
        <v>0.75</v>
      </c>
      <c r="V53" s="15">
        <v>0.75</v>
      </c>
    </row>
    <row r="54" spans="2:22" s="94" customFormat="1">
      <c r="B54" s="94" t="s">
        <v>370</v>
      </c>
      <c r="D54" s="31" t="s">
        <v>105</v>
      </c>
      <c r="Q54" s="15">
        <f>(1-Q53)</f>
        <v>0.25</v>
      </c>
      <c r="R54" s="15">
        <f t="shared" ref="R54:V54" si="0">(1-R53)</f>
        <v>0.25</v>
      </c>
      <c r="S54" s="15">
        <f t="shared" si="0"/>
        <v>0.25</v>
      </c>
      <c r="T54" s="15">
        <f t="shared" si="0"/>
        <v>0.25</v>
      </c>
      <c r="U54" s="15">
        <f t="shared" si="0"/>
        <v>0.25</v>
      </c>
      <c r="V54" s="15">
        <f t="shared" si="0"/>
        <v>0.25</v>
      </c>
    </row>
    <row r="55" spans="2:22" s="94" customFormat="1"/>
    <row r="56" spans="2:22" s="94" customFormat="1" ht="11.25" customHeight="1">
      <c r="B56" s="89" t="s">
        <v>372</v>
      </c>
      <c r="D56" s="31" t="s">
        <v>105</v>
      </c>
      <c r="Q56" s="15">
        <v>1</v>
      </c>
      <c r="R56" s="15">
        <v>1</v>
      </c>
      <c r="S56" s="15">
        <v>1</v>
      </c>
      <c r="T56" s="15">
        <v>1</v>
      </c>
      <c r="U56" s="15">
        <v>1</v>
      </c>
      <c r="V56" s="15">
        <v>1</v>
      </c>
    </row>
    <row r="57" spans="2:22" s="94" customFormat="1">
      <c r="B57" s="89"/>
      <c r="Q57" s="118"/>
      <c r="R57" s="118"/>
      <c r="S57" s="118"/>
      <c r="T57" s="118"/>
      <c r="U57" s="118"/>
      <c r="V57" s="118"/>
    </row>
    <row r="58" spans="2:22" s="94" customFormat="1">
      <c r="B58" s="9" t="s">
        <v>380</v>
      </c>
    </row>
    <row r="59" spans="2:22" s="94" customFormat="1"/>
    <row r="60" spans="2:22" s="94" customFormat="1">
      <c r="B60" s="94" t="s">
        <v>382</v>
      </c>
      <c r="D60" s="31" t="s">
        <v>105</v>
      </c>
      <c r="Q60" s="15">
        <v>0.7</v>
      </c>
      <c r="R60" s="15">
        <v>0.7</v>
      </c>
      <c r="S60" s="15">
        <v>0.7</v>
      </c>
      <c r="T60" s="15">
        <v>0.7</v>
      </c>
      <c r="U60" s="15">
        <v>0.7</v>
      </c>
      <c r="V60" s="15">
        <v>0.7</v>
      </c>
    </row>
    <row r="61" spans="2:22" s="94" customFormat="1">
      <c r="B61" s="94" t="s">
        <v>383</v>
      </c>
      <c r="D61" s="31" t="s">
        <v>105</v>
      </c>
      <c r="Q61" s="15">
        <f>(1-Q60)</f>
        <v>0.30000000000000004</v>
      </c>
      <c r="R61" s="15">
        <f t="shared" ref="R61:V61" si="1">(1-R60)</f>
        <v>0.30000000000000004</v>
      </c>
      <c r="S61" s="15">
        <f t="shared" si="1"/>
        <v>0.30000000000000004</v>
      </c>
      <c r="T61" s="15">
        <f t="shared" si="1"/>
        <v>0.30000000000000004</v>
      </c>
      <c r="U61" s="15">
        <f t="shared" si="1"/>
        <v>0.30000000000000004</v>
      </c>
      <c r="V61" s="15">
        <f t="shared" si="1"/>
        <v>0.30000000000000004</v>
      </c>
    </row>
    <row r="62" spans="2:22" s="94" customFormat="1"/>
    <row r="63" spans="2:22">
      <c r="B63" s="9" t="s">
        <v>368</v>
      </c>
    </row>
    <row r="65" spans="2:22">
      <c r="B65" s="5" t="s">
        <v>391</v>
      </c>
      <c r="D65" s="31" t="s">
        <v>60</v>
      </c>
      <c r="Q65" s="40">
        <f>AVERAGE($M$29:$P$29)-AVERAGE($M$24:$P$24)</f>
        <v>6189217.3618361056</v>
      </c>
      <c r="R65" s="40">
        <f t="shared" ref="R65:V65" si="2">AVERAGE($M$29:$P$29)-AVERAGE($M$24:$P$24)</f>
        <v>6189217.3618361056</v>
      </c>
      <c r="S65" s="40">
        <f t="shared" si="2"/>
        <v>6189217.3618361056</v>
      </c>
      <c r="T65" s="40">
        <f t="shared" si="2"/>
        <v>6189217.3618361056</v>
      </c>
      <c r="U65" s="40">
        <f t="shared" si="2"/>
        <v>6189217.3618361056</v>
      </c>
      <c r="V65" s="40">
        <f t="shared" si="2"/>
        <v>6189217.3618361056</v>
      </c>
    </row>
    <row r="66" spans="2:22">
      <c r="B66" s="99" t="s">
        <v>371</v>
      </c>
      <c r="D66" s="31" t="s">
        <v>60</v>
      </c>
      <c r="J66" s="94"/>
      <c r="K66" s="94"/>
      <c r="L66" s="94"/>
      <c r="M66" s="94"/>
      <c r="N66" s="94"/>
      <c r="O66" s="94"/>
      <c r="Q66" s="45">
        <f>Q53*Q$65</f>
        <v>4641913.0213770792</v>
      </c>
      <c r="R66" s="45">
        <f t="shared" ref="R66:V66" si="3">R53*R$65</f>
        <v>4641913.0213770792</v>
      </c>
      <c r="S66" s="45">
        <f t="shared" si="3"/>
        <v>4641913.0213770792</v>
      </c>
      <c r="T66" s="45">
        <f t="shared" si="3"/>
        <v>4641913.0213770792</v>
      </c>
      <c r="U66" s="45">
        <f t="shared" si="3"/>
        <v>4641913.0213770792</v>
      </c>
      <c r="V66" s="45">
        <f t="shared" si="3"/>
        <v>4641913.0213770792</v>
      </c>
    </row>
    <row r="67" spans="2:22">
      <c r="B67" s="99" t="s">
        <v>378</v>
      </c>
      <c r="D67" s="31" t="s">
        <v>60</v>
      </c>
      <c r="J67" s="94"/>
      <c r="K67" s="94"/>
      <c r="L67" s="94"/>
      <c r="M67" s="94"/>
      <c r="N67" s="94"/>
      <c r="O67" s="94"/>
      <c r="Q67" s="45">
        <f>Q54*Q$65*Q56</f>
        <v>1547304.3404590264</v>
      </c>
      <c r="R67" s="45">
        <f t="shared" ref="R67:V67" si="4">R54*R$65*R56</f>
        <v>1547304.3404590264</v>
      </c>
      <c r="S67" s="45">
        <f t="shared" si="4"/>
        <v>1547304.3404590264</v>
      </c>
      <c r="T67" s="45">
        <f t="shared" si="4"/>
        <v>1547304.3404590264</v>
      </c>
      <c r="U67" s="45">
        <f t="shared" si="4"/>
        <v>1547304.3404590264</v>
      </c>
      <c r="V67" s="45">
        <f t="shared" si="4"/>
        <v>1547304.3404590264</v>
      </c>
    </row>
    <row r="68" spans="2:22" s="94" customFormat="1">
      <c r="B68" s="89" t="s">
        <v>387</v>
      </c>
      <c r="D68" s="31" t="s">
        <v>60</v>
      </c>
      <c r="Q68" s="82">
        <f>Q66+Q67</f>
        <v>6189217.3618361056</v>
      </c>
      <c r="R68" s="82">
        <f t="shared" ref="R68:V68" si="5">R66+R67</f>
        <v>6189217.3618361056</v>
      </c>
      <c r="S68" s="82">
        <f t="shared" si="5"/>
        <v>6189217.3618361056</v>
      </c>
      <c r="T68" s="82">
        <f t="shared" si="5"/>
        <v>6189217.3618361056</v>
      </c>
      <c r="U68" s="82">
        <f t="shared" si="5"/>
        <v>6189217.3618361056</v>
      </c>
      <c r="V68" s="82">
        <f t="shared" si="5"/>
        <v>6189217.3618361056</v>
      </c>
    </row>
    <row r="69" spans="2:22" s="94" customFormat="1">
      <c r="B69" s="89"/>
      <c r="Q69" s="82"/>
      <c r="R69" s="82"/>
      <c r="S69" s="82"/>
      <c r="T69" s="82"/>
      <c r="U69" s="82"/>
      <c r="V69" s="82"/>
    </row>
    <row r="70" spans="2:22" s="94" customFormat="1">
      <c r="B70" s="99" t="s">
        <v>384</v>
      </c>
      <c r="D70" s="31" t="s">
        <v>60</v>
      </c>
      <c r="Q70" s="45">
        <f>Q68*Q60</f>
        <v>4332452.1532852734</v>
      </c>
      <c r="R70" s="45">
        <f t="shared" ref="R70:V70" si="6">R68*R60</f>
        <v>4332452.1532852734</v>
      </c>
      <c r="S70" s="45">
        <f t="shared" si="6"/>
        <v>4332452.1532852734</v>
      </c>
      <c r="T70" s="45">
        <f t="shared" si="6"/>
        <v>4332452.1532852734</v>
      </c>
      <c r="U70" s="45">
        <f t="shared" si="6"/>
        <v>4332452.1532852734</v>
      </c>
      <c r="V70" s="45">
        <f t="shared" si="6"/>
        <v>4332452.1532852734</v>
      </c>
    </row>
    <row r="71" spans="2:22" s="94" customFormat="1">
      <c r="B71" s="99" t="s">
        <v>385</v>
      </c>
      <c r="D71" s="31" t="s">
        <v>60</v>
      </c>
      <c r="Q71" s="45">
        <f>Q70*'General assumptions'!T35</f>
        <v>4344522.0681810323</v>
      </c>
      <c r="R71" s="45">
        <f>R70*'General assumptions'!U35</f>
        <v>4379493.6445402214</v>
      </c>
      <c r="S71" s="45">
        <f>S70*'General assumptions'!V35</f>
        <v>4419702.5617428599</v>
      </c>
      <c r="T71" s="45">
        <f>T70*'General assumptions'!W35</f>
        <v>4469672.560960223</v>
      </c>
      <c r="U71" s="45">
        <f>U70*'General assumptions'!X35</f>
        <v>4531461.4352960968</v>
      </c>
      <c r="V71" s="45">
        <f>V70*'General assumptions'!Y35</f>
        <v>4601265.4107000381</v>
      </c>
    </row>
    <row r="72" spans="2:22" s="94" customFormat="1">
      <c r="B72" s="99" t="s">
        <v>386</v>
      </c>
      <c r="D72" s="31" t="s">
        <v>60</v>
      </c>
      <c r="Q72" s="45">
        <f>Q68*Q61</f>
        <v>1856765.208550832</v>
      </c>
      <c r="R72" s="45">
        <f t="shared" ref="R72:V72" si="7">R68*R61</f>
        <v>1856765.208550832</v>
      </c>
      <c r="S72" s="45">
        <f t="shared" si="7"/>
        <v>1856765.208550832</v>
      </c>
      <c r="T72" s="45">
        <f t="shared" si="7"/>
        <v>1856765.208550832</v>
      </c>
      <c r="U72" s="45">
        <f t="shared" si="7"/>
        <v>1856765.208550832</v>
      </c>
      <c r="V72" s="45">
        <f t="shared" si="7"/>
        <v>1856765.208550832</v>
      </c>
    </row>
    <row r="73" spans="2:22" s="94" customFormat="1">
      <c r="B73" s="89" t="s">
        <v>388</v>
      </c>
      <c r="D73" s="31" t="s">
        <v>60</v>
      </c>
      <c r="Q73" s="112">
        <f>Q71+Q72</f>
        <v>6201287.2767318645</v>
      </c>
      <c r="R73" s="112">
        <f t="shared" ref="R73:V73" si="8">R71+R72</f>
        <v>6236258.8530910537</v>
      </c>
      <c r="S73" s="112">
        <f t="shared" si="8"/>
        <v>6276467.7702936921</v>
      </c>
      <c r="T73" s="112">
        <f t="shared" si="8"/>
        <v>6326437.7695110552</v>
      </c>
      <c r="U73" s="112">
        <f t="shared" si="8"/>
        <v>6388226.6438469291</v>
      </c>
      <c r="V73" s="112">
        <f t="shared" si="8"/>
        <v>6458030.6192508703</v>
      </c>
    </row>
    <row r="74" spans="2:22" s="94" customFormat="1">
      <c r="B74" s="99"/>
      <c r="Q74" s="45"/>
      <c r="R74" s="45"/>
      <c r="S74" s="45"/>
      <c r="T74" s="45"/>
      <c r="U74" s="45"/>
      <c r="V74" s="45"/>
    </row>
    <row r="75" spans="2:22" s="94" customFormat="1">
      <c r="B75" s="5" t="s">
        <v>393</v>
      </c>
      <c r="D75" s="31" t="s">
        <v>60</v>
      </c>
      <c r="M75" s="45"/>
      <c r="N75" s="45"/>
      <c r="O75" s="45"/>
      <c r="P75" s="45"/>
      <c r="Q75" s="40">
        <f>'Capex forecast - work code'!I43</f>
        <v>89527764.927750751</v>
      </c>
      <c r="R75" s="40">
        <f>'Capex forecast - work code'!J43</f>
        <v>100141480.30105509</v>
      </c>
      <c r="S75" s="40">
        <f>'Capex forecast - work code'!K43</f>
        <v>97242023.15185152</v>
      </c>
      <c r="T75" s="40">
        <f>'Capex forecast - work code'!L43</f>
        <v>94040632.09801732</v>
      </c>
      <c r="U75" s="40">
        <f>'Capex forecast - work code'!M43</f>
        <v>87913893.847654879</v>
      </c>
      <c r="V75" s="40">
        <f>'Capex forecast - work code'!N43</f>
        <v>83253547.153976262</v>
      </c>
    </row>
    <row r="76" spans="2:22" s="94" customFormat="1">
      <c r="B76" s="111" t="s">
        <v>374</v>
      </c>
      <c r="D76" s="31" t="s">
        <v>60</v>
      </c>
      <c r="M76" s="45"/>
      <c r="N76" s="45"/>
      <c r="O76" s="45"/>
      <c r="P76" s="45"/>
      <c r="Q76" s="45">
        <f>-'Capex forecast - work code'!I40</f>
        <v>-6308130.1928902604</v>
      </c>
      <c r="R76" s="45">
        <f>-'Capex forecast - work code'!J40</f>
        <v>-13370409.377955636</v>
      </c>
      <c r="S76" s="45">
        <f>-'Capex forecast - work code'!K40</f>
        <v>-14579932.724899549</v>
      </c>
      <c r="T76" s="45">
        <f>-'Capex forecast - work code'!L40</f>
        <v>-11969278.594408192</v>
      </c>
      <c r="U76" s="45">
        <f>-'Capex forecast - work code'!M40</f>
        <v>-9374185.521784829</v>
      </c>
      <c r="V76" s="45">
        <f>-'Capex forecast - work code'!N40</f>
        <v>-6365470.0767898764</v>
      </c>
    </row>
    <row r="77" spans="2:22" s="94" customFormat="1">
      <c r="B77" s="111" t="s">
        <v>376</v>
      </c>
      <c r="D77" s="31" t="s">
        <v>60</v>
      </c>
      <c r="M77" s="45"/>
      <c r="N77" s="45"/>
      <c r="O77" s="45"/>
      <c r="P77" s="45"/>
      <c r="Q77" s="45">
        <f>-'Capex forecast - work code'!I41</f>
        <v>-360914.01009034616</v>
      </c>
      <c r="R77" s="45">
        <f>-'Capex forecast - work code'!J41</f>
        <v>-361358.76730482717</v>
      </c>
      <c r="S77" s="45">
        <f>-'Capex forecast - work code'!K41</f>
        <v>-361894.38911896548</v>
      </c>
      <c r="T77" s="45">
        <f>-'Capex forecast - work code'!L41</f>
        <v>-362574.19659318496</v>
      </c>
      <c r="U77" s="45">
        <f>-'Capex forecast - work code'!M41</f>
        <v>-363446.01291519118</v>
      </c>
      <c r="V77" s="45">
        <f>-'Capex forecast - work code'!N41</f>
        <v>-364411.70301263226</v>
      </c>
    </row>
    <row r="78" spans="2:22" s="94" customFormat="1">
      <c r="B78" s="5" t="s">
        <v>375</v>
      </c>
      <c r="D78" s="31" t="s">
        <v>60</v>
      </c>
      <c r="M78" s="40"/>
      <c r="N78" s="40"/>
      <c r="O78" s="40"/>
      <c r="P78" s="40"/>
      <c r="Q78" s="112">
        <f t="shared" ref="Q78:V78" si="9">SUM(Q75:Q77)</f>
        <v>82858720.724770144</v>
      </c>
      <c r="R78" s="112">
        <f>SUM(R75:R77)</f>
        <v>86409712.155794635</v>
      </c>
      <c r="S78" s="112">
        <f t="shared" si="9"/>
        <v>82300196.037833005</v>
      </c>
      <c r="T78" s="112">
        <f t="shared" si="9"/>
        <v>81708779.307015941</v>
      </c>
      <c r="U78" s="112">
        <f t="shared" si="9"/>
        <v>78176262.312954858</v>
      </c>
      <c r="V78" s="112">
        <f t="shared" si="9"/>
        <v>76523665.37417376</v>
      </c>
    </row>
    <row r="79" spans="2:22" s="94" customFormat="1">
      <c r="B79" s="5"/>
      <c r="M79" s="45"/>
      <c r="N79" s="45"/>
      <c r="O79" s="45"/>
      <c r="P79" s="45"/>
      <c r="Q79" s="45"/>
      <c r="R79" s="45"/>
      <c r="S79" s="45"/>
      <c r="T79" s="45"/>
      <c r="U79" s="45"/>
      <c r="V79" s="45"/>
    </row>
    <row r="80" spans="2:22" ht="12.75" thickBot="1">
      <c r="B80" s="5" t="s">
        <v>377</v>
      </c>
      <c r="D80" s="31" t="s">
        <v>105</v>
      </c>
      <c r="J80" s="94"/>
      <c r="K80" s="94"/>
      <c r="L80" s="94"/>
      <c r="M80" s="94"/>
      <c r="N80" s="94"/>
      <c r="O80" s="94"/>
      <c r="Q80" s="113">
        <f>Q73/Q78</f>
        <v>7.4841697077734692E-2</v>
      </c>
      <c r="R80" s="113">
        <f>R73/R78</f>
        <v>7.2170809247081261E-2</v>
      </c>
      <c r="S80" s="113">
        <f>S73/S78</f>
        <v>7.6263096231367788E-2</v>
      </c>
      <c r="T80" s="113">
        <f t="shared" ref="T80:V80" si="10">T73/T78</f>
        <v>7.7426658716070601E-2</v>
      </c>
      <c r="U80" s="113">
        <f t="shared" si="10"/>
        <v>8.1715682674538839E-2</v>
      </c>
      <c r="V80" s="113">
        <f t="shared" si="10"/>
        <v>8.4392593946897035E-2</v>
      </c>
    </row>
    <row r="82" spans="2:22">
      <c r="B82" s="9" t="s">
        <v>379</v>
      </c>
    </row>
    <row r="83" spans="2:22">
      <c r="B83" s="94"/>
    </row>
    <row r="84" spans="2:22">
      <c r="B84" s="5" t="s">
        <v>392</v>
      </c>
      <c r="D84" s="31" t="s">
        <v>60</v>
      </c>
      <c r="Q84" s="40">
        <f>AVERAGE($M$24:$P$24)</f>
        <v>739648.49635533127</v>
      </c>
      <c r="R84" s="40">
        <f t="shared" ref="R84:V84" si="11">AVERAGE($M$24:$P$24)</f>
        <v>739648.49635533127</v>
      </c>
      <c r="S84" s="40">
        <f t="shared" si="11"/>
        <v>739648.49635533127</v>
      </c>
      <c r="T84" s="40">
        <f t="shared" si="11"/>
        <v>739648.49635533127</v>
      </c>
      <c r="U84" s="40">
        <f t="shared" si="11"/>
        <v>739648.49635533127</v>
      </c>
      <c r="V84" s="40">
        <f t="shared" si="11"/>
        <v>739648.49635533127</v>
      </c>
    </row>
    <row r="85" spans="2:22">
      <c r="B85" s="99" t="s">
        <v>371</v>
      </c>
      <c r="D85" s="31" t="s">
        <v>60</v>
      </c>
      <c r="Q85" s="45">
        <f>Q53*Q$84</f>
        <v>554736.37226649839</v>
      </c>
      <c r="R85" s="45">
        <f t="shared" ref="R85:V85" si="12">R53*R$84</f>
        <v>554736.37226649839</v>
      </c>
      <c r="S85" s="45">
        <f t="shared" si="12"/>
        <v>554736.37226649839</v>
      </c>
      <c r="T85" s="45">
        <f t="shared" si="12"/>
        <v>554736.37226649839</v>
      </c>
      <c r="U85" s="45">
        <f t="shared" si="12"/>
        <v>554736.37226649839</v>
      </c>
      <c r="V85" s="45">
        <f t="shared" si="12"/>
        <v>554736.37226649839</v>
      </c>
    </row>
    <row r="86" spans="2:22">
      <c r="B86" s="99" t="s">
        <v>378</v>
      </c>
      <c r="D86" s="31" t="s">
        <v>60</v>
      </c>
      <c r="J86" s="92"/>
      <c r="Q86" s="45">
        <f>Q54*Q$84*Q56</f>
        <v>184912.12408883282</v>
      </c>
      <c r="R86" s="45">
        <f t="shared" ref="R86:V86" si="13">R54*R$84*R56</f>
        <v>184912.12408883282</v>
      </c>
      <c r="S86" s="45">
        <f t="shared" si="13"/>
        <v>184912.12408883282</v>
      </c>
      <c r="T86" s="45">
        <f t="shared" si="13"/>
        <v>184912.12408883282</v>
      </c>
      <c r="U86" s="45">
        <f t="shared" si="13"/>
        <v>184912.12408883282</v>
      </c>
      <c r="V86" s="45">
        <f t="shared" si="13"/>
        <v>184912.12408883282</v>
      </c>
    </row>
    <row r="87" spans="2:22">
      <c r="B87" s="89" t="s">
        <v>387</v>
      </c>
      <c r="D87" s="31" t="s">
        <v>60</v>
      </c>
      <c r="Q87" s="82">
        <f>Q85+Q86</f>
        <v>739648.49635533127</v>
      </c>
      <c r="R87" s="82">
        <f t="shared" ref="R87:V87" si="14">R85+R86</f>
        <v>739648.49635533127</v>
      </c>
      <c r="S87" s="82">
        <f t="shared" si="14"/>
        <v>739648.49635533127</v>
      </c>
      <c r="T87" s="82">
        <f t="shared" si="14"/>
        <v>739648.49635533127</v>
      </c>
      <c r="U87" s="82">
        <f t="shared" si="14"/>
        <v>739648.49635533127</v>
      </c>
      <c r="V87" s="82">
        <f t="shared" si="14"/>
        <v>739648.49635533127</v>
      </c>
    </row>
    <row r="88" spans="2:22" s="94" customFormat="1">
      <c r="B88" s="89"/>
    </row>
    <row r="89" spans="2:22" s="94" customFormat="1">
      <c r="B89" s="99" t="s">
        <v>384</v>
      </c>
      <c r="D89" s="31" t="s">
        <v>60</v>
      </c>
      <c r="Q89" s="45">
        <f>Q87*Q60</f>
        <v>517753.94744873187</v>
      </c>
      <c r="R89" s="45">
        <f t="shared" ref="R89:V89" si="15">R87*R60</f>
        <v>517753.94744873187</v>
      </c>
      <c r="S89" s="45">
        <f t="shared" si="15"/>
        <v>517753.94744873187</v>
      </c>
      <c r="T89" s="45">
        <f t="shared" si="15"/>
        <v>517753.94744873187</v>
      </c>
      <c r="U89" s="45">
        <f t="shared" si="15"/>
        <v>517753.94744873187</v>
      </c>
      <c r="V89" s="45">
        <f t="shared" si="15"/>
        <v>517753.94744873187</v>
      </c>
    </row>
    <row r="90" spans="2:22" s="94" customFormat="1">
      <c r="B90" s="99" t="s">
        <v>385</v>
      </c>
      <c r="D90" s="31" t="s">
        <v>60</v>
      </c>
      <c r="Q90" s="45">
        <f>Q89*'General assumptions'!T35</f>
        <v>519196.37447655509</v>
      </c>
      <c r="R90" s="45">
        <f>R89*'General assumptions'!U35</f>
        <v>523375.68703855178</v>
      </c>
      <c r="S90" s="45">
        <f>S89*'General assumptions'!V35</f>
        <v>528180.89315918239</v>
      </c>
      <c r="T90" s="45">
        <f>T89*'General assumptions'!W35</f>
        <v>534152.60696776561</v>
      </c>
      <c r="U90" s="45">
        <f>U89*'General assumptions'!X35</f>
        <v>541536.74704916344</v>
      </c>
      <c r="V90" s="45">
        <f>V89*'General assumptions'!Y35</f>
        <v>549878.73965157429</v>
      </c>
    </row>
    <row r="91" spans="2:22" s="94" customFormat="1">
      <c r="B91" s="99" t="s">
        <v>386</v>
      </c>
      <c r="D91" s="31" t="s">
        <v>60</v>
      </c>
      <c r="Q91" s="45">
        <f>Q87*Q61</f>
        <v>221894.5489065994</v>
      </c>
      <c r="R91" s="45">
        <f t="shared" ref="R91:V91" si="16">R87*R61</f>
        <v>221894.5489065994</v>
      </c>
      <c r="S91" s="45">
        <f t="shared" si="16"/>
        <v>221894.5489065994</v>
      </c>
      <c r="T91" s="45">
        <f t="shared" si="16"/>
        <v>221894.5489065994</v>
      </c>
      <c r="U91" s="45">
        <f t="shared" si="16"/>
        <v>221894.5489065994</v>
      </c>
      <c r="V91" s="45">
        <f t="shared" si="16"/>
        <v>221894.5489065994</v>
      </c>
    </row>
    <row r="92" spans="2:22" s="94" customFormat="1">
      <c r="B92" s="89" t="s">
        <v>388</v>
      </c>
      <c r="D92" s="31" t="s">
        <v>60</v>
      </c>
      <c r="Q92" s="112">
        <f>Q90+Q91</f>
        <v>741090.92338315444</v>
      </c>
      <c r="R92" s="112">
        <f t="shared" ref="R92:V92" si="17">R90+R91</f>
        <v>745270.23594515119</v>
      </c>
      <c r="S92" s="112">
        <f t="shared" si="17"/>
        <v>750075.4420657818</v>
      </c>
      <c r="T92" s="112">
        <f t="shared" si="17"/>
        <v>756047.15587436501</v>
      </c>
      <c r="U92" s="112">
        <f t="shared" si="17"/>
        <v>763431.29595576285</v>
      </c>
      <c r="V92" s="112">
        <f t="shared" si="17"/>
        <v>771773.28855817369</v>
      </c>
    </row>
    <row r="93" spans="2:22" s="94" customFormat="1">
      <c r="B93" s="99"/>
    </row>
    <row r="94" spans="2:22" s="94" customFormat="1">
      <c r="B94" s="5" t="s">
        <v>394</v>
      </c>
      <c r="D94" s="31" t="s">
        <v>60</v>
      </c>
      <c r="Q94" s="45">
        <f>'Capex forecast - work code'!I40</f>
        <v>6308130.1928902604</v>
      </c>
      <c r="R94" s="45">
        <f>'Capex forecast - work code'!J40</f>
        <v>13370409.377955636</v>
      </c>
      <c r="S94" s="45">
        <f>'Capex forecast - work code'!K40</f>
        <v>14579932.724899549</v>
      </c>
      <c r="T94" s="45">
        <f>'Capex forecast - work code'!L40</f>
        <v>11969278.594408192</v>
      </c>
      <c r="U94" s="45">
        <f>'Capex forecast - work code'!M40</f>
        <v>9374185.521784829</v>
      </c>
      <c r="V94" s="45">
        <f>'Capex forecast - work code'!N40</f>
        <v>6365470.0767898764</v>
      </c>
    </row>
    <row r="95" spans="2:22" s="94" customFormat="1">
      <c r="B95" s="5"/>
    </row>
    <row r="96" spans="2:22" s="94" customFormat="1" ht="12.75" thickBot="1">
      <c r="B96" s="5" t="s">
        <v>389</v>
      </c>
      <c r="D96" s="31" t="s">
        <v>105</v>
      </c>
      <c r="Q96" s="113">
        <f>Q92/Q94</f>
        <v>0.11748186875065134</v>
      </c>
      <c r="R96" s="113">
        <f t="shared" ref="R96:V96" si="18">R92/R94</f>
        <v>5.5740270539053949E-2</v>
      </c>
      <c r="S96" s="113">
        <f t="shared" si="18"/>
        <v>5.1445740952206595E-2</v>
      </c>
      <c r="T96" s="113">
        <f t="shared" si="18"/>
        <v>6.3165641096162239E-2</v>
      </c>
      <c r="U96" s="113">
        <f t="shared" si="18"/>
        <v>8.1439746864579526E-2</v>
      </c>
      <c r="V96" s="113">
        <f t="shared" si="18"/>
        <v>0.12124372265486809</v>
      </c>
    </row>
    <row r="98" spans="1:22" s="94" customFormat="1" ht="12.75" thickBot="1">
      <c r="B98" s="5" t="s">
        <v>367</v>
      </c>
      <c r="D98" s="31" t="s">
        <v>105</v>
      </c>
      <c r="Q98" s="113">
        <f>(Q73+Q92)/(Q78+Q94)</f>
        <v>7.7858286220356038E-2</v>
      </c>
      <c r="R98" s="113">
        <f t="shared" ref="R98:V98" si="19">(R73+R92)/(R78+R94)</f>
        <v>6.9969137957751712E-2</v>
      </c>
      <c r="S98" s="113">
        <f t="shared" si="19"/>
        <v>7.2528219172458566E-2</v>
      </c>
      <c r="T98" s="113">
        <f t="shared" si="19"/>
        <v>7.5604523450285455E-2</v>
      </c>
      <c r="U98" s="113">
        <f t="shared" si="19"/>
        <v>8.1686137726013339E-2</v>
      </c>
      <c r="V98" s="113">
        <f t="shared" si="19"/>
        <v>8.7222575895801485E-2</v>
      </c>
    </row>
    <row r="99" spans="1:22" s="94" customFormat="1"/>
    <row r="100" spans="1:22" s="1" customFormat="1">
      <c r="A100" s="2"/>
      <c r="B100" s="2" t="s">
        <v>42</v>
      </c>
      <c r="C100" s="2"/>
    </row>
  </sheetData>
  <mergeCells count="7">
    <mergeCell ref="H8:L8"/>
    <mergeCell ref="M8:Q8"/>
    <mergeCell ref="R8:V8"/>
    <mergeCell ref="Q16:V16"/>
    <mergeCell ref="H48:L48"/>
    <mergeCell ref="M48:Q48"/>
    <mergeCell ref="R48:V48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S37"/>
  <sheetViews>
    <sheetView workbookViewId="0">
      <selection activeCell="K29" sqref="K29"/>
    </sheetView>
  </sheetViews>
  <sheetFormatPr defaultColWidth="9.140625" defaultRowHeight="12"/>
  <cols>
    <col min="1" max="1" width="3.85546875" style="4" customWidth="1"/>
    <col min="2" max="2" width="13" style="4" customWidth="1"/>
    <col min="3" max="3" width="3.28515625" style="4" customWidth="1"/>
    <col min="4" max="7" width="9.140625" style="4"/>
    <col min="8" max="14" width="12.28515625" style="4" customWidth="1"/>
    <col min="15" max="15" width="4.42578125" style="4" customWidth="1"/>
    <col min="16" max="16" width="13" style="4" customWidth="1"/>
    <col min="17" max="18" width="12.7109375" style="4" customWidth="1"/>
    <col min="19" max="16384" width="9.140625" style="4"/>
  </cols>
  <sheetData>
    <row r="1" spans="1:19" s="3" customFormat="1">
      <c r="A1" s="2" t="s">
        <v>2</v>
      </c>
    </row>
    <row r="2" spans="1:19" s="1" customFormat="1">
      <c r="A2" s="3" t="s">
        <v>348</v>
      </c>
    </row>
    <row r="3" spans="1:19" s="1" customFormat="1">
      <c r="A3" s="3" t="s">
        <v>349</v>
      </c>
    </row>
    <row r="4" spans="1:19" s="1" customFormat="1">
      <c r="A4" s="22" t="s">
        <v>43</v>
      </c>
    </row>
    <row r="6" spans="1:19">
      <c r="B6" s="4" t="s">
        <v>228</v>
      </c>
      <c r="E6" s="83" t="str">
        <f>'General assumptions'!F27</f>
        <v>Yes</v>
      </c>
    </row>
    <row r="8" spans="1:19" s="1" customFormat="1">
      <c r="A8" s="2">
        <v>1</v>
      </c>
      <c r="B8" s="2" t="s">
        <v>348</v>
      </c>
    </row>
    <row r="9" spans="1:19">
      <c r="H9" s="30"/>
      <c r="I9" s="30"/>
      <c r="J9" s="30"/>
      <c r="K9" s="30"/>
      <c r="L9" s="30"/>
      <c r="M9" s="30"/>
      <c r="N9" s="30"/>
    </row>
    <row r="10" spans="1:19">
      <c r="H10" s="187" t="s">
        <v>53</v>
      </c>
      <c r="I10" s="188"/>
      <c r="J10" s="187" t="s">
        <v>54</v>
      </c>
      <c r="K10" s="189"/>
      <c r="L10" s="189"/>
      <c r="M10" s="189"/>
      <c r="N10" s="188"/>
    </row>
    <row r="11" spans="1:19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63</v>
      </c>
      <c r="Q11" s="110"/>
      <c r="R11" s="110"/>
    </row>
    <row r="12" spans="1:19">
      <c r="B12" s="29"/>
      <c r="D12" s="29"/>
      <c r="E12" s="29"/>
      <c r="H12" s="16" t="s">
        <v>13</v>
      </c>
      <c r="I12" s="16" t="s">
        <v>13</v>
      </c>
      <c r="J12" s="16" t="s">
        <v>13</v>
      </c>
      <c r="K12" s="16" t="s">
        <v>13</v>
      </c>
      <c r="L12" s="16" t="s">
        <v>13</v>
      </c>
      <c r="M12" s="16" t="s">
        <v>13</v>
      </c>
      <c r="N12" s="16" t="s">
        <v>13</v>
      </c>
      <c r="P12" s="34" t="s">
        <v>13</v>
      </c>
    </row>
    <row r="13" spans="1:19">
      <c r="B13" s="88" t="s">
        <v>155</v>
      </c>
      <c r="D13" s="29"/>
      <c r="E13" s="29"/>
      <c r="H13" s="90">
        <v>78.183446045964459</v>
      </c>
      <c r="I13" s="90">
        <f>'Capex forecast - work code'!I43/1000000</f>
        <v>89.527764927750752</v>
      </c>
      <c r="J13" s="90">
        <f>'Capex forecast - work code'!J43/1000000</f>
        <v>100.14148030105508</v>
      </c>
      <c r="K13" s="90">
        <f>'Capex forecast - work code'!K43/1000000</f>
        <v>97.242023151851527</v>
      </c>
      <c r="L13" s="90">
        <f>'Capex forecast - work code'!L43/1000000</f>
        <v>94.040632098017326</v>
      </c>
      <c r="M13" s="90">
        <f>'Capex forecast - work code'!M43/1000000</f>
        <v>87.913893847654876</v>
      </c>
      <c r="N13" s="90">
        <f>'Capex forecast - work code'!N43/1000000</f>
        <v>83.253547153976257</v>
      </c>
      <c r="P13" s="90">
        <f t="shared" ref="P13:P17" si="0">SUM(J13:N13)</f>
        <v>462.59157655255513</v>
      </c>
    </row>
    <row r="14" spans="1:19">
      <c r="B14" s="88" t="s">
        <v>104</v>
      </c>
      <c r="D14" s="31"/>
      <c r="E14" s="31"/>
      <c r="H14" s="90">
        <v>85.157824976830383</v>
      </c>
      <c r="I14" s="90">
        <f>'Capex forecast - work code'!I117/1000000</f>
        <v>96.47014312786574</v>
      </c>
      <c r="J14" s="90">
        <f>'Capex forecast - work code'!J117/1000000</f>
        <v>107.12300939009128</v>
      </c>
      <c r="K14" s="90">
        <f>'Capex forecast - work code'!K117/1000000</f>
        <v>104.26856636421101</v>
      </c>
      <c r="L14" s="90">
        <f>'Capex forecast - work code'!L117/1000000</f>
        <v>101.12311702340277</v>
      </c>
      <c r="M14" s="90">
        <f>'Capex forecast - work code'!M117/1000000</f>
        <v>95.065551787457565</v>
      </c>
      <c r="N14" s="90">
        <f>'Capex forecast - work code'!N117/1000000</f>
        <v>90.483351061785299</v>
      </c>
      <c r="P14" s="90">
        <f t="shared" si="0"/>
        <v>498.06359562694792</v>
      </c>
      <c r="Q14" s="96"/>
    </row>
    <row r="15" spans="1:19">
      <c r="B15" s="88" t="s">
        <v>74</v>
      </c>
      <c r="H15" s="90">
        <v>-2.1679717699490952</v>
      </c>
      <c r="I15" s="90">
        <f>'Capex forecast - work code'!I154/1000000</f>
        <v>-11.641718096271765</v>
      </c>
      <c r="J15" s="90">
        <f>'Capex forecast - work code'!J154/1000000</f>
        <v>-3.9823437074934311</v>
      </c>
      <c r="K15" s="90">
        <f>'Capex forecast - work code'!K154/1000000</f>
        <v>-4.0487720386254322</v>
      </c>
      <c r="L15" s="90">
        <f>'Capex forecast - work code'!L154/1000000</f>
        <v>-4.1111354678959424</v>
      </c>
      <c r="M15" s="90">
        <f>'Capex forecast - work code'!M154/1000000</f>
        <v>-4.2003759337219932</v>
      </c>
      <c r="N15" s="90">
        <f>'Capex forecast - work code'!N154/1000000</f>
        <v>-4.210907436718073</v>
      </c>
      <c r="P15" s="90">
        <f t="shared" si="0"/>
        <v>-20.553534584454873</v>
      </c>
      <c r="R15" s="96"/>
      <c r="S15" s="92"/>
    </row>
    <row r="16" spans="1:19">
      <c r="B16" s="88" t="s">
        <v>75</v>
      </c>
      <c r="H16" s="90">
        <v>0</v>
      </c>
      <c r="I16" s="90">
        <f>'Capex forecast - work code'!I191/1000000</f>
        <v>0</v>
      </c>
      <c r="J16" s="90">
        <f>'Capex forecast - work code'!J191/1000000</f>
        <v>0</v>
      </c>
      <c r="K16" s="90">
        <f>'Capex forecast - work code'!K191/1000000</f>
        <v>0</v>
      </c>
      <c r="L16" s="90">
        <f>'Capex forecast - work code'!L191/1000000</f>
        <v>0</v>
      </c>
      <c r="M16" s="90">
        <f>'Capex forecast - work code'!M191/1000000</f>
        <v>0</v>
      </c>
      <c r="N16" s="90">
        <f>'Capex forecast - work code'!N191/1000000</f>
        <v>0</v>
      </c>
      <c r="P16" s="90">
        <f t="shared" si="0"/>
        <v>0</v>
      </c>
    </row>
    <row r="17" spans="1:16" ht="12.75" thickBot="1">
      <c r="B17" s="89" t="s">
        <v>103</v>
      </c>
      <c r="H17" s="91">
        <f>H14+H15</f>
        <v>82.989853206881293</v>
      </c>
      <c r="I17" s="91">
        <f>'Capex forecast - work code'!I228/1000000</f>
        <v>84.828425031593994</v>
      </c>
      <c r="J17" s="91">
        <f>'Capex forecast - work code'!J228/1000000</f>
        <v>103.14066568259786</v>
      </c>
      <c r="K17" s="91">
        <f>'Capex forecast - work code'!K228/1000000</f>
        <v>100.21979432558557</v>
      </c>
      <c r="L17" s="91">
        <f>'Capex forecast - work code'!L228/1000000</f>
        <v>97.011981555506807</v>
      </c>
      <c r="M17" s="91">
        <f>'Capex forecast - work code'!M228/1000000</f>
        <v>90.865175853735579</v>
      </c>
      <c r="N17" s="91">
        <f>'Capex forecast - work code'!N228/1000000</f>
        <v>86.27244362506724</v>
      </c>
      <c r="P17" s="91">
        <f t="shared" si="0"/>
        <v>477.51006104249308</v>
      </c>
    </row>
    <row r="18" spans="1:16">
      <c r="B18" s="81"/>
      <c r="H18" s="82"/>
      <c r="I18" s="82"/>
      <c r="J18" s="82"/>
      <c r="K18" s="82"/>
      <c r="L18" s="82"/>
      <c r="M18" s="82"/>
      <c r="N18" s="82"/>
    </row>
    <row r="19" spans="1:16" s="1" customFormat="1">
      <c r="A19" s="2"/>
      <c r="B19" s="2" t="s">
        <v>42</v>
      </c>
    </row>
    <row r="21" spans="1:16">
      <c r="G21" s="102"/>
      <c r="H21" s="102"/>
      <c r="I21" s="102"/>
      <c r="J21" s="102"/>
      <c r="K21" s="102"/>
      <c r="L21" s="102"/>
      <c r="M21" s="102"/>
      <c r="N21" s="102"/>
      <c r="P21" s="136"/>
    </row>
    <row r="22" spans="1:16">
      <c r="G22" s="102"/>
      <c r="H22" s="102"/>
      <c r="I22" s="102"/>
      <c r="J22" s="102"/>
      <c r="K22" s="102"/>
      <c r="L22" s="102"/>
      <c r="M22" s="102"/>
      <c r="N22" s="102"/>
    </row>
    <row r="23" spans="1:16">
      <c r="G23" s="102"/>
      <c r="H23" s="102"/>
      <c r="I23" s="126"/>
      <c r="J23" s="126"/>
      <c r="K23" s="126"/>
      <c r="L23" s="126"/>
      <c r="M23" s="126"/>
      <c r="N23" s="126"/>
      <c r="P23" s="119"/>
    </row>
    <row r="24" spans="1:16">
      <c r="G24" s="102"/>
      <c r="H24" s="102"/>
      <c r="I24" s="102"/>
      <c r="J24" s="127"/>
      <c r="K24" s="128"/>
      <c r="L24" s="102"/>
      <c r="M24" s="102"/>
      <c r="N24" s="102"/>
    </row>
    <row r="27" spans="1:16">
      <c r="J27" s="29"/>
      <c r="K27" s="29"/>
    </row>
    <row r="29" spans="1:16">
      <c r="K29" s="121"/>
    </row>
    <row r="33" spans="10:12">
      <c r="J33" s="122"/>
      <c r="K33" s="123"/>
      <c r="L33" s="124"/>
    </row>
    <row r="35" spans="10:12">
      <c r="J35" s="125"/>
      <c r="K35" s="125"/>
      <c r="L35" s="124"/>
    </row>
    <row r="36" spans="10:12">
      <c r="J36" s="123"/>
      <c r="K36" s="123"/>
    </row>
    <row r="37" spans="10:12">
      <c r="L37" s="98"/>
    </row>
  </sheetData>
  <mergeCells count="2">
    <mergeCell ref="H10:I10"/>
    <mergeCell ref="J10:N10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P32"/>
  <sheetViews>
    <sheetView workbookViewId="0">
      <selection activeCell="F28" sqref="F28"/>
    </sheetView>
  </sheetViews>
  <sheetFormatPr defaultColWidth="9.140625" defaultRowHeight="12"/>
  <cols>
    <col min="1" max="1" width="3.85546875" style="94" customWidth="1"/>
    <col min="2" max="2" width="60.28515625" style="94" customWidth="1"/>
    <col min="3" max="3" width="3.28515625" style="94" customWidth="1"/>
    <col min="4" max="4" width="9.140625" style="94"/>
    <col min="5" max="5" width="3.42578125" style="94" customWidth="1"/>
    <col min="6" max="11" width="12.28515625" style="94" customWidth="1"/>
    <col min="12" max="12" width="4.42578125" style="94" customWidth="1"/>
    <col min="13" max="13" width="13" style="94" customWidth="1"/>
    <col min="14" max="16384" width="9.140625" style="94"/>
  </cols>
  <sheetData>
    <row r="1" spans="1:16" s="3" customFormat="1">
      <c r="A1" s="2" t="s">
        <v>2</v>
      </c>
    </row>
    <row r="2" spans="1:16" s="1" customFormat="1">
      <c r="A2" s="3" t="s">
        <v>396</v>
      </c>
    </row>
    <row r="3" spans="1:16" s="1" customFormat="1">
      <c r="A3" s="3" t="s">
        <v>406</v>
      </c>
    </row>
    <row r="4" spans="1:16" s="1" customFormat="1">
      <c r="A4" s="22" t="s">
        <v>43</v>
      </c>
    </row>
    <row r="6" spans="1:16" s="1" customFormat="1">
      <c r="A6" s="2">
        <v>1</v>
      </c>
      <c r="B6" s="2" t="s">
        <v>398</v>
      </c>
    </row>
    <row r="7" spans="1:16">
      <c r="E7" s="30"/>
      <c r="F7" s="30"/>
      <c r="G7" s="30"/>
      <c r="H7" s="30"/>
      <c r="I7" s="30"/>
      <c r="J7" s="30"/>
      <c r="K7" s="30"/>
    </row>
    <row r="8" spans="1:16">
      <c r="B8" s="5"/>
      <c r="E8" s="30"/>
      <c r="F8" s="18">
        <v>2017</v>
      </c>
      <c r="G8" s="18">
        <v>2018</v>
      </c>
      <c r="H8" s="18">
        <v>2019</v>
      </c>
      <c r="I8" s="18">
        <v>2020</v>
      </c>
      <c r="J8" s="18">
        <v>2021</v>
      </c>
      <c r="K8" s="18">
        <v>2022</v>
      </c>
    </row>
    <row r="9" spans="1:16">
      <c r="B9" s="5"/>
      <c r="D9" s="29" t="s">
        <v>55</v>
      </c>
      <c r="E9" s="30"/>
      <c r="F9" s="16" t="s">
        <v>13</v>
      </c>
      <c r="G9" s="16" t="s">
        <v>13</v>
      </c>
      <c r="H9" s="16" t="s">
        <v>13</v>
      </c>
      <c r="I9" s="16" t="s">
        <v>13</v>
      </c>
      <c r="J9" s="16" t="s">
        <v>13</v>
      </c>
      <c r="K9" s="16" t="s">
        <v>13</v>
      </c>
      <c r="M9" s="95"/>
      <c r="N9" s="95"/>
      <c r="O9" s="95"/>
      <c r="P9" s="95"/>
    </row>
    <row r="10" spans="1:16">
      <c r="B10" s="5"/>
      <c r="D10" s="29"/>
      <c r="E10" s="30"/>
      <c r="F10" s="18"/>
      <c r="G10" s="18"/>
      <c r="H10" s="18"/>
      <c r="I10" s="18"/>
      <c r="J10" s="18"/>
      <c r="K10" s="18"/>
    </row>
    <row r="11" spans="1:16">
      <c r="B11" s="38" t="s">
        <v>403</v>
      </c>
      <c r="D11" s="31" t="s">
        <v>105</v>
      </c>
      <c r="E11" s="30"/>
      <c r="F11" s="120">
        <v>7.5718629860027642E-3</v>
      </c>
      <c r="G11" s="120">
        <v>1.1099159267859817E-2</v>
      </c>
      <c r="H11" s="120">
        <v>9.3623589694055813E-3</v>
      </c>
      <c r="I11" s="120">
        <v>1.1612381045686604E-2</v>
      </c>
      <c r="J11" s="120">
        <v>1.6648054076963417E-2</v>
      </c>
      <c r="K11" s="120">
        <v>1.9808592945414451E-2</v>
      </c>
      <c r="M11" s="20" t="s">
        <v>405</v>
      </c>
    </row>
    <row r="12" spans="1:16">
      <c r="B12" s="38" t="s">
        <v>404</v>
      </c>
      <c r="D12" s="31" t="s">
        <v>105</v>
      </c>
      <c r="E12" s="30"/>
      <c r="F12" s="120">
        <v>2.5082525865978856E-3</v>
      </c>
      <c r="G12" s="120">
        <v>7.6676571855419425E-3</v>
      </c>
      <c r="H12" s="120">
        <v>8.385458213222079E-3</v>
      </c>
      <c r="I12" s="120">
        <v>1.156628612396899E-2</v>
      </c>
      <c r="J12" s="120">
        <v>1.7838574674526174E-2</v>
      </c>
      <c r="K12" s="120">
        <v>1.9957307658751509E-2</v>
      </c>
      <c r="M12" s="20" t="s">
        <v>405</v>
      </c>
    </row>
    <row r="14" spans="1:16" s="1" customFormat="1">
      <c r="A14" s="2">
        <v>2</v>
      </c>
      <c r="B14" s="2" t="s">
        <v>397</v>
      </c>
    </row>
    <row r="16" spans="1:16">
      <c r="B16" s="5"/>
      <c r="E16" s="30"/>
      <c r="F16" s="18">
        <v>2017</v>
      </c>
      <c r="G16" s="18">
        <v>2018</v>
      </c>
      <c r="H16" s="18">
        <v>2019</v>
      </c>
      <c r="I16" s="18">
        <v>2020</v>
      </c>
      <c r="J16" s="18">
        <v>2021</v>
      </c>
      <c r="K16" s="18">
        <v>2022</v>
      </c>
    </row>
    <row r="17" spans="1:13">
      <c r="B17" s="5"/>
      <c r="D17" s="29" t="s">
        <v>55</v>
      </c>
      <c r="E17" s="30"/>
      <c r="F17" s="16" t="s">
        <v>13</v>
      </c>
      <c r="G17" s="16" t="s">
        <v>13</v>
      </c>
      <c r="H17" s="16" t="s">
        <v>13</v>
      </c>
      <c r="I17" s="16" t="s">
        <v>13</v>
      </c>
      <c r="J17" s="16" t="s">
        <v>13</v>
      </c>
      <c r="K17" s="16" t="s">
        <v>13</v>
      </c>
    </row>
    <row r="19" spans="1:13">
      <c r="B19" s="38" t="s">
        <v>401</v>
      </c>
      <c r="D19" s="31" t="s">
        <v>105</v>
      </c>
      <c r="F19" s="120">
        <v>-2E-3</v>
      </c>
      <c r="G19" s="120">
        <v>5.0000000000000001E-3</v>
      </c>
      <c r="H19" s="120">
        <v>8.9999999999999993E-3</v>
      </c>
      <c r="I19" s="120">
        <v>1.0999999999999999E-2</v>
      </c>
      <c r="J19" s="120">
        <v>1.0999999999999999E-2</v>
      </c>
      <c r="K19" s="120">
        <f>J19</f>
        <v>1.0999999999999999E-2</v>
      </c>
      <c r="M19" s="20" t="s">
        <v>407</v>
      </c>
    </row>
    <row r="20" spans="1:13">
      <c r="B20" s="38" t="s">
        <v>402</v>
      </c>
      <c r="D20" s="31" t="s">
        <v>105</v>
      </c>
      <c r="F20" s="120">
        <v>-4.0000000000000001E-3</v>
      </c>
      <c r="G20" s="120">
        <v>7.0000000000000001E-3</v>
      </c>
      <c r="H20" s="120">
        <v>0.01</v>
      </c>
      <c r="I20" s="120">
        <v>1.2E-2</v>
      </c>
      <c r="J20" s="120">
        <v>1.2999999999999999E-2</v>
      </c>
      <c r="K20" s="120">
        <f>J20</f>
        <v>1.2999999999999999E-2</v>
      </c>
      <c r="M20" s="20" t="s">
        <v>407</v>
      </c>
    </row>
    <row r="22" spans="1:13" s="1" customFormat="1">
      <c r="A22" s="2">
        <v>3</v>
      </c>
      <c r="B22" s="2" t="s">
        <v>400</v>
      </c>
    </row>
    <row r="24" spans="1:13">
      <c r="B24" s="5"/>
      <c r="E24" s="30"/>
      <c r="F24" s="18">
        <v>2017</v>
      </c>
      <c r="G24" s="18">
        <v>2018</v>
      </c>
      <c r="H24" s="18">
        <v>2019</v>
      </c>
      <c r="I24" s="18">
        <v>2020</v>
      </c>
      <c r="J24" s="18">
        <v>2021</v>
      </c>
      <c r="K24" s="18">
        <v>2022</v>
      </c>
    </row>
    <row r="25" spans="1:13">
      <c r="B25" s="5"/>
      <c r="D25" s="29" t="s">
        <v>55</v>
      </c>
      <c r="E25" s="30"/>
      <c r="F25" s="16" t="s">
        <v>13</v>
      </c>
      <c r="G25" s="16" t="s">
        <v>13</v>
      </c>
      <c r="H25" s="16" t="s">
        <v>13</v>
      </c>
      <c r="I25" s="16" t="s">
        <v>13</v>
      </c>
      <c r="J25" s="16" t="s">
        <v>13</v>
      </c>
      <c r="K25" s="16" t="s">
        <v>13</v>
      </c>
    </row>
    <row r="26" spans="1:13">
      <c r="B26" s="38"/>
    </row>
    <row r="27" spans="1:13">
      <c r="B27" s="38" t="s">
        <v>401</v>
      </c>
      <c r="D27" s="31" t="s">
        <v>105</v>
      </c>
      <c r="F27" s="120">
        <f t="shared" ref="F27:K27" si="0">AVERAGE(F11,F19)</f>
        <v>2.7859314930013821E-3</v>
      </c>
      <c r="G27" s="120">
        <f t="shared" si="0"/>
        <v>8.049579633929908E-3</v>
      </c>
      <c r="H27" s="120">
        <f t="shared" si="0"/>
        <v>9.1811794847027894E-3</v>
      </c>
      <c r="I27" s="120">
        <f t="shared" si="0"/>
        <v>1.1306190522843301E-2</v>
      </c>
      <c r="J27" s="120">
        <f t="shared" si="0"/>
        <v>1.3824027038481708E-2</v>
      </c>
      <c r="K27" s="120">
        <f t="shared" si="0"/>
        <v>1.5404296472707225E-2</v>
      </c>
    </row>
    <row r="28" spans="1:13">
      <c r="B28" s="38" t="s">
        <v>402</v>
      </c>
      <c r="D28" s="31" t="s">
        <v>105</v>
      </c>
      <c r="F28" s="120">
        <f t="shared" ref="F28:K28" si="1">AVERAGE(F12,F20)</f>
        <v>-7.4587370670105724E-4</v>
      </c>
      <c r="G28" s="120">
        <f t="shared" si="1"/>
        <v>7.3338285927709718E-3</v>
      </c>
      <c r="H28" s="120">
        <f t="shared" si="1"/>
        <v>9.1927291066110396E-3</v>
      </c>
      <c r="I28" s="120">
        <f t="shared" si="1"/>
        <v>1.1783143061984495E-2</v>
      </c>
      <c r="J28" s="120">
        <f t="shared" si="1"/>
        <v>1.5419287337263086E-2</v>
      </c>
      <c r="K28" s="120">
        <f t="shared" si="1"/>
        <v>1.6478653829375755E-2</v>
      </c>
    </row>
    <row r="30" spans="1:13" s="1" customFormat="1">
      <c r="A30" s="2"/>
      <c r="B30" s="2" t="s">
        <v>42</v>
      </c>
      <c r="C30" s="2"/>
    </row>
    <row r="32" spans="1:13">
      <c r="F32" s="13"/>
      <c r="G32" s="13"/>
      <c r="H32" s="13"/>
      <c r="I32" s="13"/>
      <c r="J32" s="13"/>
      <c r="K32" s="13"/>
    </row>
  </sheetData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75"/>
  <sheetViews>
    <sheetView workbookViewId="0">
      <selection activeCell="F27" sqref="F27"/>
    </sheetView>
  </sheetViews>
  <sheetFormatPr defaultColWidth="9.140625" defaultRowHeight="12"/>
  <cols>
    <col min="1" max="1" width="3.42578125" style="4" customWidth="1"/>
    <col min="2" max="2" width="12.85546875" style="4" customWidth="1"/>
    <col min="3" max="3" width="9.140625" style="4"/>
    <col min="4" max="20" width="8.85546875" style="4" customWidth="1"/>
    <col min="21" max="21" width="9.85546875" style="4" customWidth="1"/>
    <col min="22" max="25" width="8.85546875" style="4" customWidth="1"/>
    <col min="26" max="16384" width="9.140625" style="4"/>
  </cols>
  <sheetData>
    <row r="1" spans="1:35" s="3" customFormat="1">
      <c r="A1" s="2" t="s">
        <v>2</v>
      </c>
    </row>
    <row r="2" spans="1:35" s="1" customFormat="1">
      <c r="A2" s="3" t="s">
        <v>59</v>
      </c>
    </row>
    <row r="3" spans="1:35" s="1" customFormat="1">
      <c r="A3" s="22" t="s">
        <v>43</v>
      </c>
    </row>
    <row r="6" spans="1:35" s="1" customFormat="1">
      <c r="A6" s="2">
        <v>1</v>
      </c>
      <c r="B6" s="2" t="s">
        <v>7</v>
      </c>
    </row>
    <row r="8" spans="1:35">
      <c r="B8" s="9" t="s">
        <v>8</v>
      </c>
    </row>
    <row r="9" spans="1:35">
      <c r="G9" s="23">
        <v>38231</v>
      </c>
      <c r="H9" s="23">
        <v>38596</v>
      </c>
      <c r="I9" s="23">
        <v>38961</v>
      </c>
      <c r="J9" s="23">
        <v>39326</v>
      </c>
      <c r="K9" s="23">
        <v>39692</v>
      </c>
      <c r="L9" s="23">
        <v>40057</v>
      </c>
      <c r="M9" s="23">
        <v>40422</v>
      </c>
      <c r="N9" s="23">
        <v>40787</v>
      </c>
      <c r="O9" s="23">
        <v>41153</v>
      </c>
      <c r="P9" s="23">
        <v>41518</v>
      </c>
      <c r="Q9" s="23">
        <v>41883</v>
      </c>
      <c r="R9" s="23">
        <v>42248</v>
      </c>
      <c r="S9" s="23">
        <v>42614</v>
      </c>
      <c r="T9" s="23">
        <v>42979</v>
      </c>
      <c r="U9" s="23">
        <v>43344</v>
      </c>
      <c r="V9" s="23">
        <v>43709</v>
      </c>
      <c r="W9" s="23">
        <v>44075</v>
      </c>
      <c r="X9" s="23">
        <v>44440</v>
      </c>
      <c r="Y9" s="23">
        <v>44805</v>
      </c>
    </row>
    <row r="10" spans="1:35">
      <c r="G10" s="24"/>
      <c r="H10" s="24"/>
      <c r="I10" s="24"/>
      <c r="J10" s="24"/>
      <c r="K10" s="24"/>
      <c r="L10" s="24" t="s">
        <v>12</v>
      </c>
      <c r="M10" s="24" t="s">
        <v>12</v>
      </c>
      <c r="N10" s="24" t="s">
        <v>12</v>
      </c>
      <c r="O10" s="24" t="s">
        <v>12</v>
      </c>
      <c r="P10" s="24" t="s">
        <v>12</v>
      </c>
      <c r="Q10" s="24" t="s">
        <v>12</v>
      </c>
      <c r="R10" s="24" t="s">
        <v>12</v>
      </c>
      <c r="S10" s="24" t="s">
        <v>12</v>
      </c>
      <c r="T10" s="24" t="s">
        <v>13</v>
      </c>
      <c r="U10" s="24" t="s">
        <v>13</v>
      </c>
      <c r="V10" s="24" t="s">
        <v>13</v>
      </c>
      <c r="W10" s="24" t="s">
        <v>13</v>
      </c>
      <c r="X10" s="24" t="s">
        <v>13</v>
      </c>
      <c r="Y10" s="24" t="s">
        <v>13</v>
      </c>
    </row>
    <row r="12" spans="1:35">
      <c r="B12" s="4" t="s">
        <v>10</v>
      </c>
      <c r="G12" s="15">
        <v>80.900000000000006</v>
      </c>
      <c r="H12" s="15">
        <v>83.4</v>
      </c>
      <c r="I12" s="15">
        <v>86.7</v>
      </c>
      <c r="J12" s="15">
        <v>88.3</v>
      </c>
      <c r="K12" s="15">
        <v>92.7</v>
      </c>
      <c r="L12" s="14">
        <v>93.8</v>
      </c>
      <c r="M12" s="14">
        <v>96.5</v>
      </c>
      <c r="N12" s="14">
        <v>99.8</v>
      </c>
      <c r="O12" s="14">
        <v>101.8</v>
      </c>
      <c r="P12" s="14">
        <v>104</v>
      </c>
      <c r="Q12" s="14">
        <v>106.4</v>
      </c>
      <c r="R12" s="14">
        <v>108</v>
      </c>
      <c r="S12" s="14">
        <v>109.4</v>
      </c>
      <c r="AA12" s="20"/>
    </row>
    <row r="13" spans="1:35">
      <c r="B13" s="4" t="s">
        <v>9</v>
      </c>
      <c r="F13" s="181">
        <v>1.6500000000000001E-2</v>
      </c>
      <c r="G13" s="19"/>
      <c r="H13" s="19"/>
      <c r="I13" s="19"/>
      <c r="J13" s="19"/>
      <c r="K13" s="19"/>
      <c r="L13" s="19"/>
      <c r="M13" s="19"/>
      <c r="N13" s="19"/>
      <c r="O13" s="19"/>
      <c r="Z13" s="94"/>
      <c r="AA13" s="20"/>
      <c r="AB13" s="94"/>
      <c r="AC13" s="94"/>
      <c r="AD13" s="94"/>
      <c r="AE13" s="94"/>
      <c r="AF13" s="94"/>
      <c r="AG13" s="94"/>
      <c r="AH13" s="94"/>
      <c r="AI13" s="94"/>
    </row>
    <row r="14" spans="1:35">
      <c r="B14" s="4" t="s">
        <v>11</v>
      </c>
      <c r="T14" s="12">
        <f>S12*(1+$F$13)</f>
        <v>111.2051</v>
      </c>
      <c r="U14" s="12">
        <f>T14*(1+$F$13)</f>
        <v>113.03998415</v>
      </c>
      <c r="V14" s="12">
        <f>U14*(1+$F$13)</f>
        <v>114.905143888475</v>
      </c>
      <c r="W14" s="12">
        <f>V14*(1+$F$13)</f>
        <v>116.80107876263483</v>
      </c>
      <c r="X14" s="12">
        <f>W14*(1+$F$13)</f>
        <v>118.7282965622183</v>
      </c>
      <c r="Y14" s="12">
        <f>X14*(1+$F$13)</f>
        <v>120.6873134554949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</row>
    <row r="16" spans="1:35">
      <c r="I16" s="24">
        <v>2006</v>
      </c>
      <c r="J16" s="24">
        <v>2007</v>
      </c>
      <c r="K16" s="24">
        <v>2008</v>
      </c>
      <c r="L16" s="24">
        <v>2009</v>
      </c>
      <c r="M16" s="24">
        <v>2010</v>
      </c>
      <c r="N16" s="24">
        <v>2011</v>
      </c>
      <c r="O16" s="24">
        <v>2012</v>
      </c>
      <c r="P16" s="24">
        <v>2013</v>
      </c>
      <c r="Q16" s="24">
        <v>2014</v>
      </c>
      <c r="R16" s="24">
        <v>2015</v>
      </c>
      <c r="S16" s="24">
        <v>2016</v>
      </c>
      <c r="T16" s="24">
        <v>2017</v>
      </c>
      <c r="U16" s="24">
        <v>2018</v>
      </c>
      <c r="V16" s="24">
        <v>2019</v>
      </c>
      <c r="W16" s="24">
        <v>2020</v>
      </c>
      <c r="X16" s="24">
        <v>2021</v>
      </c>
      <c r="Y16" s="24">
        <v>2022</v>
      </c>
    </row>
    <row r="17" spans="2:31">
      <c r="B17" s="4" t="s">
        <v>16</v>
      </c>
      <c r="H17" s="13"/>
      <c r="I17" s="13">
        <f t="shared" ref="I17:T17" si="0">H12/G12-1</f>
        <v>3.0902348578492056E-2</v>
      </c>
      <c r="J17" s="13">
        <f t="shared" si="0"/>
        <v>3.9568345323740983E-2</v>
      </c>
      <c r="K17" s="13">
        <f t="shared" si="0"/>
        <v>1.8454440599769306E-2</v>
      </c>
      <c r="L17" s="13">
        <f t="shared" si="0"/>
        <v>4.9830124575311441E-2</v>
      </c>
      <c r="M17" s="13">
        <f t="shared" si="0"/>
        <v>1.1866235167206085E-2</v>
      </c>
      <c r="N17" s="13">
        <f t="shared" si="0"/>
        <v>2.8784648187633266E-2</v>
      </c>
      <c r="O17" s="13">
        <f t="shared" si="0"/>
        <v>3.4196891191709877E-2</v>
      </c>
      <c r="P17" s="13">
        <f t="shared" si="0"/>
        <v>2.0040080160320661E-2</v>
      </c>
      <c r="Q17" s="13">
        <f t="shared" si="0"/>
        <v>2.16110019646365E-2</v>
      </c>
      <c r="R17" s="13">
        <f t="shared" si="0"/>
        <v>2.3076923076923217E-2</v>
      </c>
      <c r="S17" s="13">
        <f t="shared" si="0"/>
        <v>1.5037593984962294E-2</v>
      </c>
      <c r="T17" s="13">
        <f t="shared" si="0"/>
        <v>1.2962962962963065E-2</v>
      </c>
      <c r="U17" s="13">
        <f>T14/S12-1</f>
        <v>1.6499999999999959E-2</v>
      </c>
      <c r="V17" s="13">
        <f>U14/T14-1</f>
        <v>1.6499999999999959E-2</v>
      </c>
      <c r="W17" s="13">
        <f>V14/U14-1</f>
        <v>1.6499999999999959E-2</v>
      </c>
      <c r="X17" s="13">
        <f>W14/V14-1</f>
        <v>1.6499999999999959E-2</v>
      </c>
      <c r="Y17" s="13">
        <f>X14/W14-1</f>
        <v>1.6499999999999959E-2</v>
      </c>
    </row>
    <row r="19" spans="2:31">
      <c r="B19" s="20" t="s">
        <v>14</v>
      </c>
    </row>
    <row r="20" spans="2:31">
      <c r="I20" s="24">
        <v>2006</v>
      </c>
      <c r="J20" s="24">
        <v>2007</v>
      </c>
      <c r="K20" s="24">
        <v>2008</v>
      </c>
      <c r="L20" s="24">
        <v>2009</v>
      </c>
      <c r="M20" s="24">
        <v>2010</v>
      </c>
      <c r="N20" s="24">
        <v>2011</v>
      </c>
      <c r="O20" s="24">
        <v>2012</v>
      </c>
      <c r="P20" s="24">
        <v>2013</v>
      </c>
      <c r="Q20" s="24">
        <v>2014</v>
      </c>
      <c r="R20" s="24">
        <v>2015</v>
      </c>
      <c r="S20" s="24">
        <v>2016</v>
      </c>
      <c r="T20" s="24">
        <v>2017</v>
      </c>
      <c r="U20" s="24">
        <v>2018</v>
      </c>
      <c r="V20" s="24">
        <v>2019</v>
      </c>
      <c r="W20" s="24">
        <v>2020</v>
      </c>
      <c r="X20" s="24">
        <v>2021</v>
      </c>
      <c r="Y20" s="24">
        <v>2022</v>
      </c>
      <c r="AA20" s="94"/>
      <c r="AB20" s="94"/>
      <c r="AC20" s="94"/>
      <c r="AD20" s="94"/>
      <c r="AE20" s="94"/>
    </row>
    <row r="21" spans="2:31">
      <c r="B21" s="4" t="s">
        <v>15</v>
      </c>
      <c r="I21" s="17">
        <f t="shared" ref="I21:S21" si="1">J21*(1+J17)</f>
        <v>1.3225282659834647</v>
      </c>
      <c r="J21" s="17">
        <f t="shared" si="1"/>
        <v>1.2721898198733674</v>
      </c>
      <c r="K21" s="17">
        <f t="shared" si="1"/>
        <v>1.2491376827069192</v>
      </c>
      <c r="L21" s="17">
        <f t="shared" si="1"/>
        <v>1.1898474367100427</v>
      </c>
      <c r="M21" s="17">
        <f t="shared" si="1"/>
        <v>1.1758940019511828</v>
      </c>
      <c r="N21" s="17">
        <f t="shared" si="1"/>
        <v>1.1429933407566937</v>
      </c>
      <c r="O21" s="17">
        <f t="shared" si="1"/>
        <v>1.1051989717737569</v>
      </c>
      <c r="P21" s="17">
        <f t="shared" si="1"/>
        <v>1.0834858289098324</v>
      </c>
      <c r="Q21" s="17">
        <f t="shared" si="1"/>
        <v>1.0605659363752014</v>
      </c>
      <c r="R21" s="17">
        <f t="shared" si="1"/>
        <v>1.0366433964569637</v>
      </c>
      <c r="S21" s="17">
        <f t="shared" si="1"/>
        <v>1.0212857165094533</v>
      </c>
      <c r="T21" s="17">
        <f>1*(1+U17)^(1/2)</f>
        <v>1.0082162466455298</v>
      </c>
      <c r="U21" s="17">
        <f>1/(1+U17)^(1/2)</f>
        <v>0.99185070993165769</v>
      </c>
      <c r="V21" s="17">
        <f>U21/(1+V17)</f>
        <v>0.97575082137890579</v>
      </c>
      <c r="W21" s="17">
        <f>V21/(1+W17)</f>
        <v>0.95991226894137316</v>
      </c>
      <c r="X21" s="17">
        <f>W21/(1+X17)</f>
        <v>0.9443308105670174</v>
      </c>
      <c r="Y21" s="17">
        <f>X21/(1+Y17)</f>
        <v>0.92900227306150263</v>
      </c>
      <c r="AA21" s="94"/>
      <c r="AB21" s="94"/>
      <c r="AC21" s="94"/>
      <c r="AD21" s="94"/>
      <c r="AE21" s="94"/>
    </row>
    <row r="22" spans="2:31">
      <c r="S22" s="13"/>
      <c r="AA22" s="94"/>
      <c r="AB22" s="94"/>
      <c r="AC22" s="94"/>
      <c r="AD22" s="94"/>
      <c r="AE22" s="94"/>
    </row>
    <row r="23" spans="2:31">
      <c r="B23" s="4" t="s">
        <v>345</v>
      </c>
      <c r="F23" s="17">
        <f>O21/T21</f>
        <v>1.096192384769539</v>
      </c>
      <c r="P23" s="17"/>
      <c r="Q23" s="120"/>
      <c r="S23" s="13"/>
    </row>
    <row r="24" spans="2:31">
      <c r="S24" s="13"/>
    </row>
    <row r="25" spans="2:31">
      <c r="B25" s="4" t="s">
        <v>346</v>
      </c>
      <c r="F25" s="17">
        <f>I21/T21</f>
        <v>1.3117505995203838</v>
      </c>
      <c r="S25" s="13"/>
    </row>
    <row r="26" spans="2:31">
      <c r="S26" s="13"/>
    </row>
    <row r="27" spans="2:31">
      <c r="B27" s="4" t="s">
        <v>166</v>
      </c>
      <c r="F27" s="8" t="s">
        <v>409</v>
      </c>
      <c r="G27" s="80"/>
      <c r="S27" s="13"/>
    </row>
    <row r="28" spans="2:31">
      <c r="S28" s="13"/>
    </row>
    <row r="29" spans="2:31">
      <c r="B29" s="9" t="s">
        <v>17</v>
      </c>
    </row>
    <row r="30" spans="2:31">
      <c r="M30" s="94"/>
      <c r="N30" s="94"/>
      <c r="O30" s="94"/>
      <c r="P30" s="94"/>
      <c r="Q30" s="94"/>
      <c r="R30" s="94"/>
      <c r="S30" s="94"/>
      <c r="AE30" s="79"/>
    </row>
    <row r="31" spans="2:31">
      <c r="M31" s="94"/>
      <c r="N31" s="94"/>
      <c r="O31" s="94"/>
      <c r="P31" s="94"/>
      <c r="Q31" s="94"/>
      <c r="R31" s="94"/>
      <c r="S31" s="25"/>
      <c r="T31" s="24">
        <v>2017</v>
      </c>
      <c r="U31" s="24">
        <v>2018</v>
      </c>
      <c r="V31" s="24">
        <v>2019</v>
      </c>
      <c r="W31" s="24">
        <v>2020</v>
      </c>
      <c r="X31" s="24">
        <v>2021</v>
      </c>
      <c r="Y31" s="24">
        <v>2022</v>
      </c>
      <c r="AE31" s="79"/>
    </row>
    <row r="32" spans="2:31">
      <c r="B32" s="4" t="s">
        <v>128</v>
      </c>
      <c r="K32" s="25"/>
      <c r="L32" s="25"/>
      <c r="M32" s="25"/>
      <c r="N32" s="95"/>
      <c r="O32" s="95"/>
      <c r="P32" s="95"/>
      <c r="Q32" s="95"/>
      <c r="R32" s="95"/>
      <c r="S32" s="25"/>
      <c r="T32" s="11">
        <f>'Labour price forecast'!F27</f>
        <v>2.7859314930013821E-3</v>
      </c>
      <c r="U32" s="11">
        <f>'Labour price forecast'!G27</f>
        <v>8.049579633929908E-3</v>
      </c>
      <c r="V32" s="11">
        <f>'Labour price forecast'!H27</f>
        <v>9.1811794847027894E-3</v>
      </c>
      <c r="W32" s="11">
        <f>'Labour price forecast'!I27</f>
        <v>1.1306190522843301E-2</v>
      </c>
      <c r="X32" s="11">
        <f>'Labour price forecast'!J27</f>
        <v>1.3824027038481708E-2</v>
      </c>
      <c r="Y32" s="11">
        <f>'Labour price forecast'!K27</f>
        <v>1.5404296472707225E-2</v>
      </c>
      <c r="AA32" s="20"/>
      <c r="AE32" s="79"/>
    </row>
    <row r="33" spans="1:31">
      <c r="B33" s="4" t="s">
        <v>129</v>
      </c>
      <c r="K33" s="25"/>
      <c r="L33" s="25"/>
      <c r="M33" s="25"/>
      <c r="N33" s="95"/>
      <c r="O33" s="95"/>
      <c r="P33" s="95"/>
      <c r="Q33" s="95"/>
      <c r="R33" s="95"/>
      <c r="S33" s="25"/>
      <c r="T33" s="11">
        <f>'Labour price forecast'!F28</f>
        <v>-7.4587370670105724E-4</v>
      </c>
      <c r="U33" s="11">
        <f>'Labour price forecast'!G28</f>
        <v>7.3338285927709718E-3</v>
      </c>
      <c r="V33" s="11">
        <f>'Labour price forecast'!H28</f>
        <v>9.1927291066110396E-3</v>
      </c>
      <c r="W33" s="11">
        <f>'Labour price forecast'!I28</f>
        <v>1.1783143061984495E-2</v>
      </c>
      <c r="X33" s="11">
        <f>'Labour price forecast'!J28</f>
        <v>1.5419287337263086E-2</v>
      </c>
      <c r="Y33" s="11">
        <f>'Labour price forecast'!K28</f>
        <v>1.6478653829375755E-2</v>
      </c>
      <c r="AA33" s="20"/>
      <c r="AE33" s="79"/>
    </row>
    <row r="34" spans="1:31">
      <c r="K34" s="25"/>
      <c r="L34" s="25"/>
      <c r="M34" s="25"/>
      <c r="N34" s="25"/>
      <c r="O34" s="25"/>
      <c r="P34" s="25"/>
      <c r="Q34" s="25"/>
      <c r="R34" s="25"/>
      <c r="S34" s="25"/>
    </row>
    <row r="35" spans="1:31">
      <c r="B35" s="4" t="s">
        <v>130</v>
      </c>
      <c r="K35" s="25"/>
      <c r="L35" s="25"/>
      <c r="M35" s="25"/>
      <c r="N35" s="25"/>
      <c r="O35" s="25"/>
      <c r="P35" s="25"/>
      <c r="Q35" s="25"/>
      <c r="R35" s="25"/>
      <c r="S35" s="25">
        <v>1</v>
      </c>
      <c r="T35" s="17">
        <f t="shared" ref="T35:Y36" si="2">IF($F$27="Yes",S35*(1+T32),1)</f>
        <v>1.0027859314930014</v>
      </c>
      <c r="U35" s="17">
        <f t="shared" si="2"/>
        <v>1.0108579367043389</v>
      </c>
      <c r="V35" s="17">
        <f t="shared" si="2"/>
        <v>1.0201388048547577</v>
      </c>
      <c r="W35" s="17">
        <f t="shared" si="2"/>
        <v>1.0316726885421912</v>
      </c>
      <c r="X35" s="17">
        <f t="shared" si="2"/>
        <v>1.0459345596834615</v>
      </c>
      <c r="Y35" s="17">
        <f t="shared" si="2"/>
        <v>1.0620464457318761</v>
      </c>
    </row>
    <row r="36" spans="1:31">
      <c r="B36" s="4" t="s">
        <v>131</v>
      </c>
      <c r="K36" s="25"/>
      <c r="L36" s="25"/>
      <c r="M36" s="25"/>
      <c r="N36" s="25"/>
      <c r="O36" s="25"/>
      <c r="P36" s="25"/>
      <c r="Q36" s="25"/>
      <c r="R36" s="25"/>
      <c r="S36" s="25">
        <v>1</v>
      </c>
      <c r="T36" s="17">
        <f t="shared" si="2"/>
        <v>0.99925412629329891</v>
      </c>
      <c r="U36" s="17">
        <f t="shared" si="2"/>
        <v>1.0065824847761531</v>
      </c>
      <c r="V36" s="17">
        <f t="shared" si="2"/>
        <v>1.0158357248821597</v>
      </c>
      <c r="W36" s="17">
        <f t="shared" si="2"/>
        <v>1.027805462555921</v>
      </c>
      <c r="X36" s="17">
        <f t="shared" si="2"/>
        <v>1.0436534903098793</v>
      </c>
      <c r="Y36" s="17">
        <f t="shared" si="2"/>
        <v>1.0608514948945156</v>
      </c>
    </row>
    <row r="37" spans="1:31">
      <c r="K37" s="25"/>
      <c r="L37" s="25"/>
      <c r="M37" s="25"/>
      <c r="N37" s="25"/>
      <c r="O37" s="25"/>
      <c r="P37" s="25"/>
      <c r="Q37" s="25"/>
      <c r="R37" s="25"/>
      <c r="S37" s="25"/>
      <c r="T37" s="12"/>
    </row>
    <row r="38" spans="1:31">
      <c r="B38" s="9" t="s">
        <v>141</v>
      </c>
    </row>
    <row r="39" spans="1:31">
      <c r="K39" s="25"/>
      <c r="L39" s="25"/>
      <c r="M39" s="25"/>
      <c r="N39" s="25"/>
      <c r="O39" s="25"/>
      <c r="P39" s="25"/>
      <c r="Q39" s="25"/>
      <c r="R39" s="25"/>
      <c r="S39" s="25"/>
      <c r="T39" s="12"/>
    </row>
    <row r="40" spans="1:31">
      <c r="B40" s="4" t="s">
        <v>142</v>
      </c>
      <c r="K40" s="25"/>
      <c r="L40" s="25"/>
      <c r="M40" s="25"/>
      <c r="N40" s="25"/>
      <c r="O40" s="25"/>
      <c r="P40" s="25"/>
      <c r="Q40" s="25"/>
      <c r="R40" s="25"/>
      <c r="S40" s="25"/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AA40" s="20"/>
    </row>
    <row r="41" spans="1:31"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AA41" s="20"/>
    </row>
    <row r="42" spans="1:31">
      <c r="B42" s="4" t="s">
        <v>143</v>
      </c>
      <c r="K42" s="25"/>
      <c r="L42" s="25"/>
      <c r="M42" s="25"/>
      <c r="N42" s="25"/>
      <c r="O42" s="25"/>
      <c r="P42" s="25"/>
      <c r="Q42" s="25"/>
      <c r="R42" s="25"/>
      <c r="S42" s="25">
        <v>1</v>
      </c>
      <c r="T42" s="17">
        <f>IF($F$27="Yes",S42*(1+T40),1)</f>
        <v>1</v>
      </c>
      <c r="U42" s="17">
        <f t="shared" ref="U42:Y42" si="3">IF($F$27="Yes",T42*(1+U40),1)</f>
        <v>1</v>
      </c>
      <c r="V42" s="17">
        <f t="shared" si="3"/>
        <v>1</v>
      </c>
      <c r="W42" s="17">
        <f t="shared" si="3"/>
        <v>1</v>
      </c>
      <c r="X42" s="17">
        <f t="shared" si="3"/>
        <v>1</v>
      </c>
      <c r="Y42" s="17">
        <f t="shared" si="3"/>
        <v>1</v>
      </c>
      <c r="AA42" s="20"/>
    </row>
    <row r="44" spans="1:31" s="1" customFormat="1">
      <c r="A44" s="2">
        <v>2</v>
      </c>
      <c r="B44" s="2" t="s">
        <v>18</v>
      </c>
    </row>
    <row r="45" spans="1:31">
      <c r="M45" s="30"/>
      <c r="N45" s="30"/>
      <c r="O45" s="30"/>
      <c r="P45" s="30"/>
      <c r="Q45" s="30"/>
      <c r="R45" s="30"/>
      <c r="S45" s="30"/>
    </row>
    <row r="46" spans="1:31">
      <c r="B46" s="20" t="s">
        <v>19</v>
      </c>
      <c r="C46" s="20" t="s">
        <v>6</v>
      </c>
      <c r="M46" s="30"/>
      <c r="N46" s="25"/>
      <c r="O46" s="25"/>
      <c r="P46" s="25"/>
      <c r="Q46" s="25"/>
      <c r="R46" s="25"/>
      <c r="S46" s="25"/>
      <c r="T46" s="24">
        <v>2017</v>
      </c>
      <c r="U46" s="24">
        <v>2018</v>
      </c>
      <c r="V46" s="24">
        <v>2019</v>
      </c>
      <c r="W46" s="24">
        <v>2020</v>
      </c>
      <c r="X46" s="24">
        <v>2021</v>
      </c>
      <c r="Y46" s="24">
        <v>2022</v>
      </c>
    </row>
    <row r="47" spans="1:31">
      <c r="B47" s="8">
        <v>3001</v>
      </c>
      <c r="C47" s="4" t="s">
        <v>20</v>
      </c>
      <c r="M47" s="30"/>
      <c r="N47" s="30"/>
      <c r="O47" s="30"/>
      <c r="P47" s="30"/>
      <c r="Q47" s="30"/>
      <c r="R47" s="30"/>
      <c r="S47" s="30"/>
      <c r="T47" s="138">
        <f>'Overheads forecast'!Q$80</f>
        <v>7.4841697077734692E-2</v>
      </c>
      <c r="U47" s="11">
        <f>'Overheads forecast'!R$80</f>
        <v>7.2170809247081261E-2</v>
      </c>
      <c r="V47" s="11">
        <f>'Overheads forecast'!S$80</f>
        <v>7.6263096231367788E-2</v>
      </c>
      <c r="W47" s="11">
        <f>'Overheads forecast'!T$80</f>
        <v>7.7426658716070601E-2</v>
      </c>
      <c r="X47" s="11">
        <f>'Overheads forecast'!U$80</f>
        <v>8.1715682674538839E-2</v>
      </c>
      <c r="Y47" s="11">
        <f>'Overheads forecast'!V$80</f>
        <v>8.4392593946897035E-2</v>
      </c>
      <c r="Z47" s="21"/>
    </row>
    <row r="48" spans="1:31">
      <c r="B48" s="8">
        <v>3002</v>
      </c>
      <c r="C48" s="4" t="s">
        <v>21</v>
      </c>
      <c r="M48" s="30"/>
      <c r="N48" s="30"/>
      <c r="O48" s="30"/>
      <c r="P48" s="30"/>
      <c r="Q48" s="30"/>
      <c r="R48" s="30"/>
      <c r="S48" s="30"/>
      <c r="T48" s="138">
        <f>'Overheads forecast'!Q$80</f>
        <v>7.4841697077734692E-2</v>
      </c>
      <c r="U48" s="11">
        <f>'Overheads forecast'!R$80</f>
        <v>7.2170809247081261E-2</v>
      </c>
      <c r="V48" s="11">
        <f>'Overheads forecast'!S$80</f>
        <v>7.6263096231367788E-2</v>
      </c>
      <c r="W48" s="11">
        <f>'Overheads forecast'!T$80</f>
        <v>7.7426658716070601E-2</v>
      </c>
      <c r="X48" s="11">
        <f>'Overheads forecast'!U$80</f>
        <v>8.1715682674538839E-2</v>
      </c>
      <c r="Y48" s="11">
        <f>'Overheads forecast'!V$80</f>
        <v>8.4392593946897035E-2</v>
      </c>
      <c r="Z48" s="21"/>
    </row>
    <row r="49" spans="2:26">
      <c r="B49" s="8">
        <v>3003</v>
      </c>
      <c r="C49" s="4" t="s">
        <v>22</v>
      </c>
      <c r="M49" s="30"/>
      <c r="N49" s="30"/>
      <c r="O49" s="30"/>
      <c r="P49" s="30"/>
      <c r="Q49" s="30"/>
      <c r="R49" s="30"/>
      <c r="S49" s="30"/>
      <c r="T49" s="138">
        <f>'Overheads forecast'!Q$80</f>
        <v>7.4841697077734692E-2</v>
      </c>
      <c r="U49" s="11">
        <f>'Overheads forecast'!R$80</f>
        <v>7.2170809247081261E-2</v>
      </c>
      <c r="V49" s="11">
        <f>'Overheads forecast'!S$80</f>
        <v>7.6263096231367788E-2</v>
      </c>
      <c r="W49" s="11">
        <f>'Overheads forecast'!T$80</f>
        <v>7.7426658716070601E-2</v>
      </c>
      <c r="X49" s="11">
        <f>'Overheads forecast'!U$80</f>
        <v>8.1715682674538839E-2</v>
      </c>
      <c r="Y49" s="11">
        <f>'Overheads forecast'!V$80</f>
        <v>8.4392593946897035E-2</v>
      </c>
      <c r="Z49" s="21"/>
    </row>
    <row r="50" spans="2:26">
      <c r="B50" s="8">
        <v>3004</v>
      </c>
      <c r="C50" s="4" t="s">
        <v>23</v>
      </c>
      <c r="N50" s="94"/>
      <c r="O50" s="94"/>
      <c r="P50" s="94"/>
      <c r="Q50" s="94"/>
      <c r="R50" s="94"/>
      <c r="S50" s="94"/>
      <c r="T50" s="11">
        <f>'Overheads forecast'!Q$80</f>
        <v>7.4841697077734692E-2</v>
      </c>
      <c r="U50" s="11">
        <f>'Overheads forecast'!R$80</f>
        <v>7.2170809247081261E-2</v>
      </c>
      <c r="V50" s="11">
        <f>'Overheads forecast'!S$80</f>
        <v>7.6263096231367788E-2</v>
      </c>
      <c r="W50" s="11">
        <f>'Overheads forecast'!T$80</f>
        <v>7.7426658716070601E-2</v>
      </c>
      <c r="X50" s="11">
        <f>'Overheads forecast'!U$80</f>
        <v>8.1715682674538839E-2</v>
      </c>
      <c r="Y50" s="11">
        <f>'Overheads forecast'!V$80</f>
        <v>8.4392593946897035E-2</v>
      </c>
      <c r="Z50" s="21"/>
    </row>
    <row r="51" spans="2:26">
      <c r="B51" s="8">
        <v>3005</v>
      </c>
      <c r="C51" s="4" t="s">
        <v>24</v>
      </c>
      <c r="N51" s="94"/>
      <c r="O51" s="94"/>
      <c r="P51" s="94"/>
      <c r="Q51" s="94"/>
      <c r="R51" s="94"/>
      <c r="S51" s="94"/>
      <c r="T51" s="11">
        <f>'Overheads forecast'!Q$80</f>
        <v>7.4841697077734692E-2</v>
      </c>
      <c r="U51" s="11">
        <f>'Overheads forecast'!R$80</f>
        <v>7.2170809247081261E-2</v>
      </c>
      <c r="V51" s="11">
        <f>'Overheads forecast'!S$80</f>
        <v>7.6263096231367788E-2</v>
      </c>
      <c r="W51" s="11">
        <f>'Overheads forecast'!T$80</f>
        <v>7.7426658716070601E-2</v>
      </c>
      <c r="X51" s="11">
        <f>'Overheads forecast'!U$80</f>
        <v>8.1715682674538839E-2</v>
      </c>
      <c r="Y51" s="11">
        <f>'Overheads forecast'!V$80</f>
        <v>8.4392593946897035E-2</v>
      </c>
      <c r="Z51" s="21"/>
    </row>
    <row r="52" spans="2:26">
      <c r="B52" s="8">
        <v>3006</v>
      </c>
      <c r="C52" s="4" t="s">
        <v>25</v>
      </c>
      <c r="N52" s="94"/>
      <c r="O52" s="94"/>
      <c r="P52" s="94"/>
      <c r="Q52" s="94"/>
      <c r="R52" s="94"/>
      <c r="S52" s="94"/>
      <c r="T52" s="11">
        <f>'Overheads forecast'!Q$80</f>
        <v>7.4841697077734692E-2</v>
      </c>
      <c r="U52" s="11">
        <f>'Overheads forecast'!R$80</f>
        <v>7.2170809247081261E-2</v>
      </c>
      <c r="V52" s="11">
        <f>'Overheads forecast'!S$80</f>
        <v>7.6263096231367788E-2</v>
      </c>
      <c r="W52" s="11">
        <f>'Overheads forecast'!T$80</f>
        <v>7.7426658716070601E-2</v>
      </c>
      <c r="X52" s="11">
        <f>'Overheads forecast'!U$80</f>
        <v>8.1715682674538839E-2</v>
      </c>
      <c r="Y52" s="11">
        <f>'Overheads forecast'!V$80</f>
        <v>8.4392593946897035E-2</v>
      </c>
      <c r="Z52" s="21"/>
    </row>
    <row r="53" spans="2:26">
      <c r="B53" s="8">
        <v>3007</v>
      </c>
      <c r="C53" s="4" t="s">
        <v>26</v>
      </c>
      <c r="N53" s="94"/>
      <c r="O53" s="94"/>
      <c r="P53" s="94"/>
      <c r="Q53" s="94"/>
      <c r="R53" s="94"/>
      <c r="S53" s="94"/>
      <c r="T53" s="11">
        <f>'Overheads forecast'!Q$80</f>
        <v>7.4841697077734692E-2</v>
      </c>
      <c r="U53" s="11">
        <f>'Overheads forecast'!R$80</f>
        <v>7.2170809247081261E-2</v>
      </c>
      <c r="V53" s="11">
        <f>'Overheads forecast'!S$80</f>
        <v>7.6263096231367788E-2</v>
      </c>
      <c r="W53" s="11">
        <f>'Overheads forecast'!T$80</f>
        <v>7.7426658716070601E-2</v>
      </c>
      <c r="X53" s="11">
        <f>'Overheads forecast'!U$80</f>
        <v>8.1715682674538839E-2</v>
      </c>
      <c r="Y53" s="11">
        <f>'Overheads forecast'!V$80</f>
        <v>8.4392593946897035E-2</v>
      </c>
      <c r="Z53" s="21"/>
    </row>
    <row r="54" spans="2:26">
      <c r="B54" s="8">
        <v>3008</v>
      </c>
      <c r="C54" s="4" t="s">
        <v>27</v>
      </c>
      <c r="N54" s="94"/>
      <c r="O54" s="94"/>
      <c r="P54" s="94"/>
      <c r="Q54" s="94"/>
      <c r="R54" s="94"/>
      <c r="S54" s="94"/>
      <c r="T54" s="11">
        <f>'Overheads forecast'!Q$80</f>
        <v>7.4841697077734692E-2</v>
      </c>
      <c r="U54" s="11">
        <f>'Overheads forecast'!R$80</f>
        <v>7.2170809247081261E-2</v>
      </c>
      <c r="V54" s="11">
        <f>'Overheads forecast'!S$80</f>
        <v>7.6263096231367788E-2</v>
      </c>
      <c r="W54" s="11">
        <f>'Overheads forecast'!T$80</f>
        <v>7.7426658716070601E-2</v>
      </c>
      <c r="X54" s="11">
        <f>'Overheads forecast'!U$80</f>
        <v>8.1715682674538839E-2</v>
      </c>
      <c r="Y54" s="11">
        <f>'Overheads forecast'!V$80</f>
        <v>8.4392593946897035E-2</v>
      </c>
      <c r="Z54" s="21"/>
    </row>
    <row r="55" spans="2:26">
      <c r="B55" s="8">
        <v>3009</v>
      </c>
      <c r="C55" s="4" t="s">
        <v>28</v>
      </c>
      <c r="N55" s="94"/>
      <c r="O55" s="94"/>
      <c r="P55" s="94"/>
      <c r="Q55" s="94"/>
      <c r="R55" s="94"/>
      <c r="S55" s="94"/>
      <c r="T55" s="11">
        <f>'Overheads forecast'!Q$80</f>
        <v>7.4841697077734692E-2</v>
      </c>
      <c r="U55" s="11">
        <f>'Overheads forecast'!R$80</f>
        <v>7.2170809247081261E-2</v>
      </c>
      <c r="V55" s="11">
        <f>'Overheads forecast'!S$80</f>
        <v>7.6263096231367788E-2</v>
      </c>
      <c r="W55" s="11">
        <f>'Overheads forecast'!T$80</f>
        <v>7.7426658716070601E-2</v>
      </c>
      <c r="X55" s="11">
        <f>'Overheads forecast'!U$80</f>
        <v>8.1715682674538839E-2</v>
      </c>
      <c r="Y55" s="11">
        <f>'Overheads forecast'!V$80</f>
        <v>8.4392593946897035E-2</v>
      </c>
      <c r="Z55" s="21"/>
    </row>
    <row r="56" spans="2:26">
      <c r="B56" s="8">
        <v>3010</v>
      </c>
      <c r="C56" s="4" t="s">
        <v>29</v>
      </c>
      <c r="N56" s="94"/>
      <c r="O56" s="94"/>
      <c r="P56" s="94"/>
      <c r="Q56" s="94"/>
      <c r="R56" s="94"/>
      <c r="S56" s="94"/>
      <c r="T56" s="11">
        <f>'Overheads forecast'!Q$80</f>
        <v>7.4841697077734692E-2</v>
      </c>
      <c r="U56" s="11">
        <f>'Overheads forecast'!R$80</f>
        <v>7.2170809247081261E-2</v>
      </c>
      <c r="V56" s="11">
        <f>'Overheads forecast'!S$80</f>
        <v>7.6263096231367788E-2</v>
      </c>
      <c r="W56" s="11">
        <f>'Overheads forecast'!T$80</f>
        <v>7.7426658716070601E-2</v>
      </c>
      <c r="X56" s="11">
        <f>'Overheads forecast'!U$80</f>
        <v>8.1715682674538839E-2</v>
      </c>
      <c r="Y56" s="11">
        <f>'Overheads forecast'!V$80</f>
        <v>8.4392593946897035E-2</v>
      </c>
      <c r="Z56" s="21"/>
    </row>
    <row r="57" spans="2:26">
      <c r="B57" s="8">
        <v>3011</v>
      </c>
      <c r="C57" s="4" t="s">
        <v>30</v>
      </c>
      <c r="N57" s="94"/>
      <c r="O57" s="94"/>
      <c r="P57" s="94"/>
      <c r="Q57" s="94"/>
      <c r="R57" s="94"/>
      <c r="S57" s="94"/>
      <c r="T57" s="11">
        <f>'Overheads forecast'!Q$80</f>
        <v>7.4841697077734692E-2</v>
      </c>
      <c r="U57" s="11">
        <f>'Overheads forecast'!R$80</f>
        <v>7.2170809247081261E-2</v>
      </c>
      <c r="V57" s="11">
        <f>'Overheads forecast'!S$80</f>
        <v>7.6263096231367788E-2</v>
      </c>
      <c r="W57" s="11">
        <f>'Overheads forecast'!T$80</f>
        <v>7.7426658716070601E-2</v>
      </c>
      <c r="X57" s="11">
        <f>'Overheads forecast'!U$80</f>
        <v>8.1715682674538839E-2</v>
      </c>
      <c r="Y57" s="11">
        <f>'Overheads forecast'!V$80</f>
        <v>8.4392593946897035E-2</v>
      </c>
      <c r="Z57" s="21"/>
    </row>
    <row r="58" spans="2:26">
      <c r="B58" s="8">
        <v>3012</v>
      </c>
      <c r="C58" s="4" t="s">
        <v>31</v>
      </c>
      <c r="N58" s="94"/>
      <c r="O58" s="94"/>
      <c r="P58" s="94"/>
      <c r="Q58" s="94"/>
      <c r="R58" s="94"/>
      <c r="S58" s="94"/>
      <c r="T58" s="11">
        <f>'Overheads forecast'!Q$80</f>
        <v>7.4841697077734692E-2</v>
      </c>
      <c r="U58" s="11">
        <f>'Overheads forecast'!R$80</f>
        <v>7.2170809247081261E-2</v>
      </c>
      <c r="V58" s="11">
        <f>'Overheads forecast'!S$80</f>
        <v>7.6263096231367788E-2</v>
      </c>
      <c r="W58" s="11">
        <f>'Overheads forecast'!T$80</f>
        <v>7.7426658716070601E-2</v>
      </c>
      <c r="X58" s="11">
        <f>'Overheads forecast'!U$80</f>
        <v>8.1715682674538839E-2</v>
      </c>
      <c r="Y58" s="11">
        <f>'Overheads forecast'!V$80</f>
        <v>8.4392593946897035E-2</v>
      </c>
      <c r="Z58" s="21"/>
    </row>
    <row r="59" spans="2:26">
      <c r="B59" s="8">
        <v>3013</v>
      </c>
      <c r="C59" s="4" t="s">
        <v>32</v>
      </c>
      <c r="N59" s="94"/>
      <c r="O59" s="94"/>
      <c r="P59" s="94"/>
      <c r="Q59" s="94"/>
      <c r="R59" s="94"/>
      <c r="S59" s="94"/>
      <c r="T59" s="11">
        <f>'Overheads forecast'!Q$80</f>
        <v>7.4841697077734692E-2</v>
      </c>
      <c r="U59" s="11">
        <f>'Overheads forecast'!R$80</f>
        <v>7.2170809247081261E-2</v>
      </c>
      <c r="V59" s="11">
        <f>'Overheads forecast'!S$80</f>
        <v>7.6263096231367788E-2</v>
      </c>
      <c r="W59" s="11">
        <f>'Overheads forecast'!T$80</f>
        <v>7.7426658716070601E-2</v>
      </c>
      <c r="X59" s="11">
        <f>'Overheads forecast'!U$80</f>
        <v>8.1715682674538839E-2</v>
      </c>
      <c r="Y59" s="11">
        <f>'Overheads forecast'!V$80</f>
        <v>8.4392593946897035E-2</v>
      </c>
      <c r="Z59" s="21"/>
    </row>
    <row r="60" spans="2:26">
      <c r="B60" s="8">
        <v>3014</v>
      </c>
      <c r="C60" s="4" t="s">
        <v>33</v>
      </c>
      <c r="N60" s="94"/>
      <c r="O60" s="94"/>
      <c r="P60" s="94"/>
      <c r="Q60" s="94"/>
      <c r="R60" s="94"/>
      <c r="S60" s="94"/>
      <c r="T60" s="11">
        <f>'Overheads forecast'!Q$80</f>
        <v>7.4841697077734692E-2</v>
      </c>
      <c r="U60" s="11">
        <f>'Overheads forecast'!R$80</f>
        <v>7.2170809247081261E-2</v>
      </c>
      <c r="V60" s="11">
        <f>'Overheads forecast'!S$80</f>
        <v>7.6263096231367788E-2</v>
      </c>
      <c r="W60" s="11">
        <f>'Overheads forecast'!T$80</f>
        <v>7.7426658716070601E-2</v>
      </c>
      <c r="X60" s="11">
        <f>'Overheads forecast'!U$80</f>
        <v>8.1715682674538839E-2</v>
      </c>
      <c r="Y60" s="11">
        <f>'Overheads forecast'!V$80</f>
        <v>8.4392593946897035E-2</v>
      </c>
      <c r="Z60" s="21"/>
    </row>
    <row r="61" spans="2:26">
      <c r="B61" s="8">
        <v>3015</v>
      </c>
      <c r="C61" s="4" t="s">
        <v>34</v>
      </c>
      <c r="N61" s="94"/>
      <c r="O61" s="94"/>
      <c r="P61" s="94"/>
      <c r="Q61" s="94"/>
      <c r="R61" s="94"/>
      <c r="S61" s="94"/>
      <c r="T61" s="11">
        <f>'Overheads forecast'!Q$80</f>
        <v>7.4841697077734692E-2</v>
      </c>
      <c r="U61" s="11">
        <f>'Overheads forecast'!R$80</f>
        <v>7.2170809247081261E-2</v>
      </c>
      <c r="V61" s="11">
        <f>'Overheads forecast'!S$80</f>
        <v>7.6263096231367788E-2</v>
      </c>
      <c r="W61" s="11">
        <f>'Overheads forecast'!T$80</f>
        <v>7.7426658716070601E-2</v>
      </c>
      <c r="X61" s="11">
        <f>'Overheads forecast'!U$80</f>
        <v>8.1715682674538839E-2</v>
      </c>
      <c r="Y61" s="11">
        <f>'Overheads forecast'!V$80</f>
        <v>8.4392593946897035E-2</v>
      </c>
      <c r="Z61" s="21"/>
    </row>
    <row r="62" spans="2:26">
      <c r="B62" s="8">
        <v>3016</v>
      </c>
      <c r="C62" s="4" t="s">
        <v>35</v>
      </c>
      <c r="N62" s="94"/>
      <c r="O62" s="94"/>
      <c r="P62" s="94"/>
      <c r="Q62" s="94"/>
      <c r="R62" s="94"/>
      <c r="S62" s="94"/>
      <c r="T62" s="11">
        <f>'Overheads forecast'!Q$80</f>
        <v>7.4841697077734692E-2</v>
      </c>
      <c r="U62" s="11">
        <f>'Overheads forecast'!R$80</f>
        <v>7.2170809247081261E-2</v>
      </c>
      <c r="V62" s="11">
        <f>'Overheads forecast'!S$80</f>
        <v>7.6263096231367788E-2</v>
      </c>
      <c r="W62" s="11">
        <f>'Overheads forecast'!T$80</f>
        <v>7.7426658716070601E-2</v>
      </c>
      <c r="X62" s="11">
        <f>'Overheads forecast'!U$80</f>
        <v>8.1715682674538839E-2</v>
      </c>
      <c r="Y62" s="11">
        <f>'Overheads forecast'!V$80</f>
        <v>8.4392593946897035E-2</v>
      </c>
      <c r="Z62" s="21"/>
    </row>
    <row r="63" spans="2:26">
      <c r="B63" s="8">
        <v>3017</v>
      </c>
      <c r="C63" s="4" t="s">
        <v>36</v>
      </c>
      <c r="N63" s="94"/>
      <c r="O63" s="94"/>
      <c r="P63" s="94"/>
      <c r="Q63" s="94"/>
      <c r="R63" s="94"/>
      <c r="S63" s="94"/>
      <c r="T63" s="11">
        <f>'Overheads forecast'!Q$80</f>
        <v>7.4841697077734692E-2</v>
      </c>
      <c r="U63" s="11">
        <f>'Overheads forecast'!R$80</f>
        <v>7.2170809247081261E-2</v>
      </c>
      <c r="V63" s="11">
        <f>'Overheads forecast'!S$80</f>
        <v>7.6263096231367788E-2</v>
      </c>
      <c r="W63" s="11">
        <f>'Overheads forecast'!T$80</f>
        <v>7.7426658716070601E-2</v>
      </c>
      <c r="X63" s="11">
        <f>'Overheads forecast'!U$80</f>
        <v>8.1715682674538839E-2</v>
      </c>
      <c r="Y63" s="11">
        <f>'Overheads forecast'!V$80</f>
        <v>8.4392593946897035E-2</v>
      </c>
      <c r="Z63" s="21"/>
    </row>
    <row r="64" spans="2:26">
      <c r="B64" s="8">
        <v>3018</v>
      </c>
      <c r="C64" s="4" t="s">
        <v>37</v>
      </c>
      <c r="N64" s="94"/>
      <c r="O64" s="94"/>
      <c r="P64" s="94"/>
      <c r="Q64" s="94"/>
      <c r="R64" s="94"/>
      <c r="S64" s="94"/>
      <c r="T64" s="11">
        <f>'Overheads forecast'!Q$80</f>
        <v>7.4841697077734692E-2</v>
      </c>
      <c r="U64" s="11">
        <f>'Overheads forecast'!R$80</f>
        <v>7.2170809247081261E-2</v>
      </c>
      <c r="V64" s="11">
        <f>'Overheads forecast'!S$80</f>
        <v>7.6263096231367788E-2</v>
      </c>
      <c r="W64" s="11">
        <f>'Overheads forecast'!T$80</f>
        <v>7.7426658716070601E-2</v>
      </c>
      <c r="X64" s="11">
        <f>'Overheads forecast'!U$80</f>
        <v>8.1715682674538839E-2</v>
      </c>
      <c r="Y64" s="11">
        <f>'Overheads forecast'!V$80</f>
        <v>8.4392593946897035E-2</v>
      </c>
      <c r="Z64" s="21"/>
    </row>
    <row r="65" spans="1:26">
      <c r="B65" s="8">
        <v>3019</v>
      </c>
      <c r="C65" s="4" t="s">
        <v>219</v>
      </c>
      <c r="N65" s="94"/>
      <c r="O65" s="94"/>
      <c r="P65" s="94"/>
      <c r="Q65" s="94"/>
      <c r="R65" s="94"/>
      <c r="S65" s="94"/>
      <c r="T65" s="11">
        <f>'Overheads forecast'!Q$80</f>
        <v>7.4841697077734692E-2</v>
      </c>
      <c r="U65" s="11">
        <f>'Overheads forecast'!R$80</f>
        <v>7.2170809247081261E-2</v>
      </c>
      <c r="V65" s="11">
        <f>'Overheads forecast'!S$80</f>
        <v>7.6263096231367788E-2</v>
      </c>
      <c r="W65" s="11">
        <f>'Overheads forecast'!T$80</f>
        <v>7.7426658716070601E-2</v>
      </c>
      <c r="X65" s="11">
        <f>'Overheads forecast'!U$80</f>
        <v>8.1715682674538839E-2</v>
      </c>
      <c r="Y65" s="11">
        <f>'Overheads forecast'!V$80</f>
        <v>8.4392593946897035E-2</v>
      </c>
      <c r="Z65" s="21"/>
    </row>
    <row r="66" spans="1:26">
      <c r="B66" s="8">
        <v>3020</v>
      </c>
      <c r="C66" s="4" t="s">
        <v>220</v>
      </c>
      <c r="N66" s="94"/>
      <c r="O66" s="94"/>
      <c r="P66" s="94"/>
      <c r="Q66" s="94"/>
      <c r="R66" s="94"/>
      <c r="S66" s="94"/>
      <c r="T66" s="11">
        <f>'Overheads forecast'!Q$80</f>
        <v>7.4841697077734692E-2</v>
      </c>
      <c r="U66" s="11">
        <f>'Overheads forecast'!R$80</f>
        <v>7.2170809247081261E-2</v>
      </c>
      <c r="V66" s="11">
        <f>'Overheads forecast'!S$80</f>
        <v>7.6263096231367788E-2</v>
      </c>
      <c r="W66" s="11">
        <f>'Overheads forecast'!T$80</f>
        <v>7.7426658716070601E-2</v>
      </c>
      <c r="X66" s="11">
        <f>'Overheads forecast'!U$80</f>
        <v>8.1715682674538839E-2</v>
      </c>
      <c r="Y66" s="11">
        <f>'Overheads forecast'!V$80</f>
        <v>8.4392593946897035E-2</v>
      </c>
      <c r="Z66" s="21"/>
    </row>
    <row r="67" spans="1:26">
      <c r="B67" s="8">
        <v>3021</v>
      </c>
      <c r="C67" s="4" t="s">
        <v>221</v>
      </c>
      <c r="N67" s="94"/>
      <c r="O67" s="94"/>
      <c r="P67" s="94"/>
      <c r="Q67" s="94"/>
      <c r="R67" s="94"/>
      <c r="S67" s="94"/>
      <c r="T67" s="11">
        <f>'Overheads forecast'!Q$80</f>
        <v>7.4841697077734692E-2</v>
      </c>
      <c r="U67" s="11">
        <f>'Overheads forecast'!R$80</f>
        <v>7.2170809247081261E-2</v>
      </c>
      <c r="V67" s="11">
        <f>'Overheads forecast'!S$80</f>
        <v>7.6263096231367788E-2</v>
      </c>
      <c r="W67" s="11">
        <f>'Overheads forecast'!T$80</f>
        <v>7.7426658716070601E-2</v>
      </c>
      <c r="X67" s="11">
        <f>'Overheads forecast'!U$80</f>
        <v>8.1715682674538839E-2</v>
      </c>
      <c r="Y67" s="11">
        <f>'Overheads forecast'!V$80</f>
        <v>8.4392593946897035E-2</v>
      </c>
      <c r="Z67" s="21"/>
    </row>
    <row r="68" spans="1:26">
      <c r="B68" s="8">
        <v>3022</v>
      </c>
      <c r="C68" s="4" t="s">
        <v>38</v>
      </c>
      <c r="N68" s="94"/>
      <c r="O68" s="94"/>
      <c r="P68" s="94"/>
      <c r="Q68" s="94"/>
      <c r="R68" s="94"/>
      <c r="S68" s="94"/>
      <c r="T68" s="11">
        <f>'Overheads forecast'!Q$80</f>
        <v>7.4841697077734692E-2</v>
      </c>
      <c r="U68" s="11">
        <f>'Overheads forecast'!R$80</f>
        <v>7.2170809247081261E-2</v>
      </c>
      <c r="V68" s="11">
        <f>'Overheads forecast'!S$80</f>
        <v>7.6263096231367788E-2</v>
      </c>
      <c r="W68" s="11">
        <f>'Overheads forecast'!T$80</f>
        <v>7.7426658716070601E-2</v>
      </c>
      <c r="X68" s="11">
        <f>'Overheads forecast'!U$80</f>
        <v>8.1715682674538839E-2</v>
      </c>
      <c r="Y68" s="11">
        <f>'Overheads forecast'!V$80</f>
        <v>8.4392593946897035E-2</v>
      </c>
      <c r="Z68" s="21"/>
    </row>
    <row r="69" spans="1:26">
      <c r="B69" s="8">
        <v>3023</v>
      </c>
      <c r="C69" s="4" t="s">
        <v>39</v>
      </c>
      <c r="N69" s="94"/>
      <c r="O69" s="94"/>
      <c r="P69" s="94"/>
      <c r="Q69" s="94"/>
      <c r="R69" s="94"/>
      <c r="S69" s="94"/>
      <c r="T69" s="11">
        <f>'Overheads forecast'!Q$80</f>
        <v>7.4841697077734692E-2</v>
      </c>
      <c r="U69" s="11">
        <f>'Overheads forecast'!R$80</f>
        <v>7.2170809247081261E-2</v>
      </c>
      <c r="V69" s="11">
        <f>'Overheads forecast'!S$80</f>
        <v>7.6263096231367788E-2</v>
      </c>
      <c r="W69" s="11">
        <f>'Overheads forecast'!T$80</f>
        <v>7.7426658716070601E-2</v>
      </c>
      <c r="X69" s="11">
        <f>'Overheads forecast'!U$80</f>
        <v>8.1715682674538839E-2</v>
      </c>
      <c r="Y69" s="11">
        <f>'Overheads forecast'!V$80</f>
        <v>8.4392593946897035E-2</v>
      </c>
      <c r="Z69" s="21"/>
    </row>
    <row r="70" spans="1:26">
      <c r="B70" s="8">
        <v>3024</v>
      </c>
      <c r="C70" s="4" t="s">
        <v>40</v>
      </c>
      <c r="N70" s="94"/>
      <c r="O70" s="94"/>
      <c r="P70" s="94"/>
      <c r="Q70" s="94"/>
      <c r="R70" s="94"/>
      <c r="S70" s="94"/>
      <c r="T70" s="11">
        <f>'Overheads forecast'!Q$80</f>
        <v>7.4841697077734692E-2</v>
      </c>
      <c r="U70" s="11">
        <f>'Overheads forecast'!R$80</f>
        <v>7.2170809247081261E-2</v>
      </c>
      <c r="V70" s="11">
        <f>'Overheads forecast'!S$80</f>
        <v>7.6263096231367788E-2</v>
      </c>
      <c r="W70" s="11">
        <f>'Overheads forecast'!T$80</f>
        <v>7.7426658716070601E-2</v>
      </c>
      <c r="X70" s="11">
        <f>'Overheads forecast'!U$80</f>
        <v>8.1715682674538839E-2</v>
      </c>
      <c r="Y70" s="11">
        <f>'Overheads forecast'!V$80</f>
        <v>8.4392593946897035E-2</v>
      </c>
      <c r="Z70" s="21"/>
    </row>
    <row r="71" spans="1:26">
      <c r="B71" s="8">
        <v>3025</v>
      </c>
      <c r="C71" s="4" t="s">
        <v>41</v>
      </c>
      <c r="N71" s="94"/>
      <c r="O71" s="94"/>
      <c r="P71" s="94"/>
      <c r="Q71" s="94"/>
      <c r="R71" s="94"/>
      <c r="S71" s="94"/>
      <c r="T71" s="11">
        <f>'Overheads forecast'!Q$80</f>
        <v>7.4841697077734692E-2</v>
      </c>
      <c r="U71" s="11">
        <f>'Overheads forecast'!R$80</f>
        <v>7.2170809247081261E-2</v>
      </c>
      <c r="V71" s="11">
        <f>'Overheads forecast'!S$80</f>
        <v>7.6263096231367788E-2</v>
      </c>
      <c r="W71" s="11">
        <f>'Overheads forecast'!T$80</f>
        <v>7.7426658716070601E-2</v>
      </c>
      <c r="X71" s="11">
        <f>'Overheads forecast'!U$80</f>
        <v>8.1715682674538839E-2</v>
      </c>
      <c r="Y71" s="11">
        <f>'Overheads forecast'!V$80</f>
        <v>8.4392593946897035E-2</v>
      </c>
      <c r="Z71" s="21"/>
    </row>
    <row r="72" spans="1:26">
      <c r="B72" s="8"/>
      <c r="C72" s="4" t="s">
        <v>225</v>
      </c>
      <c r="N72" s="94"/>
      <c r="O72" s="94"/>
      <c r="P72" s="94"/>
      <c r="Q72" s="94"/>
      <c r="R72" s="94"/>
      <c r="S72" s="94"/>
      <c r="T72" s="11">
        <f>'Overheads forecast'!Q96</f>
        <v>0.11748186875065134</v>
      </c>
      <c r="U72" s="11">
        <f>'Overheads forecast'!R96</f>
        <v>5.5740270539053949E-2</v>
      </c>
      <c r="V72" s="11">
        <f>'Overheads forecast'!S96</f>
        <v>5.1445740952206595E-2</v>
      </c>
      <c r="W72" s="11">
        <f>'Overheads forecast'!T96</f>
        <v>6.3165641096162239E-2</v>
      </c>
      <c r="X72" s="11">
        <f>'Overheads forecast'!U96</f>
        <v>8.1439746864579526E-2</v>
      </c>
      <c r="Y72" s="11">
        <f>'Overheads forecast'!V96</f>
        <v>0.12124372265486809</v>
      </c>
    </row>
    <row r="73" spans="1:26">
      <c r="B73" s="8"/>
      <c r="C73" s="4" t="s">
        <v>218</v>
      </c>
      <c r="N73" s="94"/>
      <c r="O73" s="94"/>
      <c r="P73" s="94"/>
      <c r="Q73" s="94"/>
      <c r="R73" s="94"/>
      <c r="S73" s="94"/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</row>
    <row r="75" spans="1:26" s="1" customFormat="1">
      <c r="A75" s="2"/>
      <c r="B75" s="2" t="s">
        <v>42</v>
      </c>
    </row>
  </sheetData>
  <dataValidations count="1">
    <dataValidation type="list" allowBlank="1" showInputMessage="1" showErrorMessage="1" sqref="F27">
      <formula1>"Yes,No"</formula1>
    </dataValidation>
  </dataValidations>
  <hyperlinks>
    <hyperlink ref="A3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B0F0"/>
  </sheetPr>
  <dimension ref="A1:Z77"/>
  <sheetViews>
    <sheetView topLeftCell="A22" zoomScale="90" zoomScaleNormal="90" workbookViewId="0">
      <selection activeCell="O56" sqref="O56"/>
    </sheetView>
  </sheetViews>
  <sheetFormatPr defaultColWidth="9.140625" defaultRowHeight="12"/>
  <cols>
    <col min="1" max="1" width="3.42578125" style="94" customWidth="1"/>
    <col min="2" max="2" width="12.85546875" style="94" customWidth="1"/>
    <col min="3" max="3" width="35.5703125" style="94" customWidth="1"/>
    <col min="4" max="4" width="38.7109375" style="94" bestFit="1" customWidth="1"/>
    <col min="5" max="5" width="7" style="94" customWidth="1"/>
    <col min="6" max="6" width="8.7109375" style="94" customWidth="1"/>
    <col min="7" max="12" width="10.42578125" style="94" customWidth="1"/>
    <col min="13" max="13" width="2.5703125" style="94" customWidth="1"/>
    <col min="14" max="19" width="9.140625" style="94"/>
    <col min="20" max="20" width="3.85546875" style="94" customWidth="1"/>
    <col min="21" max="26" width="10.28515625" style="94" customWidth="1"/>
    <col min="27" max="16384" width="9.140625" style="94"/>
  </cols>
  <sheetData>
    <row r="1" spans="1:26" s="3" customFormat="1">
      <c r="A1" s="2" t="s">
        <v>2</v>
      </c>
    </row>
    <row r="2" spans="1:26" s="1" customFormat="1" ht="12.75" customHeight="1">
      <c r="A2" s="3" t="s">
        <v>429</v>
      </c>
    </row>
    <row r="3" spans="1:26" s="1" customFormat="1" ht="12.75" customHeight="1">
      <c r="A3" s="134" t="s">
        <v>430</v>
      </c>
    </row>
    <row r="4" spans="1:26" s="1" customFormat="1">
      <c r="A4" s="22" t="s">
        <v>43</v>
      </c>
    </row>
    <row r="6" spans="1:26" s="1" customFormat="1">
      <c r="A6" s="2">
        <v>1</v>
      </c>
      <c r="B6" s="2" t="s">
        <v>429</v>
      </c>
    </row>
    <row r="8" spans="1:26">
      <c r="F8" s="5" t="s">
        <v>51</v>
      </c>
      <c r="G8" s="5"/>
      <c r="N8" s="5" t="s">
        <v>56</v>
      </c>
      <c r="U8" s="5" t="s">
        <v>351</v>
      </c>
    </row>
    <row r="9" spans="1:26">
      <c r="B9" s="20" t="s">
        <v>19</v>
      </c>
      <c r="C9" s="20" t="s">
        <v>6</v>
      </c>
      <c r="D9" s="20" t="s">
        <v>46</v>
      </c>
      <c r="F9" s="24">
        <v>2016</v>
      </c>
      <c r="G9" s="24">
        <v>2017</v>
      </c>
      <c r="H9" s="24">
        <v>2018</v>
      </c>
      <c r="I9" s="24">
        <v>2019</v>
      </c>
      <c r="J9" s="24">
        <v>2020</v>
      </c>
      <c r="K9" s="24">
        <v>2021</v>
      </c>
      <c r="L9" s="24">
        <v>2022</v>
      </c>
      <c r="N9" s="24">
        <v>2017</v>
      </c>
      <c r="O9" s="24">
        <v>2018</v>
      </c>
      <c r="P9" s="24">
        <v>2019</v>
      </c>
      <c r="Q9" s="24">
        <v>2020</v>
      </c>
      <c r="R9" s="24">
        <v>2021</v>
      </c>
      <c r="S9" s="24">
        <v>2022</v>
      </c>
      <c r="U9" s="24">
        <v>2017</v>
      </c>
      <c r="V9" s="24">
        <v>2018</v>
      </c>
      <c r="W9" s="24">
        <v>2019</v>
      </c>
      <c r="X9" s="24">
        <v>2020</v>
      </c>
      <c r="Y9" s="24">
        <v>2021</v>
      </c>
      <c r="Z9" s="24">
        <v>2022</v>
      </c>
    </row>
    <row r="10" spans="1:26">
      <c r="B10" s="8">
        <v>3001</v>
      </c>
      <c r="C10" s="94" t="s">
        <v>20</v>
      </c>
      <c r="D10" s="94" t="s">
        <v>132</v>
      </c>
      <c r="F10" s="133"/>
      <c r="G10" s="132">
        <v>227.70000000000002</v>
      </c>
      <c r="H10" s="132">
        <v>283.82000412932774</v>
      </c>
      <c r="I10" s="132">
        <v>266.49851958880106</v>
      </c>
      <c r="J10" s="132">
        <v>276.36528659357572</v>
      </c>
      <c r="K10" s="132">
        <v>235.37793486493308</v>
      </c>
      <c r="L10" s="132">
        <v>222.87842514033778</v>
      </c>
      <c r="M10" s="21"/>
      <c r="N10" s="33">
        <v>90000</v>
      </c>
      <c r="O10" s="168">
        <v>70000</v>
      </c>
      <c r="P10" s="168">
        <v>70000</v>
      </c>
      <c r="Q10" s="168">
        <v>70000</v>
      </c>
      <c r="R10" s="168">
        <v>70000</v>
      </c>
      <c r="S10" s="168">
        <v>70000</v>
      </c>
      <c r="U10" s="135"/>
      <c r="V10" s="135"/>
      <c r="W10" s="135"/>
      <c r="X10" s="135"/>
      <c r="Y10" s="135"/>
      <c r="Z10" s="135"/>
    </row>
    <row r="11" spans="1:26">
      <c r="B11" s="8">
        <v>3002</v>
      </c>
      <c r="C11" s="94" t="s">
        <v>21</v>
      </c>
      <c r="D11" s="94" t="s">
        <v>145</v>
      </c>
      <c r="F11" s="185"/>
      <c r="G11" s="133"/>
      <c r="H11" s="133"/>
      <c r="I11" s="133"/>
      <c r="J11" s="133"/>
      <c r="K11" s="133"/>
      <c r="L11" s="133"/>
      <c r="M11" s="21"/>
      <c r="N11" s="183"/>
      <c r="O11" s="183"/>
      <c r="P11" s="183"/>
      <c r="Q11" s="183"/>
      <c r="R11" s="183"/>
      <c r="S11" s="183"/>
      <c r="U11" s="135"/>
      <c r="V11" s="135"/>
      <c r="W11" s="135"/>
      <c r="X11" s="135"/>
      <c r="Y11" s="135"/>
      <c r="Z11" s="135"/>
    </row>
    <row r="12" spans="1:26">
      <c r="B12" s="8">
        <v>3002</v>
      </c>
      <c r="C12" s="94" t="s">
        <v>21</v>
      </c>
      <c r="D12" s="94" t="s">
        <v>146</v>
      </c>
      <c r="F12" s="185"/>
      <c r="G12" s="133"/>
      <c r="H12" s="133"/>
      <c r="I12" s="133"/>
      <c r="J12" s="133"/>
      <c r="K12" s="133"/>
      <c r="L12" s="133"/>
      <c r="M12" s="21"/>
      <c r="N12" s="183"/>
      <c r="O12" s="183"/>
      <c r="P12" s="183"/>
      <c r="Q12" s="183"/>
      <c r="R12" s="183"/>
      <c r="S12" s="183"/>
      <c r="U12" s="135"/>
      <c r="V12" s="135"/>
      <c r="W12" s="135"/>
      <c r="X12" s="135"/>
      <c r="Y12" s="135"/>
      <c r="Z12" s="135"/>
    </row>
    <row r="13" spans="1:26">
      <c r="B13" s="8">
        <v>3002</v>
      </c>
      <c r="C13" s="94" t="s">
        <v>21</v>
      </c>
      <c r="D13" s="94" t="s">
        <v>147</v>
      </c>
      <c r="F13" s="185"/>
      <c r="G13" s="133"/>
      <c r="H13" s="133"/>
      <c r="I13" s="133"/>
      <c r="J13" s="133"/>
      <c r="K13" s="133"/>
      <c r="L13" s="133"/>
      <c r="M13" s="21"/>
      <c r="N13" s="183"/>
      <c r="O13" s="183"/>
      <c r="P13" s="183"/>
      <c r="Q13" s="183"/>
      <c r="R13" s="183"/>
      <c r="S13" s="183"/>
      <c r="U13" s="135"/>
      <c r="V13" s="135"/>
      <c r="W13" s="135"/>
      <c r="X13" s="135"/>
      <c r="Y13" s="135"/>
      <c r="Z13" s="135"/>
    </row>
    <row r="14" spans="1:26">
      <c r="B14" s="8">
        <v>3002</v>
      </c>
      <c r="C14" s="94" t="s">
        <v>21</v>
      </c>
      <c r="D14" s="94" t="s">
        <v>148</v>
      </c>
      <c r="F14" s="185"/>
      <c r="G14" s="133"/>
      <c r="H14" s="133"/>
      <c r="I14" s="133"/>
      <c r="J14" s="133"/>
      <c r="K14" s="133"/>
      <c r="L14" s="133"/>
      <c r="M14" s="21"/>
      <c r="N14" s="183"/>
      <c r="O14" s="183"/>
      <c r="P14" s="183"/>
      <c r="Q14" s="183"/>
      <c r="R14" s="183"/>
      <c r="S14" s="183"/>
      <c r="U14" s="135"/>
      <c r="V14" s="135"/>
      <c r="W14" s="135"/>
      <c r="X14" s="135"/>
      <c r="Y14" s="135"/>
      <c r="Z14" s="135"/>
    </row>
    <row r="15" spans="1:26">
      <c r="B15" s="8">
        <v>3003</v>
      </c>
      <c r="C15" s="94" t="s">
        <v>22</v>
      </c>
      <c r="D15" s="94" t="s">
        <v>149</v>
      </c>
      <c r="F15" s="133"/>
      <c r="G15" s="132">
        <v>250</v>
      </c>
      <c r="H15" s="132">
        <v>302.68</v>
      </c>
      <c r="I15" s="132">
        <v>282.83999999999997</v>
      </c>
      <c r="J15" s="132">
        <v>299.14</v>
      </c>
      <c r="K15" s="132">
        <v>361.43</v>
      </c>
      <c r="L15" s="169">
        <v>499</v>
      </c>
      <c r="M15" s="21"/>
      <c r="N15" s="33">
        <v>20000</v>
      </c>
      <c r="O15" s="33">
        <v>16839</v>
      </c>
      <c r="P15" s="33">
        <v>14697</v>
      </c>
      <c r="Q15" s="33">
        <v>16507</v>
      </c>
      <c r="R15" s="33">
        <v>3364</v>
      </c>
      <c r="S15" s="33">
        <v>3596</v>
      </c>
      <c r="U15" s="135"/>
      <c r="V15" s="135"/>
      <c r="W15" s="135"/>
      <c r="X15" s="135"/>
      <c r="Y15" s="135"/>
      <c r="Z15" s="135"/>
    </row>
    <row r="16" spans="1:26">
      <c r="B16" s="8">
        <v>3004</v>
      </c>
      <c r="C16" s="94" t="s">
        <v>23</v>
      </c>
      <c r="D16" s="94" t="s">
        <v>145</v>
      </c>
      <c r="F16" s="185"/>
      <c r="G16" s="133"/>
      <c r="H16" s="133"/>
      <c r="I16" s="133"/>
      <c r="J16" s="133"/>
      <c r="K16" s="133"/>
      <c r="L16" s="133"/>
      <c r="M16" s="21"/>
      <c r="N16" s="183"/>
      <c r="O16" s="183"/>
      <c r="P16" s="183"/>
      <c r="Q16" s="183"/>
      <c r="R16" s="183"/>
      <c r="S16" s="183"/>
      <c r="U16" s="135"/>
      <c r="V16" s="135"/>
      <c r="W16" s="135"/>
      <c r="X16" s="135"/>
      <c r="Y16" s="135"/>
      <c r="Z16" s="135"/>
    </row>
    <row r="17" spans="2:26">
      <c r="B17" s="8">
        <v>3004</v>
      </c>
      <c r="C17" s="94" t="s">
        <v>23</v>
      </c>
      <c r="D17" s="94" t="s">
        <v>146</v>
      </c>
      <c r="F17" s="185"/>
      <c r="G17" s="133"/>
      <c r="H17" s="133"/>
      <c r="I17" s="133"/>
      <c r="J17" s="133"/>
      <c r="K17" s="133"/>
      <c r="L17" s="133"/>
      <c r="M17" s="21"/>
      <c r="N17" s="183"/>
      <c r="O17" s="183"/>
      <c r="P17" s="183"/>
      <c r="Q17" s="183"/>
      <c r="R17" s="183"/>
      <c r="S17" s="183"/>
      <c r="U17" s="135"/>
      <c r="V17" s="135"/>
      <c r="W17" s="135"/>
      <c r="X17" s="135"/>
      <c r="Y17" s="135"/>
      <c r="Z17" s="135"/>
    </row>
    <row r="18" spans="2:26">
      <c r="B18" s="8">
        <v>3004</v>
      </c>
      <c r="C18" s="94" t="s">
        <v>23</v>
      </c>
      <c r="D18" s="94" t="s">
        <v>147</v>
      </c>
      <c r="F18" s="185"/>
      <c r="G18" s="133"/>
      <c r="H18" s="133"/>
      <c r="I18" s="133"/>
      <c r="J18" s="133"/>
      <c r="K18" s="133"/>
      <c r="L18" s="133"/>
      <c r="M18" s="21"/>
      <c r="N18" s="183"/>
      <c r="O18" s="183"/>
      <c r="P18" s="183"/>
      <c r="Q18" s="183"/>
      <c r="R18" s="183"/>
      <c r="S18" s="183"/>
      <c r="U18" s="135"/>
      <c r="V18" s="135"/>
      <c r="W18" s="135"/>
      <c r="X18" s="135"/>
      <c r="Y18" s="135"/>
      <c r="Z18" s="135"/>
    </row>
    <row r="19" spans="2:26">
      <c r="B19" s="8">
        <v>3004</v>
      </c>
      <c r="C19" s="94" t="s">
        <v>23</v>
      </c>
      <c r="D19" s="94" t="s">
        <v>148</v>
      </c>
      <c r="F19" s="185"/>
      <c r="G19" s="133"/>
      <c r="H19" s="133"/>
      <c r="I19" s="133"/>
      <c r="J19" s="133"/>
      <c r="K19" s="133"/>
      <c r="L19" s="133"/>
      <c r="M19" s="21"/>
      <c r="N19" s="183"/>
      <c r="O19" s="183"/>
      <c r="P19" s="183"/>
      <c r="Q19" s="183"/>
      <c r="R19" s="183"/>
      <c r="S19" s="183"/>
      <c r="U19" s="135"/>
      <c r="V19" s="135"/>
      <c r="W19" s="135"/>
      <c r="X19" s="135"/>
      <c r="Y19" s="135"/>
      <c r="Z19" s="135"/>
    </row>
    <row r="20" spans="2:26">
      <c r="B20" s="8">
        <v>3005</v>
      </c>
      <c r="C20" s="94" t="s">
        <v>24</v>
      </c>
      <c r="D20" s="100"/>
      <c r="F20" s="133"/>
      <c r="G20" s="133"/>
      <c r="H20" s="133"/>
      <c r="I20" s="133"/>
      <c r="J20" s="133"/>
      <c r="K20" s="133"/>
      <c r="L20" s="133"/>
      <c r="M20" s="21"/>
      <c r="N20" s="167"/>
      <c r="O20" s="167"/>
      <c r="P20" s="167"/>
      <c r="Q20" s="167"/>
      <c r="R20" s="167"/>
      <c r="S20" s="167"/>
      <c r="U20" s="135"/>
      <c r="V20" s="135"/>
      <c r="W20" s="135"/>
      <c r="X20" s="135"/>
      <c r="Y20" s="135"/>
      <c r="Z20" s="135"/>
    </row>
    <row r="21" spans="2:26">
      <c r="B21" s="8">
        <v>3006</v>
      </c>
      <c r="C21" s="94" t="s">
        <v>25</v>
      </c>
      <c r="D21" s="94" t="s">
        <v>145</v>
      </c>
      <c r="F21" s="185"/>
      <c r="G21" s="133"/>
      <c r="H21" s="133"/>
      <c r="I21" s="133"/>
      <c r="J21" s="133"/>
      <c r="K21" s="133"/>
      <c r="L21" s="133"/>
      <c r="M21" s="21"/>
      <c r="N21" s="183"/>
      <c r="O21" s="183"/>
      <c r="P21" s="183"/>
      <c r="Q21" s="183"/>
      <c r="R21" s="183"/>
      <c r="S21" s="183"/>
      <c r="U21" s="135"/>
      <c r="V21" s="135"/>
      <c r="W21" s="135"/>
      <c r="X21" s="135"/>
      <c r="Y21" s="135"/>
      <c r="Z21" s="135"/>
    </row>
    <row r="22" spans="2:26">
      <c r="B22" s="8">
        <v>3006</v>
      </c>
      <c r="C22" s="94" t="s">
        <v>25</v>
      </c>
      <c r="D22" s="94" t="s">
        <v>146</v>
      </c>
      <c r="F22" s="185"/>
      <c r="G22" s="133"/>
      <c r="H22" s="133"/>
      <c r="I22" s="133"/>
      <c r="J22" s="133"/>
      <c r="K22" s="133"/>
      <c r="L22" s="133"/>
      <c r="M22" s="21"/>
      <c r="N22" s="183"/>
      <c r="O22" s="183"/>
      <c r="P22" s="183"/>
      <c r="Q22" s="183"/>
      <c r="R22" s="183"/>
      <c r="S22" s="183"/>
      <c r="U22" s="135"/>
      <c r="V22" s="135"/>
      <c r="W22" s="135"/>
      <c r="X22" s="135"/>
      <c r="Y22" s="135"/>
      <c r="Z22" s="135"/>
    </row>
    <row r="23" spans="2:26">
      <c r="B23" s="8">
        <v>3006</v>
      </c>
      <c r="C23" s="94" t="s">
        <v>25</v>
      </c>
      <c r="D23" s="94" t="s">
        <v>147</v>
      </c>
      <c r="F23" s="185"/>
      <c r="G23" s="133"/>
      <c r="H23" s="133"/>
      <c r="I23" s="133"/>
      <c r="J23" s="133"/>
      <c r="K23" s="133"/>
      <c r="L23" s="133"/>
      <c r="M23" s="21"/>
      <c r="N23" s="183"/>
      <c r="O23" s="183"/>
      <c r="P23" s="183"/>
      <c r="Q23" s="183"/>
      <c r="R23" s="183"/>
      <c r="S23" s="183"/>
      <c r="U23" s="135"/>
      <c r="V23" s="135"/>
      <c r="W23" s="135"/>
      <c r="X23" s="135"/>
      <c r="Y23" s="135"/>
      <c r="Z23" s="135"/>
    </row>
    <row r="24" spans="2:26">
      <c r="B24" s="8">
        <v>3006</v>
      </c>
      <c r="C24" s="94" t="s">
        <v>25</v>
      </c>
      <c r="D24" s="94" t="s">
        <v>148</v>
      </c>
      <c r="F24" s="185"/>
      <c r="G24" s="133"/>
      <c r="H24" s="133"/>
      <c r="I24" s="133"/>
      <c r="J24" s="133"/>
      <c r="K24" s="133"/>
      <c r="L24" s="133"/>
      <c r="M24" s="21"/>
      <c r="N24" s="183"/>
      <c r="O24" s="183"/>
      <c r="P24" s="183"/>
      <c r="Q24" s="183"/>
      <c r="R24" s="183"/>
      <c r="S24" s="183"/>
      <c r="U24" s="135"/>
      <c r="V24" s="135"/>
      <c r="W24" s="135"/>
      <c r="X24" s="135"/>
      <c r="Y24" s="135"/>
      <c r="Z24" s="135"/>
    </row>
    <row r="25" spans="2:26">
      <c r="B25" s="8">
        <v>3007</v>
      </c>
      <c r="C25" s="94" t="s">
        <v>26</v>
      </c>
      <c r="D25" s="94" t="s">
        <v>168</v>
      </c>
      <c r="F25" s="133"/>
      <c r="G25" s="185"/>
      <c r="H25" s="185"/>
      <c r="I25" s="185"/>
      <c r="J25" s="185"/>
      <c r="K25" s="185"/>
      <c r="L25" s="185"/>
      <c r="M25" s="21"/>
      <c r="N25" s="183"/>
      <c r="O25" s="183"/>
      <c r="P25" s="183"/>
      <c r="Q25" s="183"/>
      <c r="R25" s="183"/>
      <c r="S25" s="183"/>
      <c r="U25" s="135"/>
      <c r="V25" s="135"/>
      <c r="W25" s="135"/>
      <c r="X25" s="135"/>
      <c r="Y25" s="135"/>
      <c r="Z25" s="135"/>
    </row>
    <row r="26" spans="2:26">
      <c r="B26" s="8">
        <v>3007</v>
      </c>
      <c r="C26" s="94" t="s">
        <v>26</v>
      </c>
      <c r="D26" s="94" t="s">
        <v>169</v>
      </c>
      <c r="F26" s="133"/>
      <c r="G26" s="185"/>
      <c r="H26" s="185"/>
      <c r="I26" s="185"/>
      <c r="J26" s="185"/>
      <c r="K26" s="185"/>
      <c r="L26" s="185"/>
      <c r="M26" s="21"/>
      <c r="N26" s="183"/>
      <c r="O26" s="183"/>
      <c r="P26" s="183"/>
      <c r="Q26" s="183"/>
      <c r="R26" s="183"/>
      <c r="S26" s="183"/>
      <c r="U26" s="135"/>
      <c r="V26" s="135"/>
      <c r="W26" s="135"/>
      <c r="X26" s="135"/>
      <c r="Y26" s="135"/>
      <c r="Z26" s="135"/>
    </row>
    <row r="27" spans="2:26">
      <c r="B27" s="8">
        <v>3007</v>
      </c>
      <c r="C27" s="94" t="s">
        <v>26</v>
      </c>
      <c r="D27" s="94" t="s">
        <v>170</v>
      </c>
      <c r="F27" s="133"/>
      <c r="G27" s="185"/>
      <c r="H27" s="185"/>
      <c r="I27" s="185"/>
      <c r="J27" s="185"/>
      <c r="K27" s="185"/>
      <c r="L27" s="185"/>
      <c r="M27" s="21"/>
      <c r="N27" s="183"/>
      <c r="O27" s="183"/>
      <c r="P27" s="183"/>
      <c r="Q27" s="183"/>
      <c r="R27" s="183"/>
      <c r="S27" s="183"/>
      <c r="U27" s="135"/>
      <c r="V27" s="135"/>
      <c r="W27" s="135"/>
      <c r="X27" s="135"/>
      <c r="Y27" s="135"/>
      <c r="Z27" s="135"/>
    </row>
    <row r="28" spans="2:26">
      <c r="B28" s="8">
        <v>3007</v>
      </c>
      <c r="C28" s="94" t="s">
        <v>26</v>
      </c>
      <c r="D28" s="94" t="s">
        <v>363</v>
      </c>
      <c r="F28" s="133"/>
      <c r="G28" s="133"/>
      <c r="H28" s="133"/>
      <c r="I28" s="133"/>
      <c r="J28" s="133"/>
      <c r="K28" s="133"/>
      <c r="L28" s="133"/>
      <c r="M28" s="21"/>
      <c r="N28" s="168"/>
      <c r="O28" s="168"/>
      <c r="P28" s="168"/>
      <c r="Q28" s="168"/>
      <c r="R28" s="168"/>
      <c r="S28" s="168"/>
      <c r="U28" s="168"/>
      <c r="V28" s="168"/>
      <c r="W28" s="168"/>
      <c r="X28" s="168"/>
      <c r="Y28" s="168"/>
      <c r="Z28" s="168"/>
    </row>
    <row r="29" spans="2:26">
      <c r="B29" s="8">
        <v>3007</v>
      </c>
      <c r="C29" s="94" t="s">
        <v>26</v>
      </c>
      <c r="D29" s="94" t="s">
        <v>395</v>
      </c>
      <c r="F29" s="133"/>
      <c r="G29" s="133"/>
      <c r="H29" s="133"/>
      <c r="I29" s="185"/>
      <c r="J29" s="133"/>
      <c r="K29" s="133"/>
      <c r="L29" s="133"/>
      <c r="M29" s="21"/>
      <c r="N29" s="33">
        <v>0</v>
      </c>
      <c r="O29" s="33">
        <v>0</v>
      </c>
      <c r="P29" s="183"/>
      <c r="Q29" s="33">
        <v>0</v>
      </c>
      <c r="R29" s="33">
        <v>0</v>
      </c>
      <c r="S29" s="33">
        <v>0</v>
      </c>
      <c r="U29" s="33">
        <v>0</v>
      </c>
      <c r="V29" s="33">
        <v>0</v>
      </c>
      <c r="W29" s="168">
        <v>0</v>
      </c>
      <c r="X29" s="33">
        <v>0</v>
      </c>
      <c r="Y29" s="33">
        <v>0</v>
      </c>
      <c r="Z29" s="33">
        <v>0</v>
      </c>
    </row>
    <row r="30" spans="2:26">
      <c r="B30" s="8">
        <v>3008</v>
      </c>
      <c r="C30" s="94" t="s">
        <v>27</v>
      </c>
      <c r="D30" s="94" t="s">
        <v>173</v>
      </c>
      <c r="F30" s="185"/>
      <c r="G30" s="133"/>
      <c r="H30" s="133"/>
      <c r="I30" s="133"/>
      <c r="J30" s="133"/>
      <c r="K30" s="133"/>
      <c r="L30" s="133"/>
      <c r="M30" s="21"/>
      <c r="N30" s="183"/>
      <c r="O30" s="183"/>
      <c r="P30" s="183"/>
      <c r="Q30" s="183"/>
      <c r="R30" s="183"/>
      <c r="S30" s="183"/>
      <c r="U30" s="135"/>
      <c r="V30" s="135"/>
      <c r="W30" s="135"/>
      <c r="X30" s="135"/>
      <c r="Y30" s="135"/>
      <c r="Z30" s="135"/>
    </row>
    <row r="31" spans="2:26">
      <c r="B31" s="8">
        <v>3009</v>
      </c>
      <c r="C31" s="94" t="s">
        <v>28</v>
      </c>
      <c r="D31" s="94" t="s">
        <v>169</v>
      </c>
      <c r="F31" s="133"/>
      <c r="G31" s="185"/>
      <c r="H31" s="185"/>
      <c r="I31" s="185"/>
      <c r="J31" s="185"/>
      <c r="K31" s="185"/>
      <c r="L31" s="185"/>
      <c r="M31" s="21"/>
      <c r="N31" s="183"/>
      <c r="O31" s="183"/>
      <c r="P31" s="183"/>
      <c r="Q31" s="183"/>
      <c r="R31" s="183"/>
      <c r="S31" s="183"/>
      <c r="U31" s="135"/>
      <c r="V31" s="135"/>
      <c r="W31" s="135"/>
      <c r="X31" s="135"/>
      <c r="Y31" s="135"/>
      <c r="Z31" s="135"/>
    </row>
    <row r="32" spans="2:26">
      <c r="B32" s="8">
        <v>3010</v>
      </c>
      <c r="C32" s="94" t="s">
        <v>29</v>
      </c>
      <c r="D32" s="94" t="s">
        <v>177</v>
      </c>
      <c r="F32" s="185"/>
      <c r="G32" s="133"/>
      <c r="H32" s="133"/>
      <c r="I32" s="133"/>
      <c r="J32" s="133"/>
      <c r="K32" s="133"/>
      <c r="L32" s="133"/>
      <c r="M32" s="21"/>
      <c r="N32" s="183"/>
      <c r="O32" s="183"/>
      <c r="P32" s="183"/>
      <c r="Q32" s="183"/>
      <c r="R32" s="183"/>
      <c r="S32" s="183"/>
      <c r="U32" s="133"/>
      <c r="V32" s="133"/>
      <c r="W32" s="133"/>
      <c r="X32" s="133"/>
      <c r="Y32" s="133"/>
      <c r="Z32" s="133"/>
    </row>
    <row r="33" spans="2:26">
      <c r="B33" s="8">
        <v>3011</v>
      </c>
      <c r="C33" s="94" t="s">
        <v>30</v>
      </c>
      <c r="D33" s="94" t="s">
        <v>181</v>
      </c>
      <c r="F33" s="132">
        <v>200000</v>
      </c>
      <c r="G33" s="133"/>
      <c r="H33" s="133"/>
      <c r="I33" s="133"/>
      <c r="J33" s="133"/>
      <c r="K33" s="133"/>
      <c r="L33" s="133"/>
      <c r="M33" s="21"/>
      <c r="N33" s="33">
        <v>0</v>
      </c>
      <c r="O33" s="33">
        <v>0</v>
      </c>
      <c r="P33" s="33">
        <v>0</v>
      </c>
      <c r="Q33" s="33">
        <v>0</v>
      </c>
      <c r="R33" s="33">
        <v>2</v>
      </c>
      <c r="S33" s="33">
        <v>1</v>
      </c>
      <c r="U33" s="133"/>
      <c r="V33" s="133"/>
      <c r="W33" s="133"/>
      <c r="X33" s="133"/>
      <c r="Y33" s="133"/>
      <c r="Z33" s="133"/>
    </row>
    <row r="34" spans="2:26">
      <c r="B34" s="8">
        <v>3011</v>
      </c>
      <c r="C34" s="94" t="s">
        <v>30</v>
      </c>
      <c r="D34" s="94" t="s">
        <v>182</v>
      </c>
      <c r="F34" s="132">
        <v>130000</v>
      </c>
      <c r="G34" s="133"/>
      <c r="H34" s="133"/>
      <c r="I34" s="133"/>
      <c r="J34" s="133"/>
      <c r="K34" s="133"/>
      <c r="L34" s="133"/>
      <c r="M34" s="21"/>
      <c r="N34" s="33">
        <v>2</v>
      </c>
      <c r="O34" s="33">
        <v>3</v>
      </c>
      <c r="P34" s="33">
        <v>3</v>
      </c>
      <c r="Q34" s="33">
        <v>3</v>
      </c>
      <c r="R34" s="33">
        <v>5</v>
      </c>
      <c r="S34" s="33">
        <v>5</v>
      </c>
      <c r="U34" s="133"/>
      <c r="V34" s="133"/>
      <c r="W34" s="133"/>
      <c r="X34" s="133"/>
      <c r="Y34" s="133"/>
      <c r="Z34" s="133"/>
    </row>
    <row r="35" spans="2:26">
      <c r="B35" s="8">
        <v>3011</v>
      </c>
      <c r="C35" s="94" t="s">
        <v>30</v>
      </c>
      <c r="D35" s="94" t="s">
        <v>352</v>
      </c>
      <c r="F35" s="132">
        <v>200000</v>
      </c>
      <c r="G35" s="133"/>
      <c r="H35" s="133"/>
      <c r="I35" s="133"/>
      <c r="J35" s="133"/>
      <c r="K35" s="133"/>
      <c r="L35" s="133"/>
      <c r="M35" s="21"/>
      <c r="N35" s="33">
        <v>2</v>
      </c>
      <c r="O35" s="33">
        <v>2</v>
      </c>
      <c r="P35" s="33">
        <v>2</v>
      </c>
      <c r="Q35" s="33">
        <v>1</v>
      </c>
      <c r="R35" s="33">
        <v>0</v>
      </c>
      <c r="S35" s="33">
        <v>0</v>
      </c>
      <c r="U35" s="133"/>
      <c r="V35" s="133"/>
      <c r="W35" s="133"/>
      <c r="X35" s="133"/>
      <c r="Y35" s="133"/>
      <c r="Z35" s="133"/>
    </row>
    <row r="36" spans="2:26">
      <c r="B36" s="8">
        <v>3011</v>
      </c>
      <c r="C36" s="94" t="s">
        <v>30</v>
      </c>
      <c r="D36" s="94" t="s">
        <v>353</v>
      </c>
      <c r="F36" s="132">
        <v>150000</v>
      </c>
      <c r="G36" s="133"/>
      <c r="H36" s="133"/>
      <c r="I36" s="133"/>
      <c r="J36" s="133"/>
      <c r="K36" s="133"/>
      <c r="L36" s="133"/>
      <c r="M36" s="21"/>
      <c r="N36" s="33">
        <v>0</v>
      </c>
      <c r="O36" s="33">
        <v>0</v>
      </c>
      <c r="P36" s="33">
        <v>0</v>
      </c>
      <c r="Q36" s="33">
        <v>1</v>
      </c>
      <c r="R36" s="33">
        <v>0</v>
      </c>
      <c r="S36" s="33">
        <v>0</v>
      </c>
      <c r="U36" s="133"/>
      <c r="V36" s="133"/>
      <c r="W36" s="133"/>
      <c r="X36" s="133"/>
      <c r="Y36" s="133"/>
      <c r="Z36" s="133"/>
    </row>
    <row r="37" spans="2:26">
      <c r="B37" s="8">
        <v>3011</v>
      </c>
      <c r="C37" s="94" t="s">
        <v>30</v>
      </c>
      <c r="D37" s="94" t="s">
        <v>354</v>
      </c>
      <c r="F37" s="132">
        <v>50000</v>
      </c>
      <c r="G37" s="133"/>
      <c r="H37" s="133"/>
      <c r="I37" s="133"/>
      <c r="J37" s="133"/>
      <c r="K37" s="133"/>
      <c r="L37" s="133"/>
      <c r="M37" s="21"/>
      <c r="N37" s="33">
        <v>0</v>
      </c>
      <c r="O37" s="33">
        <v>1</v>
      </c>
      <c r="P37" s="33">
        <v>0</v>
      </c>
      <c r="Q37" s="33">
        <v>0</v>
      </c>
      <c r="R37" s="33">
        <v>0</v>
      </c>
      <c r="S37" s="33">
        <v>0</v>
      </c>
      <c r="U37" s="133"/>
      <c r="V37" s="133"/>
      <c r="W37" s="133"/>
      <c r="X37" s="133"/>
      <c r="Y37" s="133"/>
      <c r="Z37" s="133"/>
    </row>
    <row r="38" spans="2:26">
      <c r="B38" s="8">
        <v>3011</v>
      </c>
      <c r="C38" s="94" t="s">
        <v>30</v>
      </c>
      <c r="D38" s="94" t="s">
        <v>355</v>
      </c>
      <c r="F38" s="132">
        <v>80000</v>
      </c>
      <c r="G38" s="133"/>
      <c r="H38" s="133"/>
      <c r="I38" s="133"/>
      <c r="J38" s="133"/>
      <c r="K38" s="133"/>
      <c r="L38" s="133"/>
      <c r="M38" s="21"/>
      <c r="N38" s="33">
        <v>0</v>
      </c>
      <c r="O38" s="33">
        <v>3</v>
      </c>
      <c r="P38" s="33">
        <v>1</v>
      </c>
      <c r="Q38" s="33">
        <v>0</v>
      </c>
      <c r="R38" s="33">
        <v>0</v>
      </c>
      <c r="S38" s="33">
        <v>0</v>
      </c>
      <c r="U38" s="133"/>
      <c r="V38" s="133"/>
      <c r="W38" s="133"/>
      <c r="X38" s="133"/>
      <c r="Y38" s="133"/>
      <c r="Z38" s="133"/>
    </row>
    <row r="39" spans="2:26">
      <c r="B39" s="8">
        <v>3011</v>
      </c>
      <c r="C39" s="94" t="s">
        <v>30</v>
      </c>
      <c r="D39" s="94" t="s">
        <v>356</v>
      </c>
      <c r="F39" s="132">
        <v>500000</v>
      </c>
      <c r="G39" s="133"/>
      <c r="H39" s="133"/>
      <c r="I39" s="133"/>
      <c r="J39" s="133"/>
      <c r="K39" s="133"/>
      <c r="L39" s="133"/>
      <c r="M39" s="21"/>
      <c r="N39" s="33">
        <v>0</v>
      </c>
      <c r="O39" s="33">
        <v>0</v>
      </c>
      <c r="P39" s="33">
        <v>1</v>
      </c>
      <c r="Q39" s="33">
        <v>1</v>
      </c>
      <c r="R39" s="33">
        <v>0</v>
      </c>
      <c r="S39" s="33">
        <v>0</v>
      </c>
      <c r="U39" s="133"/>
      <c r="V39" s="133"/>
      <c r="W39" s="133"/>
      <c r="X39" s="133"/>
      <c r="Y39" s="133"/>
      <c r="Z39" s="133"/>
    </row>
    <row r="40" spans="2:26">
      <c r="B40" s="8">
        <v>3011</v>
      </c>
      <c r="C40" s="94" t="s">
        <v>30</v>
      </c>
      <c r="D40" s="94" t="s">
        <v>357</v>
      </c>
      <c r="F40" s="132">
        <v>600000</v>
      </c>
      <c r="G40" s="133"/>
      <c r="H40" s="133"/>
      <c r="I40" s="133"/>
      <c r="J40" s="133"/>
      <c r="K40" s="133"/>
      <c r="L40" s="133"/>
      <c r="M40" s="21"/>
      <c r="N40" s="33">
        <v>0</v>
      </c>
      <c r="O40" s="33">
        <v>1</v>
      </c>
      <c r="P40" s="33">
        <v>1</v>
      </c>
      <c r="Q40" s="33">
        <v>0</v>
      </c>
      <c r="R40" s="33">
        <v>0</v>
      </c>
      <c r="S40" s="33">
        <v>0</v>
      </c>
      <c r="U40" s="133"/>
      <c r="V40" s="133"/>
      <c r="W40" s="133"/>
      <c r="X40" s="133"/>
      <c r="Y40" s="133"/>
      <c r="Z40" s="133"/>
    </row>
    <row r="41" spans="2:26">
      <c r="B41" s="8">
        <v>3012</v>
      </c>
      <c r="C41" s="94" t="s">
        <v>31</v>
      </c>
      <c r="D41" s="94" t="s">
        <v>186</v>
      </c>
      <c r="F41" s="133"/>
      <c r="G41" s="133"/>
      <c r="H41" s="133"/>
      <c r="I41" s="133"/>
      <c r="J41" s="133"/>
      <c r="K41" s="133"/>
      <c r="L41" s="133"/>
      <c r="M41" s="21"/>
      <c r="N41" s="133"/>
      <c r="O41" s="133"/>
      <c r="P41" s="133"/>
      <c r="Q41" s="133"/>
      <c r="R41" s="133"/>
      <c r="S41" s="133"/>
      <c r="U41" s="33">
        <v>150000</v>
      </c>
      <c r="V41" s="33">
        <v>150000</v>
      </c>
      <c r="W41" s="33">
        <v>150000</v>
      </c>
      <c r="X41" s="33">
        <v>150000</v>
      </c>
      <c r="Y41" s="33">
        <v>150000</v>
      </c>
      <c r="Z41" s="33">
        <v>150000</v>
      </c>
    </row>
    <row r="42" spans="2:26">
      <c r="B42" s="8">
        <v>3013</v>
      </c>
      <c r="C42" s="94" t="s">
        <v>32</v>
      </c>
      <c r="D42" s="94" t="s">
        <v>188</v>
      </c>
      <c r="F42" s="185"/>
      <c r="G42" s="133"/>
      <c r="H42" s="133"/>
      <c r="I42" s="133"/>
      <c r="J42" s="133"/>
      <c r="K42" s="133"/>
      <c r="L42" s="133"/>
      <c r="M42" s="21"/>
      <c r="N42" s="183"/>
      <c r="O42" s="183"/>
      <c r="P42" s="183"/>
      <c r="Q42" s="183"/>
      <c r="R42" s="183"/>
      <c r="S42" s="183"/>
      <c r="U42" s="133"/>
      <c r="V42" s="133"/>
      <c r="W42" s="133"/>
      <c r="X42" s="133"/>
      <c r="Y42" s="133"/>
      <c r="Z42" s="133"/>
    </row>
    <row r="43" spans="2:26">
      <c r="B43" s="8">
        <v>3013</v>
      </c>
      <c r="C43" s="94" t="s">
        <v>32</v>
      </c>
      <c r="D43" s="94" t="s">
        <v>189</v>
      </c>
      <c r="F43" s="185"/>
      <c r="G43" s="133"/>
      <c r="H43" s="133"/>
      <c r="I43" s="133"/>
      <c r="J43" s="133"/>
      <c r="K43" s="133"/>
      <c r="L43" s="133"/>
      <c r="M43" s="21"/>
      <c r="N43" s="183"/>
      <c r="O43" s="183"/>
      <c r="P43" s="183"/>
      <c r="Q43" s="183"/>
      <c r="R43" s="183"/>
      <c r="S43" s="183"/>
      <c r="U43" s="133"/>
      <c r="V43" s="133"/>
      <c r="W43" s="133"/>
      <c r="X43" s="133"/>
      <c r="Y43" s="133"/>
      <c r="Z43" s="133"/>
    </row>
    <row r="44" spans="2:26">
      <c r="B44" s="8">
        <v>3013</v>
      </c>
      <c r="C44" s="94" t="s">
        <v>32</v>
      </c>
      <c r="D44" s="94" t="s">
        <v>190</v>
      </c>
      <c r="F44" s="185"/>
      <c r="G44" s="133"/>
      <c r="H44" s="133"/>
      <c r="I44" s="133"/>
      <c r="J44" s="133"/>
      <c r="K44" s="133"/>
      <c r="L44" s="133"/>
      <c r="M44" s="21"/>
      <c r="N44" s="183"/>
      <c r="O44" s="183"/>
      <c r="P44" s="183"/>
      <c r="Q44" s="183"/>
      <c r="R44" s="183"/>
      <c r="S44" s="183"/>
      <c r="U44" s="133"/>
      <c r="V44" s="133"/>
      <c r="W44" s="133"/>
      <c r="X44" s="133"/>
      <c r="Y44" s="133"/>
      <c r="Z44" s="133"/>
    </row>
    <row r="45" spans="2:26">
      <c r="B45" s="8">
        <v>3014</v>
      </c>
      <c r="C45" s="94" t="s">
        <v>33</v>
      </c>
      <c r="D45" s="94" t="s">
        <v>358</v>
      </c>
      <c r="F45" s="133"/>
      <c r="G45" s="132">
        <v>200000</v>
      </c>
      <c r="H45" s="132">
        <v>200000</v>
      </c>
      <c r="I45" s="132">
        <v>200000</v>
      </c>
      <c r="J45" s="132">
        <v>200000</v>
      </c>
      <c r="K45" s="132">
        <v>200000</v>
      </c>
      <c r="L45" s="132">
        <v>200000</v>
      </c>
      <c r="M45" s="21"/>
      <c r="N45" s="33">
        <v>1</v>
      </c>
      <c r="O45" s="33">
        <v>1</v>
      </c>
      <c r="P45" s="33">
        <v>1</v>
      </c>
      <c r="Q45" s="33">
        <v>1</v>
      </c>
      <c r="R45" s="33">
        <v>1</v>
      </c>
      <c r="S45" s="33">
        <v>1</v>
      </c>
      <c r="U45" s="133"/>
      <c r="V45" s="133"/>
      <c r="W45" s="133"/>
      <c r="X45" s="133"/>
      <c r="Y45" s="133"/>
      <c r="Z45" s="133"/>
    </row>
    <row r="46" spans="2:26">
      <c r="B46" s="8">
        <v>3014</v>
      </c>
      <c r="C46" s="94" t="s">
        <v>33</v>
      </c>
      <c r="D46" s="94" t="s">
        <v>359</v>
      </c>
      <c r="F46" s="185"/>
      <c r="G46" s="133"/>
      <c r="H46" s="133"/>
      <c r="I46" s="133"/>
      <c r="J46" s="133"/>
      <c r="K46" s="133"/>
      <c r="L46" s="133"/>
      <c r="M46" s="21"/>
      <c r="N46" s="183"/>
      <c r="O46" s="183"/>
      <c r="P46" s="183"/>
      <c r="Q46" s="183"/>
      <c r="R46" s="183"/>
      <c r="S46" s="183"/>
      <c r="U46" s="133"/>
      <c r="V46" s="133"/>
      <c r="W46" s="133"/>
      <c r="X46" s="133"/>
      <c r="Y46" s="133"/>
      <c r="Z46" s="133"/>
    </row>
    <row r="47" spans="2:26">
      <c r="B47" s="8">
        <v>3015</v>
      </c>
      <c r="C47" s="94" t="s">
        <v>34</v>
      </c>
      <c r="D47" s="94" t="s">
        <v>72</v>
      </c>
      <c r="F47" s="133"/>
      <c r="G47" s="132">
        <v>290000</v>
      </c>
      <c r="H47" s="132">
        <v>392500</v>
      </c>
      <c r="I47" s="132">
        <v>392500</v>
      </c>
      <c r="J47" s="132">
        <v>394500</v>
      </c>
      <c r="K47" s="132">
        <v>394500</v>
      </c>
      <c r="L47" s="132">
        <v>394500</v>
      </c>
      <c r="M47" s="21"/>
      <c r="N47" s="33">
        <v>1</v>
      </c>
      <c r="O47" s="33">
        <v>1</v>
      </c>
      <c r="P47" s="33">
        <v>1</v>
      </c>
      <c r="Q47" s="33">
        <v>1</v>
      </c>
      <c r="R47" s="33">
        <v>1</v>
      </c>
      <c r="S47" s="33">
        <v>1</v>
      </c>
      <c r="U47" s="133"/>
      <c r="V47" s="133"/>
      <c r="W47" s="133"/>
      <c r="X47" s="133"/>
      <c r="Y47" s="133"/>
      <c r="Z47" s="133"/>
    </row>
    <row r="48" spans="2:26">
      <c r="B48" s="8">
        <v>3016</v>
      </c>
      <c r="C48" s="94" t="s">
        <v>35</v>
      </c>
      <c r="D48" s="94" t="s">
        <v>35</v>
      </c>
      <c r="F48" s="133"/>
      <c r="G48" s="132">
        <v>430000</v>
      </c>
      <c r="H48" s="132">
        <v>393599</v>
      </c>
      <c r="I48" s="132">
        <v>351266</v>
      </c>
      <c r="J48" s="132">
        <v>317600</v>
      </c>
      <c r="K48" s="132">
        <v>1258650</v>
      </c>
      <c r="L48" s="132">
        <v>1343650</v>
      </c>
      <c r="M48" s="21"/>
      <c r="N48" s="33">
        <v>1</v>
      </c>
      <c r="O48" s="33">
        <v>1</v>
      </c>
      <c r="P48" s="33">
        <v>1</v>
      </c>
      <c r="Q48" s="33">
        <v>1</v>
      </c>
      <c r="R48" s="33">
        <v>1</v>
      </c>
      <c r="S48" s="33">
        <v>1</v>
      </c>
      <c r="U48" s="133"/>
      <c r="V48" s="133"/>
      <c r="W48" s="133"/>
      <c r="X48" s="133"/>
      <c r="Y48" s="133"/>
      <c r="Z48" s="133"/>
    </row>
    <row r="49" spans="2:26">
      <c r="B49" s="8">
        <v>3017</v>
      </c>
      <c r="C49" s="94" t="s">
        <v>36</v>
      </c>
      <c r="D49" s="94" t="s">
        <v>197</v>
      </c>
      <c r="F49" s="133"/>
      <c r="G49" s="133"/>
      <c r="H49" s="133"/>
      <c r="I49" s="133"/>
      <c r="J49" s="133"/>
      <c r="K49" s="133"/>
      <c r="L49" s="133"/>
      <c r="M49" s="21"/>
      <c r="N49" s="133"/>
      <c r="O49" s="133"/>
      <c r="P49" s="133"/>
      <c r="Q49" s="133"/>
      <c r="R49" s="133"/>
      <c r="S49" s="133"/>
      <c r="U49" s="33">
        <v>1500000</v>
      </c>
      <c r="V49" s="33">
        <v>2050000</v>
      </c>
      <c r="W49" s="33">
        <v>400000</v>
      </c>
      <c r="X49" s="33">
        <v>0</v>
      </c>
      <c r="Y49" s="33">
        <v>0</v>
      </c>
      <c r="Z49" s="33">
        <v>0</v>
      </c>
    </row>
    <row r="50" spans="2:26">
      <c r="B50" s="8">
        <v>3017</v>
      </c>
      <c r="C50" s="94" t="s">
        <v>36</v>
      </c>
      <c r="D50" s="94" t="s">
        <v>198</v>
      </c>
      <c r="F50" s="133"/>
      <c r="G50" s="133"/>
      <c r="H50" s="133"/>
      <c r="I50" s="133"/>
      <c r="J50" s="133"/>
      <c r="K50" s="133"/>
      <c r="L50" s="133"/>
      <c r="M50" s="21"/>
      <c r="N50" s="133"/>
      <c r="O50" s="133"/>
      <c r="P50" s="133"/>
      <c r="Q50" s="133"/>
      <c r="R50" s="133"/>
      <c r="S50" s="133"/>
      <c r="U50" s="33">
        <v>400000</v>
      </c>
      <c r="V50" s="33">
        <v>0</v>
      </c>
      <c r="W50" s="33">
        <v>1500000</v>
      </c>
      <c r="X50" s="33">
        <v>0</v>
      </c>
      <c r="Y50" s="33">
        <v>200000</v>
      </c>
      <c r="Z50" s="33">
        <v>0</v>
      </c>
    </row>
    <row r="51" spans="2:26">
      <c r="B51" s="8">
        <v>3017</v>
      </c>
      <c r="C51" s="94" t="s">
        <v>36</v>
      </c>
      <c r="D51" s="94" t="s">
        <v>199</v>
      </c>
      <c r="F51" s="133"/>
      <c r="G51" s="133"/>
      <c r="H51" s="133"/>
      <c r="I51" s="133"/>
      <c r="J51" s="133"/>
      <c r="K51" s="133"/>
      <c r="L51" s="133"/>
      <c r="M51" s="21"/>
      <c r="N51" s="133"/>
      <c r="O51" s="133"/>
      <c r="P51" s="133"/>
      <c r="Q51" s="133"/>
      <c r="R51" s="133"/>
      <c r="S51" s="133"/>
      <c r="U51" s="33">
        <v>200000</v>
      </c>
      <c r="V51" s="33">
        <v>900000</v>
      </c>
      <c r="W51" s="33">
        <v>0</v>
      </c>
      <c r="X51" s="33">
        <v>0</v>
      </c>
      <c r="Y51" s="33">
        <v>0</v>
      </c>
      <c r="Z51" s="33">
        <v>0</v>
      </c>
    </row>
    <row r="52" spans="2:26">
      <c r="B52" s="8">
        <v>3017</v>
      </c>
      <c r="C52" s="94" t="s">
        <v>36</v>
      </c>
      <c r="D52" s="94" t="s">
        <v>200</v>
      </c>
      <c r="F52" s="133"/>
      <c r="G52" s="133"/>
      <c r="H52" s="133"/>
      <c r="I52" s="133"/>
      <c r="J52" s="133"/>
      <c r="K52" s="133"/>
      <c r="L52" s="133"/>
      <c r="M52" s="21"/>
      <c r="N52" s="133"/>
      <c r="O52" s="133"/>
      <c r="P52" s="133"/>
      <c r="Q52" s="133"/>
      <c r="R52" s="133"/>
      <c r="S52" s="133"/>
      <c r="U52" s="33">
        <v>150000</v>
      </c>
      <c r="V52" s="33">
        <v>0</v>
      </c>
      <c r="W52" s="33">
        <v>0</v>
      </c>
      <c r="X52" s="33">
        <v>200000</v>
      </c>
      <c r="Y52" s="33">
        <v>200000</v>
      </c>
      <c r="Z52" s="33">
        <v>0</v>
      </c>
    </row>
    <row r="53" spans="2:26">
      <c r="B53" s="8">
        <v>3017</v>
      </c>
      <c r="C53" s="94" t="s">
        <v>36</v>
      </c>
      <c r="D53" s="94" t="s">
        <v>201</v>
      </c>
      <c r="F53" s="133"/>
      <c r="G53" s="133"/>
      <c r="H53" s="133"/>
      <c r="I53" s="133"/>
      <c r="J53" s="133"/>
      <c r="K53" s="133"/>
      <c r="L53" s="133"/>
      <c r="M53" s="21"/>
      <c r="N53" s="133"/>
      <c r="O53" s="133"/>
      <c r="P53" s="133"/>
      <c r="Q53" s="133"/>
      <c r="R53" s="133"/>
      <c r="S53" s="133"/>
      <c r="U53" s="33">
        <v>400000</v>
      </c>
      <c r="V53" s="33">
        <v>2089000</v>
      </c>
      <c r="W53" s="33">
        <v>430000</v>
      </c>
      <c r="X53" s="33">
        <v>360000</v>
      </c>
      <c r="Y53" s="33">
        <v>1510000</v>
      </c>
      <c r="Z53" s="168"/>
    </row>
    <row r="54" spans="2:26">
      <c r="B54" s="8">
        <v>3017</v>
      </c>
      <c r="C54" s="94" t="s">
        <v>36</v>
      </c>
      <c r="D54" s="94" t="s">
        <v>202</v>
      </c>
      <c r="F54" s="133"/>
      <c r="G54" s="133"/>
      <c r="H54" s="133"/>
      <c r="I54" s="133"/>
      <c r="J54" s="133"/>
      <c r="K54" s="133"/>
      <c r="L54" s="133"/>
      <c r="M54" s="21"/>
      <c r="N54" s="133"/>
      <c r="O54" s="133"/>
      <c r="P54" s="133"/>
      <c r="Q54" s="133"/>
      <c r="R54" s="133"/>
      <c r="S54" s="133"/>
      <c r="U54" s="33">
        <v>1500000</v>
      </c>
      <c r="V54" s="33">
        <v>1500000</v>
      </c>
      <c r="W54" s="33">
        <v>500000</v>
      </c>
      <c r="X54" s="33">
        <v>0</v>
      </c>
      <c r="Y54" s="33">
        <v>0</v>
      </c>
      <c r="Z54" s="33">
        <v>1000000</v>
      </c>
    </row>
    <row r="55" spans="2:26">
      <c r="B55" s="8">
        <v>3018</v>
      </c>
      <c r="C55" s="94" t="s">
        <v>37</v>
      </c>
      <c r="D55" s="94" t="s">
        <v>205</v>
      </c>
      <c r="F55" s="133"/>
      <c r="G55" s="133"/>
      <c r="H55" s="133"/>
      <c r="I55" s="133"/>
      <c r="J55" s="133"/>
      <c r="K55" s="133"/>
      <c r="L55" s="133"/>
      <c r="M55" s="21"/>
      <c r="N55" s="133"/>
      <c r="O55" s="133"/>
      <c r="P55" s="133"/>
      <c r="Q55" s="133"/>
      <c r="R55" s="133"/>
      <c r="S55" s="133"/>
      <c r="U55" s="33">
        <v>0</v>
      </c>
      <c r="V55" s="33">
        <v>15000</v>
      </c>
      <c r="W55" s="33">
        <v>20000</v>
      </c>
      <c r="X55" s="33">
        <v>20000</v>
      </c>
      <c r="Y55" s="33">
        <v>20000</v>
      </c>
      <c r="Z55" s="33">
        <v>20000</v>
      </c>
    </row>
    <row r="56" spans="2:26">
      <c r="B56" s="8">
        <v>3019</v>
      </c>
      <c r="C56" s="94" t="s">
        <v>219</v>
      </c>
      <c r="D56" s="94" t="s">
        <v>219</v>
      </c>
      <c r="F56" s="132">
        <v>1942.01823524975</v>
      </c>
      <c r="G56" s="133"/>
      <c r="H56" s="133"/>
      <c r="I56" s="133"/>
      <c r="J56" s="133"/>
      <c r="K56" s="133"/>
      <c r="L56" s="133"/>
      <c r="M56" s="21"/>
      <c r="N56" s="33">
        <v>15253.680492358082</v>
      </c>
      <c r="O56" s="176">
        <v>17377.03597220518</v>
      </c>
      <c r="P56" s="176">
        <v>17671.560182002133</v>
      </c>
      <c r="Q56" s="176">
        <v>18022.899817495887</v>
      </c>
      <c r="R56" s="176">
        <v>18421.158961037472</v>
      </c>
      <c r="S56" s="176">
        <v>17516.764212989983</v>
      </c>
      <c r="U56" s="133"/>
      <c r="V56" s="133"/>
      <c r="W56" s="133"/>
      <c r="X56" s="133"/>
      <c r="Y56" s="133"/>
      <c r="Z56" s="133"/>
    </row>
    <row r="57" spans="2:26">
      <c r="B57" s="8">
        <v>3020</v>
      </c>
      <c r="C57" s="94" t="s">
        <v>220</v>
      </c>
      <c r="D57" s="94" t="s">
        <v>365</v>
      </c>
      <c r="F57" s="132">
        <v>17784.32133802817</v>
      </c>
      <c r="G57" s="133"/>
      <c r="H57" s="133"/>
      <c r="I57" s="133"/>
      <c r="J57" s="133"/>
      <c r="K57" s="133"/>
      <c r="L57" s="133"/>
      <c r="M57" s="21"/>
      <c r="N57" s="33">
        <v>252</v>
      </c>
      <c r="O57" s="176">
        <v>269.5954391687568</v>
      </c>
      <c r="P57" s="176">
        <v>274.47105646549471</v>
      </c>
      <c r="Q57" s="176">
        <v>279.02090215228623</v>
      </c>
      <c r="R57" s="176">
        <v>284.12590917412342</v>
      </c>
      <c r="S57" s="176">
        <v>274.17745848206289</v>
      </c>
      <c r="U57" s="133"/>
      <c r="V57" s="133"/>
      <c r="W57" s="133"/>
      <c r="X57" s="133"/>
      <c r="Y57" s="133"/>
      <c r="Z57" s="133"/>
    </row>
    <row r="58" spans="2:26">
      <c r="B58" s="8">
        <v>3021</v>
      </c>
      <c r="C58" s="94" t="s">
        <v>221</v>
      </c>
      <c r="D58" s="94" t="s">
        <v>210</v>
      </c>
      <c r="F58" s="133"/>
      <c r="G58" s="133"/>
      <c r="H58" s="133"/>
      <c r="I58" s="133"/>
      <c r="J58" s="133"/>
      <c r="K58" s="133"/>
      <c r="L58" s="133"/>
      <c r="M58" s="21"/>
      <c r="N58" s="133"/>
      <c r="O58" s="133"/>
      <c r="P58" s="133"/>
      <c r="Q58" s="133"/>
      <c r="R58" s="133"/>
      <c r="S58" s="133"/>
      <c r="U58" s="33">
        <v>1263000</v>
      </c>
      <c r="V58" s="33">
        <v>1263000</v>
      </c>
      <c r="W58" s="33">
        <v>1263000</v>
      </c>
      <c r="X58" s="33">
        <v>1263000</v>
      </c>
      <c r="Y58" s="33">
        <v>1263000</v>
      </c>
      <c r="Z58" s="33">
        <v>1263000</v>
      </c>
    </row>
    <row r="59" spans="2:26">
      <c r="B59" s="8">
        <v>3022</v>
      </c>
      <c r="C59" s="94" t="s">
        <v>38</v>
      </c>
      <c r="D59" s="94" t="s">
        <v>212</v>
      </c>
      <c r="F59" s="133"/>
      <c r="G59" s="133"/>
      <c r="H59" s="133"/>
      <c r="I59" s="133"/>
      <c r="J59" s="133"/>
      <c r="K59" s="133"/>
      <c r="L59" s="133"/>
      <c r="M59" s="21"/>
      <c r="N59" s="133"/>
      <c r="O59" s="133"/>
      <c r="P59" s="133"/>
      <c r="Q59" s="133"/>
      <c r="R59" s="133"/>
      <c r="S59" s="133"/>
      <c r="U59" s="168">
        <v>1156974.5008757694</v>
      </c>
      <c r="V59" s="168">
        <v>1156974.5008757694</v>
      </c>
      <c r="W59" s="168">
        <v>1156974.5008757694</v>
      </c>
      <c r="X59" s="168">
        <v>1156974.5008757694</v>
      </c>
      <c r="Y59" s="168">
        <v>1156974.5008757694</v>
      </c>
      <c r="Z59" s="168">
        <v>1156974.5008757694</v>
      </c>
    </row>
    <row r="60" spans="2:26">
      <c r="B60" s="8">
        <v>3023</v>
      </c>
      <c r="C60" s="94" t="s">
        <v>39</v>
      </c>
      <c r="D60" s="94" t="s">
        <v>39</v>
      </c>
      <c r="F60" s="133"/>
      <c r="G60" s="133"/>
      <c r="H60" s="133"/>
      <c r="I60" s="133"/>
      <c r="J60" s="133"/>
      <c r="K60" s="133"/>
      <c r="L60" s="133"/>
      <c r="M60" s="21"/>
      <c r="N60" s="133"/>
      <c r="O60" s="133"/>
      <c r="P60" s="133"/>
      <c r="Q60" s="133"/>
      <c r="R60" s="133"/>
      <c r="S60" s="133"/>
      <c r="U60" s="33">
        <v>2736750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</row>
    <row r="61" spans="2:26">
      <c r="B61" s="8">
        <v>3024</v>
      </c>
      <c r="C61" s="94" t="s">
        <v>40</v>
      </c>
      <c r="D61" s="94" t="s">
        <v>40</v>
      </c>
      <c r="F61" s="133"/>
      <c r="G61" s="133"/>
      <c r="H61" s="133"/>
      <c r="I61" s="133"/>
      <c r="J61" s="133"/>
      <c r="K61" s="133"/>
      <c r="L61" s="133"/>
      <c r="M61" s="21"/>
      <c r="N61" s="133"/>
      <c r="O61" s="133"/>
      <c r="P61" s="133"/>
      <c r="Q61" s="133"/>
      <c r="R61" s="133"/>
      <c r="S61" s="133"/>
      <c r="U61" s="133"/>
      <c r="V61" s="133"/>
      <c r="W61" s="133"/>
      <c r="X61" s="133"/>
      <c r="Y61" s="133"/>
      <c r="Z61" s="133"/>
    </row>
    <row r="62" spans="2:26">
      <c r="B62" s="8">
        <v>3025</v>
      </c>
      <c r="C62" s="94" t="s">
        <v>41</v>
      </c>
      <c r="D62" s="94" t="s">
        <v>216</v>
      </c>
      <c r="F62" s="133"/>
      <c r="G62" s="133"/>
      <c r="H62" s="133"/>
      <c r="I62" s="133"/>
      <c r="J62" s="133"/>
      <c r="K62" s="133"/>
      <c r="L62" s="133"/>
      <c r="M62" s="21"/>
      <c r="N62" s="133"/>
      <c r="O62" s="133"/>
      <c r="P62" s="133"/>
      <c r="Q62" s="133"/>
      <c r="R62" s="133"/>
      <c r="S62" s="133"/>
      <c r="U62" s="33">
        <v>528800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2:26">
      <c r="B63" s="8"/>
      <c r="C63" s="94" t="s">
        <v>225</v>
      </c>
      <c r="D63" s="94" t="s">
        <v>158</v>
      </c>
      <c r="F63" s="133"/>
      <c r="G63" s="133"/>
      <c r="H63" s="133"/>
      <c r="I63" s="133"/>
      <c r="J63" s="133"/>
      <c r="K63" s="133"/>
      <c r="L63" s="133"/>
      <c r="N63" s="133"/>
      <c r="O63" s="133"/>
      <c r="P63" s="133"/>
      <c r="Q63" s="133"/>
      <c r="R63" s="133"/>
      <c r="S63" s="133"/>
      <c r="U63" s="33">
        <v>1644768.7859199999</v>
      </c>
      <c r="V63" s="33">
        <v>1019536.6272</v>
      </c>
      <c r="W63" s="33">
        <v>847411.21919999993</v>
      </c>
      <c r="X63" s="33">
        <v>226118.43071999997</v>
      </c>
      <c r="Y63" s="33">
        <v>128321.35679999999</v>
      </c>
      <c r="Z63" s="33">
        <v>109243.68</v>
      </c>
    </row>
    <row r="64" spans="2:26">
      <c r="B64" s="8"/>
      <c r="C64" s="94" t="s">
        <v>225</v>
      </c>
      <c r="D64" s="94" t="s">
        <v>159</v>
      </c>
      <c r="F64" s="133"/>
      <c r="G64" s="133"/>
      <c r="H64" s="133"/>
      <c r="I64" s="133"/>
      <c r="J64" s="133"/>
      <c r="K64" s="133"/>
      <c r="L64" s="133"/>
      <c r="N64" s="133"/>
      <c r="O64" s="133"/>
      <c r="P64" s="133"/>
      <c r="Q64" s="133"/>
      <c r="R64" s="133"/>
      <c r="S64" s="133"/>
      <c r="U64" s="33">
        <v>1876574.4857599998</v>
      </c>
      <c r="V64" s="33">
        <v>1278331.4957074861</v>
      </c>
      <c r="W64" s="33">
        <v>2608361.3841529265</v>
      </c>
      <c r="X64" s="33">
        <v>1580160.4895179451</v>
      </c>
      <c r="Y64" s="33">
        <v>1666784.0480468208</v>
      </c>
      <c r="Z64" s="33">
        <v>1664341.5893487157</v>
      </c>
    </row>
    <row r="65" spans="1:26">
      <c r="B65" s="8"/>
      <c r="C65" s="94" t="s">
        <v>225</v>
      </c>
      <c r="D65" s="94" t="s">
        <v>160</v>
      </c>
      <c r="F65" s="133"/>
      <c r="G65" s="133"/>
      <c r="H65" s="133"/>
      <c r="I65" s="133"/>
      <c r="J65" s="133"/>
      <c r="K65" s="133"/>
      <c r="L65" s="133"/>
      <c r="N65" s="133"/>
      <c r="O65" s="133"/>
      <c r="P65" s="133"/>
      <c r="Q65" s="133"/>
      <c r="R65" s="133"/>
      <c r="S65" s="133"/>
      <c r="U65" s="33">
        <v>1250715.03232</v>
      </c>
      <c r="V65" s="33">
        <v>836562.60657347366</v>
      </c>
      <c r="W65" s="33">
        <v>716919.75843334734</v>
      </c>
      <c r="X65" s="33">
        <v>1360756.5719575577</v>
      </c>
      <c r="Y65" s="33">
        <v>1256647.4440175158</v>
      </c>
      <c r="Z65" s="33">
        <v>286858.44408656837</v>
      </c>
    </row>
    <row r="66" spans="1:26">
      <c r="B66" s="8"/>
      <c r="C66" s="94" t="s">
        <v>225</v>
      </c>
      <c r="D66" s="94" t="s">
        <v>161</v>
      </c>
      <c r="F66" s="133"/>
      <c r="G66" s="133"/>
      <c r="H66" s="133"/>
      <c r="I66" s="133"/>
      <c r="J66" s="133"/>
      <c r="K66" s="133"/>
      <c r="L66" s="133"/>
      <c r="N66" s="133"/>
      <c r="O66" s="133"/>
      <c r="P66" s="133"/>
      <c r="Q66" s="133"/>
      <c r="R66" s="133"/>
      <c r="S66" s="133"/>
      <c r="U66" s="33">
        <v>1237449.47456</v>
      </c>
      <c r="V66" s="33">
        <v>1769166.2601740125</v>
      </c>
      <c r="W66" s="33">
        <v>553538.99331923528</v>
      </c>
      <c r="X66" s="33">
        <v>3283.8967221018947</v>
      </c>
      <c r="Y66" s="33">
        <v>3283.8967221018947</v>
      </c>
      <c r="Z66" s="33">
        <v>19703.380332611367</v>
      </c>
    </row>
    <row r="67" spans="1:26">
      <c r="B67" s="8"/>
      <c r="C67" s="94" t="s">
        <v>225</v>
      </c>
      <c r="D67" s="94" t="s">
        <v>162</v>
      </c>
      <c r="F67" s="133"/>
      <c r="G67" s="133"/>
      <c r="H67" s="133"/>
      <c r="I67" s="133"/>
      <c r="J67" s="133"/>
      <c r="K67" s="133"/>
      <c r="L67" s="133"/>
      <c r="N67" s="133"/>
      <c r="O67" s="133"/>
      <c r="P67" s="133"/>
      <c r="Q67" s="133"/>
      <c r="R67" s="133"/>
      <c r="S67" s="133"/>
      <c r="U67" s="33">
        <v>857964.59007999999</v>
      </c>
      <c r="V67" s="33">
        <v>202500.47999999998</v>
      </c>
      <c r="W67" s="33">
        <v>752022.83519999997</v>
      </c>
      <c r="X67" s="33">
        <v>2666869.5056639998</v>
      </c>
      <c r="Y67" s="33">
        <v>677502.65856000001</v>
      </c>
      <c r="Z67" s="33">
        <v>950686.46399999992</v>
      </c>
    </row>
    <row r="68" spans="1:26">
      <c r="B68" s="8"/>
      <c r="C68" s="94" t="s">
        <v>225</v>
      </c>
      <c r="D68" s="94" t="s">
        <v>163</v>
      </c>
      <c r="F68" s="133"/>
      <c r="G68" s="133"/>
      <c r="H68" s="133"/>
      <c r="I68" s="133"/>
      <c r="J68" s="133"/>
      <c r="K68" s="133"/>
      <c r="L68" s="133"/>
      <c r="N68" s="133"/>
      <c r="O68" s="133"/>
      <c r="P68" s="133"/>
      <c r="Q68" s="133"/>
      <c r="R68" s="133"/>
      <c r="S68" s="133"/>
      <c r="U68" s="33">
        <v>96454.175999999992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</row>
    <row r="69" spans="1:26">
      <c r="B69" s="8"/>
      <c r="C69" s="94" t="s">
        <v>225</v>
      </c>
      <c r="D69" s="94" t="s">
        <v>164</v>
      </c>
      <c r="F69" s="133"/>
      <c r="G69" s="133"/>
      <c r="H69" s="133"/>
      <c r="I69" s="133"/>
      <c r="J69" s="133"/>
      <c r="K69" s="133"/>
      <c r="L69" s="133"/>
      <c r="N69" s="133"/>
      <c r="O69" s="133"/>
      <c r="P69" s="133"/>
      <c r="Q69" s="133"/>
      <c r="R69" s="133"/>
      <c r="S69" s="133"/>
      <c r="U69" s="33">
        <v>885876.15999999992</v>
      </c>
      <c r="V69" s="168">
        <v>1146684.7744086445</v>
      </c>
      <c r="W69" s="168">
        <v>2767510.6293760804</v>
      </c>
      <c r="X69" s="168">
        <v>1818720.9287094316</v>
      </c>
      <c r="Y69" s="168">
        <v>134197.44307103695</v>
      </c>
      <c r="Z69" s="168">
        <v>0</v>
      </c>
    </row>
    <row r="70" spans="1:26">
      <c r="B70" s="8"/>
      <c r="C70" s="94" t="s">
        <v>225</v>
      </c>
      <c r="D70" s="94" t="s">
        <v>165</v>
      </c>
      <c r="F70" s="133"/>
      <c r="G70" s="133"/>
      <c r="H70" s="133"/>
      <c r="I70" s="133"/>
      <c r="J70" s="133"/>
      <c r="K70" s="133"/>
      <c r="L70" s="133"/>
      <c r="N70" s="133"/>
      <c r="O70" s="133"/>
      <c r="P70" s="133"/>
      <c r="Q70" s="133"/>
      <c r="R70" s="133"/>
      <c r="S70" s="133"/>
      <c r="U70" s="33">
        <v>4164065.5846399995</v>
      </c>
      <c r="V70" s="33">
        <v>6785116.3957944317</v>
      </c>
      <c r="W70" s="33">
        <v>5904104.9210005505</v>
      </c>
      <c r="X70" s="33">
        <v>3884758.8566375673</v>
      </c>
      <c r="Y70" s="33">
        <v>5148779.9701488037</v>
      </c>
      <c r="Z70" s="33">
        <v>3024166.2975517097</v>
      </c>
    </row>
    <row r="71" spans="1:26">
      <c r="B71" s="8"/>
      <c r="C71" s="94" t="s">
        <v>225</v>
      </c>
      <c r="D71" s="94" t="s">
        <v>414</v>
      </c>
      <c r="F71" s="133"/>
      <c r="G71" s="133"/>
      <c r="H71" s="133"/>
      <c r="I71" s="133"/>
      <c r="J71" s="133"/>
      <c r="K71" s="133"/>
      <c r="L71" s="133"/>
      <c r="N71" s="133"/>
      <c r="O71" s="133"/>
      <c r="P71" s="133"/>
      <c r="Q71" s="133"/>
      <c r="R71" s="133"/>
      <c r="S71" s="133"/>
      <c r="U71" s="33">
        <v>325419.79391999997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</row>
    <row r="72" spans="1:26">
      <c r="B72" s="8"/>
      <c r="C72" s="94" t="s">
        <v>218</v>
      </c>
      <c r="D72" s="94" t="s">
        <v>218</v>
      </c>
      <c r="F72" s="133"/>
      <c r="G72" s="133"/>
      <c r="H72" s="133"/>
      <c r="I72" s="133"/>
      <c r="J72" s="133"/>
      <c r="K72" s="133"/>
      <c r="L72" s="133"/>
      <c r="N72" s="133"/>
      <c r="O72" s="133"/>
      <c r="P72" s="133"/>
      <c r="Q72" s="133"/>
      <c r="R72" s="133"/>
      <c r="S72" s="133"/>
      <c r="U72" s="33">
        <v>353334.14404138026</v>
      </c>
      <c r="V72" s="33">
        <v>353334.14404138026</v>
      </c>
      <c r="W72" s="33">
        <v>353334.14404138026</v>
      </c>
      <c r="X72" s="33">
        <v>353334.14404138026</v>
      </c>
      <c r="Y72" s="33">
        <v>353334.14404138026</v>
      </c>
      <c r="Z72" s="33">
        <v>353334.14404138026</v>
      </c>
    </row>
    <row r="74" spans="1:26" s="1" customFormat="1">
      <c r="A74" s="2"/>
      <c r="B74" s="2" t="s">
        <v>42</v>
      </c>
    </row>
    <row r="76" spans="1:26">
      <c r="U76" s="45">
        <f>'[24]AMP inputs'!$U$59</f>
        <v>2180510.2966763587</v>
      </c>
    </row>
    <row r="77" spans="1:26">
      <c r="U77" s="45">
        <f>U59</f>
        <v>1156974.5008757694</v>
      </c>
    </row>
  </sheetData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F0"/>
  </sheetPr>
  <dimension ref="A1:BI399"/>
  <sheetViews>
    <sheetView zoomScaleNormal="100" workbookViewId="0">
      <selection activeCell="P73" sqref="P73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16" width="12.28515625" style="4" customWidth="1"/>
    <col min="17" max="17" width="16.85546875" style="4" customWidth="1"/>
    <col min="18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2</v>
      </c>
    </row>
    <row r="2" spans="1:7" s="1" customFormat="1">
      <c r="A2" s="3" t="s">
        <v>106</v>
      </c>
    </row>
    <row r="3" spans="1:7" s="1" customFormat="1">
      <c r="A3" s="3" t="s">
        <v>95</v>
      </c>
    </row>
    <row r="4" spans="1:7" s="1" customFormat="1">
      <c r="A4" s="22" t="s">
        <v>43</v>
      </c>
    </row>
    <row r="6" spans="1:7" s="1" customFormat="1">
      <c r="A6" s="2">
        <v>2</v>
      </c>
      <c r="B6" s="2" t="s">
        <v>45</v>
      </c>
    </row>
    <row r="9" spans="1:7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</row>
    <row r="10" spans="1:7">
      <c r="B10" s="8" t="s">
        <v>132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7"/>
      <c r="G13" s="27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51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90" t="s">
        <v>52</v>
      </c>
      <c r="I28" s="190"/>
      <c r="J28" s="190"/>
      <c r="K28" s="190"/>
      <c r="L28" s="190"/>
      <c r="M28" s="190" t="s">
        <v>53</v>
      </c>
      <c r="N28" s="190"/>
      <c r="O28" s="190"/>
      <c r="P28" s="190"/>
      <c r="Q28" s="190"/>
      <c r="R28" s="190" t="s">
        <v>54</v>
      </c>
      <c r="S28" s="190"/>
      <c r="T28" s="190"/>
      <c r="U28" s="190"/>
      <c r="V28" s="190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>IF(B10&lt;&gt;"",B10,"[blank]")</f>
        <v>Low pressure mains replacement program</v>
      </c>
      <c r="D31" s="31" t="s">
        <v>58</v>
      </c>
      <c r="E31" s="31"/>
      <c r="P31" s="104"/>
      <c r="Q31" s="103">
        <f>'AMP inputs'!G10*'General assumptions'!$S$21*($D10*'General assumptions'!T$35+$E10*'General assumptions'!T$36+$G10*'General assumptions'!T$42)</f>
        <v>232.4408496334288</v>
      </c>
      <c r="R31" s="103">
        <f>'AMP inputs'!H10*'General assumptions'!$S$21*($D10*'General assumptions'!U$35+$E10*'General assumptions'!U$36+$G10*'General assumptions'!U$42)</f>
        <v>291.43729396315069</v>
      </c>
      <c r="S31" s="103">
        <f>'AMP inputs'!I10*'General assumptions'!$S$21*($D10*'General assumptions'!V$35+$E10*'General assumptions'!V$36+$G10*'General assumptions'!V$42)</f>
        <v>275.66600022054655</v>
      </c>
      <c r="T31" s="103">
        <f>'AMP inputs'!J10*'General assumptions'!$S$21*($D10*'General assumptions'!W$35+$E10*'General assumptions'!W$36+$G10*'General assumptions'!W$42)</f>
        <v>288.57000756763978</v>
      </c>
      <c r="U31" s="103">
        <f>'AMP inputs'!K10*'General assumptions'!$S$21*($D10*'General assumptions'!X$35+$E10*'General assumptions'!X$36+$G10*'General assumptions'!X$42)</f>
        <v>248.80508101191174</v>
      </c>
      <c r="V31" s="103">
        <f>'AMP inputs'!L10*'General assumptions'!$S$21*($D10*'General assumptions'!Y$35+$E10*'General assumptions'!Y$36+$G10*'General assumptions'!Y$42)</f>
        <v>238.71437007858927</v>
      </c>
      <c r="W31" s="67"/>
      <c r="X31" s="20"/>
    </row>
    <row r="32" spans="1:24">
      <c r="B32" s="4" t="str">
        <f t="shared" ref="B32:B45" si="0">IF(B11&lt;&gt;"",B11,"[blank]")</f>
        <v>[blank]</v>
      </c>
      <c r="D32" s="31"/>
      <c r="E32" s="31"/>
    </row>
    <row r="33" spans="1:4">
      <c r="B33" s="4" t="str">
        <f t="shared" si="0"/>
        <v>[blank]</v>
      </c>
      <c r="D33" s="31"/>
    </row>
    <row r="34" spans="1:4">
      <c r="B34" s="4" t="str">
        <f t="shared" si="0"/>
        <v>[blank]</v>
      </c>
      <c r="D34" s="31"/>
    </row>
    <row r="35" spans="1:4">
      <c r="B35" s="4" t="str">
        <f t="shared" si="0"/>
        <v>[blank]</v>
      </c>
      <c r="D35" s="31"/>
    </row>
    <row r="36" spans="1:4">
      <c r="B36" s="4" t="str">
        <f t="shared" si="0"/>
        <v>[blank]</v>
      </c>
      <c r="D36" s="31"/>
    </row>
    <row r="37" spans="1:4">
      <c r="B37" s="4" t="str">
        <f t="shared" si="0"/>
        <v>[blank]</v>
      </c>
      <c r="D37" s="31"/>
    </row>
    <row r="38" spans="1:4">
      <c r="B38" s="4" t="str">
        <f t="shared" si="0"/>
        <v>[blank]</v>
      </c>
      <c r="D38" s="31"/>
    </row>
    <row r="39" spans="1:4">
      <c r="B39" s="4" t="str">
        <f t="shared" si="0"/>
        <v>[blank]</v>
      </c>
      <c r="D39" s="31"/>
    </row>
    <row r="40" spans="1:4">
      <c r="B40" s="4" t="str">
        <f t="shared" si="0"/>
        <v>[blank]</v>
      </c>
      <c r="D40" s="31"/>
    </row>
    <row r="41" spans="1:4">
      <c r="B41" s="4" t="str">
        <f t="shared" si="0"/>
        <v>[blank]</v>
      </c>
      <c r="D41" s="31"/>
    </row>
    <row r="42" spans="1:4">
      <c r="B42" s="4" t="str">
        <f t="shared" si="0"/>
        <v>[blank]</v>
      </c>
      <c r="D42" s="31"/>
    </row>
    <row r="43" spans="1:4">
      <c r="B43" s="4" t="str">
        <f t="shared" si="0"/>
        <v>[blank]</v>
      </c>
      <c r="D43" s="31"/>
    </row>
    <row r="44" spans="1:4">
      <c r="B44" s="4" t="str">
        <f t="shared" si="0"/>
        <v>[blank]</v>
      </c>
      <c r="D44" s="31"/>
    </row>
    <row r="45" spans="1:4">
      <c r="B45" s="4" t="str">
        <f t="shared" si="0"/>
        <v>[blank]</v>
      </c>
      <c r="D45" s="31"/>
    </row>
    <row r="47" spans="1:4" s="1" customFormat="1">
      <c r="A47" s="2">
        <v>4</v>
      </c>
      <c r="B47" s="2" t="s">
        <v>56</v>
      </c>
    </row>
    <row r="49" spans="2:24">
      <c r="H49" s="190" t="s">
        <v>52</v>
      </c>
      <c r="I49" s="190"/>
      <c r="J49" s="190"/>
      <c r="K49" s="190"/>
      <c r="L49" s="190"/>
      <c r="M49" s="190" t="s">
        <v>53</v>
      </c>
      <c r="N49" s="190"/>
      <c r="O49" s="190"/>
      <c r="P49" s="190"/>
      <c r="Q49" s="190"/>
      <c r="R49" s="190" t="s">
        <v>54</v>
      </c>
      <c r="S49" s="190"/>
      <c r="T49" s="190"/>
      <c r="U49" s="190"/>
      <c r="V49" s="190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46</v>
      </c>
      <c r="D51" s="29" t="s">
        <v>55</v>
      </c>
      <c r="H51" s="16" t="s">
        <v>12</v>
      </c>
      <c r="I51" s="16" t="s">
        <v>12</v>
      </c>
      <c r="J51" s="16" t="s">
        <v>12</v>
      </c>
      <c r="K51" s="16" t="s">
        <v>12</v>
      </c>
      <c r="L51" s="16" t="s">
        <v>12</v>
      </c>
      <c r="M51" s="16" t="s">
        <v>12</v>
      </c>
      <c r="N51" s="16" t="s">
        <v>12</v>
      </c>
      <c r="O51" s="16" t="s">
        <v>12</v>
      </c>
      <c r="P51" s="16" t="s">
        <v>13</v>
      </c>
      <c r="Q51" s="16" t="s">
        <v>13</v>
      </c>
      <c r="R51" s="16" t="s">
        <v>13</v>
      </c>
      <c r="S51" s="16" t="s">
        <v>13</v>
      </c>
      <c r="T51" s="16" t="s">
        <v>13</v>
      </c>
      <c r="U51" s="16" t="s">
        <v>13</v>
      </c>
      <c r="V51" s="16" t="s">
        <v>13</v>
      </c>
    </row>
    <row r="52" spans="2:24">
      <c r="B52" s="4" t="str">
        <f>IF(B10&lt;&gt;"",B10,"[blank]")</f>
        <v>Low pressure mains replacement program</v>
      </c>
      <c r="D52" s="31" t="s">
        <v>57</v>
      </c>
      <c r="P52" s="77"/>
      <c r="Q52" s="33">
        <f>'AMP inputs'!N10</f>
        <v>90000</v>
      </c>
      <c r="R52" s="33">
        <f>'AMP inputs'!O10</f>
        <v>70000</v>
      </c>
      <c r="S52" s="33">
        <f>'AMP inputs'!P10</f>
        <v>70000</v>
      </c>
      <c r="T52" s="33">
        <f>'AMP inputs'!Q10</f>
        <v>70000</v>
      </c>
      <c r="U52" s="33">
        <f>'AMP inputs'!R10</f>
        <v>70000</v>
      </c>
      <c r="V52" s="33">
        <f>'AMP inputs'!S10</f>
        <v>70000</v>
      </c>
      <c r="X52" s="20"/>
    </row>
    <row r="53" spans="2:24">
      <c r="B53" s="4" t="str">
        <f t="shared" ref="B53:B66" si="1">IF(B11&lt;&gt;"",B11,"[blank]")</f>
        <v>[blank]</v>
      </c>
      <c r="D53" s="31"/>
    </row>
    <row r="54" spans="2:24">
      <c r="B54" s="4" t="str">
        <f t="shared" si="1"/>
        <v>[blank]</v>
      </c>
      <c r="D54" s="31"/>
    </row>
    <row r="55" spans="2:24">
      <c r="B55" s="4" t="str">
        <f t="shared" si="1"/>
        <v>[blank]</v>
      </c>
      <c r="D55" s="31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61</v>
      </c>
    </row>
    <row r="69" spans="1:61">
      <c r="Z69" s="5" t="s">
        <v>73</v>
      </c>
      <c r="AM69" s="5" t="s">
        <v>110</v>
      </c>
      <c r="BB69" s="5" t="s">
        <v>133</v>
      </c>
    </row>
    <row r="70" spans="1:61">
      <c r="H70" s="190" t="s">
        <v>52</v>
      </c>
      <c r="I70" s="190"/>
      <c r="J70" s="190"/>
      <c r="K70" s="190"/>
      <c r="L70" s="190"/>
      <c r="M70" s="190" t="s">
        <v>53</v>
      </c>
      <c r="N70" s="190"/>
      <c r="O70" s="190"/>
      <c r="P70" s="190"/>
      <c r="Q70" s="190"/>
      <c r="R70" s="190" t="s">
        <v>54</v>
      </c>
      <c r="S70" s="190"/>
      <c r="T70" s="190"/>
      <c r="U70" s="190"/>
      <c r="V70" s="190"/>
      <c r="X70" s="38"/>
      <c r="Z70" s="39" t="s">
        <v>69</v>
      </c>
      <c r="AA70" s="39" t="s">
        <v>70</v>
      </c>
      <c r="AB70" s="39" t="s">
        <v>71</v>
      </c>
      <c r="AC70" s="39" t="s">
        <v>72</v>
      </c>
      <c r="AD70" s="39" t="s">
        <v>64</v>
      </c>
      <c r="AE70" s="39" t="s">
        <v>65</v>
      </c>
      <c r="AF70" s="39" t="s">
        <v>66</v>
      </c>
      <c r="AG70" s="39" t="s">
        <v>107</v>
      </c>
      <c r="AH70" s="39" t="s">
        <v>67</v>
      </c>
      <c r="AI70" s="39" t="s">
        <v>68</v>
      </c>
      <c r="AJ70" s="39" t="s">
        <v>108</v>
      </c>
      <c r="AM70" s="39" t="s">
        <v>111</v>
      </c>
      <c r="AN70" s="39" t="s">
        <v>112</v>
      </c>
      <c r="AO70" s="39" t="s">
        <v>113</v>
      </c>
      <c r="AP70" s="39" t="s">
        <v>114</v>
      </c>
      <c r="AQ70" s="39" t="s">
        <v>115</v>
      </c>
      <c r="AR70" s="39" t="s">
        <v>36</v>
      </c>
      <c r="AS70" s="39" t="s">
        <v>116</v>
      </c>
      <c r="AT70" s="39" t="s">
        <v>35</v>
      </c>
      <c r="AU70" s="39" t="s">
        <v>117</v>
      </c>
      <c r="AV70" s="39" t="s">
        <v>118</v>
      </c>
      <c r="AW70" s="39" t="s">
        <v>119</v>
      </c>
      <c r="AX70" s="39" t="s">
        <v>74</v>
      </c>
      <c r="AY70" s="39" t="s">
        <v>75</v>
      </c>
      <c r="BB70" s="39" t="s">
        <v>134</v>
      </c>
      <c r="BC70" s="39" t="s">
        <v>135</v>
      </c>
      <c r="BD70" s="39" t="s">
        <v>136</v>
      </c>
      <c r="BE70" s="39" t="s">
        <v>107</v>
      </c>
      <c r="BF70" s="39" t="s">
        <v>137</v>
      </c>
      <c r="BG70" s="39" t="s">
        <v>138</v>
      </c>
      <c r="BH70" s="39" t="s">
        <v>108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63</v>
      </c>
    </row>
    <row r="72" spans="1:61">
      <c r="B72" s="5" t="s">
        <v>46</v>
      </c>
      <c r="D72" s="29" t="s">
        <v>55</v>
      </c>
      <c r="H72" s="16" t="s">
        <v>12</v>
      </c>
      <c r="I72" s="16" t="s">
        <v>12</v>
      </c>
      <c r="J72" s="16" t="s">
        <v>12</v>
      </c>
      <c r="K72" s="16" t="s">
        <v>12</v>
      </c>
      <c r="L72" s="16" t="s">
        <v>12</v>
      </c>
      <c r="M72" s="16" t="s">
        <v>12</v>
      </c>
      <c r="N72" s="16" t="s">
        <v>12</v>
      </c>
      <c r="O72" s="16" t="s">
        <v>12</v>
      </c>
      <c r="P72" s="16" t="s">
        <v>13</v>
      </c>
      <c r="Q72" s="16" t="s">
        <v>13</v>
      </c>
      <c r="R72" s="16" t="s">
        <v>13</v>
      </c>
      <c r="S72" s="16" t="s">
        <v>13</v>
      </c>
      <c r="T72" s="16" t="s">
        <v>13</v>
      </c>
      <c r="U72" s="16" t="s">
        <v>13</v>
      </c>
      <c r="V72" s="16" t="s">
        <v>13</v>
      </c>
      <c r="X72" s="32" t="s">
        <v>13</v>
      </c>
    </row>
    <row r="73" spans="1:61">
      <c r="B73" s="4" t="str">
        <f>IF(B10&lt;&gt;"",B10,"[blank]")</f>
        <v>Low pressure mains replacement program</v>
      </c>
      <c r="D73" s="31" t="s">
        <v>60</v>
      </c>
      <c r="O73" s="35"/>
      <c r="P73" s="35">
        <f t="shared" ref="P73:V73" si="2">P31*P52</f>
        <v>0</v>
      </c>
      <c r="Q73" s="174">
        <v>25487728.895799998</v>
      </c>
      <c r="R73" s="35">
        <f t="shared" si="2"/>
        <v>20400610.577420548</v>
      </c>
      <c r="S73" s="35">
        <f t="shared" si="2"/>
        <v>19296620.015438259</v>
      </c>
      <c r="T73" s="35">
        <f t="shared" si="2"/>
        <v>20199900.529734783</v>
      </c>
      <c r="U73" s="35">
        <f t="shared" si="2"/>
        <v>17416355.670833822</v>
      </c>
      <c r="V73" s="35">
        <f t="shared" si="2"/>
        <v>16710005.905501248</v>
      </c>
      <c r="X73" s="40">
        <f>SUM(R73:V73)</f>
        <v>94023492.698928654</v>
      </c>
      <c r="Z73" s="10"/>
      <c r="AA73" s="10">
        <v>0.5</v>
      </c>
      <c r="AB73" s="10">
        <v>0.5</v>
      </c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3">SUM(Z73:AI73)</f>
        <v>1</v>
      </c>
      <c r="AM73" s="10">
        <v>1</v>
      </c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1</v>
      </c>
      <c r="BB73" s="10">
        <v>1</v>
      </c>
      <c r="BC73" s="10"/>
      <c r="BD73" s="10"/>
      <c r="BE73" s="10"/>
      <c r="BF73" s="10"/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/>
      <c r="O74" s="50"/>
      <c r="P74" s="35"/>
      <c r="Q74" s="50"/>
      <c r="R74" s="50"/>
      <c r="S74" s="50"/>
      <c r="T74" s="50"/>
      <c r="U74" s="50"/>
      <c r="V74" s="50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P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P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P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62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25487728.895799998</v>
      </c>
      <c r="R89" s="37">
        <f t="shared" si="8"/>
        <v>20400610.577420548</v>
      </c>
      <c r="S89" s="37">
        <f t="shared" si="8"/>
        <v>19296620.015438259</v>
      </c>
      <c r="T89" s="37">
        <f t="shared" si="8"/>
        <v>20199900.529734783</v>
      </c>
      <c r="U89" s="37">
        <f t="shared" si="8"/>
        <v>17416355.670833822</v>
      </c>
      <c r="V89" s="37">
        <f t="shared" si="8"/>
        <v>16710005.905501248</v>
      </c>
      <c r="X89" s="37">
        <f t="shared" si="7"/>
        <v>94023492.698928654</v>
      </c>
    </row>
    <row r="91" spans="1:61">
      <c r="B91" s="5" t="s">
        <v>76</v>
      </c>
    </row>
    <row r="92" spans="1:61" s="1" customFormat="1">
      <c r="A92" s="4"/>
      <c r="B92" s="2" t="s">
        <v>77</v>
      </c>
    </row>
    <row r="94" spans="1:61">
      <c r="H94" s="190" t="s">
        <v>52</v>
      </c>
      <c r="I94" s="190"/>
      <c r="J94" s="190"/>
      <c r="K94" s="190"/>
      <c r="L94" s="190"/>
      <c r="M94" s="190" t="s">
        <v>53</v>
      </c>
      <c r="N94" s="190"/>
      <c r="O94" s="190"/>
      <c r="P94" s="190"/>
      <c r="Q94" s="190"/>
      <c r="R94" s="190" t="s">
        <v>54</v>
      </c>
      <c r="S94" s="190"/>
      <c r="T94" s="190"/>
      <c r="U94" s="190"/>
      <c r="V94" s="190"/>
      <c r="X94" s="38"/>
    </row>
    <row r="95" spans="1:61">
      <c r="B95" s="42" t="s">
        <v>79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63</v>
      </c>
    </row>
    <row r="96" spans="1:61">
      <c r="B96" s="5" t="s">
        <v>46</v>
      </c>
      <c r="D96" s="29" t="s">
        <v>55</v>
      </c>
      <c r="H96" s="16" t="s">
        <v>12</v>
      </c>
      <c r="I96" s="16" t="s">
        <v>12</v>
      </c>
      <c r="J96" s="16" t="s">
        <v>12</v>
      </c>
      <c r="K96" s="16" t="s">
        <v>12</v>
      </c>
      <c r="L96" s="16" t="s">
        <v>12</v>
      </c>
      <c r="M96" s="16" t="s">
        <v>12</v>
      </c>
      <c r="N96" s="16" t="s">
        <v>12</v>
      </c>
      <c r="O96" s="16" t="s">
        <v>12</v>
      </c>
      <c r="P96" s="16" t="s">
        <v>13</v>
      </c>
      <c r="Q96" s="16" t="s">
        <v>13</v>
      </c>
      <c r="R96" s="16" t="s">
        <v>13</v>
      </c>
      <c r="S96" s="16" t="s">
        <v>13</v>
      </c>
      <c r="T96" s="16" t="s">
        <v>13</v>
      </c>
      <c r="U96" s="16" t="s">
        <v>13</v>
      </c>
      <c r="V96" s="16" t="s">
        <v>13</v>
      </c>
      <c r="X96" s="32" t="s">
        <v>13</v>
      </c>
    </row>
    <row r="97" spans="2:24">
      <c r="B97" s="4" t="str">
        <f>IF(B10&lt;&gt;"",B10,"[blank]")</f>
        <v>Low pressure mains replacement program</v>
      </c>
      <c r="D97" s="31" t="s">
        <v>60</v>
      </c>
      <c r="O97" s="35"/>
      <c r="P97" s="35">
        <f t="shared" ref="P97:V97" si="9">$D10*P73</f>
        <v>0</v>
      </c>
      <c r="Q97" s="35">
        <f t="shared" si="9"/>
        <v>1019509.155832</v>
      </c>
      <c r="R97" s="35">
        <f t="shared" si="9"/>
        <v>816024.42309682188</v>
      </c>
      <c r="S97" s="35">
        <f t="shared" si="9"/>
        <v>771864.80061753036</v>
      </c>
      <c r="T97" s="35">
        <f t="shared" si="9"/>
        <v>807996.02118939138</v>
      </c>
      <c r="U97" s="35">
        <f t="shared" si="9"/>
        <v>696654.22683335294</v>
      </c>
      <c r="V97" s="35">
        <f t="shared" si="9"/>
        <v>668400.2362200499</v>
      </c>
      <c r="X97" s="40">
        <f>SUM(R97:V97)</f>
        <v>3760939.7079571458</v>
      </c>
    </row>
    <row r="98" spans="2:24">
      <c r="B98" s="4" t="str">
        <f t="shared" ref="B98:B111" si="10">IF(B11&lt;&gt;"",B11,"[blank]")</f>
        <v>[blank]</v>
      </c>
      <c r="D98" s="31"/>
      <c r="O98" s="50"/>
      <c r="P98" s="50"/>
      <c r="Q98" s="50"/>
      <c r="R98" s="50"/>
      <c r="S98" s="50"/>
      <c r="T98" s="50"/>
      <c r="U98" s="50"/>
      <c r="V98" s="50"/>
      <c r="X98" s="40">
        <f t="shared" ref="X98:X111" si="11">SUM(R98:V98)</f>
        <v>0</v>
      </c>
    </row>
    <row r="99" spans="2:24">
      <c r="B99" s="4" t="str">
        <f t="shared" si="10"/>
        <v>[blank]</v>
      </c>
      <c r="X99" s="40">
        <f t="shared" si="11"/>
        <v>0</v>
      </c>
    </row>
    <row r="100" spans="2:24">
      <c r="B100" s="4" t="str">
        <f t="shared" si="10"/>
        <v>[blank]</v>
      </c>
      <c r="X100" s="40">
        <f t="shared" si="11"/>
        <v>0</v>
      </c>
    </row>
    <row r="101" spans="2:24">
      <c r="B101" s="4" t="str">
        <f t="shared" si="10"/>
        <v>[blank]</v>
      </c>
      <c r="X101" s="40">
        <f t="shared" si="11"/>
        <v>0</v>
      </c>
    </row>
    <row r="102" spans="2:24">
      <c r="B102" s="4" t="str">
        <f t="shared" si="10"/>
        <v>[blank]</v>
      </c>
      <c r="X102" s="40">
        <f t="shared" si="11"/>
        <v>0</v>
      </c>
    </row>
    <row r="103" spans="2:24">
      <c r="B103" s="4" t="str">
        <f t="shared" si="10"/>
        <v>[blank]</v>
      </c>
      <c r="X103" s="40">
        <f t="shared" si="11"/>
        <v>0</v>
      </c>
    </row>
    <row r="104" spans="2:24">
      <c r="B104" s="4" t="str">
        <f t="shared" si="10"/>
        <v>[blank]</v>
      </c>
      <c r="X104" s="40">
        <f t="shared" si="11"/>
        <v>0</v>
      </c>
    </row>
    <row r="105" spans="2:24">
      <c r="B105" s="4" t="str">
        <f t="shared" si="10"/>
        <v>[blank]</v>
      </c>
      <c r="X105" s="40">
        <f t="shared" si="11"/>
        <v>0</v>
      </c>
    </row>
    <row r="106" spans="2:24">
      <c r="B106" s="4" t="str">
        <f t="shared" si="10"/>
        <v>[blank]</v>
      </c>
      <c r="X106" s="40">
        <f t="shared" si="11"/>
        <v>0</v>
      </c>
    </row>
    <row r="107" spans="2:24">
      <c r="B107" s="4" t="str">
        <f t="shared" si="10"/>
        <v>[blank]</v>
      </c>
      <c r="X107" s="40">
        <f t="shared" si="11"/>
        <v>0</v>
      </c>
    </row>
    <row r="108" spans="2:24">
      <c r="B108" s="4" t="str">
        <f t="shared" si="10"/>
        <v>[blank]</v>
      </c>
      <c r="X108" s="40">
        <f t="shared" si="11"/>
        <v>0</v>
      </c>
    </row>
    <row r="109" spans="2:24">
      <c r="B109" s="4" t="str">
        <f t="shared" si="10"/>
        <v>[blank]</v>
      </c>
      <c r="X109" s="40">
        <f t="shared" si="11"/>
        <v>0</v>
      </c>
    </row>
    <row r="110" spans="2:24">
      <c r="B110" s="4" t="str">
        <f t="shared" si="10"/>
        <v>[blank]</v>
      </c>
      <c r="X110" s="40">
        <f t="shared" si="11"/>
        <v>0</v>
      </c>
    </row>
    <row r="111" spans="2:24">
      <c r="B111" s="4" t="str">
        <f t="shared" si="10"/>
        <v>[blank]</v>
      </c>
      <c r="X111" s="40">
        <f t="shared" si="11"/>
        <v>0</v>
      </c>
    </row>
    <row r="113" spans="1:24" ht="12.75" thickBot="1">
      <c r="B113" s="5" t="s">
        <v>78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2">SUM(P97:P111)</f>
        <v>0</v>
      </c>
      <c r="Q113" s="37">
        <f t="shared" si="12"/>
        <v>1019509.155832</v>
      </c>
      <c r="R113" s="37">
        <f t="shared" si="12"/>
        <v>816024.42309682188</v>
      </c>
      <c r="S113" s="37">
        <f t="shared" si="12"/>
        <v>771864.80061753036</v>
      </c>
      <c r="T113" s="37">
        <f t="shared" si="12"/>
        <v>807996.02118939138</v>
      </c>
      <c r="U113" s="37">
        <f t="shared" si="12"/>
        <v>696654.22683335294</v>
      </c>
      <c r="V113" s="37">
        <f t="shared" si="12"/>
        <v>668400.2362200499</v>
      </c>
      <c r="X113" s="37">
        <f t="shared" ref="X113" si="13">SUM(R113:V113)</f>
        <v>3760939.7079571458</v>
      </c>
    </row>
    <row r="115" spans="1:24" s="1" customFormat="1">
      <c r="A115" s="4"/>
      <c r="B115" s="2" t="s">
        <v>80</v>
      </c>
    </row>
    <row r="117" spans="1:24">
      <c r="H117" s="190" t="s">
        <v>52</v>
      </c>
      <c r="I117" s="190"/>
      <c r="J117" s="190"/>
      <c r="K117" s="190"/>
      <c r="L117" s="190"/>
      <c r="M117" s="190" t="s">
        <v>53</v>
      </c>
      <c r="N117" s="190"/>
      <c r="O117" s="190"/>
      <c r="P117" s="190"/>
      <c r="Q117" s="190"/>
      <c r="R117" s="190" t="s">
        <v>54</v>
      </c>
      <c r="S117" s="190"/>
      <c r="T117" s="190"/>
      <c r="U117" s="190"/>
      <c r="V117" s="190"/>
      <c r="X117" s="38"/>
    </row>
    <row r="118" spans="1:24">
      <c r="B118" s="43" t="s">
        <v>81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63</v>
      </c>
    </row>
    <row r="119" spans="1:24">
      <c r="B119" s="5" t="s">
        <v>46</v>
      </c>
      <c r="D119" s="29" t="s">
        <v>55</v>
      </c>
      <c r="H119" s="16" t="s">
        <v>12</v>
      </c>
      <c r="I119" s="16" t="s">
        <v>12</v>
      </c>
      <c r="J119" s="16" t="s">
        <v>12</v>
      </c>
      <c r="K119" s="16" t="s">
        <v>12</v>
      </c>
      <c r="L119" s="16" t="s">
        <v>12</v>
      </c>
      <c r="M119" s="16" t="s">
        <v>12</v>
      </c>
      <c r="N119" s="16" t="s">
        <v>12</v>
      </c>
      <c r="O119" s="16" t="s">
        <v>12</v>
      </c>
      <c r="P119" s="16" t="s">
        <v>13</v>
      </c>
      <c r="Q119" s="16" t="s">
        <v>13</v>
      </c>
      <c r="R119" s="16" t="s">
        <v>13</v>
      </c>
      <c r="S119" s="16" t="s">
        <v>13</v>
      </c>
      <c r="T119" s="16" t="s">
        <v>13</v>
      </c>
      <c r="U119" s="16" t="s">
        <v>13</v>
      </c>
      <c r="V119" s="16" t="s">
        <v>13</v>
      </c>
      <c r="X119" s="34" t="s">
        <v>13</v>
      </c>
    </row>
    <row r="120" spans="1:24">
      <c r="B120" s="4" t="str">
        <f>IF(B10&lt;&gt;"",B10,"[blank]")</f>
        <v>Low pressure mains replacement program</v>
      </c>
      <c r="D120" s="31" t="s">
        <v>60</v>
      </c>
      <c r="O120" s="35"/>
      <c r="P120" s="35">
        <f t="shared" ref="P120:V120" si="14">$E10*P73</f>
        <v>0</v>
      </c>
      <c r="Q120" s="35">
        <f t="shared" si="14"/>
        <v>19370673.960807998</v>
      </c>
      <c r="R120" s="35">
        <f t="shared" si="14"/>
        <v>15504464.038839616</v>
      </c>
      <c r="S120" s="35">
        <f t="shared" si="14"/>
        <v>14665431.211733077</v>
      </c>
      <c r="T120" s="35">
        <f t="shared" si="14"/>
        <v>15351924.402598435</v>
      </c>
      <c r="U120" s="35">
        <f t="shared" si="14"/>
        <v>13236430.309833705</v>
      </c>
      <c r="V120" s="35">
        <f t="shared" si="14"/>
        <v>12699604.488180948</v>
      </c>
      <c r="X120" s="40">
        <f>SUM(R120:V120)</f>
        <v>71457854.451185778</v>
      </c>
    </row>
    <row r="121" spans="1:24">
      <c r="B121" s="4" t="str">
        <f t="shared" ref="B121:B134" si="15">IF(B11&lt;&gt;"",B11,"[blank]")</f>
        <v>[blank]</v>
      </c>
      <c r="D121" s="31"/>
      <c r="O121" s="50"/>
      <c r="P121" s="50"/>
      <c r="Q121" s="50"/>
      <c r="R121" s="50"/>
      <c r="S121" s="50"/>
      <c r="T121" s="50"/>
      <c r="U121" s="50"/>
      <c r="V121" s="50"/>
      <c r="X121" s="40">
        <f t="shared" ref="X121:X134" si="16">SUM(R121:V121)</f>
        <v>0</v>
      </c>
    </row>
    <row r="122" spans="1:24">
      <c r="B122" s="4" t="str">
        <f t="shared" si="15"/>
        <v>[blank]</v>
      </c>
      <c r="X122" s="40">
        <f t="shared" si="16"/>
        <v>0</v>
      </c>
    </row>
    <row r="123" spans="1:24">
      <c r="B123" s="4" t="str">
        <f t="shared" si="15"/>
        <v>[blank]</v>
      </c>
      <c r="X123" s="40">
        <f t="shared" si="16"/>
        <v>0</v>
      </c>
    </row>
    <row r="124" spans="1:24">
      <c r="B124" s="4" t="str">
        <f t="shared" si="15"/>
        <v>[blank]</v>
      </c>
      <c r="X124" s="40">
        <f t="shared" si="16"/>
        <v>0</v>
      </c>
    </row>
    <row r="125" spans="1:24">
      <c r="B125" s="4" t="str">
        <f t="shared" si="15"/>
        <v>[blank]</v>
      </c>
      <c r="X125" s="40">
        <f t="shared" si="16"/>
        <v>0</v>
      </c>
    </row>
    <row r="126" spans="1:24">
      <c r="B126" s="4" t="str">
        <f t="shared" si="15"/>
        <v>[blank]</v>
      </c>
      <c r="X126" s="40">
        <f t="shared" si="16"/>
        <v>0</v>
      </c>
    </row>
    <row r="127" spans="1:24">
      <c r="B127" s="4" t="str">
        <f t="shared" si="15"/>
        <v>[blank]</v>
      </c>
      <c r="X127" s="40">
        <f t="shared" si="16"/>
        <v>0</v>
      </c>
    </row>
    <row r="128" spans="1:24">
      <c r="B128" s="4" t="str">
        <f t="shared" si="15"/>
        <v>[blank]</v>
      </c>
      <c r="X128" s="40">
        <f t="shared" si="16"/>
        <v>0</v>
      </c>
    </row>
    <row r="129" spans="1:24">
      <c r="B129" s="4" t="str">
        <f t="shared" si="15"/>
        <v>[blank]</v>
      </c>
      <c r="X129" s="40">
        <f t="shared" si="16"/>
        <v>0</v>
      </c>
    </row>
    <row r="130" spans="1:24">
      <c r="B130" s="4" t="str">
        <f t="shared" si="15"/>
        <v>[blank]</v>
      </c>
      <c r="X130" s="40">
        <f t="shared" si="16"/>
        <v>0</v>
      </c>
    </row>
    <row r="131" spans="1:24">
      <c r="B131" s="4" t="str">
        <f t="shared" si="15"/>
        <v>[blank]</v>
      </c>
      <c r="X131" s="40">
        <f t="shared" si="16"/>
        <v>0</v>
      </c>
    </row>
    <row r="132" spans="1:24">
      <c r="B132" s="4" t="str">
        <f t="shared" si="15"/>
        <v>[blank]</v>
      </c>
      <c r="X132" s="40">
        <f t="shared" si="16"/>
        <v>0</v>
      </c>
    </row>
    <row r="133" spans="1:24">
      <c r="B133" s="4" t="str">
        <f t="shared" si="15"/>
        <v>[blank]</v>
      </c>
      <c r="X133" s="40">
        <f t="shared" si="16"/>
        <v>0</v>
      </c>
    </row>
    <row r="134" spans="1:24">
      <c r="B134" s="4" t="str">
        <f t="shared" si="15"/>
        <v>[blank]</v>
      </c>
      <c r="X134" s="40">
        <f t="shared" si="16"/>
        <v>0</v>
      </c>
    </row>
    <row r="136" spans="1:24" ht="12.75" thickBot="1">
      <c r="B136" s="5" t="s">
        <v>82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19370673.960807998</v>
      </c>
      <c r="R136" s="37">
        <f t="shared" si="17"/>
        <v>15504464.038839616</v>
      </c>
      <c r="S136" s="37">
        <f t="shared" si="17"/>
        <v>14665431.211733077</v>
      </c>
      <c r="T136" s="37">
        <f t="shared" si="17"/>
        <v>15351924.402598435</v>
      </c>
      <c r="U136" s="37">
        <f t="shared" si="17"/>
        <v>13236430.309833705</v>
      </c>
      <c r="V136" s="37">
        <f t="shared" si="17"/>
        <v>12699604.488180948</v>
      </c>
      <c r="X136" s="37">
        <f t="shared" ref="X136" si="18">SUM(R136:V136)</f>
        <v>71457854.451185778</v>
      </c>
    </row>
    <row r="138" spans="1:24" s="1" customFormat="1">
      <c r="A138" s="4"/>
      <c r="B138" s="2" t="s">
        <v>83</v>
      </c>
    </row>
    <row r="140" spans="1:24">
      <c r="H140" s="190" t="s">
        <v>52</v>
      </c>
      <c r="I140" s="190"/>
      <c r="J140" s="190"/>
      <c r="K140" s="190"/>
      <c r="L140" s="190"/>
      <c r="M140" s="190" t="s">
        <v>53</v>
      </c>
      <c r="N140" s="190"/>
      <c r="O140" s="190"/>
      <c r="P140" s="190"/>
      <c r="Q140" s="190"/>
      <c r="R140" s="190" t="s">
        <v>54</v>
      </c>
      <c r="S140" s="190"/>
      <c r="T140" s="190"/>
      <c r="U140" s="190"/>
      <c r="V140" s="190"/>
      <c r="X140" s="38"/>
    </row>
    <row r="141" spans="1:24">
      <c r="B141" s="43" t="s">
        <v>84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63</v>
      </c>
    </row>
    <row r="142" spans="1:24">
      <c r="B142" s="5" t="s">
        <v>46</v>
      </c>
      <c r="D142" s="29" t="s">
        <v>55</v>
      </c>
      <c r="H142" s="16" t="s">
        <v>12</v>
      </c>
      <c r="I142" s="16" t="s">
        <v>12</v>
      </c>
      <c r="J142" s="16" t="s">
        <v>12</v>
      </c>
      <c r="K142" s="16" t="s">
        <v>12</v>
      </c>
      <c r="L142" s="16" t="s">
        <v>12</v>
      </c>
      <c r="M142" s="16" t="s">
        <v>12</v>
      </c>
      <c r="N142" s="16" t="s">
        <v>12</v>
      </c>
      <c r="O142" s="16" t="s">
        <v>12</v>
      </c>
      <c r="P142" s="16" t="s">
        <v>13</v>
      </c>
      <c r="Q142" s="16" t="s">
        <v>13</v>
      </c>
      <c r="R142" s="16" t="s">
        <v>13</v>
      </c>
      <c r="S142" s="16" t="s">
        <v>13</v>
      </c>
      <c r="T142" s="16" t="s">
        <v>13</v>
      </c>
      <c r="U142" s="16" t="s">
        <v>13</v>
      </c>
      <c r="V142" s="16" t="s">
        <v>13</v>
      </c>
      <c r="X142" s="34" t="s">
        <v>13</v>
      </c>
    </row>
    <row r="143" spans="1:24">
      <c r="B143" s="4" t="str">
        <f>IF(B10&lt;&gt;"",B10,"[blank]")</f>
        <v>Low pressure mains replacement program</v>
      </c>
      <c r="D143" s="31" t="s">
        <v>60</v>
      </c>
      <c r="O143" s="35"/>
      <c r="P143" s="35">
        <f>P97+P120</f>
        <v>0</v>
      </c>
      <c r="Q143" s="35">
        <f t="shared" ref="Q143:V143" si="19">Q97+Q120</f>
        <v>20390183.116639998</v>
      </c>
      <c r="R143" s="35">
        <f t="shared" si="19"/>
        <v>16320488.461936438</v>
      </c>
      <c r="S143" s="35">
        <f t="shared" si="19"/>
        <v>15437296.012350608</v>
      </c>
      <c r="T143" s="35">
        <f t="shared" si="19"/>
        <v>16159920.423787827</v>
      </c>
      <c r="U143" s="35">
        <f t="shared" si="19"/>
        <v>13933084.536667058</v>
      </c>
      <c r="V143" s="35">
        <f t="shared" si="19"/>
        <v>13368004.724400999</v>
      </c>
      <c r="X143" s="40">
        <f>SUM(R143:V143)</f>
        <v>75218794.159142926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50"/>
      <c r="Q144" s="50"/>
      <c r="R144" s="50"/>
      <c r="S144" s="50"/>
      <c r="T144" s="50"/>
      <c r="U144" s="50"/>
      <c r="V144" s="50"/>
      <c r="X144" s="40">
        <f t="shared" ref="X144:X157" si="21">SUM(R144:V144)</f>
        <v>0</v>
      </c>
    </row>
    <row r="145" spans="2:24">
      <c r="B145" s="4" t="str">
        <f t="shared" si="20"/>
        <v>[blank]</v>
      </c>
      <c r="X145" s="40">
        <f t="shared" si="21"/>
        <v>0</v>
      </c>
    </row>
    <row r="146" spans="2:24">
      <c r="B146" s="4" t="str">
        <f t="shared" si="20"/>
        <v>[blank]</v>
      </c>
      <c r="X146" s="40">
        <f t="shared" si="21"/>
        <v>0</v>
      </c>
    </row>
    <row r="147" spans="2:24">
      <c r="B147" s="4" t="str">
        <f t="shared" si="20"/>
        <v>[blank]</v>
      </c>
      <c r="X147" s="40">
        <f t="shared" si="21"/>
        <v>0</v>
      </c>
    </row>
    <row r="148" spans="2:24">
      <c r="B148" s="4" t="str">
        <f t="shared" si="20"/>
        <v>[blank]</v>
      </c>
      <c r="X148" s="40">
        <f t="shared" si="21"/>
        <v>0</v>
      </c>
    </row>
    <row r="149" spans="2:24">
      <c r="B149" s="4" t="str">
        <f t="shared" si="20"/>
        <v>[blank]</v>
      </c>
      <c r="X149" s="40">
        <f t="shared" si="21"/>
        <v>0</v>
      </c>
    </row>
    <row r="150" spans="2:24">
      <c r="B150" s="4" t="str">
        <f t="shared" si="20"/>
        <v>[blank]</v>
      </c>
      <c r="X150" s="40">
        <f t="shared" si="21"/>
        <v>0</v>
      </c>
    </row>
    <row r="151" spans="2:24">
      <c r="B151" s="4" t="str">
        <f t="shared" si="20"/>
        <v>[blank]</v>
      </c>
      <c r="X151" s="40">
        <f t="shared" si="21"/>
        <v>0</v>
      </c>
    </row>
    <row r="152" spans="2:24">
      <c r="B152" s="4" t="str">
        <f t="shared" si="20"/>
        <v>[blank]</v>
      </c>
      <c r="X152" s="40">
        <f t="shared" si="21"/>
        <v>0</v>
      </c>
    </row>
    <row r="153" spans="2:24">
      <c r="B153" s="4" t="str">
        <f t="shared" si="20"/>
        <v>[blank]</v>
      </c>
      <c r="X153" s="40">
        <f t="shared" si="21"/>
        <v>0</v>
      </c>
    </row>
    <row r="154" spans="2:24">
      <c r="B154" s="4" t="str">
        <f t="shared" si="20"/>
        <v>[blank]</v>
      </c>
      <c r="X154" s="40">
        <f t="shared" si="21"/>
        <v>0</v>
      </c>
    </row>
    <row r="155" spans="2:24">
      <c r="B155" s="4" t="str">
        <f t="shared" si="20"/>
        <v>[blank]</v>
      </c>
      <c r="X155" s="40">
        <f t="shared" si="21"/>
        <v>0</v>
      </c>
    </row>
    <row r="156" spans="2:24">
      <c r="B156" s="4" t="str">
        <f t="shared" si="20"/>
        <v>[blank]</v>
      </c>
      <c r="X156" s="40">
        <f t="shared" si="21"/>
        <v>0</v>
      </c>
    </row>
    <row r="157" spans="2:24">
      <c r="B157" s="4" t="str">
        <f t="shared" si="20"/>
        <v>[blank]</v>
      </c>
      <c r="X157" s="40">
        <f t="shared" si="21"/>
        <v>0</v>
      </c>
    </row>
    <row r="159" spans="2:24" ht="12.75" thickBot="1">
      <c r="B159" s="5" t="s">
        <v>85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2">SUM(Q143:Q157)</f>
        <v>20390183.116639998</v>
      </c>
      <c r="R159" s="37">
        <f t="shared" si="22"/>
        <v>16320488.461936438</v>
      </c>
      <c r="S159" s="37">
        <f t="shared" si="22"/>
        <v>15437296.012350608</v>
      </c>
      <c r="T159" s="37">
        <f t="shared" si="22"/>
        <v>16159920.423787827</v>
      </c>
      <c r="U159" s="37">
        <f t="shared" si="22"/>
        <v>13933084.536667058</v>
      </c>
      <c r="V159" s="37">
        <f t="shared" si="22"/>
        <v>13368004.724400999</v>
      </c>
      <c r="X159" s="37">
        <f t="shared" ref="X159" si="23">SUM(R159:V159)</f>
        <v>75218794.159142926</v>
      </c>
    </row>
    <row r="161" spans="1:24" s="1" customFormat="1">
      <c r="A161" s="4"/>
      <c r="B161" s="2" t="s">
        <v>86</v>
      </c>
    </row>
    <row r="163" spans="1:24">
      <c r="H163" s="190" t="s">
        <v>52</v>
      </c>
      <c r="I163" s="190"/>
      <c r="J163" s="190"/>
      <c r="K163" s="190"/>
      <c r="L163" s="190"/>
      <c r="M163" s="190" t="s">
        <v>53</v>
      </c>
      <c r="N163" s="190"/>
      <c r="O163" s="190"/>
      <c r="P163" s="190"/>
      <c r="Q163" s="190"/>
      <c r="R163" s="190" t="s">
        <v>54</v>
      </c>
      <c r="S163" s="190"/>
      <c r="T163" s="190"/>
      <c r="U163" s="190"/>
      <c r="V163" s="190"/>
      <c r="X163" s="38"/>
    </row>
    <row r="164" spans="1:24">
      <c r="B164" s="44" t="s">
        <v>50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63</v>
      </c>
    </row>
    <row r="165" spans="1:24">
      <c r="B165" s="5" t="s">
        <v>46</v>
      </c>
      <c r="D165" s="29" t="s">
        <v>55</v>
      </c>
      <c r="H165" s="16" t="s">
        <v>12</v>
      </c>
      <c r="I165" s="16" t="s">
        <v>12</v>
      </c>
      <c r="J165" s="16" t="s">
        <v>12</v>
      </c>
      <c r="K165" s="16" t="s">
        <v>12</v>
      </c>
      <c r="L165" s="16" t="s">
        <v>12</v>
      </c>
      <c r="M165" s="16" t="s">
        <v>12</v>
      </c>
      <c r="N165" s="16" t="s">
        <v>12</v>
      </c>
      <c r="O165" s="16" t="s">
        <v>12</v>
      </c>
      <c r="P165" s="16" t="s">
        <v>13</v>
      </c>
      <c r="Q165" s="16" t="s">
        <v>13</v>
      </c>
      <c r="R165" s="16" t="s">
        <v>13</v>
      </c>
      <c r="S165" s="16" t="s">
        <v>13</v>
      </c>
      <c r="T165" s="16" t="s">
        <v>13</v>
      </c>
      <c r="U165" s="16" t="s">
        <v>13</v>
      </c>
      <c r="V165" s="16" t="s">
        <v>13</v>
      </c>
      <c r="X165" s="34" t="s">
        <v>13</v>
      </c>
    </row>
    <row r="166" spans="1:24">
      <c r="B166" s="4" t="str">
        <f>IF(B10&lt;&gt;"",B10,"[blank]")</f>
        <v>Low pressure mains replacement program</v>
      </c>
      <c r="D166" s="31" t="s">
        <v>60</v>
      </c>
      <c r="O166" s="35"/>
      <c r="P166" s="35">
        <f t="shared" ref="P166:V166" si="24">$G10*P73</f>
        <v>0</v>
      </c>
      <c r="Q166" s="35">
        <f t="shared" si="24"/>
        <v>5097545.7791599985</v>
      </c>
      <c r="R166" s="35">
        <f t="shared" si="24"/>
        <v>4080122.1154841087</v>
      </c>
      <c r="S166" s="35">
        <f t="shared" si="24"/>
        <v>3859324.003087651</v>
      </c>
      <c r="T166" s="35">
        <f t="shared" si="24"/>
        <v>4039980.1059469557</v>
      </c>
      <c r="U166" s="35">
        <f t="shared" si="24"/>
        <v>3483271.1341667636</v>
      </c>
      <c r="V166" s="35">
        <f t="shared" si="24"/>
        <v>3342001.1811002488</v>
      </c>
      <c r="X166" s="40">
        <f>SUM(R166:V166)</f>
        <v>18804698.539785728</v>
      </c>
    </row>
    <row r="167" spans="1:24">
      <c r="B167" s="4" t="str">
        <f t="shared" ref="B167:B180" si="25">IF(B11&lt;&gt;"",B11,"[blank]")</f>
        <v>[blank]</v>
      </c>
      <c r="D167" s="31"/>
      <c r="O167" s="50"/>
      <c r="P167" s="50"/>
      <c r="Q167" s="50"/>
      <c r="R167" s="50"/>
      <c r="S167" s="50"/>
      <c r="T167" s="50"/>
      <c r="U167" s="50"/>
      <c r="V167" s="50"/>
      <c r="X167" s="40">
        <f t="shared" ref="X167:X180" si="26">SUM(R167:V167)</f>
        <v>0</v>
      </c>
    </row>
    <row r="168" spans="1:24">
      <c r="B168" s="4" t="str">
        <f t="shared" si="25"/>
        <v>[blank]</v>
      </c>
      <c r="X168" s="40">
        <f t="shared" si="26"/>
        <v>0</v>
      </c>
    </row>
    <row r="169" spans="1:24">
      <c r="B169" s="4" t="str">
        <f t="shared" si="25"/>
        <v>[blank]</v>
      </c>
      <c r="X169" s="40">
        <f t="shared" si="26"/>
        <v>0</v>
      </c>
    </row>
    <row r="170" spans="1:24">
      <c r="B170" s="4" t="str">
        <f t="shared" si="25"/>
        <v>[blank]</v>
      </c>
      <c r="X170" s="40">
        <f t="shared" si="26"/>
        <v>0</v>
      </c>
    </row>
    <row r="171" spans="1:24">
      <c r="B171" s="4" t="str">
        <f t="shared" si="25"/>
        <v>[blank]</v>
      </c>
      <c r="X171" s="40">
        <f t="shared" si="26"/>
        <v>0</v>
      </c>
    </row>
    <row r="172" spans="1:24">
      <c r="B172" s="4" t="str">
        <f t="shared" si="25"/>
        <v>[blank]</v>
      </c>
      <c r="X172" s="40">
        <f t="shared" si="26"/>
        <v>0</v>
      </c>
    </row>
    <row r="173" spans="1:24">
      <c r="B173" s="4" t="str">
        <f t="shared" si="25"/>
        <v>[blank]</v>
      </c>
      <c r="X173" s="40">
        <f t="shared" si="26"/>
        <v>0</v>
      </c>
    </row>
    <row r="174" spans="1:24">
      <c r="B174" s="4" t="str">
        <f t="shared" si="25"/>
        <v>[blank]</v>
      </c>
      <c r="X174" s="40">
        <f t="shared" si="26"/>
        <v>0</v>
      </c>
    </row>
    <row r="175" spans="1:24">
      <c r="B175" s="4" t="str">
        <f t="shared" si="25"/>
        <v>[blank]</v>
      </c>
      <c r="X175" s="40">
        <f t="shared" si="26"/>
        <v>0</v>
      </c>
    </row>
    <row r="176" spans="1:24">
      <c r="B176" s="4" t="str">
        <f t="shared" si="25"/>
        <v>[blank]</v>
      </c>
      <c r="X176" s="40">
        <f t="shared" si="26"/>
        <v>0</v>
      </c>
    </row>
    <row r="177" spans="1:24">
      <c r="B177" s="4" t="str">
        <f t="shared" si="25"/>
        <v>[blank]</v>
      </c>
      <c r="X177" s="40">
        <f t="shared" si="26"/>
        <v>0</v>
      </c>
    </row>
    <row r="178" spans="1:24">
      <c r="B178" s="4" t="str">
        <f t="shared" si="25"/>
        <v>[blank]</v>
      </c>
      <c r="X178" s="40">
        <f t="shared" si="26"/>
        <v>0</v>
      </c>
    </row>
    <row r="179" spans="1:24">
      <c r="B179" s="4" t="str">
        <f t="shared" si="25"/>
        <v>[blank]</v>
      </c>
      <c r="X179" s="40">
        <f t="shared" si="26"/>
        <v>0</v>
      </c>
    </row>
    <row r="180" spans="1:24">
      <c r="B180" s="4" t="str">
        <f t="shared" si="25"/>
        <v>[blank]</v>
      </c>
      <c r="X180" s="40">
        <f t="shared" si="26"/>
        <v>0</v>
      </c>
    </row>
    <row r="182" spans="1:24" ht="12.75" thickBot="1">
      <c r="B182" s="5" t="s">
        <v>87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7">SUM(Q166:Q180)</f>
        <v>5097545.7791599985</v>
      </c>
      <c r="R182" s="37">
        <f t="shared" si="27"/>
        <v>4080122.1154841087</v>
      </c>
      <c r="S182" s="37">
        <f t="shared" si="27"/>
        <v>3859324.003087651</v>
      </c>
      <c r="T182" s="37">
        <f t="shared" si="27"/>
        <v>4039980.1059469557</v>
      </c>
      <c r="U182" s="37">
        <f t="shared" si="27"/>
        <v>3483271.1341667636</v>
      </c>
      <c r="V182" s="37">
        <f t="shared" si="27"/>
        <v>3342001.1811002488</v>
      </c>
      <c r="X182" s="37">
        <f t="shared" ref="X182" si="28">SUM(R182:V182)</f>
        <v>18804698.539785728</v>
      </c>
    </row>
    <row r="184" spans="1:24" s="1" customFormat="1">
      <c r="A184" s="2">
        <v>6</v>
      </c>
      <c r="B184" s="2" t="s">
        <v>89</v>
      </c>
    </row>
    <row r="186" spans="1:24">
      <c r="H186" s="190" t="s">
        <v>52</v>
      </c>
      <c r="I186" s="190"/>
      <c r="J186" s="190"/>
      <c r="K186" s="190"/>
      <c r="L186" s="190"/>
      <c r="M186" s="190" t="s">
        <v>53</v>
      </c>
      <c r="N186" s="190"/>
      <c r="O186" s="190"/>
      <c r="P186" s="190"/>
      <c r="Q186" s="190"/>
      <c r="R186" s="190" t="s">
        <v>54</v>
      </c>
      <c r="S186" s="190"/>
      <c r="T186" s="190"/>
      <c r="U186" s="190"/>
      <c r="V186" s="190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63</v>
      </c>
    </row>
    <row r="188" spans="1:24">
      <c r="B188" s="5" t="s">
        <v>46</v>
      </c>
      <c r="D188" s="29" t="s">
        <v>55</v>
      </c>
      <c r="H188" s="16" t="s">
        <v>12</v>
      </c>
      <c r="I188" s="16" t="s">
        <v>12</v>
      </c>
      <c r="J188" s="16" t="s">
        <v>12</v>
      </c>
      <c r="K188" s="16" t="s">
        <v>12</v>
      </c>
      <c r="L188" s="16" t="s">
        <v>12</v>
      </c>
      <c r="M188" s="16" t="s">
        <v>12</v>
      </c>
      <c r="N188" s="16" t="s">
        <v>12</v>
      </c>
      <c r="O188" s="16" t="s">
        <v>12</v>
      </c>
      <c r="P188" s="16" t="s">
        <v>13</v>
      </c>
      <c r="Q188" s="16" t="s">
        <v>13</v>
      </c>
      <c r="R188" s="16" t="s">
        <v>13</v>
      </c>
      <c r="S188" s="16" t="s">
        <v>13</v>
      </c>
      <c r="T188" s="16" t="s">
        <v>13</v>
      </c>
      <c r="U188" s="16" t="s">
        <v>13</v>
      </c>
      <c r="V188" s="16" t="s">
        <v>13</v>
      </c>
      <c r="X188" s="34" t="s">
        <v>13</v>
      </c>
    </row>
    <row r="189" spans="1:24">
      <c r="B189" s="4" t="str">
        <f>IF(B10&lt;&gt;"",B10,"[blank]")</f>
        <v>Low pressure mains replacement program</v>
      </c>
      <c r="D189" s="31" t="s">
        <v>60</v>
      </c>
      <c r="O189" s="35"/>
      <c r="P189" s="35">
        <f>P73*P$208</f>
        <v>0</v>
      </c>
      <c r="Q189" s="35">
        <f t="shared" ref="Q189:V189" si="29">Q73*Q$208</f>
        <v>1907544.8852188888</v>
      </c>
      <c r="R189" s="35">
        <f t="shared" si="29"/>
        <v>1472328.5745070067</v>
      </c>
      <c r="S189" s="35">
        <f t="shared" si="29"/>
        <v>1471619.9891775057</v>
      </c>
      <c r="T189" s="35">
        <f t="shared" si="29"/>
        <v>1564010.8044143487</v>
      </c>
      <c r="U189" s="35">
        <f t="shared" si="29"/>
        <v>1423189.3933447616</v>
      </c>
      <c r="V189" s="35">
        <f t="shared" si="29"/>
        <v>1410200.7432332183</v>
      </c>
      <c r="X189" s="40">
        <f>SUM(R189:V189)</f>
        <v>7341349.5046768412</v>
      </c>
    </row>
    <row r="190" spans="1:24">
      <c r="B190" s="4" t="str">
        <f t="shared" ref="B190:B203" si="30">IF(B11&lt;&gt;"",B11,"[blank]")</f>
        <v>[blank]</v>
      </c>
      <c r="D190" s="31"/>
      <c r="O190" s="50"/>
      <c r="P190" s="50"/>
      <c r="Q190" s="50"/>
      <c r="R190" s="50"/>
      <c r="S190" s="50"/>
      <c r="T190" s="50"/>
      <c r="U190" s="50"/>
      <c r="V190" s="50"/>
      <c r="X190" s="40">
        <f t="shared" ref="X190:X203" si="31">SUM(R190:V190)</f>
        <v>0</v>
      </c>
    </row>
    <row r="191" spans="1:24">
      <c r="B191" s="4" t="str">
        <f t="shared" si="30"/>
        <v>[blank]</v>
      </c>
      <c r="X191" s="40">
        <f t="shared" si="31"/>
        <v>0</v>
      </c>
    </row>
    <row r="192" spans="1:24">
      <c r="B192" s="4" t="str">
        <f t="shared" si="30"/>
        <v>[blank]</v>
      </c>
      <c r="X192" s="40">
        <f t="shared" si="31"/>
        <v>0</v>
      </c>
    </row>
    <row r="193" spans="2:24">
      <c r="B193" s="4" t="str">
        <f t="shared" si="30"/>
        <v>[blank]</v>
      </c>
      <c r="X193" s="40">
        <f t="shared" si="31"/>
        <v>0</v>
      </c>
    </row>
    <row r="194" spans="2:24">
      <c r="B194" s="4" t="str">
        <f t="shared" si="30"/>
        <v>[blank]</v>
      </c>
      <c r="X194" s="40">
        <f t="shared" si="31"/>
        <v>0</v>
      </c>
    </row>
    <row r="195" spans="2:24">
      <c r="B195" s="4" t="str">
        <f t="shared" si="30"/>
        <v>[blank]</v>
      </c>
      <c r="X195" s="40">
        <f t="shared" si="31"/>
        <v>0</v>
      </c>
    </row>
    <row r="196" spans="2:24">
      <c r="B196" s="4" t="str">
        <f t="shared" si="30"/>
        <v>[blank]</v>
      </c>
      <c r="X196" s="40">
        <f t="shared" si="31"/>
        <v>0</v>
      </c>
    </row>
    <row r="197" spans="2:24">
      <c r="B197" s="4" t="str">
        <f t="shared" si="30"/>
        <v>[blank]</v>
      </c>
      <c r="X197" s="40">
        <f t="shared" si="31"/>
        <v>0</v>
      </c>
    </row>
    <row r="198" spans="2:24">
      <c r="B198" s="4" t="str">
        <f t="shared" si="30"/>
        <v>[blank]</v>
      </c>
      <c r="X198" s="40">
        <f t="shared" si="31"/>
        <v>0</v>
      </c>
    </row>
    <row r="199" spans="2:24">
      <c r="B199" s="4" t="str">
        <f t="shared" si="30"/>
        <v>[blank]</v>
      </c>
      <c r="X199" s="40">
        <f t="shared" si="31"/>
        <v>0</v>
      </c>
    </row>
    <row r="200" spans="2:24">
      <c r="B200" s="4" t="str">
        <f t="shared" si="30"/>
        <v>[blank]</v>
      </c>
      <c r="X200" s="40">
        <f t="shared" si="31"/>
        <v>0</v>
      </c>
    </row>
    <row r="201" spans="2:24">
      <c r="B201" s="4" t="str">
        <f t="shared" si="30"/>
        <v>[blank]</v>
      </c>
      <c r="X201" s="40">
        <f t="shared" si="31"/>
        <v>0</v>
      </c>
    </row>
    <row r="202" spans="2:24">
      <c r="B202" s="4" t="str">
        <f t="shared" si="30"/>
        <v>[blank]</v>
      </c>
      <c r="X202" s="40">
        <f t="shared" si="31"/>
        <v>0</v>
      </c>
    </row>
    <row r="203" spans="2:24">
      <c r="B203" s="4" t="str">
        <f t="shared" si="30"/>
        <v>[blank]</v>
      </c>
      <c r="X203" s="40">
        <f t="shared" si="31"/>
        <v>0</v>
      </c>
    </row>
    <row r="205" spans="2:24" ht="12.75" thickBot="1">
      <c r="B205" s="5" t="s">
        <v>88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2">SUM(Q189:Q203)</f>
        <v>1907544.8852188888</v>
      </c>
      <c r="R205" s="37">
        <f t="shared" si="32"/>
        <v>1472328.5745070067</v>
      </c>
      <c r="S205" s="37">
        <f t="shared" si="32"/>
        <v>1471619.9891775057</v>
      </c>
      <c r="T205" s="37">
        <f t="shared" si="32"/>
        <v>1564010.8044143487</v>
      </c>
      <c r="U205" s="37">
        <f t="shared" si="32"/>
        <v>1423189.3933447616</v>
      </c>
      <c r="V205" s="37">
        <f t="shared" si="32"/>
        <v>1410200.7432332183</v>
      </c>
      <c r="X205" s="37">
        <f t="shared" ref="X205" si="33">SUM(R205:V205)</f>
        <v>7341349.5046768412</v>
      </c>
    </row>
    <row r="207" spans="2:24">
      <c r="B207" s="4" t="s">
        <v>92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4">Q89</f>
        <v>25487728.895799998</v>
      </c>
      <c r="R207" s="45">
        <f t="shared" si="34"/>
        <v>20400610.577420548</v>
      </c>
      <c r="S207" s="45">
        <f t="shared" si="34"/>
        <v>19296620.015438259</v>
      </c>
      <c r="T207" s="45">
        <f t="shared" si="34"/>
        <v>20199900.529734783</v>
      </c>
      <c r="U207" s="45">
        <f t="shared" si="34"/>
        <v>17416355.670833822</v>
      </c>
      <c r="V207" s="45">
        <f t="shared" si="34"/>
        <v>16710005.905501248</v>
      </c>
      <c r="W207" s="45"/>
      <c r="X207" s="40">
        <f t="shared" si="34"/>
        <v>94023492.698928654</v>
      </c>
    </row>
    <row r="208" spans="2:24">
      <c r="B208" s="4" t="s">
        <v>90</v>
      </c>
      <c r="H208" s="21" t="str">
        <f>IFERROR(H212/H207,"")</f>
        <v/>
      </c>
      <c r="I208" s="21" t="str">
        <f t="shared" ref="I208:O208" si="35">IFERROR(I212/I207,"")</f>
        <v/>
      </c>
      <c r="J208" s="21" t="str">
        <f t="shared" si="35"/>
        <v/>
      </c>
      <c r="K208" s="21" t="str">
        <f t="shared" si="35"/>
        <v/>
      </c>
      <c r="L208" s="21" t="str">
        <f t="shared" si="35"/>
        <v/>
      </c>
      <c r="M208" s="21" t="str">
        <f t="shared" si="35"/>
        <v/>
      </c>
      <c r="N208" s="21" t="str">
        <f t="shared" si="35"/>
        <v/>
      </c>
      <c r="O208" s="21" t="str">
        <f t="shared" si="35"/>
        <v/>
      </c>
      <c r="P208" s="21">
        <f>'General assumptions'!S47</f>
        <v>0</v>
      </c>
      <c r="Q208" s="21">
        <f>'General assumptions'!T47</f>
        <v>7.4841697077734692E-2</v>
      </c>
      <c r="R208" s="21">
        <f>'General assumptions'!U47</f>
        <v>7.2170809247081261E-2</v>
      </c>
      <c r="S208" s="21">
        <f>'General assumptions'!V47</f>
        <v>7.6263096231367788E-2</v>
      </c>
      <c r="T208" s="21">
        <f>'General assumptions'!W47</f>
        <v>7.7426658716070601E-2</v>
      </c>
      <c r="U208" s="21">
        <f>'General assumptions'!X47</f>
        <v>8.1715682674538839E-2</v>
      </c>
      <c r="V208" s="21">
        <f>'General assumptions'!Y47</f>
        <v>8.4392593946897035E-2</v>
      </c>
      <c r="W208" s="21"/>
      <c r="X208" s="75">
        <f>X205/X207</f>
        <v>7.8079948893033324E-2</v>
      </c>
    </row>
    <row r="210" spans="1:24" ht="12.75" thickBot="1">
      <c r="B210" s="5" t="s">
        <v>91</v>
      </c>
      <c r="H210" s="37">
        <f t="shared" ref="H210:N210" si="36">IF(H188="forecast",H207*(1+H208),H207+H212)</f>
        <v>0</v>
      </c>
      <c r="I210" s="37">
        <f t="shared" si="36"/>
        <v>0</v>
      </c>
      <c r="J210" s="37">
        <f t="shared" si="36"/>
        <v>0</v>
      </c>
      <c r="K210" s="37">
        <f t="shared" si="36"/>
        <v>0</v>
      </c>
      <c r="L210" s="37">
        <f t="shared" si="36"/>
        <v>0</v>
      </c>
      <c r="M210" s="37">
        <f t="shared" si="36"/>
        <v>0</v>
      </c>
      <c r="N210" s="37">
        <f t="shared" si="36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X210" si="37">IF(Q188="forecast",Q207*(1+Q208),Q207+Q212)</f>
        <v>27395273.78101889</v>
      </c>
      <c r="R210" s="37">
        <f t="shared" si="37"/>
        <v>21872939.151927553</v>
      </c>
      <c r="S210" s="37">
        <f t="shared" si="37"/>
        <v>20768240.004615765</v>
      </c>
      <c r="T210" s="37">
        <f t="shared" si="37"/>
        <v>21763911.33414913</v>
      </c>
      <c r="U210" s="37">
        <f t="shared" si="37"/>
        <v>18839545.064178586</v>
      </c>
      <c r="V210" s="37">
        <f t="shared" si="37"/>
        <v>18120206.648734465</v>
      </c>
      <c r="X210" s="37">
        <f t="shared" si="37"/>
        <v>101364842.20360549</v>
      </c>
    </row>
    <row r="212" spans="1:24">
      <c r="B212" s="4" t="s">
        <v>18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X212" si="38">Q210-Q207</f>
        <v>1907544.8852188922</v>
      </c>
      <c r="R212" s="45">
        <f t="shared" si="38"/>
        <v>1472328.5745070055</v>
      </c>
      <c r="S212" s="45">
        <f t="shared" si="38"/>
        <v>1471619.9891775064</v>
      </c>
      <c r="T212" s="45">
        <f t="shared" si="38"/>
        <v>1564010.8044143468</v>
      </c>
      <c r="U212" s="45">
        <f t="shared" si="38"/>
        <v>1423189.3933447637</v>
      </c>
      <c r="V212" s="45">
        <f t="shared" si="38"/>
        <v>1410200.7432332169</v>
      </c>
      <c r="X212" s="40">
        <f t="shared" si="38"/>
        <v>7341349.5046768337</v>
      </c>
    </row>
    <row r="214" spans="1:24" s="1" customFormat="1">
      <c r="A214" s="2">
        <v>7</v>
      </c>
      <c r="B214" s="2" t="s">
        <v>74</v>
      </c>
    </row>
    <row r="216" spans="1:24">
      <c r="H216" s="190" t="s">
        <v>52</v>
      </c>
      <c r="I216" s="190"/>
      <c r="J216" s="190"/>
      <c r="K216" s="190"/>
      <c r="L216" s="190"/>
      <c r="M216" s="190" t="s">
        <v>53</v>
      </c>
      <c r="N216" s="190"/>
      <c r="O216" s="190"/>
      <c r="P216" s="190"/>
      <c r="Q216" s="190"/>
      <c r="R216" s="190" t="s">
        <v>54</v>
      </c>
      <c r="S216" s="190"/>
      <c r="T216" s="190"/>
      <c r="U216" s="190"/>
      <c r="V216" s="190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63</v>
      </c>
    </row>
    <row r="218" spans="1:24">
      <c r="D218" s="29" t="s">
        <v>55</v>
      </c>
      <c r="H218" s="16" t="s">
        <v>12</v>
      </c>
      <c r="I218" s="16" t="s">
        <v>12</v>
      </c>
      <c r="J218" s="16" t="s">
        <v>12</v>
      </c>
      <c r="K218" s="16" t="s">
        <v>12</v>
      </c>
      <c r="L218" s="16" t="s">
        <v>12</v>
      </c>
      <c r="M218" s="16" t="s">
        <v>12</v>
      </c>
      <c r="N218" s="16" t="s">
        <v>12</v>
      </c>
      <c r="O218" s="16" t="s">
        <v>12</v>
      </c>
      <c r="P218" s="16" t="s">
        <v>13</v>
      </c>
      <c r="Q218" s="16" t="s">
        <v>13</v>
      </c>
      <c r="R218" s="16" t="s">
        <v>13</v>
      </c>
      <c r="S218" s="16" t="s">
        <v>13</v>
      </c>
      <c r="T218" s="16" t="s">
        <v>13</v>
      </c>
      <c r="U218" s="16" t="s">
        <v>13</v>
      </c>
      <c r="V218" s="16" t="s">
        <v>13</v>
      </c>
      <c r="X218" s="34" t="s">
        <v>13</v>
      </c>
    </row>
    <row r="219" spans="1:24">
      <c r="B219" s="5" t="s">
        <v>94</v>
      </c>
      <c r="D219" s="31" t="s">
        <v>105</v>
      </c>
      <c r="H219" s="4" t="str">
        <f t="shared" ref="H219:O219" si="39">IFERROR(-H238/H210,"")</f>
        <v/>
      </c>
      <c r="I219" s="4" t="str">
        <f t="shared" si="39"/>
        <v/>
      </c>
      <c r="J219" s="4" t="str">
        <f t="shared" si="39"/>
        <v/>
      </c>
      <c r="K219" s="4" t="str">
        <f t="shared" si="39"/>
        <v/>
      </c>
      <c r="L219" s="4" t="str">
        <f t="shared" si="39"/>
        <v/>
      </c>
      <c r="M219" s="4" t="str">
        <f t="shared" si="39"/>
        <v/>
      </c>
      <c r="N219" s="4" t="str">
        <f t="shared" si="39"/>
        <v/>
      </c>
      <c r="O219" s="4" t="str">
        <f t="shared" si="39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46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Low pressure mains replacement program</v>
      </c>
      <c r="D222" s="31" t="s">
        <v>60</v>
      </c>
      <c r="P222" s="45">
        <f>(-P73*(1+P$208))*P$219</f>
        <v>0</v>
      </c>
      <c r="Q222" s="45">
        <f t="shared" ref="Q222:V222" si="40">(-Q73*(1+Q$208))*Q$219</f>
        <v>0</v>
      </c>
      <c r="R222" s="45">
        <f t="shared" si="40"/>
        <v>0</v>
      </c>
      <c r="S222" s="45">
        <f t="shared" si="40"/>
        <v>0</v>
      </c>
      <c r="T222" s="45">
        <f t="shared" si="40"/>
        <v>0</v>
      </c>
      <c r="U222" s="45">
        <f t="shared" si="40"/>
        <v>0</v>
      </c>
      <c r="V222" s="45">
        <f t="shared" si="40"/>
        <v>0</v>
      </c>
      <c r="X222" s="40">
        <f t="shared" ref="X222" si="41">SUM(R222:V222)</f>
        <v>0</v>
      </c>
    </row>
    <row r="223" spans="1:24">
      <c r="B223" s="4" t="str">
        <f t="shared" ref="B223:B236" si="42">IF(B11&lt;&gt;"",B11,"[blank]")</f>
        <v>[blank]</v>
      </c>
      <c r="D223" s="31"/>
      <c r="P223" s="45"/>
      <c r="Q223" s="45"/>
      <c r="R223" s="45"/>
      <c r="S223" s="45"/>
      <c r="T223" s="45"/>
      <c r="U223" s="45"/>
      <c r="V223" s="45"/>
    </row>
    <row r="224" spans="1:24">
      <c r="B224" s="4" t="str">
        <f t="shared" si="42"/>
        <v>[blank]</v>
      </c>
      <c r="P224" s="45"/>
      <c r="Q224" s="45"/>
      <c r="R224" s="45"/>
      <c r="S224" s="45"/>
      <c r="T224" s="45"/>
      <c r="U224" s="45"/>
      <c r="V224" s="45"/>
    </row>
    <row r="225" spans="1:24">
      <c r="B225" s="4" t="str">
        <f t="shared" si="42"/>
        <v>[blank]</v>
      </c>
      <c r="P225" s="45"/>
      <c r="Q225" s="45"/>
      <c r="R225" s="45"/>
      <c r="S225" s="45"/>
      <c r="T225" s="45"/>
      <c r="U225" s="45"/>
      <c r="V225" s="45"/>
    </row>
    <row r="226" spans="1:24">
      <c r="B226" s="4" t="str">
        <f t="shared" si="42"/>
        <v>[blank]</v>
      </c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42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42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42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42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42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42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42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42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42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42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93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3">-P219*P210</f>
        <v>0</v>
      </c>
      <c r="Q238" s="37">
        <f t="shared" si="43"/>
        <v>0</v>
      </c>
      <c r="R238" s="37">
        <f t="shared" si="43"/>
        <v>0</v>
      </c>
      <c r="S238" s="37">
        <f t="shared" si="43"/>
        <v>0</v>
      </c>
      <c r="T238" s="37">
        <f t="shared" si="43"/>
        <v>0</v>
      </c>
      <c r="U238" s="37">
        <f t="shared" si="43"/>
        <v>0</v>
      </c>
      <c r="V238" s="37">
        <f t="shared" si="43"/>
        <v>0</v>
      </c>
      <c r="X238" s="37">
        <f t="shared" ref="X238" si="44">SUM(R238:V238)</f>
        <v>0</v>
      </c>
    </row>
    <row r="240" spans="1:24" s="1" customFormat="1">
      <c r="A240" s="2">
        <v>8</v>
      </c>
      <c r="B240" s="2" t="s">
        <v>75</v>
      </c>
    </row>
    <row r="242" spans="1:24">
      <c r="H242" s="190" t="s">
        <v>52</v>
      </c>
      <c r="I242" s="190"/>
      <c r="J242" s="190"/>
      <c r="K242" s="190"/>
      <c r="L242" s="190"/>
      <c r="M242" s="190" t="s">
        <v>53</v>
      </c>
      <c r="N242" s="190"/>
      <c r="O242" s="190"/>
      <c r="P242" s="190"/>
      <c r="Q242" s="190"/>
      <c r="R242" s="190" t="s">
        <v>54</v>
      </c>
      <c r="S242" s="190"/>
      <c r="T242" s="190"/>
      <c r="U242" s="190"/>
      <c r="V242" s="190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63</v>
      </c>
    </row>
    <row r="244" spans="1:24">
      <c r="D244" s="29" t="s">
        <v>55</v>
      </c>
      <c r="H244" s="16" t="s">
        <v>12</v>
      </c>
      <c r="I244" s="16" t="s">
        <v>12</v>
      </c>
      <c r="J244" s="16" t="s">
        <v>12</v>
      </c>
      <c r="K244" s="16" t="s">
        <v>12</v>
      </c>
      <c r="L244" s="16" t="s">
        <v>12</v>
      </c>
      <c r="M244" s="16" t="s">
        <v>12</v>
      </c>
      <c r="N244" s="16" t="s">
        <v>12</v>
      </c>
      <c r="O244" s="16" t="s">
        <v>12</v>
      </c>
      <c r="P244" s="16" t="s">
        <v>13</v>
      </c>
      <c r="Q244" s="16" t="s">
        <v>13</v>
      </c>
      <c r="R244" s="16" t="s">
        <v>13</v>
      </c>
      <c r="S244" s="16" t="s">
        <v>13</v>
      </c>
      <c r="T244" s="16" t="s">
        <v>13</v>
      </c>
      <c r="U244" s="16" t="s">
        <v>13</v>
      </c>
      <c r="V244" s="16" t="s">
        <v>13</v>
      </c>
      <c r="X244" s="34" t="s">
        <v>13</v>
      </c>
    </row>
    <row r="245" spans="1:24">
      <c r="B245" s="38" t="s">
        <v>96</v>
      </c>
      <c r="D245" s="31"/>
      <c r="X245" s="40"/>
    </row>
    <row r="246" spans="1:24">
      <c r="B246" s="47" t="s">
        <v>97</v>
      </c>
      <c r="D246" s="31" t="s">
        <v>60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45">SUM(R246:V246)</f>
        <v>0</v>
      </c>
    </row>
    <row r="247" spans="1:24">
      <c r="B247" s="47" t="s">
        <v>98</v>
      </c>
      <c r="D247" s="31" t="s">
        <v>60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45"/>
        <v>0</v>
      </c>
    </row>
    <row r="248" spans="1:24">
      <c r="B248" s="47" t="s">
        <v>99</v>
      </c>
      <c r="D248" s="31" t="s">
        <v>60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45"/>
        <v>0</v>
      </c>
    </row>
    <row r="249" spans="1:24">
      <c r="B249" s="47" t="s">
        <v>100</v>
      </c>
      <c r="D249" s="31" t="s">
        <v>60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45"/>
        <v>0</v>
      </c>
    </row>
    <row r="250" spans="1:24">
      <c r="B250" s="47" t="s">
        <v>101</v>
      </c>
      <c r="D250" s="31" t="s">
        <v>60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45"/>
        <v>0</v>
      </c>
    </row>
    <row r="252" spans="1:24" ht="12.75" thickBot="1">
      <c r="B252" s="5" t="s">
        <v>102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6">SUM(Q246:Q250)</f>
        <v>0</v>
      </c>
      <c r="R252" s="49">
        <f t="shared" si="46"/>
        <v>0</v>
      </c>
      <c r="S252" s="49">
        <f t="shared" si="46"/>
        <v>0</v>
      </c>
      <c r="T252" s="49">
        <f t="shared" si="46"/>
        <v>0</v>
      </c>
      <c r="U252" s="49">
        <f t="shared" si="46"/>
        <v>0</v>
      </c>
      <c r="V252" s="49">
        <f t="shared" si="46"/>
        <v>0</v>
      </c>
      <c r="X252" s="37">
        <f t="shared" si="45"/>
        <v>0</v>
      </c>
    </row>
    <row r="254" spans="1:24" s="1" customFormat="1">
      <c r="A254" s="2">
        <v>9</v>
      </c>
      <c r="B254" s="2" t="s">
        <v>103</v>
      </c>
    </row>
    <row r="256" spans="1:24">
      <c r="H256" s="190" t="s">
        <v>52</v>
      </c>
      <c r="I256" s="190"/>
      <c r="J256" s="190"/>
      <c r="K256" s="190"/>
      <c r="L256" s="190"/>
      <c r="M256" s="190" t="s">
        <v>53</v>
      </c>
      <c r="N256" s="190"/>
      <c r="O256" s="190"/>
      <c r="P256" s="190"/>
      <c r="Q256" s="190"/>
      <c r="R256" s="190" t="s">
        <v>54</v>
      </c>
      <c r="S256" s="190"/>
      <c r="T256" s="190"/>
      <c r="U256" s="190"/>
      <c r="V256" s="190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63</v>
      </c>
    </row>
    <row r="258" spans="1:24">
      <c r="D258" s="29" t="s">
        <v>55</v>
      </c>
      <c r="H258" s="16" t="s">
        <v>12</v>
      </c>
      <c r="I258" s="16" t="s">
        <v>12</v>
      </c>
      <c r="J258" s="16" t="s">
        <v>12</v>
      </c>
      <c r="K258" s="16" t="s">
        <v>12</v>
      </c>
      <c r="L258" s="16" t="s">
        <v>12</v>
      </c>
      <c r="M258" s="16" t="s">
        <v>12</v>
      </c>
      <c r="N258" s="16" t="s">
        <v>12</v>
      </c>
      <c r="O258" s="16" t="s">
        <v>12</v>
      </c>
      <c r="P258" s="16" t="s">
        <v>13</v>
      </c>
      <c r="Q258" s="16" t="s">
        <v>13</v>
      </c>
      <c r="R258" s="16" t="s">
        <v>13</v>
      </c>
      <c r="S258" s="16" t="s">
        <v>13</v>
      </c>
      <c r="T258" s="16" t="s">
        <v>13</v>
      </c>
      <c r="U258" s="16" t="s">
        <v>13</v>
      </c>
      <c r="V258" s="16" t="s">
        <v>13</v>
      </c>
      <c r="X258" s="34" t="s">
        <v>13</v>
      </c>
    </row>
    <row r="259" spans="1:24">
      <c r="B259" s="4" t="s">
        <v>104</v>
      </c>
      <c r="D259" s="31" t="s">
        <v>60</v>
      </c>
      <c r="H259" s="45">
        <f t="shared" ref="H259:V259" si="47">H210</f>
        <v>0</v>
      </c>
      <c r="I259" s="45">
        <f t="shared" si="47"/>
        <v>0</v>
      </c>
      <c r="J259" s="45">
        <f t="shared" si="47"/>
        <v>0</v>
      </c>
      <c r="K259" s="45">
        <f t="shared" si="47"/>
        <v>0</v>
      </c>
      <c r="L259" s="45">
        <f t="shared" si="47"/>
        <v>0</v>
      </c>
      <c r="M259" s="45">
        <f t="shared" si="47"/>
        <v>0</v>
      </c>
      <c r="N259" s="45">
        <f t="shared" si="47"/>
        <v>0</v>
      </c>
      <c r="O259" s="45">
        <f t="shared" si="47"/>
        <v>0</v>
      </c>
      <c r="P259" s="45">
        <f t="shared" si="47"/>
        <v>0</v>
      </c>
      <c r="Q259" s="45">
        <f t="shared" si="47"/>
        <v>27395273.78101889</v>
      </c>
      <c r="R259" s="45">
        <f t="shared" si="47"/>
        <v>21872939.151927553</v>
      </c>
      <c r="S259" s="45">
        <f t="shared" si="47"/>
        <v>20768240.004615765</v>
      </c>
      <c r="T259" s="45">
        <f t="shared" si="47"/>
        <v>21763911.33414913</v>
      </c>
      <c r="U259" s="45">
        <f t="shared" si="47"/>
        <v>18839545.064178586</v>
      </c>
      <c r="V259" s="45">
        <f t="shared" si="47"/>
        <v>18120206.648734465</v>
      </c>
      <c r="X259" s="40">
        <f t="shared" ref="X259:X261" si="48">SUM(R259:V259)</f>
        <v>101364842.20360549</v>
      </c>
    </row>
    <row r="260" spans="1:24">
      <c r="B260" s="4" t="s">
        <v>74</v>
      </c>
      <c r="D260" s="31" t="s">
        <v>60</v>
      </c>
      <c r="H260" s="45">
        <f>H238</f>
        <v>0</v>
      </c>
      <c r="I260" s="45">
        <f t="shared" ref="I260:V260" si="49">I238</f>
        <v>0</v>
      </c>
      <c r="J260" s="45">
        <f t="shared" si="49"/>
        <v>0</v>
      </c>
      <c r="K260" s="45">
        <f t="shared" si="49"/>
        <v>0</v>
      </c>
      <c r="L260" s="45">
        <f t="shared" si="49"/>
        <v>0</v>
      </c>
      <c r="M260" s="45">
        <f t="shared" si="49"/>
        <v>0</v>
      </c>
      <c r="N260" s="45">
        <f t="shared" si="49"/>
        <v>0</v>
      </c>
      <c r="O260" s="45">
        <f t="shared" si="49"/>
        <v>0</v>
      </c>
      <c r="P260" s="45">
        <f t="shared" si="49"/>
        <v>0</v>
      </c>
      <c r="Q260" s="45">
        <f t="shared" si="49"/>
        <v>0</v>
      </c>
      <c r="R260" s="45">
        <f t="shared" si="49"/>
        <v>0</v>
      </c>
      <c r="S260" s="45">
        <f t="shared" si="49"/>
        <v>0</v>
      </c>
      <c r="T260" s="45">
        <f t="shared" si="49"/>
        <v>0</v>
      </c>
      <c r="U260" s="45">
        <f t="shared" si="49"/>
        <v>0</v>
      </c>
      <c r="V260" s="45">
        <f t="shared" si="49"/>
        <v>0</v>
      </c>
      <c r="X260" s="40">
        <f t="shared" si="48"/>
        <v>0</v>
      </c>
    </row>
    <row r="261" spans="1:24">
      <c r="B261" s="4" t="s">
        <v>75</v>
      </c>
      <c r="D261" s="31" t="s">
        <v>60</v>
      </c>
      <c r="H261" s="45">
        <f>H252</f>
        <v>0</v>
      </c>
      <c r="I261" s="45">
        <f t="shared" ref="I261:V261" si="50">I252</f>
        <v>0</v>
      </c>
      <c r="J261" s="45">
        <f t="shared" si="50"/>
        <v>0</v>
      </c>
      <c r="K261" s="45">
        <f t="shared" si="50"/>
        <v>0</v>
      </c>
      <c r="L261" s="45">
        <f t="shared" si="50"/>
        <v>0</v>
      </c>
      <c r="M261" s="45">
        <f t="shared" si="50"/>
        <v>0</v>
      </c>
      <c r="N261" s="45">
        <f t="shared" si="50"/>
        <v>0</v>
      </c>
      <c r="O261" s="45">
        <f t="shared" si="50"/>
        <v>0</v>
      </c>
      <c r="P261" s="45">
        <f t="shared" si="50"/>
        <v>0</v>
      </c>
      <c r="Q261" s="45">
        <f t="shared" si="50"/>
        <v>0</v>
      </c>
      <c r="R261" s="45">
        <f t="shared" si="50"/>
        <v>0</v>
      </c>
      <c r="S261" s="45">
        <f t="shared" si="50"/>
        <v>0</v>
      </c>
      <c r="T261" s="45">
        <f t="shared" si="50"/>
        <v>0</v>
      </c>
      <c r="U261" s="45">
        <f t="shared" si="50"/>
        <v>0</v>
      </c>
      <c r="V261" s="45">
        <f t="shared" si="50"/>
        <v>0</v>
      </c>
      <c r="X261" s="40">
        <f t="shared" si="48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103</v>
      </c>
      <c r="D263" s="31" t="s">
        <v>60</v>
      </c>
      <c r="H263" s="37">
        <f>SUM(H259:H261)</f>
        <v>0</v>
      </c>
      <c r="I263" s="37">
        <f t="shared" ref="I263:V263" si="51">SUM(I259:I261)</f>
        <v>0</v>
      </c>
      <c r="J263" s="37">
        <f t="shared" si="51"/>
        <v>0</v>
      </c>
      <c r="K263" s="37">
        <f t="shared" si="51"/>
        <v>0</v>
      </c>
      <c r="L263" s="37">
        <f t="shared" si="51"/>
        <v>0</v>
      </c>
      <c r="M263" s="37">
        <f t="shared" si="51"/>
        <v>0</v>
      </c>
      <c r="N263" s="37">
        <f t="shared" si="51"/>
        <v>0</v>
      </c>
      <c r="O263" s="37">
        <f t="shared" si="51"/>
        <v>0</v>
      </c>
      <c r="P263" s="37">
        <f t="shared" si="51"/>
        <v>0</v>
      </c>
      <c r="Q263" s="37">
        <f t="shared" si="51"/>
        <v>27395273.78101889</v>
      </c>
      <c r="R263" s="37">
        <f t="shared" si="51"/>
        <v>21872939.151927553</v>
      </c>
      <c r="S263" s="37">
        <f t="shared" si="51"/>
        <v>20768240.004615765</v>
      </c>
      <c r="T263" s="37">
        <f t="shared" si="51"/>
        <v>21763911.33414913</v>
      </c>
      <c r="U263" s="37">
        <f t="shared" si="51"/>
        <v>18839545.064178586</v>
      </c>
      <c r="V263" s="37">
        <f t="shared" si="51"/>
        <v>18120206.648734465</v>
      </c>
      <c r="X263" s="37">
        <f t="shared" ref="X263" si="52">SUM(R263:V263)</f>
        <v>101364842.20360549</v>
      </c>
    </row>
    <row r="264" spans="1:24">
      <c r="D264" s="31"/>
    </row>
    <row r="266" spans="1:24" s="66" customFormat="1">
      <c r="A266" s="65">
        <v>10</v>
      </c>
      <c r="B266" s="65" t="s">
        <v>121</v>
      </c>
    </row>
    <row r="268" spans="1:24">
      <c r="B268" s="69" t="s">
        <v>120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235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5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5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5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5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53">IFERROR(SUMPRODUCT($Z$73:$Z$87,Q$73:Q$87)/SUM(Q$73:Q$87)*Q$89,0)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84">
        <f t="shared" si="53"/>
        <v>0</v>
      </c>
      <c r="Y276" s="75"/>
    </row>
    <row r="277" spans="6:25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54">IFERROR(SUMPRODUCT($AA$73:$AA$87,Q$73:Q$87)/SUM(Q$73:Q$87)*Q$89,0)</f>
        <v>12743864.447899999</v>
      </c>
      <c r="R277" s="57">
        <f t="shared" si="54"/>
        <v>10200305.288710274</v>
      </c>
      <c r="S277" s="57">
        <f t="shared" si="54"/>
        <v>9648310.0077191293</v>
      </c>
      <c r="T277" s="57">
        <f t="shared" si="54"/>
        <v>10099950.264867391</v>
      </c>
      <c r="U277" s="57">
        <f t="shared" si="54"/>
        <v>8708177.8354169112</v>
      </c>
      <c r="V277" s="62">
        <f t="shared" si="54"/>
        <v>8355002.9527506242</v>
      </c>
      <c r="Y277" s="75"/>
    </row>
    <row r="278" spans="6:25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5">IFERROR(SUMPRODUCT($AB$73:$AB$87,Q$73:Q$87)/SUM(Q$73:Q$87)*Q$89,0)</f>
        <v>12743864.447899999</v>
      </c>
      <c r="R278" s="57">
        <f t="shared" si="55"/>
        <v>10200305.288710274</v>
      </c>
      <c r="S278" s="57">
        <f t="shared" si="55"/>
        <v>9648310.0077191293</v>
      </c>
      <c r="T278" s="57">
        <f t="shared" si="55"/>
        <v>10099950.264867391</v>
      </c>
      <c r="U278" s="57">
        <f t="shared" si="55"/>
        <v>8708177.8354169112</v>
      </c>
      <c r="V278" s="62">
        <f t="shared" si="55"/>
        <v>8355002.9527506242</v>
      </c>
      <c r="Y278" s="75"/>
    </row>
    <row r="279" spans="6:25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6">IFERROR(SUMPRODUCT($AC$73:$AC$87,Q$73:Q$87)/SUM(Q$73:Q$87)*Q$89,0)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  <c r="Y279" s="75"/>
    </row>
    <row r="280" spans="6:25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7">IFERROR(SUMPRODUCT($AD$73:$AD$87,Q$73:Q$87)/SUM(Q$73:Q$87)*Q$89,0)</f>
        <v>0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  <c r="Y280" s="75"/>
    </row>
    <row r="281" spans="6:25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58">IFERROR(SUMPRODUCT($AE$73:$AE$87,Q$73:Q$87)/SUM(Q$73:Q$87)*Q$89,0)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  <c r="Y281" s="75"/>
    </row>
    <row r="282" spans="6:25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59">IFERROR(SUMPRODUCT($AF$73:$AF$87,Q$73:Q$87)/SUM(Q$73:Q$87)*Q$89,0)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  <c r="Y282" s="75"/>
    </row>
    <row r="283" spans="6:25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0">IFERROR(SUMPRODUCT($AG$73:$AG$87,Q$73:Q$87)/SUM(Q$73:Q$87)*Q$89,0)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  <c r="Y283" s="75"/>
    </row>
    <row r="284" spans="6:25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1">IFERROR(SUMPRODUCT($AH$73:$AH$87,Q$73:Q$87)/SUM(Q$73:Q$87)*Q$89,0)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  <c r="Y284" s="75"/>
    </row>
    <row r="285" spans="6:25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62">IFERROR(SUMPRODUCT($AI$73:$AI$87,Q$73:Q$87)/SUM(Q$73:Q$87)*Q$89,0)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  <c r="Y285" s="75"/>
    </row>
    <row r="286" spans="6:25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63">IFERROR(SUMPRODUCT($AJ$73:$AJ$87,Q$73:Q$87)/SUM(Q$73:Q$87)*Q$89,0)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  <c r="Y286" s="75"/>
    </row>
    <row r="287" spans="6:25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5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25487728.895799998</v>
      </c>
      <c r="R288" s="37">
        <f t="shared" si="64"/>
        <v>20400610.577420548</v>
      </c>
      <c r="S288" s="37">
        <f t="shared" si="64"/>
        <v>19296620.015438259</v>
      </c>
      <c r="T288" s="37">
        <f t="shared" si="64"/>
        <v>20199900.529734783</v>
      </c>
      <c r="U288" s="37">
        <f t="shared" si="64"/>
        <v>17416355.670833822</v>
      </c>
      <c r="V288" s="64">
        <f t="shared" si="64"/>
        <v>16710005.905501248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123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P276*(1+P$208)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13697636.890509445</v>
      </c>
      <c r="R298" s="57">
        <f t="shared" si="65"/>
        <v>10936469.575963777</v>
      </c>
      <c r="S298" s="57">
        <f t="shared" si="65"/>
        <v>10384120.002307883</v>
      </c>
      <c r="T298" s="57">
        <f t="shared" si="65"/>
        <v>10881955.667074565</v>
      </c>
      <c r="U298" s="57">
        <f t="shared" si="65"/>
        <v>9419772.532089293</v>
      </c>
      <c r="V298" s="62">
        <f t="shared" si="65"/>
        <v>9060103.3243672326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13697636.890509445</v>
      </c>
      <c r="R299" s="57">
        <f t="shared" si="65"/>
        <v>10936469.575963777</v>
      </c>
      <c r="S299" s="57">
        <f t="shared" si="65"/>
        <v>10384120.002307883</v>
      </c>
      <c r="T299" s="57">
        <f t="shared" si="65"/>
        <v>10881955.667074565</v>
      </c>
      <c r="U299" s="57">
        <f t="shared" si="65"/>
        <v>9419772.532089293</v>
      </c>
      <c r="V299" s="62">
        <f t="shared" si="65"/>
        <v>9060103.3243672326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0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27395273.78101889</v>
      </c>
      <c r="R309" s="37">
        <f t="shared" si="66"/>
        <v>21872939.151927553</v>
      </c>
      <c r="S309" s="37">
        <f t="shared" si="66"/>
        <v>20768240.004615765</v>
      </c>
      <c r="T309" s="37">
        <f t="shared" si="66"/>
        <v>21763911.33414913</v>
      </c>
      <c r="U309" s="37">
        <f t="shared" si="66"/>
        <v>18839545.064178586</v>
      </c>
      <c r="V309" s="64">
        <f t="shared" si="66"/>
        <v>18120206.648734465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124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P297*(1-P$219)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13697636.890509445</v>
      </c>
      <c r="R319" s="57">
        <f t="shared" si="67"/>
        <v>10936469.575963777</v>
      </c>
      <c r="S319" s="57">
        <f t="shared" si="67"/>
        <v>10384120.002307883</v>
      </c>
      <c r="T319" s="57">
        <f t="shared" si="67"/>
        <v>10881955.667074565</v>
      </c>
      <c r="U319" s="57">
        <f t="shared" si="67"/>
        <v>9419772.532089293</v>
      </c>
      <c r="V319" s="62">
        <f t="shared" si="67"/>
        <v>9060103.3243672326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13697636.890509445</v>
      </c>
      <c r="R320" s="57">
        <f t="shared" si="67"/>
        <v>10936469.575963777</v>
      </c>
      <c r="S320" s="57">
        <f t="shared" si="67"/>
        <v>10384120.002307883</v>
      </c>
      <c r="T320" s="57">
        <f t="shared" si="67"/>
        <v>10881955.667074565</v>
      </c>
      <c r="U320" s="57">
        <f t="shared" si="67"/>
        <v>9419772.532089293</v>
      </c>
      <c r="V320" s="62">
        <f t="shared" si="67"/>
        <v>9060103.3243672326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0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27395273.78101889</v>
      </c>
      <c r="R330" s="37">
        <f t="shared" si="68"/>
        <v>21872939.151927553</v>
      </c>
      <c r="S330" s="37">
        <f t="shared" si="68"/>
        <v>20768240.004615765</v>
      </c>
      <c r="T330" s="37">
        <f t="shared" si="68"/>
        <v>21763911.33414913</v>
      </c>
      <c r="U330" s="37">
        <f t="shared" si="68"/>
        <v>18839545.064178586</v>
      </c>
      <c r="V330" s="64">
        <f t="shared" si="68"/>
        <v>18120206.648734465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139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39" si="69">Q297*Q$219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P298*P$219</f>
        <v>0</v>
      </c>
      <c r="Q340" s="57">
        <f t="shared" ref="Q340:V340" si="71">Q298*Q$219</f>
        <v>0</v>
      </c>
      <c r="R340" s="57">
        <f t="shared" si="71"/>
        <v>0</v>
      </c>
      <c r="S340" s="57">
        <f t="shared" si="71"/>
        <v>0</v>
      </c>
      <c r="T340" s="57">
        <f t="shared" si="71"/>
        <v>0</v>
      </c>
      <c r="U340" s="57">
        <f t="shared" si="71"/>
        <v>0</v>
      </c>
      <c r="V340" s="62">
        <f t="shared" si="71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ref="Q341:V341" si="72">Q299*Q$219</f>
        <v>0</v>
      </c>
      <c r="R341" s="57">
        <f t="shared" si="72"/>
        <v>0</v>
      </c>
      <c r="S341" s="57">
        <f t="shared" si="72"/>
        <v>0</v>
      </c>
      <c r="T341" s="57">
        <f t="shared" si="72"/>
        <v>0</v>
      </c>
      <c r="U341" s="57">
        <f t="shared" si="72"/>
        <v>0</v>
      </c>
      <c r="V341" s="62">
        <f t="shared" si="72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ref="Q342:V342" si="73">Q300*Q$219</f>
        <v>0</v>
      </c>
      <c r="R342" s="57">
        <f t="shared" si="73"/>
        <v>0</v>
      </c>
      <c r="S342" s="57">
        <f t="shared" si="73"/>
        <v>0</v>
      </c>
      <c r="T342" s="57">
        <f t="shared" si="73"/>
        <v>0</v>
      </c>
      <c r="U342" s="57">
        <f t="shared" si="73"/>
        <v>0</v>
      </c>
      <c r="V342" s="62">
        <f t="shared" si="73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ref="Q343:V343" si="74">Q301*Q$219</f>
        <v>0</v>
      </c>
      <c r="R343" s="57">
        <f t="shared" si="74"/>
        <v>0</v>
      </c>
      <c r="S343" s="57">
        <f t="shared" si="74"/>
        <v>0</v>
      </c>
      <c r="T343" s="57">
        <f t="shared" si="74"/>
        <v>0</v>
      </c>
      <c r="U343" s="57">
        <f t="shared" si="74"/>
        <v>0</v>
      </c>
      <c r="V343" s="62">
        <f t="shared" si="74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ref="Q344:V344" si="75">Q302*Q$219</f>
        <v>0</v>
      </c>
      <c r="R344" s="57">
        <f t="shared" si="75"/>
        <v>0</v>
      </c>
      <c r="S344" s="57">
        <f t="shared" si="75"/>
        <v>0</v>
      </c>
      <c r="T344" s="57">
        <f t="shared" si="75"/>
        <v>0</v>
      </c>
      <c r="U344" s="57">
        <f t="shared" si="75"/>
        <v>0</v>
      </c>
      <c r="V344" s="62">
        <f t="shared" si="75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ref="Q345:V345" si="76">Q303*Q$219</f>
        <v>0</v>
      </c>
      <c r="R345" s="57">
        <f t="shared" si="76"/>
        <v>0</v>
      </c>
      <c r="S345" s="57">
        <f t="shared" si="76"/>
        <v>0</v>
      </c>
      <c r="T345" s="57">
        <f t="shared" si="76"/>
        <v>0</v>
      </c>
      <c r="U345" s="57">
        <f t="shared" si="76"/>
        <v>0</v>
      </c>
      <c r="V345" s="62">
        <f t="shared" si="76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ref="Q346:V346" si="77">Q304*Q$219</f>
        <v>0</v>
      </c>
      <c r="R346" s="57">
        <f t="shared" si="77"/>
        <v>0</v>
      </c>
      <c r="S346" s="57">
        <f t="shared" si="77"/>
        <v>0</v>
      </c>
      <c r="T346" s="57">
        <f t="shared" si="77"/>
        <v>0</v>
      </c>
      <c r="U346" s="57">
        <f t="shared" si="77"/>
        <v>0</v>
      </c>
      <c r="V346" s="62">
        <f t="shared" si="77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ref="Q347:V347" si="78">Q305*Q$219</f>
        <v>0</v>
      </c>
      <c r="R347" s="57">
        <f t="shared" si="78"/>
        <v>0</v>
      </c>
      <c r="S347" s="57">
        <f t="shared" si="78"/>
        <v>0</v>
      </c>
      <c r="T347" s="57">
        <f t="shared" si="78"/>
        <v>0</v>
      </c>
      <c r="U347" s="57">
        <f t="shared" si="78"/>
        <v>0</v>
      </c>
      <c r="V347" s="62">
        <f t="shared" si="78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ref="Q348:V348" si="79">Q306*Q$219</f>
        <v>0</v>
      </c>
      <c r="R348" s="57">
        <f t="shared" si="79"/>
        <v>0</v>
      </c>
      <c r="S348" s="57">
        <f t="shared" si="79"/>
        <v>0</v>
      </c>
      <c r="T348" s="57">
        <f t="shared" si="79"/>
        <v>0</v>
      </c>
      <c r="U348" s="57">
        <f t="shared" si="79"/>
        <v>0</v>
      </c>
      <c r="V348" s="62">
        <f t="shared" si="79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ref="Q349:V349" si="80">Q307*Q$219</f>
        <v>0</v>
      </c>
      <c r="R349" s="57">
        <f t="shared" si="80"/>
        <v>0</v>
      </c>
      <c r="S349" s="57">
        <f t="shared" si="80"/>
        <v>0</v>
      </c>
      <c r="T349" s="57">
        <f t="shared" si="80"/>
        <v>0</v>
      </c>
      <c r="U349" s="57">
        <f t="shared" si="80"/>
        <v>0</v>
      </c>
      <c r="V349" s="62">
        <f t="shared" si="80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81">SUM(Q339:Q349)</f>
        <v>0</v>
      </c>
      <c r="R351" s="37">
        <f t="shared" si="81"/>
        <v>0</v>
      </c>
      <c r="S351" s="37">
        <f t="shared" si="81"/>
        <v>0</v>
      </c>
      <c r="T351" s="37">
        <f t="shared" si="81"/>
        <v>0</v>
      </c>
      <c r="U351" s="37">
        <f t="shared" si="81"/>
        <v>0</v>
      </c>
      <c r="V351" s="64">
        <f t="shared" si="8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123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2">IFERROR(SUMPRODUCT($AM$73:$AM$87,Q$73:Q$87)/SUM(Q$73:Q$87)*Q$89,0)</f>
        <v>25487728.895799998</v>
      </c>
      <c r="R362" s="57">
        <f t="shared" si="82"/>
        <v>20400610.577420548</v>
      </c>
      <c r="S362" s="57">
        <f t="shared" si="82"/>
        <v>19296620.015438259</v>
      </c>
      <c r="T362" s="57">
        <f t="shared" si="82"/>
        <v>20199900.529734783</v>
      </c>
      <c r="U362" s="57">
        <f t="shared" si="82"/>
        <v>17416355.670833822</v>
      </c>
      <c r="V362" s="62">
        <f t="shared" si="82"/>
        <v>16710005.905501248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83">IFERROR(SUMPRODUCT($AN$73:$AN$87,Q$73:Q$87)/SUM(Q$73:Q$87)*Q$89,0)</f>
        <v>0</v>
      </c>
      <c r="R363" s="57">
        <f t="shared" si="83"/>
        <v>0</v>
      </c>
      <c r="S363" s="57">
        <f t="shared" si="83"/>
        <v>0</v>
      </c>
      <c r="T363" s="57">
        <f t="shared" si="83"/>
        <v>0</v>
      </c>
      <c r="U363" s="57">
        <f t="shared" si="83"/>
        <v>0</v>
      </c>
      <c r="V363" s="62">
        <f t="shared" si="83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84">IFERROR(SUMPRODUCT($AO$73:$AO$87,Q$73:Q$87)/SUM(Q$73:Q$87)*Q$89,0)</f>
        <v>0</v>
      </c>
      <c r="R364" s="57">
        <f t="shared" si="84"/>
        <v>0</v>
      </c>
      <c r="S364" s="57">
        <f t="shared" si="84"/>
        <v>0</v>
      </c>
      <c r="T364" s="57">
        <f t="shared" si="84"/>
        <v>0</v>
      </c>
      <c r="U364" s="57">
        <f t="shared" si="84"/>
        <v>0</v>
      </c>
      <c r="V364" s="62">
        <f t="shared" si="84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85">IFERROR(SUMPRODUCT($AP$73:$AP$87,Q$73:Q$87)/SUM(Q$73:Q$87)*Q$89,0)</f>
        <v>0</v>
      </c>
      <c r="R365" s="57">
        <f t="shared" si="85"/>
        <v>0</v>
      </c>
      <c r="S365" s="57">
        <f t="shared" si="85"/>
        <v>0</v>
      </c>
      <c r="T365" s="57">
        <f t="shared" si="85"/>
        <v>0</v>
      </c>
      <c r="U365" s="57">
        <f t="shared" si="85"/>
        <v>0</v>
      </c>
      <c r="V365" s="62">
        <f t="shared" si="85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86">IFERROR(SUMPRODUCT($AQ$73:$AQ$87,Q$73:Q$87)/SUM(Q$73:Q$87)*Q$89,0)</f>
        <v>0</v>
      </c>
      <c r="R366" s="57">
        <f t="shared" si="86"/>
        <v>0</v>
      </c>
      <c r="S366" s="57">
        <f t="shared" si="86"/>
        <v>0</v>
      </c>
      <c r="T366" s="57">
        <f t="shared" si="86"/>
        <v>0</v>
      </c>
      <c r="U366" s="57">
        <f t="shared" si="86"/>
        <v>0</v>
      </c>
      <c r="V366" s="62">
        <f t="shared" si="86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87">IFERROR(SUMPRODUCT($AR$73:$AR$87,Q$73:Q$87)/SUM(Q$73:Q$87)*Q$89,0)</f>
        <v>0</v>
      </c>
      <c r="R367" s="57">
        <f t="shared" si="87"/>
        <v>0</v>
      </c>
      <c r="S367" s="57">
        <f t="shared" si="87"/>
        <v>0</v>
      </c>
      <c r="T367" s="57">
        <f t="shared" si="87"/>
        <v>0</v>
      </c>
      <c r="U367" s="57">
        <f t="shared" si="87"/>
        <v>0</v>
      </c>
      <c r="V367" s="62">
        <f t="shared" si="87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8">IFERROR(SUMPRODUCT($AS$73:$AS$87,Q$73:Q$87)/SUM(Q$73:Q$87)*Q$89,0)</f>
        <v>0</v>
      </c>
      <c r="R368" s="57">
        <f t="shared" si="88"/>
        <v>0</v>
      </c>
      <c r="S368" s="57">
        <f t="shared" si="88"/>
        <v>0</v>
      </c>
      <c r="T368" s="57">
        <f t="shared" si="88"/>
        <v>0</v>
      </c>
      <c r="U368" s="57">
        <f t="shared" si="88"/>
        <v>0</v>
      </c>
      <c r="V368" s="62">
        <f t="shared" si="88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9">IFERROR(SUMPRODUCT($AT$73:$AT$87,Q$73:Q$87)/SUM(Q$73:Q$87)*Q$89,0)</f>
        <v>0</v>
      </c>
      <c r="R369" s="57">
        <f t="shared" si="89"/>
        <v>0</v>
      </c>
      <c r="S369" s="57">
        <f t="shared" si="89"/>
        <v>0</v>
      </c>
      <c r="T369" s="57">
        <f t="shared" si="89"/>
        <v>0</v>
      </c>
      <c r="U369" s="57">
        <f t="shared" si="89"/>
        <v>0</v>
      </c>
      <c r="V369" s="62">
        <f t="shared" si="89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90">IFERROR(SUMPRODUCT($AU$73:$AU$87,Q$73:Q$87)/SUM(Q$73:Q$87)*Q$89,0)</f>
        <v>0</v>
      </c>
      <c r="R370" s="57">
        <f t="shared" si="90"/>
        <v>0</v>
      </c>
      <c r="S370" s="57">
        <f t="shared" si="90"/>
        <v>0</v>
      </c>
      <c r="T370" s="57">
        <f t="shared" si="90"/>
        <v>0</v>
      </c>
      <c r="U370" s="57">
        <f t="shared" si="90"/>
        <v>0</v>
      </c>
      <c r="V370" s="62">
        <f t="shared" si="90"/>
        <v>0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91">IFERROR(SUMPRODUCT($AV$73:$AV$87,Q$73:Q$87)/SUM(Q$73:Q$87)*Q$89,0)</f>
        <v>0</v>
      </c>
      <c r="R371" s="57">
        <f t="shared" si="91"/>
        <v>0</v>
      </c>
      <c r="S371" s="57">
        <f t="shared" si="91"/>
        <v>0</v>
      </c>
      <c r="T371" s="57">
        <f t="shared" si="91"/>
        <v>0</v>
      </c>
      <c r="U371" s="57">
        <f t="shared" si="91"/>
        <v>0</v>
      </c>
      <c r="V371" s="62">
        <f t="shared" si="91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2">IFERROR(SUMPRODUCT($AW$73:$AW$87,Q$73:Q$87)/SUM(Q$73:Q$87)*Q$89,0)</f>
        <v>0</v>
      </c>
      <c r="R372" s="57">
        <f t="shared" si="92"/>
        <v>0</v>
      </c>
      <c r="S372" s="57">
        <f t="shared" si="92"/>
        <v>0</v>
      </c>
      <c r="T372" s="57">
        <f t="shared" si="92"/>
        <v>0</v>
      </c>
      <c r="U372" s="57">
        <f t="shared" si="92"/>
        <v>0</v>
      </c>
      <c r="V372" s="62">
        <f t="shared" si="92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93">Q238</f>
        <v>0</v>
      </c>
      <c r="R373" s="57">
        <f t="shared" si="93"/>
        <v>0</v>
      </c>
      <c r="S373" s="57">
        <f t="shared" si="93"/>
        <v>0</v>
      </c>
      <c r="T373" s="57">
        <f t="shared" si="93"/>
        <v>0</v>
      </c>
      <c r="U373" s="57">
        <f t="shared" si="93"/>
        <v>0</v>
      </c>
      <c r="V373" s="62">
        <f t="shared" si="93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94">Q252</f>
        <v>0</v>
      </c>
      <c r="R374" s="57">
        <f t="shared" si="94"/>
        <v>0</v>
      </c>
      <c r="S374" s="57">
        <f t="shared" si="94"/>
        <v>0</v>
      </c>
      <c r="T374" s="57">
        <f t="shared" si="94"/>
        <v>0</v>
      </c>
      <c r="U374" s="57">
        <f t="shared" si="94"/>
        <v>0</v>
      </c>
      <c r="V374" s="62">
        <f t="shared" si="94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95">SUM(Q362:Q372)*Q208</f>
        <v>1907544.8852188888</v>
      </c>
      <c r="R375" s="57">
        <f t="shared" si="95"/>
        <v>1472328.5745070067</v>
      </c>
      <c r="S375" s="57">
        <f t="shared" si="95"/>
        <v>1471619.9891775057</v>
      </c>
      <c r="T375" s="57">
        <f t="shared" si="95"/>
        <v>1564010.8044143487</v>
      </c>
      <c r="U375" s="57">
        <f t="shared" si="95"/>
        <v>1423189.3933447616</v>
      </c>
      <c r="V375" s="57">
        <f t="shared" si="95"/>
        <v>1410200.7432332183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96">SUM(P362:P375)</f>
        <v>0</v>
      </c>
      <c r="Q377" s="37">
        <f t="shared" si="96"/>
        <v>27395273.781018887</v>
      </c>
      <c r="R377" s="37">
        <f t="shared" si="96"/>
        <v>21872939.151927553</v>
      </c>
      <c r="S377" s="37">
        <f t="shared" si="96"/>
        <v>20768240.004615765</v>
      </c>
      <c r="T377" s="37">
        <f t="shared" si="96"/>
        <v>21763911.33414913</v>
      </c>
      <c r="U377" s="37">
        <f t="shared" si="96"/>
        <v>18839545.064178582</v>
      </c>
      <c r="V377" s="64">
        <f t="shared" si="96"/>
        <v>18120206.648734465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123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97">IFERROR(SUMPRODUCT($BB$73:$BB$87,Q$73:Q$87)/SUM(Q$73:Q$87)*Q$89*(1+Q$208),0)</f>
        <v>27395273.78101889</v>
      </c>
      <c r="R388" s="57">
        <f t="shared" si="97"/>
        <v>21872939.151927553</v>
      </c>
      <c r="S388" s="57">
        <f t="shared" si="97"/>
        <v>20768240.004615765</v>
      </c>
      <c r="T388" s="57">
        <f t="shared" si="97"/>
        <v>21763911.33414913</v>
      </c>
      <c r="U388" s="57">
        <f t="shared" si="97"/>
        <v>18839545.064178586</v>
      </c>
      <c r="V388" s="84">
        <f t="shared" si="97"/>
        <v>18120206.648734465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98">IFERROR(SUMPRODUCT($BC$73:$BC$87,Q$73:Q$87)/SUM(Q$73:Q$87)*Q$89*(1+Q$208),0)</f>
        <v>0</v>
      </c>
      <c r="R389" s="57">
        <f t="shared" si="98"/>
        <v>0</v>
      </c>
      <c r="S389" s="57">
        <f t="shared" si="98"/>
        <v>0</v>
      </c>
      <c r="T389" s="57">
        <f t="shared" si="98"/>
        <v>0</v>
      </c>
      <c r="U389" s="57">
        <f t="shared" si="98"/>
        <v>0</v>
      </c>
      <c r="V389" s="62">
        <f t="shared" si="98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9">IFERROR(SUMPRODUCT($BD$73:$BD$87,Q$73:Q$87)/SUM(Q$73:Q$87)*Q$89*(1+Q$208),0)</f>
        <v>0</v>
      </c>
      <c r="R390" s="57">
        <f t="shared" si="99"/>
        <v>0</v>
      </c>
      <c r="S390" s="57">
        <f t="shared" si="99"/>
        <v>0</v>
      </c>
      <c r="T390" s="57">
        <f t="shared" si="99"/>
        <v>0</v>
      </c>
      <c r="U390" s="57">
        <f t="shared" si="99"/>
        <v>0</v>
      </c>
      <c r="V390" s="62">
        <f t="shared" si="99"/>
        <v>0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00">IFERROR(SUMPRODUCT($BE$73:$BE$87,Q$73:Q$87)/SUM(Q$73:Q$87)*Q$89*(1+Q$208),0)</f>
        <v>0</v>
      </c>
      <c r="R391" s="57">
        <f t="shared" si="100"/>
        <v>0</v>
      </c>
      <c r="S391" s="57">
        <f t="shared" si="100"/>
        <v>0</v>
      </c>
      <c r="T391" s="57">
        <f t="shared" si="100"/>
        <v>0</v>
      </c>
      <c r="U391" s="57">
        <f t="shared" si="100"/>
        <v>0</v>
      </c>
      <c r="V391" s="62">
        <f t="shared" si="100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01">IFERROR(SUMPRODUCT($BF$73:$BF$87,Q$73:Q$87)/SUM(Q$73:Q$87)*Q$89*(1+Q$208),0)</f>
        <v>0</v>
      </c>
      <c r="R392" s="57">
        <f t="shared" si="101"/>
        <v>0</v>
      </c>
      <c r="S392" s="57">
        <f t="shared" si="101"/>
        <v>0</v>
      </c>
      <c r="T392" s="57">
        <f t="shared" si="101"/>
        <v>0</v>
      </c>
      <c r="U392" s="57">
        <f t="shared" si="101"/>
        <v>0</v>
      </c>
      <c r="V392" s="62">
        <f t="shared" si="101"/>
        <v>0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2">IFERROR(SUMPRODUCT($BG$73:$BG$87,Q$73:Q$87)/SUM(Q$73:Q$87)*Q$89*(1+Q$208),0)</f>
        <v>0</v>
      </c>
      <c r="R393" s="57">
        <f t="shared" si="102"/>
        <v>0</v>
      </c>
      <c r="S393" s="57">
        <f t="shared" si="102"/>
        <v>0</v>
      </c>
      <c r="T393" s="57">
        <f t="shared" si="102"/>
        <v>0</v>
      </c>
      <c r="U393" s="57">
        <f t="shared" si="102"/>
        <v>0</v>
      </c>
      <c r="V393" s="62">
        <f t="shared" si="102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03">IFERROR(SUMPRODUCT($BH$73:$BH$87,Q$73:Q$87)/SUM(Q$73:Q$87)*Q$89*(1+Q$208),0)</f>
        <v>0</v>
      </c>
      <c r="R394" s="57">
        <f t="shared" si="103"/>
        <v>0</v>
      </c>
      <c r="S394" s="57">
        <f t="shared" si="103"/>
        <v>0</v>
      </c>
      <c r="T394" s="57">
        <f t="shared" si="103"/>
        <v>0</v>
      </c>
      <c r="U394" s="57">
        <f t="shared" si="103"/>
        <v>0</v>
      </c>
      <c r="V394" s="62">
        <f t="shared" si="10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4">SUM(P388:P394)</f>
        <v>0</v>
      </c>
      <c r="Q396" s="37">
        <f t="shared" si="104"/>
        <v>27395273.78101889</v>
      </c>
      <c r="R396" s="37">
        <f t="shared" si="104"/>
        <v>21872939.151927553</v>
      </c>
      <c r="S396" s="37">
        <f t="shared" si="104"/>
        <v>20768240.004615765</v>
      </c>
      <c r="T396" s="37">
        <f t="shared" si="104"/>
        <v>21763911.33414913</v>
      </c>
      <c r="U396" s="37">
        <f t="shared" si="104"/>
        <v>18839545.064178586</v>
      </c>
      <c r="V396" s="64">
        <f t="shared" si="104"/>
        <v>18120206.648734465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51">
    <mergeCell ref="M336:Q336"/>
    <mergeCell ref="R336:V336"/>
    <mergeCell ref="H385:L385"/>
    <mergeCell ref="M385:Q385"/>
    <mergeCell ref="R385:V385"/>
    <mergeCell ref="H359:L359"/>
    <mergeCell ref="M359:Q359"/>
    <mergeCell ref="R359:V359"/>
    <mergeCell ref="H336:L336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B0F0"/>
  </sheetPr>
  <dimension ref="A1:BI399"/>
  <sheetViews>
    <sheetView topLeftCell="H1" workbookViewId="0">
      <selection activeCell="S35" sqref="S35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2</v>
      </c>
    </row>
    <row r="2" spans="1:7" s="1" customFormat="1">
      <c r="A2" s="3" t="s">
        <v>144</v>
      </c>
    </row>
    <row r="3" spans="1:7" s="1" customFormat="1">
      <c r="A3" s="3" t="s">
        <v>95</v>
      </c>
    </row>
    <row r="4" spans="1:7" s="1" customFormat="1">
      <c r="A4" s="22" t="s">
        <v>43</v>
      </c>
    </row>
    <row r="6" spans="1:7" s="1" customFormat="1">
      <c r="A6" s="2">
        <v>2</v>
      </c>
      <c r="B6" s="2" t="s">
        <v>45</v>
      </c>
    </row>
    <row r="9" spans="1:7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</row>
    <row r="10" spans="1:7">
      <c r="B10" s="8" t="s">
        <v>145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 t="s">
        <v>146</v>
      </c>
      <c r="D11" s="10">
        <v>0.04</v>
      </c>
      <c r="E11" s="10">
        <v>0.76</v>
      </c>
      <c r="F11" s="26">
        <f t="shared" ref="F11:F13" si="0">D11+E11</f>
        <v>0.8</v>
      </c>
      <c r="G11" s="26">
        <f t="shared" ref="G11:G13" si="1">1-F11</f>
        <v>0.19999999999999996</v>
      </c>
    </row>
    <row r="12" spans="1:7">
      <c r="B12" s="8" t="s">
        <v>147</v>
      </c>
      <c r="D12" s="10">
        <v>0.04</v>
      </c>
      <c r="E12" s="10">
        <v>0.76</v>
      </c>
      <c r="F12" s="26">
        <f t="shared" si="0"/>
        <v>0.8</v>
      </c>
      <c r="G12" s="26">
        <f t="shared" si="1"/>
        <v>0.19999999999999996</v>
      </c>
    </row>
    <row r="13" spans="1:7">
      <c r="B13" s="8" t="s">
        <v>148</v>
      </c>
      <c r="D13" s="10">
        <v>0.04</v>
      </c>
      <c r="E13" s="10">
        <v>0.76</v>
      </c>
      <c r="F13" s="26">
        <f t="shared" si="0"/>
        <v>0.8</v>
      </c>
      <c r="G13" s="26">
        <f t="shared" si="1"/>
        <v>0.19999999999999996</v>
      </c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51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90" t="s">
        <v>52</v>
      </c>
      <c r="I28" s="190"/>
      <c r="J28" s="190"/>
      <c r="K28" s="190"/>
      <c r="L28" s="190"/>
      <c r="M28" s="190" t="s">
        <v>53</v>
      </c>
      <c r="N28" s="190"/>
      <c r="O28" s="190"/>
      <c r="P28" s="190"/>
      <c r="Q28" s="190"/>
      <c r="R28" s="190" t="s">
        <v>54</v>
      </c>
      <c r="S28" s="190"/>
      <c r="T28" s="190"/>
      <c r="U28" s="190"/>
      <c r="V28" s="190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>IF(B10&lt;&gt;"",B10,"[blank]")</f>
        <v>Minor Replacement - Mains Renewal &lt;20m)</v>
      </c>
      <c r="D31" s="31" t="s">
        <v>58</v>
      </c>
      <c r="E31" s="31"/>
      <c r="P31" s="182"/>
      <c r="Q31" s="182"/>
      <c r="R31" s="182"/>
      <c r="S31" s="182"/>
      <c r="T31" s="182"/>
      <c r="U31" s="182"/>
      <c r="V31" s="182"/>
      <c r="X31" s="20"/>
    </row>
    <row r="32" spans="1:24">
      <c r="B32" s="4" t="str">
        <f t="shared" ref="B32:B45" si="2">IF(B11&lt;&gt;"",B11,"[blank]")</f>
        <v>Minor Replacement - Alter / Lower Mains</v>
      </c>
      <c r="D32" s="31" t="s">
        <v>58</v>
      </c>
      <c r="E32" s="31"/>
      <c r="P32" s="182"/>
      <c r="Q32" s="182"/>
      <c r="R32" s="182"/>
      <c r="S32" s="182"/>
      <c r="T32" s="182"/>
      <c r="U32" s="182"/>
      <c r="V32" s="182"/>
      <c r="X32" s="20"/>
    </row>
    <row r="33" spans="1:24">
      <c r="B33" s="4" t="str">
        <f t="shared" si="2"/>
        <v>Minor Replacement - Service Renewals</v>
      </c>
      <c r="D33" s="31" t="s">
        <v>58</v>
      </c>
      <c r="P33" s="182"/>
      <c r="Q33" s="182"/>
      <c r="R33" s="182"/>
      <c r="S33" s="182"/>
      <c r="T33" s="182"/>
      <c r="U33" s="182"/>
      <c r="V33" s="182"/>
      <c r="X33" s="20"/>
    </row>
    <row r="34" spans="1:24">
      <c r="B34" s="4" t="str">
        <f t="shared" si="2"/>
        <v>Minor Replacement - Alter / Lower Services</v>
      </c>
      <c r="D34" s="31" t="s">
        <v>58</v>
      </c>
      <c r="P34" s="182"/>
      <c r="Q34" s="182"/>
      <c r="R34" s="182"/>
      <c r="S34" s="182"/>
      <c r="T34" s="182"/>
      <c r="U34" s="182"/>
      <c r="V34" s="182"/>
      <c r="X34" s="20"/>
    </row>
    <row r="35" spans="1:24">
      <c r="B35" s="4" t="str">
        <f t="shared" si="2"/>
        <v>[blank]</v>
      </c>
      <c r="D35" s="31"/>
    </row>
    <row r="36" spans="1:24">
      <c r="B36" s="4" t="str">
        <f t="shared" si="2"/>
        <v>[blank]</v>
      </c>
      <c r="D36" s="31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7" spans="1:24" s="1" customFormat="1">
      <c r="A47" s="2">
        <v>4</v>
      </c>
      <c r="B47" s="2" t="s">
        <v>56</v>
      </c>
    </row>
    <row r="49" spans="2:24">
      <c r="H49" s="190" t="s">
        <v>52</v>
      </c>
      <c r="I49" s="190"/>
      <c r="J49" s="190"/>
      <c r="K49" s="190"/>
      <c r="L49" s="190"/>
      <c r="M49" s="190" t="s">
        <v>53</v>
      </c>
      <c r="N49" s="190"/>
      <c r="O49" s="190"/>
      <c r="P49" s="190"/>
      <c r="Q49" s="190"/>
      <c r="R49" s="190" t="s">
        <v>54</v>
      </c>
      <c r="S49" s="190"/>
      <c r="T49" s="190"/>
      <c r="U49" s="190"/>
      <c r="V49" s="190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46</v>
      </c>
      <c r="D51" s="29" t="s">
        <v>55</v>
      </c>
      <c r="H51" s="16" t="s">
        <v>12</v>
      </c>
      <c r="I51" s="16" t="s">
        <v>12</v>
      </c>
      <c r="J51" s="16" t="s">
        <v>12</v>
      </c>
      <c r="K51" s="16" t="s">
        <v>12</v>
      </c>
      <c r="L51" s="16" t="s">
        <v>12</v>
      </c>
      <c r="M51" s="16" t="s">
        <v>12</v>
      </c>
      <c r="N51" s="16" t="s">
        <v>12</v>
      </c>
      <c r="O51" s="16" t="s">
        <v>12</v>
      </c>
      <c r="P51" s="16" t="s">
        <v>13</v>
      </c>
      <c r="Q51" s="16" t="s">
        <v>13</v>
      </c>
      <c r="R51" s="16" t="s">
        <v>13</v>
      </c>
      <c r="S51" s="16" t="s">
        <v>13</v>
      </c>
      <c r="T51" s="16" t="s">
        <v>13</v>
      </c>
      <c r="U51" s="16" t="s">
        <v>13</v>
      </c>
      <c r="V51" s="16" t="s">
        <v>13</v>
      </c>
    </row>
    <row r="52" spans="2:24">
      <c r="B52" s="4" t="str">
        <f>IF(B10&lt;&gt;"",B10,"[blank]")</f>
        <v>Minor Replacement - Mains Renewal &lt;20m)</v>
      </c>
      <c r="D52" s="31" t="s">
        <v>57</v>
      </c>
      <c r="P52" s="77"/>
      <c r="Q52" s="182"/>
      <c r="R52" s="182"/>
      <c r="S52" s="182"/>
      <c r="T52" s="182"/>
      <c r="U52" s="182"/>
      <c r="V52" s="182"/>
      <c r="X52" s="20"/>
    </row>
    <row r="53" spans="2:24">
      <c r="B53" s="4" t="str">
        <f t="shared" ref="B53:B66" si="3">IF(B11&lt;&gt;"",B11,"[blank]")</f>
        <v>Minor Replacement - Alter / Lower Mains</v>
      </c>
      <c r="D53" s="31" t="s">
        <v>57</v>
      </c>
      <c r="P53" s="77"/>
      <c r="Q53" s="182"/>
      <c r="R53" s="182"/>
      <c r="S53" s="182"/>
      <c r="T53" s="182"/>
      <c r="U53" s="182"/>
      <c r="V53" s="182"/>
      <c r="X53" s="20"/>
    </row>
    <row r="54" spans="2:24">
      <c r="B54" s="4" t="str">
        <f t="shared" si="3"/>
        <v>Minor Replacement - Service Renewals</v>
      </c>
      <c r="D54" s="31" t="s">
        <v>57</v>
      </c>
      <c r="P54" s="77"/>
      <c r="Q54" s="182"/>
      <c r="R54" s="182"/>
      <c r="S54" s="182"/>
      <c r="T54" s="182"/>
      <c r="U54" s="182"/>
      <c r="V54" s="182"/>
      <c r="X54" s="20"/>
    </row>
    <row r="55" spans="2:24">
      <c r="B55" s="4" t="str">
        <f t="shared" si="3"/>
        <v>Minor Replacement - Alter / Lower Services</v>
      </c>
      <c r="D55" s="31" t="s">
        <v>57</v>
      </c>
      <c r="P55" s="77"/>
      <c r="Q55" s="182"/>
      <c r="R55" s="182"/>
      <c r="S55" s="182"/>
      <c r="T55" s="182"/>
      <c r="U55" s="182"/>
      <c r="V55" s="182"/>
      <c r="X55" s="20"/>
    </row>
    <row r="56" spans="2:24">
      <c r="B56" s="4" t="str">
        <f t="shared" si="3"/>
        <v>[blank]</v>
      </c>
      <c r="D56" s="31"/>
      <c r="P56" s="94"/>
    </row>
    <row r="57" spans="2:24">
      <c r="B57" s="4" t="str">
        <f t="shared" si="3"/>
        <v>[blank]</v>
      </c>
      <c r="D57" s="31"/>
    </row>
    <row r="58" spans="2:24">
      <c r="B58" s="4" t="str">
        <f t="shared" si="3"/>
        <v>[blank]</v>
      </c>
      <c r="D58" s="31"/>
    </row>
    <row r="59" spans="2:24">
      <c r="B59" s="4" t="str">
        <f t="shared" si="3"/>
        <v>[blank]</v>
      </c>
      <c r="D59" s="31"/>
    </row>
    <row r="60" spans="2:24">
      <c r="B60" s="4" t="str">
        <f t="shared" si="3"/>
        <v>[blank]</v>
      </c>
      <c r="D60" s="31"/>
    </row>
    <row r="61" spans="2:24">
      <c r="B61" s="4" t="str">
        <f t="shared" si="3"/>
        <v>[blank]</v>
      </c>
      <c r="D61" s="31"/>
    </row>
    <row r="62" spans="2:24">
      <c r="B62" s="4" t="str">
        <f t="shared" si="3"/>
        <v>[blank]</v>
      </c>
      <c r="D62" s="31"/>
    </row>
    <row r="63" spans="2:24">
      <c r="B63" s="4" t="str">
        <f t="shared" si="3"/>
        <v>[blank]</v>
      </c>
      <c r="D63" s="31"/>
    </row>
    <row r="64" spans="2:24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61</v>
      </c>
    </row>
    <row r="69" spans="1:61">
      <c r="Z69" s="5" t="s">
        <v>73</v>
      </c>
      <c r="AM69" s="5" t="s">
        <v>110</v>
      </c>
      <c r="BB69" s="5" t="s">
        <v>133</v>
      </c>
    </row>
    <row r="70" spans="1:61">
      <c r="H70" s="190" t="s">
        <v>52</v>
      </c>
      <c r="I70" s="190"/>
      <c r="J70" s="190"/>
      <c r="K70" s="190"/>
      <c r="L70" s="190"/>
      <c r="M70" s="190" t="s">
        <v>53</v>
      </c>
      <c r="N70" s="190"/>
      <c r="O70" s="190"/>
      <c r="P70" s="190"/>
      <c r="Q70" s="190"/>
      <c r="R70" s="190" t="s">
        <v>54</v>
      </c>
      <c r="S70" s="190"/>
      <c r="T70" s="190"/>
      <c r="U70" s="190"/>
      <c r="V70" s="190"/>
      <c r="X70" s="38"/>
      <c r="Z70" s="39" t="s">
        <v>69</v>
      </c>
      <c r="AA70" s="39" t="s">
        <v>70</v>
      </c>
      <c r="AB70" s="39" t="s">
        <v>71</v>
      </c>
      <c r="AC70" s="39" t="s">
        <v>72</v>
      </c>
      <c r="AD70" s="39" t="s">
        <v>64</v>
      </c>
      <c r="AE70" s="39" t="s">
        <v>65</v>
      </c>
      <c r="AF70" s="39" t="s">
        <v>66</v>
      </c>
      <c r="AG70" s="39" t="s">
        <v>107</v>
      </c>
      <c r="AH70" s="39" t="s">
        <v>67</v>
      </c>
      <c r="AI70" s="39" t="s">
        <v>68</v>
      </c>
      <c r="AJ70" s="39" t="s">
        <v>108</v>
      </c>
      <c r="AM70" s="39" t="s">
        <v>111</v>
      </c>
      <c r="AN70" s="39" t="s">
        <v>112</v>
      </c>
      <c r="AO70" s="39" t="s">
        <v>113</v>
      </c>
      <c r="AP70" s="39" t="s">
        <v>114</v>
      </c>
      <c r="AQ70" s="39" t="s">
        <v>115</v>
      </c>
      <c r="AR70" s="39" t="s">
        <v>36</v>
      </c>
      <c r="AS70" s="39" t="s">
        <v>116</v>
      </c>
      <c r="AT70" s="39" t="s">
        <v>35</v>
      </c>
      <c r="AU70" s="39" t="s">
        <v>117</v>
      </c>
      <c r="AV70" s="39" t="s">
        <v>118</v>
      </c>
      <c r="AW70" s="39" t="s">
        <v>119</v>
      </c>
      <c r="AX70" s="39" t="s">
        <v>74</v>
      </c>
      <c r="AY70" s="39" t="s">
        <v>75</v>
      </c>
      <c r="BB70" s="39" t="s">
        <v>134</v>
      </c>
      <c r="BC70" s="39" t="s">
        <v>135</v>
      </c>
      <c r="BD70" s="39" t="s">
        <v>136</v>
      </c>
      <c r="BE70" s="39" t="s">
        <v>107</v>
      </c>
      <c r="BF70" s="39" t="s">
        <v>137</v>
      </c>
      <c r="BG70" s="39" t="s">
        <v>138</v>
      </c>
      <c r="BH70" s="39" t="s">
        <v>108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63</v>
      </c>
    </row>
    <row r="72" spans="1:61">
      <c r="B72" s="5" t="s">
        <v>46</v>
      </c>
      <c r="D72" s="29" t="s">
        <v>55</v>
      </c>
      <c r="H72" s="16" t="s">
        <v>12</v>
      </c>
      <c r="I72" s="16" t="s">
        <v>12</v>
      </c>
      <c r="J72" s="16" t="s">
        <v>12</v>
      </c>
      <c r="K72" s="16" t="s">
        <v>12</v>
      </c>
      <c r="L72" s="16" t="s">
        <v>12</v>
      </c>
      <c r="M72" s="16" t="s">
        <v>12</v>
      </c>
      <c r="N72" s="16" t="s">
        <v>12</v>
      </c>
      <c r="O72" s="16" t="s">
        <v>12</v>
      </c>
      <c r="P72" s="16" t="s">
        <v>13</v>
      </c>
      <c r="Q72" s="16" t="s">
        <v>13</v>
      </c>
      <c r="R72" s="16" t="s">
        <v>13</v>
      </c>
      <c r="S72" s="16" t="s">
        <v>13</v>
      </c>
      <c r="T72" s="16" t="s">
        <v>13</v>
      </c>
      <c r="U72" s="16" t="s">
        <v>13</v>
      </c>
      <c r="V72" s="16" t="s">
        <v>13</v>
      </c>
      <c r="X72" s="34" t="s">
        <v>13</v>
      </c>
    </row>
    <row r="73" spans="1:61">
      <c r="B73" s="4" t="str">
        <f>IF(B10&lt;&gt;"",B10,"[blank]")</f>
        <v>Minor Replacement - Mains Renewal &lt;20m)</v>
      </c>
      <c r="D73" s="31" t="s">
        <v>60</v>
      </c>
      <c r="O73" s="35"/>
      <c r="P73" s="35">
        <v>0</v>
      </c>
      <c r="Q73" s="35">
        <v>153123.08935008486</v>
      </c>
      <c r="R73" s="35">
        <v>215636.07512447902</v>
      </c>
      <c r="S73" s="35">
        <v>217223.94606783197</v>
      </c>
      <c r="T73" s="35">
        <v>219273.92667923091</v>
      </c>
      <c r="U73" s="35">
        <v>221979.46057468618</v>
      </c>
      <c r="V73" s="35">
        <v>224920.90782200592</v>
      </c>
      <c r="X73" s="40">
        <f>SUM(R73:V73)</f>
        <v>1099034.316268234</v>
      </c>
      <c r="Z73" s="10"/>
      <c r="AA73" s="10">
        <v>1</v>
      </c>
      <c r="AB73" s="10"/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4">SUM(Z73:AI73)</f>
        <v>1</v>
      </c>
      <c r="AM73" s="10">
        <v>1</v>
      </c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5">SUM(AM73:AY73)</f>
        <v>1</v>
      </c>
      <c r="BB73" s="10">
        <v>1</v>
      </c>
      <c r="BC73" s="10"/>
      <c r="BD73" s="10"/>
      <c r="BE73" s="10"/>
      <c r="BF73" s="10"/>
      <c r="BG73" s="10"/>
      <c r="BH73" s="10"/>
      <c r="BI73" s="41">
        <f t="shared" ref="BI73:BI87" si="6">SUM(BB73:BH73)</f>
        <v>1</v>
      </c>
    </row>
    <row r="74" spans="1:61">
      <c r="B74" s="4" t="str">
        <f t="shared" ref="B74:B87" si="7">IF(B11&lt;&gt;"",B11,"[blank]")</f>
        <v>Minor Replacement - Alter / Lower Mains</v>
      </c>
      <c r="D74" s="31" t="s">
        <v>60</v>
      </c>
      <c r="O74" s="50"/>
      <c r="P74" s="35">
        <v>0</v>
      </c>
      <c r="Q74" s="35">
        <v>2245.8053104679111</v>
      </c>
      <c r="R74" s="35">
        <v>2259.0445965421609</v>
      </c>
      <c r="S74" s="35">
        <v>2275.6794349963347</v>
      </c>
      <c r="T74" s="35">
        <v>2297.1554223538474</v>
      </c>
      <c r="U74" s="35">
        <v>2325.4991107824267</v>
      </c>
      <c r="V74" s="35">
        <v>2356.3142724210138</v>
      </c>
      <c r="X74" s="40">
        <f t="shared" ref="X74:X89" si="8">SUM(R74:V74)</f>
        <v>11513.692837095783</v>
      </c>
      <c r="Z74" s="10"/>
      <c r="AA74" s="10">
        <v>1</v>
      </c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4"/>
        <v>1</v>
      </c>
      <c r="AM74" s="10">
        <v>1</v>
      </c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5"/>
        <v>1</v>
      </c>
      <c r="BB74" s="10">
        <v>1</v>
      </c>
      <c r="BC74" s="10"/>
      <c r="BD74" s="10"/>
      <c r="BE74" s="10"/>
      <c r="BF74" s="10"/>
      <c r="BG74" s="10"/>
      <c r="BH74" s="10"/>
      <c r="BI74" s="41">
        <f t="shared" si="6"/>
        <v>1</v>
      </c>
    </row>
    <row r="75" spans="1:61">
      <c r="B75" s="4" t="str">
        <f t="shared" si="7"/>
        <v>Minor Replacement - Service Renewals</v>
      </c>
      <c r="D75" s="31" t="s">
        <v>60</v>
      </c>
      <c r="P75" s="35">
        <v>0</v>
      </c>
      <c r="Q75" s="35">
        <v>336870.79657018668</v>
      </c>
      <c r="R75" s="35">
        <v>506025.98962544405</v>
      </c>
      <c r="S75" s="35">
        <v>509752.19343917898</v>
      </c>
      <c r="T75" s="35">
        <v>514562.8146072618</v>
      </c>
      <c r="U75" s="35">
        <v>520911.80081526359</v>
      </c>
      <c r="V75" s="35">
        <v>527814.39702230715</v>
      </c>
      <c r="X75" s="40">
        <f t="shared" si="8"/>
        <v>2579067.1955094556</v>
      </c>
      <c r="Z75" s="10"/>
      <c r="AA75" s="10"/>
      <c r="AB75" s="10">
        <v>1</v>
      </c>
      <c r="AC75" s="10"/>
      <c r="AD75" s="10"/>
      <c r="AE75" s="10"/>
      <c r="AF75" s="10"/>
      <c r="AG75" s="10"/>
      <c r="AH75" s="10"/>
      <c r="AI75" s="10"/>
      <c r="AJ75" s="10"/>
      <c r="AK75" s="41">
        <f t="shared" si="4"/>
        <v>1</v>
      </c>
      <c r="AM75" s="10">
        <v>1</v>
      </c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5"/>
        <v>1</v>
      </c>
      <c r="BB75" s="10">
        <v>1</v>
      </c>
      <c r="BC75" s="10"/>
      <c r="BD75" s="10"/>
      <c r="BE75" s="10"/>
      <c r="BF75" s="10"/>
      <c r="BG75" s="10"/>
      <c r="BH75" s="10"/>
      <c r="BI75" s="41">
        <f t="shared" si="6"/>
        <v>1</v>
      </c>
    </row>
    <row r="76" spans="1:61">
      <c r="B76" s="4" t="str">
        <f t="shared" si="7"/>
        <v>Minor Replacement - Alter / Lower Services</v>
      </c>
      <c r="D76" s="31" t="s">
        <v>60</v>
      </c>
      <c r="P76" s="35">
        <v>0</v>
      </c>
      <c r="Q76" s="35">
        <v>6890.5390207538176</v>
      </c>
      <c r="R76" s="35">
        <v>6931.1595575725387</v>
      </c>
      <c r="S76" s="35">
        <v>6982.1982664660272</v>
      </c>
      <c r="T76" s="35">
        <v>7048.0905004038495</v>
      </c>
      <c r="U76" s="35">
        <v>7135.0540899006264</v>
      </c>
      <c r="V76" s="35">
        <v>7229.600608564474</v>
      </c>
      <c r="X76" s="40">
        <f t="shared" si="8"/>
        <v>35326.103022907519</v>
      </c>
      <c r="Z76" s="10"/>
      <c r="AA76" s="10"/>
      <c r="AB76" s="10">
        <v>1</v>
      </c>
      <c r="AC76" s="10"/>
      <c r="AD76" s="10"/>
      <c r="AE76" s="10"/>
      <c r="AF76" s="10"/>
      <c r="AG76" s="10"/>
      <c r="AH76" s="10"/>
      <c r="AI76" s="10"/>
      <c r="AJ76" s="10"/>
      <c r="AK76" s="41">
        <f t="shared" si="4"/>
        <v>1</v>
      </c>
      <c r="AM76" s="10">
        <v>1</v>
      </c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5"/>
        <v>1</v>
      </c>
      <c r="BB76" s="10">
        <v>1</v>
      </c>
      <c r="BC76" s="10"/>
      <c r="BD76" s="10"/>
      <c r="BE76" s="10"/>
      <c r="BF76" s="10"/>
      <c r="BG76" s="10"/>
      <c r="BH76" s="10"/>
      <c r="BI76" s="41">
        <f t="shared" si="6"/>
        <v>1</v>
      </c>
    </row>
    <row r="77" spans="1:61">
      <c r="B77" s="4" t="str">
        <f t="shared" si="7"/>
        <v>[blank]</v>
      </c>
      <c r="P77" s="35"/>
      <c r="X77" s="40">
        <f t="shared" si="8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4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5"/>
        <v>0</v>
      </c>
      <c r="BB77" s="10"/>
      <c r="BC77" s="10"/>
      <c r="BD77" s="10"/>
      <c r="BE77" s="10"/>
      <c r="BF77" s="10"/>
      <c r="BG77" s="10"/>
      <c r="BH77" s="10"/>
      <c r="BI77" s="41">
        <f t="shared" si="6"/>
        <v>0</v>
      </c>
    </row>
    <row r="78" spans="1:61">
      <c r="B78" s="4" t="str">
        <f t="shared" si="7"/>
        <v>[blank]</v>
      </c>
      <c r="P78" s="35"/>
      <c r="X78" s="40">
        <f t="shared" si="8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4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5"/>
        <v>0</v>
      </c>
      <c r="BB78" s="10"/>
      <c r="BC78" s="10"/>
      <c r="BD78" s="10"/>
      <c r="BE78" s="10"/>
      <c r="BF78" s="10"/>
      <c r="BG78" s="10"/>
      <c r="BH78" s="10"/>
      <c r="BI78" s="41">
        <f t="shared" si="6"/>
        <v>0</v>
      </c>
    </row>
    <row r="79" spans="1:61">
      <c r="B79" s="4" t="str">
        <f t="shared" si="7"/>
        <v>[blank]</v>
      </c>
      <c r="P79" s="35"/>
      <c r="X79" s="40">
        <f t="shared" si="8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4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5"/>
        <v>0</v>
      </c>
      <c r="BB79" s="10"/>
      <c r="BC79" s="10"/>
      <c r="BD79" s="10"/>
      <c r="BE79" s="10"/>
      <c r="BF79" s="10"/>
      <c r="BG79" s="10"/>
      <c r="BH79" s="10"/>
      <c r="BI79" s="41">
        <f t="shared" si="6"/>
        <v>0</v>
      </c>
    </row>
    <row r="80" spans="1:61">
      <c r="B80" s="4" t="str">
        <f t="shared" si="7"/>
        <v>[blank]</v>
      </c>
      <c r="P80" s="35"/>
      <c r="X80" s="40">
        <f t="shared" si="8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4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5"/>
        <v>0</v>
      </c>
      <c r="BB80" s="10"/>
      <c r="BC80" s="10"/>
      <c r="BD80" s="10"/>
      <c r="BE80" s="10"/>
      <c r="BF80" s="10"/>
      <c r="BG80" s="10"/>
      <c r="BH80" s="10"/>
      <c r="BI80" s="41">
        <f t="shared" si="6"/>
        <v>0</v>
      </c>
    </row>
    <row r="81" spans="1:61">
      <c r="B81" s="4" t="str">
        <f t="shared" si="7"/>
        <v>[blank]</v>
      </c>
      <c r="P81" s="35"/>
      <c r="X81" s="40">
        <f t="shared" si="8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4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5"/>
        <v>0</v>
      </c>
      <c r="BB81" s="10"/>
      <c r="BC81" s="10"/>
      <c r="BD81" s="10"/>
      <c r="BE81" s="10"/>
      <c r="BF81" s="10"/>
      <c r="BG81" s="10"/>
      <c r="BH81" s="10"/>
      <c r="BI81" s="41">
        <f t="shared" si="6"/>
        <v>0</v>
      </c>
    </row>
    <row r="82" spans="1:61">
      <c r="B82" s="4" t="str">
        <f t="shared" si="7"/>
        <v>[blank]</v>
      </c>
      <c r="P82" s="35"/>
      <c r="X82" s="40">
        <f t="shared" si="8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4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5"/>
        <v>0</v>
      </c>
      <c r="BB82" s="10"/>
      <c r="BC82" s="10"/>
      <c r="BD82" s="10"/>
      <c r="BE82" s="10"/>
      <c r="BF82" s="10"/>
      <c r="BG82" s="10"/>
      <c r="BH82" s="10"/>
      <c r="BI82" s="41">
        <f t="shared" si="6"/>
        <v>0</v>
      </c>
    </row>
    <row r="83" spans="1:61">
      <c r="B83" s="4" t="str">
        <f t="shared" si="7"/>
        <v>[blank]</v>
      </c>
      <c r="P83" s="35"/>
      <c r="X83" s="40">
        <f t="shared" si="8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4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5"/>
        <v>0</v>
      </c>
      <c r="BB83" s="10"/>
      <c r="BC83" s="10"/>
      <c r="BD83" s="10"/>
      <c r="BE83" s="10"/>
      <c r="BF83" s="10"/>
      <c r="BG83" s="10"/>
      <c r="BH83" s="10"/>
      <c r="BI83" s="41">
        <f t="shared" si="6"/>
        <v>0</v>
      </c>
    </row>
    <row r="84" spans="1:61">
      <c r="B84" s="4" t="str">
        <f t="shared" si="7"/>
        <v>[blank]</v>
      </c>
      <c r="P84" s="35"/>
      <c r="X84" s="40">
        <f t="shared" si="8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4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5"/>
        <v>0</v>
      </c>
      <c r="BB84" s="10"/>
      <c r="BC84" s="10"/>
      <c r="BD84" s="10"/>
      <c r="BE84" s="10"/>
      <c r="BF84" s="10"/>
      <c r="BG84" s="10"/>
      <c r="BH84" s="10"/>
      <c r="BI84" s="41">
        <f t="shared" si="6"/>
        <v>0</v>
      </c>
    </row>
    <row r="85" spans="1:61">
      <c r="B85" s="4" t="str">
        <f t="shared" si="7"/>
        <v>[blank]</v>
      </c>
      <c r="P85" s="35"/>
      <c r="X85" s="40">
        <f t="shared" si="8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4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5"/>
        <v>0</v>
      </c>
      <c r="BB85" s="10"/>
      <c r="BC85" s="10"/>
      <c r="BD85" s="10"/>
      <c r="BE85" s="10"/>
      <c r="BF85" s="10"/>
      <c r="BG85" s="10"/>
      <c r="BH85" s="10"/>
      <c r="BI85" s="41">
        <f t="shared" si="6"/>
        <v>0</v>
      </c>
    </row>
    <row r="86" spans="1:61">
      <c r="B86" s="4" t="str">
        <f t="shared" si="7"/>
        <v>[blank]</v>
      </c>
      <c r="P86" s="35"/>
      <c r="X86" s="40">
        <f t="shared" si="8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4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5"/>
        <v>0</v>
      </c>
      <c r="BB86" s="10"/>
      <c r="BC86" s="10"/>
      <c r="BD86" s="10"/>
      <c r="BE86" s="10"/>
      <c r="BF86" s="10"/>
      <c r="BG86" s="10"/>
      <c r="BH86" s="10"/>
      <c r="BI86" s="41">
        <f t="shared" si="6"/>
        <v>0</v>
      </c>
    </row>
    <row r="87" spans="1:61">
      <c r="B87" s="4" t="str">
        <f t="shared" si="7"/>
        <v>[blank]</v>
      </c>
      <c r="P87" s="35"/>
      <c r="X87" s="40">
        <f t="shared" si="8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4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5"/>
        <v>0</v>
      </c>
      <c r="BB87" s="10"/>
      <c r="BC87" s="10"/>
      <c r="BD87" s="10"/>
      <c r="BE87" s="10"/>
      <c r="BF87" s="10"/>
      <c r="BG87" s="10"/>
      <c r="BH87" s="10"/>
      <c r="BI87" s="41">
        <f t="shared" si="6"/>
        <v>0</v>
      </c>
    </row>
    <row r="88" spans="1:61">
      <c r="P88" s="35"/>
    </row>
    <row r="89" spans="1:61" ht="12.75" thickBot="1">
      <c r="B89" s="5" t="s">
        <v>62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9">SUM(P73:P87)</f>
        <v>0</v>
      </c>
      <c r="Q89" s="37">
        <f t="shared" si="9"/>
        <v>499130.23025149328</v>
      </c>
      <c r="R89" s="37">
        <f t="shared" si="9"/>
        <v>730852.26890403777</v>
      </c>
      <c r="S89" s="37">
        <f t="shared" si="9"/>
        <v>736234.01720847329</v>
      </c>
      <c r="T89" s="37">
        <f t="shared" si="9"/>
        <v>743181.98720925045</v>
      </c>
      <c r="U89" s="37">
        <f t="shared" si="9"/>
        <v>752351.8145906328</v>
      </c>
      <c r="V89" s="37">
        <f t="shared" si="9"/>
        <v>762321.21972529846</v>
      </c>
      <c r="X89" s="37">
        <f t="shared" si="8"/>
        <v>3724941.3076376934</v>
      </c>
    </row>
    <row r="91" spans="1:61">
      <c r="B91" s="5" t="s">
        <v>76</v>
      </c>
    </row>
    <row r="92" spans="1:61" s="1" customFormat="1">
      <c r="A92" s="4"/>
      <c r="B92" s="2" t="s">
        <v>77</v>
      </c>
    </row>
    <row r="94" spans="1:61">
      <c r="H94" s="190" t="s">
        <v>52</v>
      </c>
      <c r="I94" s="190"/>
      <c r="J94" s="190"/>
      <c r="K94" s="190"/>
      <c r="L94" s="190"/>
      <c r="M94" s="190" t="s">
        <v>53</v>
      </c>
      <c r="N94" s="190"/>
      <c r="O94" s="190"/>
      <c r="P94" s="190"/>
      <c r="Q94" s="190"/>
      <c r="R94" s="190" t="s">
        <v>54</v>
      </c>
      <c r="S94" s="190"/>
      <c r="T94" s="190"/>
      <c r="U94" s="190"/>
      <c r="V94" s="190"/>
      <c r="X94" s="38"/>
    </row>
    <row r="95" spans="1:61">
      <c r="B95" s="42" t="s">
        <v>79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63</v>
      </c>
    </row>
    <row r="96" spans="1:61">
      <c r="B96" s="5" t="s">
        <v>46</v>
      </c>
      <c r="D96" s="29" t="s">
        <v>55</v>
      </c>
      <c r="H96" s="16" t="s">
        <v>12</v>
      </c>
      <c r="I96" s="16" t="s">
        <v>12</v>
      </c>
      <c r="J96" s="16" t="s">
        <v>12</v>
      </c>
      <c r="K96" s="16" t="s">
        <v>12</v>
      </c>
      <c r="L96" s="16" t="s">
        <v>12</v>
      </c>
      <c r="M96" s="16" t="s">
        <v>12</v>
      </c>
      <c r="N96" s="16" t="s">
        <v>12</v>
      </c>
      <c r="O96" s="16" t="s">
        <v>12</v>
      </c>
      <c r="P96" s="16" t="s">
        <v>13</v>
      </c>
      <c r="Q96" s="16" t="s">
        <v>13</v>
      </c>
      <c r="R96" s="16" t="s">
        <v>13</v>
      </c>
      <c r="S96" s="16" t="s">
        <v>13</v>
      </c>
      <c r="T96" s="16" t="s">
        <v>13</v>
      </c>
      <c r="U96" s="16" t="s">
        <v>13</v>
      </c>
      <c r="V96" s="16" t="s">
        <v>13</v>
      </c>
      <c r="X96" s="34" t="s">
        <v>13</v>
      </c>
    </row>
    <row r="97" spans="2:24">
      <c r="B97" s="4" t="str">
        <f>IF(B10&lt;&gt;"",B10,"[blank]")</f>
        <v>Minor Replacement - Mains Renewal &lt;20m)</v>
      </c>
      <c r="D97" s="31" t="s">
        <v>60</v>
      </c>
      <c r="O97" s="35"/>
      <c r="P97" s="35">
        <f>$D10*P73</f>
        <v>0</v>
      </c>
      <c r="Q97" s="35">
        <f t="shared" ref="Q97:V97" si="10">$D10*Q73</f>
        <v>6124.9235740033946</v>
      </c>
      <c r="R97" s="35">
        <f t="shared" si="10"/>
        <v>8625.4430049791608</v>
      </c>
      <c r="S97" s="35">
        <f t="shared" si="10"/>
        <v>8688.9578427132783</v>
      </c>
      <c r="T97" s="35">
        <f t="shared" si="10"/>
        <v>8770.9570671692363</v>
      </c>
      <c r="U97" s="35">
        <f t="shared" si="10"/>
        <v>8879.1784229874465</v>
      </c>
      <c r="V97" s="35">
        <f t="shared" si="10"/>
        <v>8996.8363128802375</v>
      </c>
      <c r="X97" s="40">
        <f>SUM(R97:V97)</f>
        <v>43961.372650729361</v>
      </c>
    </row>
    <row r="98" spans="2:24">
      <c r="B98" s="4" t="str">
        <f t="shared" ref="B98:B111" si="11">IF(B11&lt;&gt;"",B11,"[blank]")</f>
        <v>Minor Replacement - Alter / Lower Mains</v>
      </c>
      <c r="D98" s="31" t="s">
        <v>60</v>
      </c>
      <c r="O98" s="50"/>
      <c r="P98" s="35">
        <f t="shared" ref="P98:V98" si="12">$D11*P74</f>
        <v>0</v>
      </c>
      <c r="Q98" s="35">
        <f t="shared" si="12"/>
        <v>89.832212418716452</v>
      </c>
      <c r="R98" s="35">
        <f t="shared" si="12"/>
        <v>90.361783861686433</v>
      </c>
      <c r="S98" s="35">
        <f t="shared" si="12"/>
        <v>91.027177399853386</v>
      </c>
      <c r="T98" s="35">
        <f t="shared" si="12"/>
        <v>91.88621689415389</v>
      </c>
      <c r="U98" s="35">
        <f t="shared" si="12"/>
        <v>93.019964431297069</v>
      </c>
      <c r="V98" s="35">
        <f t="shared" si="12"/>
        <v>94.252570896840552</v>
      </c>
      <c r="X98" s="40">
        <f t="shared" ref="X98:X111" si="13">SUM(R98:V98)</f>
        <v>460.54771348383133</v>
      </c>
    </row>
    <row r="99" spans="2:24">
      <c r="B99" s="4" t="str">
        <f t="shared" si="11"/>
        <v>Minor Replacement - Service Renewals</v>
      </c>
      <c r="D99" s="31" t="s">
        <v>60</v>
      </c>
      <c r="P99" s="35">
        <f t="shared" ref="P99:V99" si="14">$D12*P75</f>
        <v>0</v>
      </c>
      <c r="Q99" s="35">
        <f t="shared" si="14"/>
        <v>13474.831862807467</v>
      </c>
      <c r="R99" s="35">
        <f t="shared" si="14"/>
        <v>20241.039585017763</v>
      </c>
      <c r="S99" s="35">
        <f t="shared" si="14"/>
        <v>20390.087737567159</v>
      </c>
      <c r="T99" s="35">
        <f t="shared" si="14"/>
        <v>20582.512584290471</v>
      </c>
      <c r="U99" s="35">
        <f t="shared" si="14"/>
        <v>20836.472032610545</v>
      </c>
      <c r="V99" s="35">
        <f t="shared" si="14"/>
        <v>21112.575880892287</v>
      </c>
      <c r="X99" s="40">
        <f t="shared" si="13"/>
        <v>103162.68782037823</v>
      </c>
    </row>
    <row r="100" spans="2:24">
      <c r="B100" s="4" t="str">
        <f t="shared" si="11"/>
        <v>Minor Replacement - Alter / Lower Services</v>
      </c>
      <c r="D100" s="31" t="s">
        <v>60</v>
      </c>
      <c r="P100" s="35">
        <f t="shared" ref="P100:V100" si="15">$D13*P76</f>
        <v>0</v>
      </c>
      <c r="Q100" s="35">
        <f t="shared" si="15"/>
        <v>275.6215608301527</v>
      </c>
      <c r="R100" s="35">
        <f t="shared" si="15"/>
        <v>277.24638230290157</v>
      </c>
      <c r="S100" s="35">
        <f t="shared" si="15"/>
        <v>279.28793065864107</v>
      </c>
      <c r="T100" s="35">
        <f t="shared" si="15"/>
        <v>281.92362001615396</v>
      </c>
      <c r="U100" s="35">
        <f t="shared" si="15"/>
        <v>285.40216359602505</v>
      </c>
      <c r="V100" s="35">
        <f t="shared" si="15"/>
        <v>289.18402434257899</v>
      </c>
      <c r="X100" s="40">
        <f t="shared" si="13"/>
        <v>1413.0441209163007</v>
      </c>
    </row>
    <row r="101" spans="2:24">
      <c r="B101" s="4" t="str">
        <f t="shared" si="11"/>
        <v>[blank]</v>
      </c>
      <c r="X101" s="40">
        <f t="shared" si="13"/>
        <v>0</v>
      </c>
    </row>
    <row r="102" spans="2:24">
      <c r="B102" s="4" t="str">
        <f t="shared" si="11"/>
        <v>[blank]</v>
      </c>
      <c r="X102" s="40">
        <f t="shared" si="13"/>
        <v>0</v>
      </c>
    </row>
    <row r="103" spans="2:24">
      <c r="B103" s="4" t="str">
        <f t="shared" si="11"/>
        <v>[blank]</v>
      </c>
      <c r="X103" s="40">
        <f t="shared" si="13"/>
        <v>0</v>
      </c>
    </row>
    <row r="104" spans="2:24">
      <c r="B104" s="4" t="str">
        <f t="shared" si="11"/>
        <v>[blank]</v>
      </c>
      <c r="X104" s="40">
        <f t="shared" si="13"/>
        <v>0</v>
      </c>
    </row>
    <row r="105" spans="2:24">
      <c r="B105" s="4" t="str">
        <f t="shared" si="11"/>
        <v>[blank]</v>
      </c>
      <c r="X105" s="40">
        <f t="shared" si="13"/>
        <v>0</v>
      </c>
    </row>
    <row r="106" spans="2:24">
      <c r="B106" s="4" t="str">
        <f t="shared" si="11"/>
        <v>[blank]</v>
      </c>
      <c r="X106" s="40">
        <f t="shared" si="13"/>
        <v>0</v>
      </c>
    </row>
    <row r="107" spans="2:24">
      <c r="B107" s="4" t="str">
        <f t="shared" si="11"/>
        <v>[blank]</v>
      </c>
      <c r="X107" s="40">
        <f t="shared" si="13"/>
        <v>0</v>
      </c>
    </row>
    <row r="108" spans="2:24">
      <c r="B108" s="4" t="str">
        <f t="shared" si="11"/>
        <v>[blank]</v>
      </c>
      <c r="X108" s="40">
        <f t="shared" si="13"/>
        <v>0</v>
      </c>
    </row>
    <row r="109" spans="2:24">
      <c r="B109" s="4" t="str">
        <f t="shared" si="11"/>
        <v>[blank]</v>
      </c>
      <c r="X109" s="40">
        <f t="shared" si="13"/>
        <v>0</v>
      </c>
    </row>
    <row r="110" spans="2:24">
      <c r="B110" s="4" t="str">
        <f t="shared" si="11"/>
        <v>[blank]</v>
      </c>
      <c r="X110" s="40">
        <f t="shared" si="13"/>
        <v>0</v>
      </c>
    </row>
    <row r="111" spans="2:24">
      <c r="B111" s="4" t="str">
        <f t="shared" si="11"/>
        <v>[blank]</v>
      </c>
      <c r="X111" s="40">
        <f t="shared" si="13"/>
        <v>0</v>
      </c>
    </row>
    <row r="113" spans="1:24" ht="12.75" thickBot="1">
      <c r="B113" s="5" t="s">
        <v>78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6">SUM(P97:P111)</f>
        <v>0</v>
      </c>
      <c r="Q113" s="37">
        <f t="shared" si="16"/>
        <v>19965.209210059733</v>
      </c>
      <c r="R113" s="37">
        <f t="shared" si="16"/>
        <v>29234.090756161513</v>
      </c>
      <c r="S113" s="37">
        <f t="shared" si="16"/>
        <v>29449.360688338929</v>
      </c>
      <c r="T113" s="37">
        <f t="shared" si="16"/>
        <v>29727.279488370015</v>
      </c>
      <c r="U113" s="37">
        <f t="shared" si="16"/>
        <v>30094.072583625311</v>
      </c>
      <c r="V113" s="37">
        <f t="shared" si="16"/>
        <v>30492.848789011947</v>
      </c>
      <c r="X113" s="37">
        <f t="shared" ref="X113" si="17">SUM(R113:V113)</f>
        <v>148997.65230550771</v>
      </c>
    </row>
    <row r="115" spans="1:24" s="1" customFormat="1">
      <c r="A115" s="4"/>
      <c r="B115" s="2" t="s">
        <v>80</v>
      </c>
    </row>
    <row r="117" spans="1:24">
      <c r="H117" s="190" t="s">
        <v>52</v>
      </c>
      <c r="I117" s="190"/>
      <c r="J117" s="190"/>
      <c r="K117" s="190"/>
      <c r="L117" s="190"/>
      <c r="M117" s="190" t="s">
        <v>53</v>
      </c>
      <c r="N117" s="190"/>
      <c r="O117" s="190"/>
      <c r="P117" s="190"/>
      <c r="Q117" s="190"/>
      <c r="R117" s="190" t="s">
        <v>54</v>
      </c>
      <c r="S117" s="190"/>
      <c r="T117" s="190"/>
      <c r="U117" s="190"/>
      <c r="V117" s="190"/>
      <c r="X117" s="38"/>
    </row>
    <row r="118" spans="1:24">
      <c r="B118" s="43" t="s">
        <v>81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63</v>
      </c>
    </row>
    <row r="119" spans="1:24">
      <c r="B119" s="5" t="s">
        <v>46</v>
      </c>
      <c r="D119" s="29" t="s">
        <v>55</v>
      </c>
      <c r="H119" s="16" t="s">
        <v>12</v>
      </c>
      <c r="I119" s="16" t="s">
        <v>12</v>
      </c>
      <c r="J119" s="16" t="s">
        <v>12</v>
      </c>
      <c r="K119" s="16" t="s">
        <v>12</v>
      </c>
      <c r="L119" s="16" t="s">
        <v>12</v>
      </c>
      <c r="M119" s="16" t="s">
        <v>12</v>
      </c>
      <c r="N119" s="16" t="s">
        <v>12</v>
      </c>
      <c r="O119" s="16" t="s">
        <v>12</v>
      </c>
      <c r="P119" s="16" t="s">
        <v>13</v>
      </c>
      <c r="Q119" s="16" t="s">
        <v>13</v>
      </c>
      <c r="R119" s="16" t="s">
        <v>13</v>
      </c>
      <c r="S119" s="16" t="s">
        <v>13</v>
      </c>
      <c r="T119" s="16" t="s">
        <v>13</v>
      </c>
      <c r="U119" s="16" t="s">
        <v>13</v>
      </c>
      <c r="V119" s="16" t="s">
        <v>13</v>
      </c>
      <c r="X119" s="34" t="s">
        <v>13</v>
      </c>
    </row>
    <row r="120" spans="1:24">
      <c r="B120" s="4" t="str">
        <f>IF(B10&lt;&gt;"",B10,"[blank]")</f>
        <v>Minor Replacement - Mains Renewal &lt;20m)</v>
      </c>
      <c r="D120" s="31" t="s">
        <v>60</v>
      </c>
      <c r="O120" s="35"/>
      <c r="P120" s="35">
        <f>$E10*P73</f>
        <v>0</v>
      </c>
      <c r="Q120" s="35">
        <f t="shared" ref="Q120:V120" si="18">$E10*Q73</f>
        <v>116373.5479060645</v>
      </c>
      <c r="R120" s="35">
        <f t="shared" si="18"/>
        <v>163883.41709460405</v>
      </c>
      <c r="S120" s="35">
        <f t="shared" si="18"/>
        <v>165090.19901155229</v>
      </c>
      <c r="T120" s="35">
        <f t="shared" si="18"/>
        <v>166648.1842762155</v>
      </c>
      <c r="U120" s="35">
        <f t="shared" si="18"/>
        <v>168704.3900367615</v>
      </c>
      <c r="V120" s="35">
        <f t="shared" si="18"/>
        <v>170939.88994472451</v>
      </c>
      <c r="X120" s="40">
        <f>SUM(R120:V120)</f>
        <v>835266.08036385791</v>
      </c>
    </row>
    <row r="121" spans="1:24">
      <c r="B121" s="4" t="str">
        <f t="shared" ref="B121:B134" si="19">IF(B11&lt;&gt;"",B11,"[blank]")</f>
        <v>Minor Replacement - Alter / Lower Mains</v>
      </c>
      <c r="D121" s="31" t="s">
        <v>60</v>
      </c>
      <c r="O121" s="50"/>
      <c r="P121" s="35">
        <f t="shared" ref="P121:V121" si="20">$E11*P74</f>
        <v>0</v>
      </c>
      <c r="Q121" s="35">
        <f t="shared" si="20"/>
        <v>1706.8120359556124</v>
      </c>
      <c r="R121" s="35">
        <f t="shared" si="20"/>
        <v>1716.8738933720424</v>
      </c>
      <c r="S121" s="35">
        <f t="shared" si="20"/>
        <v>1729.5163705972145</v>
      </c>
      <c r="T121" s="35">
        <f t="shared" si="20"/>
        <v>1745.8381209889239</v>
      </c>
      <c r="U121" s="35">
        <f t="shared" si="20"/>
        <v>1767.3793241946444</v>
      </c>
      <c r="V121" s="35">
        <f t="shared" si="20"/>
        <v>1790.7988470399705</v>
      </c>
      <c r="X121" s="40">
        <f t="shared" ref="X121:X134" si="21">SUM(R121:V121)</f>
        <v>8750.4065561927964</v>
      </c>
    </row>
    <row r="122" spans="1:24">
      <c r="B122" s="4" t="str">
        <f t="shared" si="19"/>
        <v>Minor Replacement - Service Renewals</v>
      </c>
      <c r="D122" s="31" t="s">
        <v>60</v>
      </c>
      <c r="P122" s="35">
        <f t="shared" ref="P122:V122" si="22">$E12*P75</f>
        <v>0</v>
      </c>
      <c r="Q122" s="35">
        <f t="shared" si="22"/>
        <v>256021.80539334187</v>
      </c>
      <c r="R122" s="35">
        <f t="shared" si="22"/>
        <v>384579.75211533747</v>
      </c>
      <c r="S122" s="35">
        <f t="shared" si="22"/>
        <v>387411.66701377602</v>
      </c>
      <c r="T122" s="35">
        <f t="shared" si="22"/>
        <v>391067.73910151899</v>
      </c>
      <c r="U122" s="35">
        <f t="shared" si="22"/>
        <v>395892.96861960035</v>
      </c>
      <c r="V122" s="35">
        <f t="shared" si="22"/>
        <v>401138.94173695345</v>
      </c>
      <c r="X122" s="40">
        <f t="shared" si="21"/>
        <v>1960091.0685871863</v>
      </c>
    </row>
    <row r="123" spans="1:24">
      <c r="B123" s="4" t="str">
        <f t="shared" si="19"/>
        <v>Minor Replacement - Alter / Lower Services</v>
      </c>
      <c r="D123" s="31" t="s">
        <v>60</v>
      </c>
      <c r="P123" s="35">
        <f t="shared" ref="P123:V123" si="23">$E13*P76</f>
        <v>0</v>
      </c>
      <c r="Q123" s="35">
        <f t="shared" si="23"/>
        <v>5236.8096557729014</v>
      </c>
      <c r="R123" s="35">
        <f t="shared" si="23"/>
        <v>5267.6812637551293</v>
      </c>
      <c r="S123" s="35">
        <f t="shared" si="23"/>
        <v>5306.4706825141811</v>
      </c>
      <c r="T123" s="35">
        <f t="shared" si="23"/>
        <v>5356.5487803069254</v>
      </c>
      <c r="U123" s="35">
        <f t="shared" si="23"/>
        <v>5422.6411083244766</v>
      </c>
      <c r="V123" s="35">
        <f t="shared" si="23"/>
        <v>5494.4964625090006</v>
      </c>
      <c r="X123" s="40">
        <f t="shared" si="21"/>
        <v>26847.838297409711</v>
      </c>
    </row>
    <row r="124" spans="1:24">
      <c r="B124" s="4" t="str">
        <f t="shared" si="19"/>
        <v>[blank]</v>
      </c>
      <c r="X124" s="40">
        <f t="shared" si="21"/>
        <v>0</v>
      </c>
    </row>
    <row r="125" spans="1:24">
      <c r="B125" s="4" t="str">
        <f t="shared" si="19"/>
        <v>[blank]</v>
      </c>
      <c r="X125" s="40">
        <f t="shared" si="21"/>
        <v>0</v>
      </c>
    </row>
    <row r="126" spans="1:24">
      <c r="B126" s="4" t="str">
        <f t="shared" si="19"/>
        <v>[blank]</v>
      </c>
      <c r="X126" s="40">
        <f t="shared" si="21"/>
        <v>0</v>
      </c>
    </row>
    <row r="127" spans="1:24">
      <c r="B127" s="4" t="str">
        <f t="shared" si="19"/>
        <v>[blank]</v>
      </c>
      <c r="X127" s="40">
        <f t="shared" si="21"/>
        <v>0</v>
      </c>
    </row>
    <row r="128" spans="1:24">
      <c r="B128" s="4" t="str">
        <f t="shared" si="19"/>
        <v>[blank]</v>
      </c>
      <c r="X128" s="40">
        <f t="shared" si="21"/>
        <v>0</v>
      </c>
    </row>
    <row r="129" spans="1:24">
      <c r="B129" s="4" t="str">
        <f t="shared" si="19"/>
        <v>[blank]</v>
      </c>
      <c r="X129" s="40">
        <f t="shared" si="21"/>
        <v>0</v>
      </c>
    </row>
    <row r="130" spans="1:24">
      <c r="B130" s="4" t="str">
        <f t="shared" si="19"/>
        <v>[blank]</v>
      </c>
      <c r="X130" s="40">
        <f t="shared" si="21"/>
        <v>0</v>
      </c>
    </row>
    <row r="131" spans="1:24">
      <c r="B131" s="4" t="str">
        <f t="shared" si="19"/>
        <v>[blank]</v>
      </c>
      <c r="X131" s="40">
        <f t="shared" si="21"/>
        <v>0</v>
      </c>
    </row>
    <row r="132" spans="1:24">
      <c r="B132" s="4" t="str">
        <f t="shared" si="19"/>
        <v>[blank]</v>
      </c>
      <c r="X132" s="40">
        <f t="shared" si="21"/>
        <v>0</v>
      </c>
    </row>
    <row r="133" spans="1:24">
      <c r="B133" s="4" t="str">
        <f t="shared" si="19"/>
        <v>[blank]</v>
      </c>
      <c r="X133" s="40">
        <f t="shared" si="21"/>
        <v>0</v>
      </c>
    </row>
    <row r="134" spans="1:24">
      <c r="B134" s="4" t="str">
        <f t="shared" si="19"/>
        <v>[blank]</v>
      </c>
      <c r="X134" s="40">
        <f t="shared" si="21"/>
        <v>0</v>
      </c>
    </row>
    <row r="136" spans="1:24" ht="12.75" thickBot="1">
      <c r="B136" s="5" t="s">
        <v>82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4">SUM(P120:P134)</f>
        <v>0</v>
      </c>
      <c r="Q136" s="37">
        <f t="shared" si="24"/>
        <v>379338.97499113489</v>
      </c>
      <c r="R136" s="37">
        <f t="shared" si="24"/>
        <v>555447.72436706861</v>
      </c>
      <c r="S136" s="37">
        <f t="shared" si="24"/>
        <v>559537.8530784396</v>
      </c>
      <c r="T136" s="37">
        <f t="shared" si="24"/>
        <v>564818.31027903035</v>
      </c>
      <c r="U136" s="37">
        <f t="shared" si="24"/>
        <v>571787.37908888096</v>
      </c>
      <c r="V136" s="37">
        <f t="shared" si="24"/>
        <v>579364.12699122692</v>
      </c>
      <c r="X136" s="37">
        <f t="shared" ref="X136" si="25">SUM(R136:V136)</f>
        <v>2830955.3938046466</v>
      </c>
    </row>
    <row r="138" spans="1:24" s="1" customFormat="1">
      <c r="A138" s="4"/>
      <c r="B138" s="2" t="s">
        <v>83</v>
      </c>
    </row>
    <row r="140" spans="1:24">
      <c r="H140" s="190" t="s">
        <v>52</v>
      </c>
      <c r="I140" s="190"/>
      <c r="J140" s="190"/>
      <c r="K140" s="190"/>
      <c r="L140" s="190"/>
      <c r="M140" s="190" t="s">
        <v>53</v>
      </c>
      <c r="N140" s="190"/>
      <c r="O140" s="190"/>
      <c r="P140" s="190"/>
      <c r="Q140" s="190"/>
      <c r="R140" s="190" t="s">
        <v>54</v>
      </c>
      <c r="S140" s="190"/>
      <c r="T140" s="190"/>
      <c r="U140" s="190"/>
      <c r="V140" s="190"/>
      <c r="X140" s="38"/>
    </row>
    <row r="141" spans="1:24">
      <c r="B141" s="43" t="s">
        <v>84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63</v>
      </c>
    </row>
    <row r="142" spans="1:24">
      <c r="B142" s="5" t="s">
        <v>46</v>
      </c>
      <c r="D142" s="29" t="s">
        <v>55</v>
      </c>
      <c r="H142" s="16" t="s">
        <v>12</v>
      </c>
      <c r="I142" s="16" t="s">
        <v>12</v>
      </c>
      <c r="J142" s="16" t="s">
        <v>12</v>
      </c>
      <c r="K142" s="16" t="s">
        <v>12</v>
      </c>
      <c r="L142" s="16" t="s">
        <v>12</v>
      </c>
      <c r="M142" s="16" t="s">
        <v>12</v>
      </c>
      <c r="N142" s="16" t="s">
        <v>12</v>
      </c>
      <c r="O142" s="16" t="s">
        <v>12</v>
      </c>
      <c r="P142" s="16" t="s">
        <v>13</v>
      </c>
      <c r="Q142" s="16" t="s">
        <v>13</v>
      </c>
      <c r="R142" s="16" t="s">
        <v>13</v>
      </c>
      <c r="S142" s="16" t="s">
        <v>13</v>
      </c>
      <c r="T142" s="16" t="s">
        <v>13</v>
      </c>
      <c r="U142" s="16" t="s">
        <v>13</v>
      </c>
      <c r="V142" s="16" t="s">
        <v>13</v>
      </c>
      <c r="X142" s="34" t="s">
        <v>13</v>
      </c>
    </row>
    <row r="143" spans="1:24">
      <c r="B143" s="4" t="str">
        <f>IF(B10&lt;&gt;"",B10,"[blank]")</f>
        <v>Minor Replacement - Mains Renewal &lt;20m)</v>
      </c>
      <c r="D143" s="31" t="s">
        <v>60</v>
      </c>
      <c r="O143" s="35"/>
      <c r="P143" s="35">
        <f>P97+P120</f>
        <v>0</v>
      </c>
      <c r="Q143" s="35">
        <f t="shared" ref="Q143:V143" si="26">Q97+Q120</f>
        <v>122498.47148006789</v>
      </c>
      <c r="R143" s="35">
        <f t="shared" si="26"/>
        <v>172508.86009958322</v>
      </c>
      <c r="S143" s="35">
        <f t="shared" si="26"/>
        <v>173779.15685426557</v>
      </c>
      <c r="T143" s="35">
        <f t="shared" si="26"/>
        <v>175419.14134338475</v>
      </c>
      <c r="U143" s="35">
        <f t="shared" si="26"/>
        <v>177583.56845974893</v>
      </c>
      <c r="V143" s="35">
        <f t="shared" si="26"/>
        <v>179936.72625760475</v>
      </c>
      <c r="X143" s="40">
        <f>SUM(R143:V143)</f>
        <v>879227.45301458728</v>
      </c>
    </row>
    <row r="144" spans="1:24">
      <c r="B144" s="4" t="str">
        <f t="shared" ref="B144:B157" si="27">IF(B11&lt;&gt;"",B11,"[blank]")</f>
        <v>Minor Replacement - Alter / Lower Mains</v>
      </c>
      <c r="D144" s="31" t="s">
        <v>60</v>
      </c>
      <c r="O144" s="50"/>
      <c r="P144" s="35">
        <f t="shared" ref="P144:V144" si="28">P98+P121</f>
        <v>0</v>
      </c>
      <c r="Q144" s="35">
        <f t="shared" si="28"/>
        <v>1796.6442483743288</v>
      </c>
      <c r="R144" s="35">
        <f t="shared" si="28"/>
        <v>1807.2356772337289</v>
      </c>
      <c r="S144" s="35">
        <f t="shared" si="28"/>
        <v>1820.5435479970679</v>
      </c>
      <c r="T144" s="35">
        <f t="shared" si="28"/>
        <v>1837.7243378830779</v>
      </c>
      <c r="U144" s="35">
        <f t="shared" si="28"/>
        <v>1860.3992886259414</v>
      </c>
      <c r="V144" s="35">
        <f t="shared" si="28"/>
        <v>1885.051417936811</v>
      </c>
      <c r="X144" s="40">
        <f t="shared" ref="X144:X157" si="29">SUM(R144:V144)</f>
        <v>9210.9542696766257</v>
      </c>
    </row>
    <row r="145" spans="2:24">
      <c r="B145" s="4" t="str">
        <f t="shared" si="27"/>
        <v>Minor Replacement - Service Renewals</v>
      </c>
      <c r="D145" s="31" t="s">
        <v>60</v>
      </c>
      <c r="P145" s="35">
        <f t="shared" ref="P145:V145" si="30">P99+P122</f>
        <v>0</v>
      </c>
      <c r="Q145" s="35">
        <f t="shared" si="30"/>
        <v>269496.63725614932</v>
      </c>
      <c r="R145" s="35">
        <f t="shared" si="30"/>
        <v>404820.79170035524</v>
      </c>
      <c r="S145" s="35">
        <f t="shared" si="30"/>
        <v>407801.75475134316</v>
      </c>
      <c r="T145" s="35">
        <f t="shared" si="30"/>
        <v>411650.25168580946</v>
      </c>
      <c r="U145" s="35">
        <f t="shared" si="30"/>
        <v>416729.44065221091</v>
      </c>
      <c r="V145" s="35">
        <f t="shared" si="30"/>
        <v>422251.51761784573</v>
      </c>
      <c r="X145" s="40">
        <f t="shared" si="29"/>
        <v>2063253.7564075645</v>
      </c>
    </row>
    <row r="146" spans="2:24">
      <c r="B146" s="4" t="str">
        <f t="shared" si="27"/>
        <v>Minor Replacement - Alter / Lower Services</v>
      </c>
      <c r="D146" s="31" t="s">
        <v>60</v>
      </c>
      <c r="P146" s="35">
        <f t="shared" ref="P146:V146" si="31">P100+P123</f>
        <v>0</v>
      </c>
      <c r="Q146" s="35">
        <f t="shared" si="31"/>
        <v>5512.4312166030541</v>
      </c>
      <c r="R146" s="35">
        <f t="shared" si="31"/>
        <v>5544.9276460580313</v>
      </c>
      <c r="S146" s="35">
        <f t="shared" si="31"/>
        <v>5585.7586131728222</v>
      </c>
      <c r="T146" s="35">
        <f t="shared" si="31"/>
        <v>5638.4724003230795</v>
      </c>
      <c r="U146" s="35">
        <f t="shared" si="31"/>
        <v>5708.0432719205019</v>
      </c>
      <c r="V146" s="35">
        <f t="shared" si="31"/>
        <v>5783.6804868515792</v>
      </c>
      <c r="X146" s="40">
        <f t="shared" si="29"/>
        <v>28260.882418326015</v>
      </c>
    </row>
    <row r="147" spans="2:24">
      <c r="B147" s="4" t="str">
        <f t="shared" si="27"/>
        <v>[blank]</v>
      </c>
      <c r="X147" s="40">
        <f t="shared" si="29"/>
        <v>0</v>
      </c>
    </row>
    <row r="148" spans="2:24">
      <c r="B148" s="4" t="str">
        <f t="shared" si="27"/>
        <v>[blank]</v>
      </c>
      <c r="X148" s="40">
        <f t="shared" si="29"/>
        <v>0</v>
      </c>
    </row>
    <row r="149" spans="2:24">
      <c r="B149" s="4" t="str">
        <f t="shared" si="27"/>
        <v>[blank]</v>
      </c>
      <c r="X149" s="40">
        <f t="shared" si="29"/>
        <v>0</v>
      </c>
    </row>
    <row r="150" spans="2:24">
      <c r="B150" s="4" t="str">
        <f t="shared" si="27"/>
        <v>[blank]</v>
      </c>
      <c r="X150" s="40">
        <f t="shared" si="29"/>
        <v>0</v>
      </c>
    </row>
    <row r="151" spans="2:24">
      <c r="B151" s="4" t="str">
        <f t="shared" si="27"/>
        <v>[blank]</v>
      </c>
      <c r="X151" s="40">
        <f t="shared" si="29"/>
        <v>0</v>
      </c>
    </row>
    <row r="152" spans="2:24">
      <c r="B152" s="4" t="str">
        <f t="shared" si="27"/>
        <v>[blank]</v>
      </c>
      <c r="X152" s="40">
        <f t="shared" si="29"/>
        <v>0</v>
      </c>
    </row>
    <row r="153" spans="2:24">
      <c r="B153" s="4" t="str">
        <f t="shared" si="27"/>
        <v>[blank]</v>
      </c>
      <c r="X153" s="40">
        <f t="shared" si="29"/>
        <v>0</v>
      </c>
    </row>
    <row r="154" spans="2:24">
      <c r="B154" s="4" t="str">
        <f t="shared" si="27"/>
        <v>[blank]</v>
      </c>
      <c r="X154" s="40">
        <f t="shared" si="29"/>
        <v>0</v>
      </c>
    </row>
    <row r="155" spans="2:24">
      <c r="B155" s="4" t="str">
        <f t="shared" si="27"/>
        <v>[blank]</v>
      </c>
      <c r="X155" s="40">
        <f t="shared" si="29"/>
        <v>0</v>
      </c>
    </row>
    <row r="156" spans="2:24">
      <c r="B156" s="4" t="str">
        <f t="shared" si="27"/>
        <v>[blank]</v>
      </c>
      <c r="X156" s="40">
        <f t="shared" si="29"/>
        <v>0</v>
      </c>
    </row>
    <row r="157" spans="2:24">
      <c r="B157" s="4" t="str">
        <f t="shared" si="27"/>
        <v>[blank]</v>
      </c>
      <c r="X157" s="40">
        <f t="shared" si="29"/>
        <v>0</v>
      </c>
    </row>
    <row r="159" spans="2:24" ht="12.75" thickBot="1">
      <c r="B159" s="5" t="s">
        <v>85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32">SUM(Q143:Q157)</f>
        <v>399304.18420119456</v>
      </c>
      <c r="R159" s="37">
        <f t="shared" si="32"/>
        <v>584681.81512323022</v>
      </c>
      <c r="S159" s="37">
        <f t="shared" si="32"/>
        <v>588987.21376677859</v>
      </c>
      <c r="T159" s="37">
        <f t="shared" si="32"/>
        <v>594545.58976740029</v>
      </c>
      <c r="U159" s="37">
        <f t="shared" si="32"/>
        <v>601881.45167250629</v>
      </c>
      <c r="V159" s="37">
        <f t="shared" si="32"/>
        <v>609856.97578023886</v>
      </c>
      <c r="X159" s="37">
        <f t="shared" ref="X159" si="33">SUM(R159:V159)</f>
        <v>2979953.0461101546</v>
      </c>
    </row>
    <row r="161" spans="1:24" s="1" customFormat="1">
      <c r="A161" s="4"/>
      <c r="B161" s="2" t="s">
        <v>86</v>
      </c>
    </row>
    <row r="163" spans="1:24">
      <c r="H163" s="190" t="s">
        <v>52</v>
      </c>
      <c r="I163" s="190"/>
      <c r="J163" s="190"/>
      <c r="K163" s="190"/>
      <c r="L163" s="190"/>
      <c r="M163" s="190" t="s">
        <v>53</v>
      </c>
      <c r="N163" s="190"/>
      <c r="O163" s="190"/>
      <c r="P163" s="190"/>
      <c r="Q163" s="190"/>
      <c r="R163" s="190" t="s">
        <v>54</v>
      </c>
      <c r="S163" s="190"/>
      <c r="T163" s="190"/>
      <c r="U163" s="190"/>
      <c r="V163" s="190"/>
      <c r="X163" s="38"/>
    </row>
    <row r="164" spans="1:24">
      <c r="B164" s="44" t="s">
        <v>50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63</v>
      </c>
    </row>
    <row r="165" spans="1:24">
      <c r="B165" s="5" t="s">
        <v>46</v>
      </c>
      <c r="D165" s="29" t="s">
        <v>55</v>
      </c>
      <c r="H165" s="16" t="s">
        <v>12</v>
      </c>
      <c r="I165" s="16" t="s">
        <v>12</v>
      </c>
      <c r="J165" s="16" t="s">
        <v>12</v>
      </c>
      <c r="K165" s="16" t="s">
        <v>12</v>
      </c>
      <c r="L165" s="16" t="s">
        <v>12</v>
      </c>
      <c r="M165" s="16" t="s">
        <v>12</v>
      </c>
      <c r="N165" s="16" t="s">
        <v>12</v>
      </c>
      <c r="O165" s="16" t="s">
        <v>12</v>
      </c>
      <c r="P165" s="16" t="s">
        <v>13</v>
      </c>
      <c r="Q165" s="16" t="s">
        <v>13</v>
      </c>
      <c r="R165" s="16" t="s">
        <v>13</v>
      </c>
      <c r="S165" s="16" t="s">
        <v>13</v>
      </c>
      <c r="T165" s="16" t="s">
        <v>13</v>
      </c>
      <c r="U165" s="16" t="s">
        <v>13</v>
      </c>
      <c r="V165" s="16" t="s">
        <v>13</v>
      </c>
      <c r="X165" s="34" t="s">
        <v>13</v>
      </c>
    </row>
    <row r="166" spans="1:24">
      <c r="B166" s="4" t="str">
        <f>IF(B10&lt;&gt;"",B10,"[blank]")</f>
        <v>Minor Replacement - Mains Renewal &lt;20m)</v>
      </c>
      <c r="D166" s="31" t="s">
        <v>60</v>
      </c>
      <c r="O166" s="35"/>
      <c r="P166" s="35">
        <f>$G10*P73</f>
        <v>0</v>
      </c>
      <c r="Q166" s="35">
        <f t="shared" ref="Q166:V166" si="34">$G10*Q73</f>
        <v>30624.617870016966</v>
      </c>
      <c r="R166" s="35">
        <f t="shared" si="34"/>
        <v>43127.215024895791</v>
      </c>
      <c r="S166" s="35">
        <f t="shared" si="34"/>
        <v>43444.789213566386</v>
      </c>
      <c r="T166" s="35">
        <f t="shared" si="34"/>
        <v>43854.785335846173</v>
      </c>
      <c r="U166" s="35">
        <f t="shared" si="34"/>
        <v>44395.892114937225</v>
      </c>
      <c r="V166" s="35">
        <f t="shared" si="34"/>
        <v>44984.181564401173</v>
      </c>
      <c r="X166" s="40">
        <f>SUM(R166:V166)</f>
        <v>219806.86325364673</v>
      </c>
    </row>
    <row r="167" spans="1:24">
      <c r="B167" s="4" t="str">
        <f t="shared" ref="B167:B180" si="35">IF(B11&lt;&gt;"",B11,"[blank]")</f>
        <v>Minor Replacement - Alter / Lower Mains</v>
      </c>
      <c r="D167" s="31" t="s">
        <v>60</v>
      </c>
      <c r="O167" s="50"/>
      <c r="P167" s="35">
        <f t="shared" ref="P167:V167" si="36">$G11*P74</f>
        <v>0</v>
      </c>
      <c r="Q167" s="35">
        <f t="shared" si="36"/>
        <v>449.16106209358213</v>
      </c>
      <c r="R167" s="35">
        <f t="shared" si="36"/>
        <v>451.80891930843205</v>
      </c>
      <c r="S167" s="35">
        <f t="shared" si="36"/>
        <v>455.13588699926686</v>
      </c>
      <c r="T167" s="35">
        <f t="shared" si="36"/>
        <v>459.43108447076935</v>
      </c>
      <c r="U167" s="35">
        <f t="shared" si="36"/>
        <v>465.09982215648523</v>
      </c>
      <c r="V167" s="35">
        <f t="shared" si="36"/>
        <v>471.26285448420265</v>
      </c>
      <c r="X167" s="40">
        <f t="shared" ref="X167:X180" si="37">SUM(R167:V167)</f>
        <v>2302.738567419156</v>
      </c>
    </row>
    <row r="168" spans="1:24">
      <c r="B168" s="4" t="str">
        <f t="shared" si="35"/>
        <v>Minor Replacement - Service Renewals</v>
      </c>
      <c r="D168" s="31" t="s">
        <v>60</v>
      </c>
      <c r="P168" s="35">
        <f t="shared" ref="P168:V168" si="38">$G12*P75</f>
        <v>0</v>
      </c>
      <c r="Q168" s="35">
        <f t="shared" si="38"/>
        <v>67374.159314037315</v>
      </c>
      <c r="R168" s="35">
        <f t="shared" si="38"/>
        <v>101205.19792508878</v>
      </c>
      <c r="S168" s="35">
        <f t="shared" si="38"/>
        <v>101950.43868783578</v>
      </c>
      <c r="T168" s="35">
        <f t="shared" si="38"/>
        <v>102912.56292145234</v>
      </c>
      <c r="U168" s="35">
        <f t="shared" si="38"/>
        <v>104182.3601630527</v>
      </c>
      <c r="V168" s="35">
        <f t="shared" si="38"/>
        <v>105562.8794044614</v>
      </c>
      <c r="X168" s="40">
        <f t="shared" si="37"/>
        <v>515813.43910189101</v>
      </c>
    </row>
    <row r="169" spans="1:24">
      <c r="B169" s="4" t="str">
        <f t="shared" si="35"/>
        <v>Minor Replacement - Alter / Lower Services</v>
      </c>
      <c r="D169" s="31" t="s">
        <v>60</v>
      </c>
      <c r="P169" s="35">
        <f t="shared" ref="P169:V169" si="39">$G13*P76</f>
        <v>0</v>
      </c>
      <c r="Q169" s="35">
        <f t="shared" si="39"/>
        <v>1378.1078041507633</v>
      </c>
      <c r="R169" s="35">
        <f t="shared" si="39"/>
        <v>1386.2319115145074</v>
      </c>
      <c r="S169" s="35">
        <f t="shared" si="39"/>
        <v>1396.4396532932051</v>
      </c>
      <c r="T169" s="35">
        <f t="shared" si="39"/>
        <v>1409.6181000807696</v>
      </c>
      <c r="U169" s="35">
        <f t="shared" si="39"/>
        <v>1427.010817980125</v>
      </c>
      <c r="V169" s="35">
        <f t="shared" si="39"/>
        <v>1445.9201217128946</v>
      </c>
      <c r="X169" s="40">
        <f t="shared" si="37"/>
        <v>7065.220604581501</v>
      </c>
    </row>
    <row r="170" spans="1:24">
      <c r="B170" s="4" t="str">
        <f t="shared" si="35"/>
        <v>[blank]</v>
      </c>
      <c r="X170" s="40">
        <f t="shared" si="37"/>
        <v>0</v>
      </c>
    </row>
    <row r="171" spans="1:24">
      <c r="B171" s="4" t="str">
        <f t="shared" si="35"/>
        <v>[blank]</v>
      </c>
      <c r="X171" s="40">
        <f t="shared" si="37"/>
        <v>0</v>
      </c>
    </row>
    <row r="172" spans="1:24">
      <c r="B172" s="4" t="str">
        <f t="shared" si="35"/>
        <v>[blank]</v>
      </c>
      <c r="X172" s="40">
        <f t="shared" si="37"/>
        <v>0</v>
      </c>
    </row>
    <row r="173" spans="1:24">
      <c r="B173" s="4" t="str">
        <f t="shared" si="35"/>
        <v>[blank]</v>
      </c>
      <c r="X173" s="40">
        <f t="shared" si="37"/>
        <v>0</v>
      </c>
    </row>
    <row r="174" spans="1:24">
      <c r="B174" s="4" t="str">
        <f t="shared" si="35"/>
        <v>[blank]</v>
      </c>
      <c r="X174" s="40">
        <f t="shared" si="37"/>
        <v>0</v>
      </c>
    </row>
    <row r="175" spans="1:24">
      <c r="B175" s="4" t="str">
        <f t="shared" si="35"/>
        <v>[blank]</v>
      </c>
      <c r="X175" s="40">
        <f t="shared" si="37"/>
        <v>0</v>
      </c>
    </row>
    <row r="176" spans="1:24">
      <c r="B176" s="4" t="str">
        <f t="shared" si="35"/>
        <v>[blank]</v>
      </c>
      <c r="X176" s="40">
        <f t="shared" si="37"/>
        <v>0</v>
      </c>
    </row>
    <row r="177" spans="1:24">
      <c r="B177" s="4" t="str">
        <f t="shared" si="35"/>
        <v>[blank]</v>
      </c>
      <c r="X177" s="40">
        <f t="shared" si="37"/>
        <v>0</v>
      </c>
    </row>
    <row r="178" spans="1:24">
      <c r="B178" s="4" t="str">
        <f t="shared" si="35"/>
        <v>[blank]</v>
      </c>
      <c r="X178" s="40">
        <f t="shared" si="37"/>
        <v>0</v>
      </c>
    </row>
    <row r="179" spans="1:24">
      <c r="B179" s="4" t="str">
        <f t="shared" si="35"/>
        <v>[blank]</v>
      </c>
      <c r="X179" s="40">
        <f t="shared" si="37"/>
        <v>0</v>
      </c>
    </row>
    <row r="180" spans="1:24">
      <c r="B180" s="4" t="str">
        <f t="shared" si="35"/>
        <v>[blank]</v>
      </c>
      <c r="X180" s="40">
        <f t="shared" si="37"/>
        <v>0</v>
      </c>
    </row>
    <row r="182" spans="1:24" ht="12.75" thickBot="1">
      <c r="B182" s="5" t="s">
        <v>87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40">SUM(Q166:Q180)</f>
        <v>99826.046050298624</v>
      </c>
      <c r="R182" s="37">
        <f t="shared" si="40"/>
        <v>146170.45378080753</v>
      </c>
      <c r="S182" s="37">
        <f t="shared" si="40"/>
        <v>147246.80344169462</v>
      </c>
      <c r="T182" s="37">
        <f t="shared" si="40"/>
        <v>148636.39744185004</v>
      </c>
      <c r="U182" s="37">
        <f t="shared" si="40"/>
        <v>150470.36291812654</v>
      </c>
      <c r="V182" s="37">
        <f t="shared" si="40"/>
        <v>152464.24394505969</v>
      </c>
      <c r="X182" s="37">
        <f t="shared" ref="X182" si="41">SUM(R182:V182)</f>
        <v>744988.26152753842</v>
      </c>
    </row>
    <row r="184" spans="1:24" s="1" customFormat="1">
      <c r="A184" s="2">
        <v>6</v>
      </c>
      <c r="B184" s="2" t="s">
        <v>89</v>
      </c>
    </row>
    <row r="186" spans="1:24">
      <c r="H186" s="190" t="s">
        <v>52</v>
      </c>
      <c r="I186" s="190"/>
      <c r="J186" s="190"/>
      <c r="K186" s="190"/>
      <c r="L186" s="190"/>
      <c r="M186" s="190" t="s">
        <v>53</v>
      </c>
      <c r="N186" s="190"/>
      <c r="O186" s="190"/>
      <c r="P186" s="190"/>
      <c r="Q186" s="190"/>
      <c r="R186" s="190" t="s">
        <v>54</v>
      </c>
      <c r="S186" s="190"/>
      <c r="T186" s="190"/>
      <c r="U186" s="190"/>
      <c r="V186" s="190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63</v>
      </c>
    </row>
    <row r="188" spans="1:24">
      <c r="B188" s="5" t="s">
        <v>46</v>
      </c>
      <c r="D188" s="29" t="s">
        <v>55</v>
      </c>
      <c r="H188" s="16" t="s">
        <v>12</v>
      </c>
      <c r="I188" s="16" t="s">
        <v>12</v>
      </c>
      <c r="J188" s="16" t="s">
        <v>12</v>
      </c>
      <c r="K188" s="16" t="s">
        <v>12</v>
      </c>
      <c r="L188" s="16" t="s">
        <v>12</v>
      </c>
      <c r="M188" s="16" t="s">
        <v>12</v>
      </c>
      <c r="N188" s="16" t="s">
        <v>12</v>
      </c>
      <c r="O188" s="16" t="s">
        <v>12</v>
      </c>
      <c r="P188" s="16" t="s">
        <v>13</v>
      </c>
      <c r="Q188" s="16" t="s">
        <v>13</v>
      </c>
      <c r="R188" s="16" t="s">
        <v>13</v>
      </c>
      <c r="S188" s="16" t="s">
        <v>13</v>
      </c>
      <c r="T188" s="16" t="s">
        <v>13</v>
      </c>
      <c r="U188" s="16" t="s">
        <v>13</v>
      </c>
      <c r="V188" s="16" t="s">
        <v>13</v>
      </c>
      <c r="X188" s="34" t="s">
        <v>13</v>
      </c>
    </row>
    <row r="189" spans="1:24">
      <c r="B189" s="4" t="str">
        <f>IF(B10&lt;&gt;"",B10,"[blank]")</f>
        <v>Minor Replacement - Mains Renewal &lt;20m)</v>
      </c>
      <c r="D189" s="31" t="s">
        <v>60</v>
      </c>
      <c r="O189" s="35"/>
      <c r="P189" s="35">
        <f>P73*P$208</f>
        <v>0</v>
      </c>
      <c r="Q189" s="35">
        <f t="shared" ref="Q189:V189" si="42">Q73*Q$208</f>
        <v>11459.991868745954</v>
      </c>
      <c r="R189" s="35">
        <f t="shared" si="42"/>
        <v>15562.63004459806</v>
      </c>
      <c r="S189" s="35">
        <f t="shared" si="42"/>
        <v>16566.170702728516</v>
      </c>
      <c r="T189" s="35">
        <f t="shared" si="42"/>
        <v>16977.647486325499</v>
      </c>
      <c r="U189" s="35">
        <f t="shared" si="42"/>
        <v>18139.203160586359</v>
      </c>
      <c r="V189" s="35">
        <f t="shared" si="42"/>
        <v>18981.658843990004</v>
      </c>
      <c r="X189" s="40">
        <f>SUM(R189:V189)</f>
        <v>86227.310238228441</v>
      </c>
    </row>
    <row r="190" spans="1:24">
      <c r="B190" s="4" t="str">
        <f t="shared" ref="B190:B203" si="43">IF(B11&lt;&gt;"",B11,"[blank]")</f>
        <v>Minor Replacement - Alter / Lower Mains</v>
      </c>
      <c r="D190" s="31" t="s">
        <v>60</v>
      </c>
      <c r="O190" s="50"/>
      <c r="P190" s="35">
        <f t="shared" ref="P190:V190" si="44">P74*P$208</f>
        <v>0</v>
      </c>
      <c r="Q190" s="35">
        <f t="shared" si="44"/>
        <v>168.07988074160733</v>
      </c>
      <c r="R190" s="35">
        <f t="shared" si="44"/>
        <v>163.03707665769394</v>
      </c>
      <c r="S190" s="35">
        <f t="shared" si="44"/>
        <v>173.55035974287014</v>
      </c>
      <c r="T190" s="35">
        <f t="shared" si="44"/>
        <v>177.86106890436236</v>
      </c>
      <c r="U190" s="35">
        <f t="shared" si="44"/>
        <v>190.02974739661903</v>
      </c>
      <c r="V190" s="35">
        <f t="shared" si="44"/>
        <v>198.85547360370475</v>
      </c>
      <c r="X190" s="40">
        <f t="shared" ref="X190:X203" si="45">SUM(R190:V190)</f>
        <v>903.33372630525014</v>
      </c>
    </row>
    <row r="191" spans="1:24">
      <c r="B191" s="4" t="str">
        <f t="shared" si="43"/>
        <v>Minor Replacement - Service Renewals</v>
      </c>
      <c r="D191" s="31" t="s">
        <v>60</v>
      </c>
      <c r="P191" s="35">
        <f t="shared" ref="P191:V191" si="46">P75*P$208</f>
        <v>0</v>
      </c>
      <c r="Q191" s="35">
        <f t="shared" si="46"/>
        <v>25211.982111241097</v>
      </c>
      <c r="R191" s="35">
        <f t="shared" si="46"/>
        <v>36520.305171323445</v>
      </c>
      <c r="S191" s="35">
        <f t="shared" si="46"/>
        <v>38875.280582402913</v>
      </c>
      <c r="T191" s="35">
        <f t="shared" si="46"/>
        <v>39840.879434577168</v>
      </c>
      <c r="U191" s="35">
        <f t="shared" si="46"/>
        <v>42566.663416842661</v>
      </c>
      <c r="V191" s="35">
        <f t="shared" si="46"/>
        <v>44543.626087229866</v>
      </c>
      <c r="X191" s="40">
        <f t="shared" si="45"/>
        <v>202346.75469237607</v>
      </c>
    </row>
    <row r="192" spans="1:24">
      <c r="B192" s="4" t="str">
        <f t="shared" si="43"/>
        <v>Minor Replacement - Alter / Lower Services</v>
      </c>
      <c r="D192" s="31" t="s">
        <v>60</v>
      </c>
      <c r="P192" s="35">
        <f t="shared" ref="P192:V192" si="47">P76*P$208</f>
        <v>0</v>
      </c>
      <c r="Q192" s="35">
        <f t="shared" si="47"/>
        <v>515.69963409356785</v>
      </c>
      <c r="R192" s="35">
        <f t="shared" si="47"/>
        <v>500.22739429065183</v>
      </c>
      <c r="S192" s="35">
        <f t="shared" si="47"/>
        <v>532.48405830198794</v>
      </c>
      <c r="T192" s="35">
        <f t="shared" si="47"/>
        <v>545.71009777474808</v>
      </c>
      <c r="U192" s="35">
        <f t="shared" si="47"/>
        <v>583.04581587599012</v>
      </c>
      <c r="V192" s="35">
        <f t="shared" si="47"/>
        <v>610.12474855682137</v>
      </c>
      <c r="X192" s="40">
        <f t="shared" si="45"/>
        <v>2771.5921148001994</v>
      </c>
    </row>
    <row r="193" spans="2:24">
      <c r="B193" s="4" t="str">
        <f t="shared" si="43"/>
        <v>[blank]</v>
      </c>
      <c r="X193" s="40">
        <f t="shared" si="45"/>
        <v>0</v>
      </c>
    </row>
    <row r="194" spans="2:24">
      <c r="B194" s="4" t="str">
        <f t="shared" si="43"/>
        <v>[blank]</v>
      </c>
      <c r="X194" s="40">
        <f t="shared" si="45"/>
        <v>0</v>
      </c>
    </row>
    <row r="195" spans="2:24">
      <c r="B195" s="4" t="str">
        <f t="shared" si="43"/>
        <v>[blank]</v>
      </c>
      <c r="X195" s="40">
        <f t="shared" si="45"/>
        <v>0</v>
      </c>
    </row>
    <row r="196" spans="2:24">
      <c r="B196" s="4" t="str">
        <f t="shared" si="43"/>
        <v>[blank]</v>
      </c>
      <c r="X196" s="40">
        <f t="shared" si="45"/>
        <v>0</v>
      </c>
    </row>
    <row r="197" spans="2:24">
      <c r="B197" s="4" t="str">
        <f t="shared" si="43"/>
        <v>[blank]</v>
      </c>
      <c r="X197" s="40">
        <f t="shared" si="45"/>
        <v>0</v>
      </c>
    </row>
    <row r="198" spans="2:24">
      <c r="B198" s="4" t="str">
        <f t="shared" si="43"/>
        <v>[blank]</v>
      </c>
      <c r="X198" s="40">
        <f t="shared" si="45"/>
        <v>0</v>
      </c>
    </row>
    <row r="199" spans="2:24">
      <c r="B199" s="4" t="str">
        <f t="shared" si="43"/>
        <v>[blank]</v>
      </c>
      <c r="X199" s="40">
        <f t="shared" si="45"/>
        <v>0</v>
      </c>
    </row>
    <row r="200" spans="2:24">
      <c r="B200" s="4" t="str">
        <f t="shared" si="43"/>
        <v>[blank]</v>
      </c>
      <c r="X200" s="40">
        <f t="shared" si="45"/>
        <v>0</v>
      </c>
    </row>
    <row r="201" spans="2:24">
      <c r="B201" s="4" t="str">
        <f t="shared" si="43"/>
        <v>[blank]</v>
      </c>
      <c r="X201" s="40">
        <f t="shared" si="45"/>
        <v>0</v>
      </c>
    </row>
    <row r="202" spans="2:24">
      <c r="B202" s="4" t="str">
        <f t="shared" si="43"/>
        <v>[blank]</v>
      </c>
      <c r="X202" s="40">
        <f t="shared" si="45"/>
        <v>0</v>
      </c>
    </row>
    <row r="203" spans="2:24">
      <c r="B203" s="4" t="str">
        <f t="shared" si="43"/>
        <v>[blank]</v>
      </c>
      <c r="X203" s="40">
        <f t="shared" si="45"/>
        <v>0</v>
      </c>
    </row>
    <row r="205" spans="2:24" ht="12.75" thickBot="1">
      <c r="B205" s="5" t="s">
        <v>88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48">SUM(Q189:Q203)</f>
        <v>37355.753494822224</v>
      </c>
      <c r="R205" s="37">
        <f t="shared" si="48"/>
        <v>52746.199686869855</v>
      </c>
      <c r="S205" s="37">
        <f t="shared" si="48"/>
        <v>56147.485703176288</v>
      </c>
      <c r="T205" s="37">
        <f t="shared" si="48"/>
        <v>57542.098087581777</v>
      </c>
      <c r="U205" s="37">
        <f t="shared" si="48"/>
        <v>61478.942140701627</v>
      </c>
      <c r="V205" s="37">
        <f t="shared" si="48"/>
        <v>64334.265153380395</v>
      </c>
      <c r="X205" s="37">
        <f t="shared" ref="X205" si="49">SUM(R205:V205)</f>
        <v>292248.99077170994</v>
      </c>
    </row>
    <row r="207" spans="2:24">
      <c r="B207" s="4" t="s">
        <v>92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50">Q89</f>
        <v>499130.23025149328</v>
      </c>
      <c r="R207" s="45">
        <f t="shared" si="50"/>
        <v>730852.26890403777</v>
      </c>
      <c r="S207" s="45">
        <f t="shared" si="50"/>
        <v>736234.01720847329</v>
      </c>
      <c r="T207" s="45">
        <f t="shared" si="50"/>
        <v>743181.98720925045</v>
      </c>
      <c r="U207" s="45">
        <f t="shared" si="50"/>
        <v>752351.8145906328</v>
      </c>
      <c r="V207" s="45">
        <f t="shared" si="50"/>
        <v>762321.21972529846</v>
      </c>
      <c r="W207" s="45"/>
      <c r="X207" s="40">
        <f t="shared" si="50"/>
        <v>3724941.3076376934</v>
      </c>
    </row>
    <row r="208" spans="2:24">
      <c r="B208" s="4" t="s">
        <v>90</v>
      </c>
      <c r="H208" s="21" t="str">
        <f>IFERROR(H212/H207,"")</f>
        <v/>
      </c>
      <c r="I208" s="21" t="str">
        <f t="shared" ref="I208:O208" si="51">IFERROR(I212/I207,"")</f>
        <v/>
      </c>
      <c r="J208" s="21" t="str">
        <f t="shared" si="51"/>
        <v/>
      </c>
      <c r="K208" s="21" t="str">
        <f t="shared" si="51"/>
        <v/>
      </c>
      <c r="L208" s="21" t="str">
        <f t="shared" si="51"/>
        <v/>
      </c>
      <c r="M208" s="21" t="str">
        <f t="shared" si="51"/>
        <v/>
      </c>
      <c r="N208" s="21" t="str">
        <f t="shared" si="51"/>
        <v/>
      </c>
      <c r="O208" s="21" t="str">
        <f t="shared" si="51"/>
        <v/>
      </c>
      <c r="P208" s="21">
        <f>'General assumptions'!S48</f>
        <v>0</v>
      </c>
      <c r="Q208" s="21">
        <f>'General assumptions'!T48</f>
        <v>7.4841697077734692E-2</v>
      </c>
      <c r="R208" s="21">
        <f>'General assumptions'!U48</f>
        <v>7.2170809247081261E-2</v>
      </c>
      <c r="S208" s="21">
        <f>'General assumptions'!V48</f>
        <v>7.6263096231367788E-2</v>
      </c>
      <c r="T208" s="21">
        <f>'General assumptions'!W48</f>
        <v>7.7426658716070601E-2</v>
      </c>
      <c r="U208" s="21">
        <f>'General assumptions'!X48</f>
        <v>8.1715682674538839E-2</v>
      </c>
      <c r="V208" s="21">
        <f>'General assumptions'!Y48</f>
        <v>8.4392593946897035E-2</v>
      </c>
      <c r="W208" s="21"/>
      <c r="X208" s="75">
        <f>X205/X207</f>
        <v>7.8457341105610659E-2</v>
      </c>
    </row>
    <row r="210" spans="1:24" ht="12.75" thickBot="1">
      <c r="B210" s="5" t="s">
        <v>91</v>
      </c>
      <c r="H210" s="37">
        <f t="shared" ref="H210:N210" si="52">IF(H188="forecast",H207*(1+H208),H207+H212)</f>
        <v>0</v>
      </c>
      <c r="I210" s="37">
        <f t="shared" si="52"/>
        <v>0</v>
      </c>
      <c r="J210" s="37">
        <f t="shared" si="52"/>
        <v>0</v>
      </c>
      <c r="K210" s="37">
        <f t="shared" si="52"/>
        <v>0</v>
      </c>
      <c r="L210" s="37">
        <f t="shared" si="52"/>
        <v>0</v>
      </c>
      <c r="M210" s="37">
        <f t="shared" si="52"/>
        <v>0</v>
      </c>
      <c r="N210" s="37">
        <f t="shared" si="52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53">IF(Q188="forecast",Q207*(1+Q208),Q207+Q212)</f>
        <v>536485.98374631559</v>
      </c>
      <c r="R210" s="37">
        <f t="shared" si="53"/>
        <v>783598.46859090752</v>
      </c>
      <c r="S210" s="37">
        <f t="shared" si="53"/>
        <v>792381.50291164953</v>
      </c>
      <c r="T210" s="37">
        <f t="shared" si="53"/>
        <v>800724.08529683226</v>
      </c>
      <c r="U210" s="37">
        <f t="shared" si="53"/>
        <v>813830.75673133449</v>
      </c>
      <c r="V210" s="37">
        <f t="shared" si="53"/>
        <v>826655.48487867881</v>
      </c>
      <c r="X210" s="37">
        <f t="shared" ref="X210" si="54">IF(X188="forecast",X207*(1+X208),X207+X212)</f>
        <v>4017190.2984094033</v>
      </c>
    </row>
    <row r="212" spans="1:24">
      <c r="B212" s="4" t="s">
        <v>18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55">Q210-Q207</f>
        <v>37355.753494822304</v>
      </c>
      <c r="R212" s="45">
        <f t="shared" si="55"/>
        <v>52746.199686869746</v>
      </c>
      <c r="S212" s="45">
        <f t="shared" si="55"/>
        <v>56147.485703176237</v>
      </c>
      <c r="T212" s="45">
        <f t="shared" si="55"/>
        <v>57542.098087581806</v>
      </c>
      <c r="U212" s="45">
        <f t="shared" si="55"/>
        <v>61478.942140701693</v>
      </c>
      <c r="V212" s="45">
        <f t="shared" si="55"/>
        <v>64334.265153380344</v>
      </c>
      <c r="X212" s="40">
        <f t="shared" ref="X212" si="56">X210-X207</f>
        <v>292248.99077170994</v>
      </c>
    </row>
    <row r="214" spans="1:24" s="1" customFormat="1">
      <c r="A214" s="2">
        <v>7</v>
      </c>
      <c r="B214" s="2" t="s">
        <v>74</v>
      </c>
    </row>
    <row r="216" spans="1:24">
      <c r="H216" s="190" t="s">
        <v>52</v>
      </c>
      <c r="I216" s="190"/>
      <c r="J216" s="190"/>
      <c r="K216" s="190"/>
      <c r="L216" s="190"/>
      <c r="M216" s="190" t="s">
        <v>53</v>
      </c>
      <c r="N216" s="190"/>
      <c r="O216" s="190"/>
      <c r="P216" s="190"/>
      <c r="Q216" s="190"/>
      <c r="R216" s="190" t="s">
        <v>54</v>
      </c>
      <c r="S216" s="190"/>
      <c r="T216" s="190"/>
      <c r="U216" s="190"/>
      <c r="V216" s="190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63</v>
      </c>
    </row>
    <row r="218" spans="1:24">
      <c r="D218" s="29" t="s">
        <v>55</v>
      </c>
      <c r="H218" s="16" t="s">
        <v>12</v>
      </c>
      <c r="I218" s="16" t="s">
        <v>12</v>
      </c>
      <c r="J218" s="16" t="s">
        <v>12</v>
      </c>
      <c r="K218" s="16" t="s">
        <v>12</v>
      </c>
      <c r="L218" s="16" t="s">
        <v>12</v>
      </c>
      <c r="M218" s="16" t="s">
        <v>12</v>
      </c>
      <c r="N218" s="16" t="s">
        <v>12</v>
      </c>
      <c r="O218" s="16" t="s">
        <v>12</v>
      </c>
      <c r="P218" s="16" t="s">
        <v>13</v>
      </c>
      <c r="Q218" s="16" t="s">
        <v>13</v>
      </c>
      <c r="R218" s="16" t="s">
        <v>13</v>
      </c>
      <c r="S218" s="16" t="s">
        <v>13</v>
      </c>
      <c r="T218" s="16" t="s">
        <v>13</v>
      </c>
      <c r="U218" s="16" t="s">
        <v>13</v>
      </c>
      <c r="V218" s="16" t="s">
        <v>13</v>
      </c>
      <c r="X218" s="34" t="s">
        <v>13</v>
      </c>
    </row>
    <row r="219" spans="1:24">
      <c r="B219" s="5" t="s">
        <v>94</v>
      </c>
      <c r="D219" s="31" t="s">
        <v>105</v>
      </c>
      <c r="H219" s="4" t="str">
        <f t="shared" ref="H219:O219" si="57">IFERROR(-H238/H210,"")</f>
        <v/>
      </c>
      <c r="I219" s="4" t="str">
        <f t="shared" si="57"/>
        <v/>
      </c>
      <c r="J219" s="4" t="str">
        <f t="shared" si="57"/>
        <v/>
      </c>
      <c r="K219" s="4" t="str">
        <f t="shared" si="57"/>
        <v/>
      </c>
      <c r="L219" s="4" t="str">
        <f t="shared" si="57"/>
        <v/>
      </c>
      <c r="M219" s="4" t="str">
        <f t="shared" si="57"/>
        <v/>
      </c>
      <c r="N219" s="4" t="str">
        <f t="shared" si="57"/>
        <v/>
      </c>
      <c r="O219" s="4" t="str">
        <f t="shared" si="57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46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Minor Replacement - Mains Renewal &lt;20m)</v>
      </c>
      <c r="D222" s="31" t="s">
        <v>60</v>
      </c>
      <c r="P222" s="45">
        <f>(-P73*(1+P$208))*P$219</f>
        <v>0</v>
      </c>
      <c r="Q222" s="45">
        <f t="shared" ref="Q222:V222" si="58">(-Q73*(1+Q$208))*Q$219</f>
        <v>0</v>
      </c>
      <c r="R222" s="45">
        <f t="shared" si="58"/>
        <v>0</v>
      </c>
      <c r="S222" s="45">
        <f t="shared" si="58"/>
        <v>0</v>
      </c>
      <c r="T222" s="45">
        <f t="shared" si="58"/>
        <v>0</v>
      </c>
      <c r="U222" s="45">
        <f t="shared" si="58"/>
        <v>0</v>
      </c>
      <c r="V222" s="45">
        <f t="shared" si="58"/>
        <v>0</v>
      </c>
      <c r="X222" s="40">
        <f t="shared" ref="X222:X225" si="59">SUM(R222:V222)</f>
        <v>0</v>
      </c>
    </row>
    <row r="223" spans="1:24">
      <c r="B223" s="4" t="str">
        <f t="shared" ref="B223:B236" si="60">IF(B11&lt;&gt;"",B11,"[blank]")</f>
        <v>Minor Replacement - Alter / Lower Mains</v>
      </c>
      <c r="D223" s="31" t="s">
        <v>60</v>
      </c>
      <c r="P223" s="45">
        <f t="shared" ref="P223:V223" si="61">(-P74*(1+P$208))*P$219</f>
        <v>0</v>
      </c>
      <c r="Q223" s="45">
        <f t="shared" si="61"/>
        <v>0</v>
      </c>
      <c r="R223" s="45">
        <f t="shared" si="61"/>
        <v>0</v>
      </c>
      <c r="S223" s="45">
        <f t="shared" si="61"/>
        <v>0</v>
      </c>
      <c r="T223" s="45">
        <f t="shared" si="61"/>
        <v>0</v>
      </c>
      <c r="U223" s="45">
        <f t="shared" si="61"/>
        <v>0</v>
      </c>
      <c r="V223" s="45">
        <f t="shared" si="61"/>
        <v>0</v>
      </c>
      <c r="X223" s="40">
        <f t="shared" si="59"/>
        <v>0</v>
      </c>
    </row>
    <row r="224" spans="1:24">
      <c r="B224" s="4" t="str">
        <f t="shared" si="60"/>
        <v>Minor Replacement - Service Renewals</v>
      </c>
      <c r="D224" s="31" t="s">
        <v>60</v>
      </c>
      <c r="P224" s="45">
        <f t="shared" ref="P224:V224" si="62">(-P75*(1+P$208))*P$219</f>
        <v>0</v>
      </c>
      <c r="Q224" s="45">
        <f t="shared" si="62"/>
        <v>0</v>
      </c>
      <c r="R224" s="45">
        <f t="shared" si="62"/>
        <v>0</v>
      </c>
      <c r="S224" s="45">
        <f t="shared" si="62"/>
        <v>0</v>
      </c>
      <c r="T224" s="45">
        <f t="shared" si="62"/>
        <v>0</v>
      </c>
      <c r="U224" s="45">
        <f t="shared" si="62"/>
        <v>0</v>
      </c>
      <c r="V224" s="45">
        <f t="shared" si="62"/>
        <v>0</v>
      </c>
      <c r="X224" s="40">
        <f t="shared" si="59"/>
        <v>0</v>
      </c>
    </row>
    <row r="225" spans="1:24">
      <c r="B225" s="4" t="str">
        <f t="shared" si="60"/>
        <v>Minor Replacement - Alter / Lower Services</v>
      </c>
      <c r="D225" s="31" t="s">
        <v>60</v>
      </c>
      <c r="P225" s="45">
        <f t="shared" ref="P225:V225" si="63">(-P76*(1+P$208))*P$219</f>
        <v>0</v>
      </c>
      <c r="Q225" s="45">
        <f t="shared" si="63"/>
        <v>0</v>
      </c>
      <c r="R225" s="45">
        <f t="shared" si="63"/>
        <v>0</v>
      </c>
      <c r="S225" s="45">
        <f t="shared" si="63"/>
        <v>0</v>
      </c>
      <c r="T225" s="45">
        <f t="shared" si="63"/>
        <v>0</v>
      </c>
      <c r="U225" s="45">
        <f t="shared" si="63"/>
        <v>0</v>
      </c>
      <c r="V225" s="45">
        <f t="shared" si="63"/>
        <v>0</v>
      </c>
      <c r="X225" s="40">
        <f t="shared" si="59"/>
        <v>0</v>
      </c>
    </row>
    <row r="226" spans="1:24">
      <c r="B226" s="4" t="str">
        <f t="shared" si="60"/>
        <v>[blank]</v>
      </c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60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60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60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60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60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60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60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60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60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60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93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64">-P219*P210</f>
        <v>0</v>
      </c>
      <c r="Q238" s="37">
        <f t="shared" si="64"/>
        <v>0</v>
      </c>
      <c r="R238" s="37">
        <f t="shared" si="64"/>
        <v>0</v>
      </c>
      <c r="S238" s="37">
        <f t="shared" si="64"/>
        <v>0</v>
      </c>
      <c r="T238" s="37">
        <f t="shared" si="64"/>
        <v>0</v>
      </c>
      <c r="U238" s="37">
        <f t="shared" si="64"/>
        <v>0</v>
      </c>
      <c r="V238" s="37">
        <f t="shared" si="64"/>
        <v>0</v>
      </c>
    </row>
    <row r="240" spans="1:24" s="1" customFormat="1">
      <c r="A240" s="2">
        <v>8</v>
      </c>
      <c r="B240" s="2" t="s">
        <v>75</v>
      </c>
    </row>
    <row r="242" spans="1:22">
      <c r="H242" s="190" t="s">
        <v>52</v>
      </c>
      <c r="I242" s="190"/>
      <c r="J242" s="190"/>
      <c r="K242" s="190"/>
      <c r="L242" s="190"/>
      <c r="M242" s="190" t="s">
        <v>53</v>
      </c>
      <c r="N242" s="190"/>
      <c r="O242" s="190"/>
      <c r="P242" s="190"/>
      <c r="Q242" s="190"/>
      <c r="R242" s="190" t="s">
        <v>54</v>
      </c>
      <c r="S242" s="190"/>
      <c r="T242" s="190"/>
      <c r="U242" s="190"/>
      <c r="V242" s="190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55</v>
      </c>
      <c r="H244" s="16" t="s">
        <v>12</v>
      </c>
      <c r="I244" s="16" t="s">
        <v>12</v>
      </c>
      <c r="J244" s="16" t="s">
        <v>12</v>
      </c>
      <c r="K244" s="16" t="s">
        <v>12</v>
      </c>
      <c r="L244" s="16" t="s">
        <v>12</v>
      </c>
      <c r="M244" s="16" t="s">
        <v>12</v>
      </c>
      <c r="N244" s="16" t="s">
        <v>12</v>
      </c>
      <c r="O244" s="16" t="s">
        <v>12</v>
      </c>
      <c r="P244" s="16" t="s">
        <v>13</v>
      </c>
      <c r="Q244" s="16" t="s">
        <v>13</v>
      </c>
      <c r="R244" s="16" t="s">
        <v>13</v>
      </c>
      <c r="S244" s="16" t="s">
        <v>13</v>
      </c>
      <c r="T244" s="16" t="s">
        <v>13</v>
      </c>
      <c r="U244" s="16" t="s">
        <v>13</v>
      </c>
      <c r="V244" s="16" t="s">
        <v>13</v>
      </c>
    </row>
    <row r="245" spans="1:22">
      <c r="B245" s="38" t="s">
        <v>96</v>
      </c>
      <c r="D245" s="31"/>
    </row>
    <row r="246" spans="1:22">
      <c r="B246" s="47" t="s">
        <v>97</v>
      </c>
      <c r="D246" s="31" t="s">
        <v>60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98</v>
      </c>
      <c r="D247" s="31" t="s">
        <v>60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99</v>
      </c>
      <c r="D248" s="31" t="s">
        <v>60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100</v>
      </c>
      <c r="D249" s="31" t="s">
        <v>60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101</v>
      </c>
      <c r="D250" s="31" t="s">
        <v>60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102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65">SUM(Q246:Q250)</f>
        <v>0</v>
      </c>
      <c r="R252" s="49">
        <f t="shared" si="65"/>
        <v>0</v>
      </c>
      <c r="S252" s="49">
        <f t="shared" si="65"/>
        <v>0</v>
      </c>
      <c r="T252" s="49">
        <f t="shared" si="65"/>
        <v>0</v>
      </c>
      <c r="U252" s="49">
        <f t="shared" si="65"/>
        <v>0</v>
      </c>
      <c r="V252" s="49">
        <f t="shared" si="65"/>
        <v>0</v>
      </c>
    </row>
    <row r="254" spans="1:22" s="1" customFormat="1">
      <c r="A254" s="2">
        <v>9</v>
      </c>
      <c r="B254" s="2" t="s">
        <v>103</v>
      </c>
    </row>
    <row r="256" spans="1:22">
      <c r="H256" s="190" t="s">
        <v>52</v>
      </c>
      <c r="I256" s="190"/>
      <c r="J256" s="190"/>
      <c r="K256" s="190"/>
      <c r="L256" s="190"/>
      <c r="M256" s="190" t="s">
        <v>53</v>
      </c>
      <c r="N256" s="190"/>
      <c r="O256" s="190"/>
      <c r="P256" s="190"/>
      <c r="Q256" s="190"/>
      <c r="R256" s="190" t="s">
        <v>54</v>
      </c>
      <c r="S256" s="190"/>
      <c r="T256" s="190"/>
      <c r="U256" s="190"/>
      <c r="V256" s="190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55</v>
      </c>
      <c r="H258" s="16" t="s">
        <v>12</v>
      </c>
      <c r="I258" s="16" t="s">
        <v>12</v>
      </c>
      <c r="J258" s="16" t="s">
        <v>12</v>
      </c>
      <c r="K258" s="16" t="s">
        <v>12</v>
      </c>
      <c r="L258" s="16" t="s">
        <v>12</v>
      </c>
      <c r="M258" s="16" t="s">
        <v>12</v>
      </c>
      <c r="N258" s="16" t="s">
        <v>12</v>
      </c>
      <c r="O258" s="16" t="s">
        <v>12</v>
      </c>
      <c r="P258" s="16" t="s">
        <v>13</v>
      </c>
      <c r="Q258" s="16" t="s">
        <v>13</v>
      </c>
      <c r="R258" s="16" t="s">
        <v>13</v>
      </c>
      <c r="S258" s="16" t="s">
        <v>13</v>
      </c>
      <c r="T258" s="16" t="s">
        <v>13</v>
      </c>
      <c r="U258" s="16" t="s">
        <v>13</v>
      </c>
      <c r="V258" s="16" t="s">
        <v>13</v>
      </c>
    </row>
    <row r="259" spans="1:22">
      <c r="B259" s="4" t="s">
        <v>104</v>
      </c>
      <c r="D259" s="31" t="s">
        <v>60</v>
      </c>
      <c r="H259" s="45">
        <f t="shared" ref="H259:V259" si="66">H210</f>
        <v>0</v>
      </c>
      <c r="I259" s="45">
        <f t="shared" si="66"/>
        <v>0</v>
      </c>
      <c r="J259" s="45">
        <f t="shared" si="66"/>
        <v>0</v>
      </c>
      <c r="K259" s="45">
        <f t="shared" si="66"/>
        <v>0</v>
      </c>
      <c r="L259" s="45">
        <f t="shared" si="66"/>
        <v>0</v>
      </c>
      <c r="M259" s="45">
        <f t="shared" si="66"/>
        <v>0</v>
      </c>
      <c r="N259" s="45">
        <f t="shared" si="66"/>
        <v>0</v>
      </c>
      <c r="O259" s="45">
        <f t="shared" si="66"/>
        <v>0</v>
      </c>
      <c r="P259" s="45">
        <f t="shared" si="66"/>
        <v>0</v>
      </c>
      <c r="Q259" s="45">
        <f t="shared" si="66"/>
        <v>536485.98374631559</v>
      </c>
      <c r="R259" s="45">
        <f t="shared" si="66"/>
        <v>783598.46859090752</v>
      </c>
      <c r="S259" s="45">
        <f t="shared" si="66"/>
        <v>792381.50291164953</v>
      </c>
      <c r="T259" s="45">
        <f t="shared" si="66"/>
        <v>800724.08529683226</v>
      </c>
      <c r="U259" s="45">
        <f t="shared" si="66"/>
        <v>813830.75673133449</v>
      </c>
      <c r="V259" s="45">
        <f t="shared" si="66"/>
        <v>826655.48487867881</v>
      </c>
    </row>
    <row r="260" spans="1:22">
      <c r="B260" s="4" t="s">
        <v>74</v>
      </c>
      <c r="D260" s="31" t="s">
        <v>60</v>
      </c>
      <c r="H260" s="45">
        <f>H238</f>
        <v>0</v>
      </c>
      <c r="I260" s="45">
        <f t="shared" ref="I260:V260" si="67">I238</f>
        <v>0</v>
      </c>
      <c r="J260" s="45">
        <f t="shared" si="67"/>
        <v>0</v>
      </c>
      <c r="K260" s="45">
        <f t="shared" si="67"/>
        <v>0</v>
      </c>
      <c r="L260" s="45">
        <f t="shared" si="67"/>
        <v>0</v>
      </c>
      <c r="M260" s="45">
        <f t="shared" si="67"/>
        <v>0</v>
      </c>
      <c r="N260" s="45">
        <f t="shared" si="67"/>
        <v>0</v>
      </c>
      <c r="O260" s="45">
        <f t="shared" si="67"/>
        <v>0</v>
      </c>
      <c r="P260" s="45">
        <f t="shared" si="67"/>
        <v>0</v>
      </c>
      <c r="Q260" s="45">
        <f t="shared" si="67"/>
        <v>0</v>
      </c>
      <c r="R260" s="45">
        <f t="shared" si="67"/>
        <v>0</v>
      </c>
      <c r="S260" s="45">
        <f t="shared" si="67"/>
        <v>0</v>
      </c>
      <c r="T260" s="45">
        <f t="shared" si="67"/>
        <v>0</v>
      </c>
      <c r="U260" s="45">
        <f t="shared" si="67"/>
        <v>0</v>
      </c>
      <c r="V260" s="45">
        <f t="shared" si="67"/>
        <v>0</v>
      </c>
    </row>
    <row r="261" spans="1:22">
      <c r="B261" s="4" t="s">
        <v>75</v>
      </c>
      <c r="D261" s="31" t="s">
        <v>60</v>
      </c>
      <c r="H261" s="45">
        <f>H252</f>
        <v>0</v>
      </c>
      <c r="I261" s="45">
        <f t="shared" ref="I261:V261" si="68">I252</f>
        <v>0</v>
      </c>
      <c r="J261" s="45">
        <f t="shared" si="68"/>
        <v>0</v>
      </c>
      <c r="K261" s="45">
        <f t="shared" si="68"/>
        <v>0</v>
      </c>
      <c r="L261" s="45">
        <f t="shared" si="68"/>
        <v>0</v>
      </c>
      <c r="M261" s="45">
        <f t="shared" si="68"/>
        <v>0</v>
      </c>
      <c r="N261" s="45">
        <f t="shared" si="68"/>
        <v>0</v>
      </c>
      <c r="O261" s="45">
        <f t="shared" si="68"/>
        <v>0</v>
      </c>
      <c r="P261" s="45">
        <f t="shared" si="68"/>
        <v>0</v>
      </c>
      <c r="Q261" s="45">
        <f t="shared" si="68"/>
        <v>0</v>
      </c>
      <c r="R261" s="45">
        <f t="shared" si="68"/>
        <v>0</v>
      </c>
      <c r="S261" s="45">
        <f t="shared" si="68"/>
        <v>0</v>
      </c>
      <c r="T261" s="45">
        <f t="shared" si="68"/>
        <v>0</v>
      </c>
      <c r="U261" s="45">
        <f t="shared" si="68"/>
        <v>0</v>
      </c>
      <c r="V261" s="45">
        <f t="shared" si="68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103</v>
      </c>
      <c r="D263" s="31" t="s">
        <v>60</v>
      </c>
      <c r="H263" s="37">
        <f>SUM(H259:H261)</f>
        <v>0</v>
      </c>
      <c r="I263" s="37">
        <f t="shared" ref="I263:V263" si="69">SUM(I259:I261)</f>
        <v>0</v>
      </c>
      <c r="J263" s="37">
        <f t="shared" si="69"/>
        <v>0</v>
      </c>
      <c r="K263" s="37">
        <f t="shared" si="69"/>
        <v>0</v>
      </c>
      <c r="L263" s="37">
        <f t="shared" si="69"/>
        <v>0</v>
      </c>
      <c r="M263" s="37">
        <f t="shared" si="69"/>
        <v>0</v>
      </c>
      <c r="N263" s="37">
        <f t="shared" si="69"/>
        <v>0</v>
      </c>
      <c r="O263" s="37">
        <f t="shared" si="69"/>
        <v>0</v>
      </c>
      <c r="P263" s="37">
        <f t="shared" si="69"/>
        <v>0</v>
      </c>
      <c r="Q263" s="37">
        <f t="shared" si="69"/>
        <v>536485.98374631559</v>
      </c>
      <c r="R263" s="37">
        <f t="shared" si="69"/>
        <v>783598.46859090752</v>
      </c>
      <c r="S263" s="37">
        <f t="shared" si="69"/>
        <v>792381.50291164953</v>
      </c>
      <c r="T263" s="37">
        <f t="shared" si="69"/>
        <v>800724.08529683226</v>
      </c>
      <c r="U263" s="37">
        <f t="shared" si="69"/>
        <v>813830.75673133449</v>
      </c>
      <c r="V263" s="37">
        <f t="shared" si="69"/>
        <v>826655.48487867881</v>
      </c>
    </row>
    <row r="264" spans="1:22">
      <c r="D264" s="31"/>
    </row>
    <row r="266" spans="1:22" s="66" customFormat="1">
      <c r="A266" s="65">
        <v>10</v>
      </c>
      <c r="B266" s="65" t="s">
        <v>121</v>
      </c>
    </row>
    <row r="268" spans="1:22">
      <c r="B268" s="69" t="s">
        <v>120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236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70">IFERROR(SUMPRODUCT($Z$73:$Z$87,Q$73:Q$87)/SUM(Q$73:Q$87)*Q$89,0)</f>
        <v>0</v>
      </c>
      <c r="R276" s="57">
        <f t="shared" si="70"/>
        <v>0</v>
      </c>
      <c r="S276" s="57">
        <f t="shared" si="70"/>
        <v>0</v>
      </c>
      <c r="T276" s="57">
        <f t="shared" si="70"/>
        <v>0</v>
      </c>
      <c r="U276" s="57">
        <f t="shared" si="70"/>
        <v>0</v>
      </c>
      <c r="V276" s="84">
        <f t="shared" si="70"/>
        <v>0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71">IFERROR(SUMPRODUCT($AA$73:$AA$87,Q$73:Q$87)/SUM(Q$73:Q$87)*Q$89,0)</f>
        <v>155368.89466055276</v>
      </c>
      <c r="R277" s="57">
        <f t="shared" si="71"/>
        <v>217895.11972102121</v>
      </c>
      <c r="S277" s="57">
        <f t="shared" si="71"/>
        <v>219499.6255028283</v>
      </c>
      <c r="T277" s="57">
        <f t="shared" si="71"/>
        <v>221571.08210158473</v>
      </c>
      <c r="U277" s="57">
        <f t="shared" si="71"/>
        <v>224304.95968546861</v>
      </c>
      <c r="V277" s="62">
        <f t="shared" si="71"/>
        <v>227277.22209442692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72">IFERROR(SUMPRODUCT($AB$73:$AB$87,Q$73:Q$87)/SUM(Q$73:Q$87)*Q$89,0)</f>
        <v>343761.33559094049</v>
      </c>
      <c r="R278" s="57">
        <f t="shared" si="72"/>
        <v>512957.14918301668</v>
      </c>
      <c r="S278" s="57">
        <f t="shared" si="72"/>
        <v>516734.39170564507</v>
      </c>
      <c r="T278" s="57">
        <f t="shared" si="72"/>
        <v>521610.90510766569</v>
      </c>
      <c r="U278" s="57">
        <f t="shared" si="72"/>
        <v>528046.85490516422</v>
      </c>
      <c r="V278" s="62">
        <f t="shared" si="72"/>
        <v>535043.9976308716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73">IFERROR(SUMPRODUCT($AC$73:$AC$87,Q$73:Q$87)/SUM(Q$73:Q$87)*Q$89,0)</f>
        <v>0</v>
      </c>
      <c r="R279" s="57">
        <f t="shared" si="73"/>
        <v>0</v>
      </c>
      <c r="S279" s="57">
        <f t="shared" si="73"/>
        <v>0</v>
      </c>
      <c r="T279" s="57">
        <f t="shared" si="73"/>
        <v>0</v>
      </c>
      <c r="U279" s="57">
        <f t="shared" si="73"/>
        <v>0</v>
      </c>
      <c r="V279" s="62">
        <f t="shared" si="73"/>
        <v>0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74">IFERROR(SUMPRODUCT($AD$73:$AD$87,Q$73:Q$87)/SUM(Q$73:Q$87)*Q$89,0)</f>
        <v>0</v>
      </c>
      <c r="R280" s="57">
        <f t="shared" si="74"/>
        <v>0</v>
      </c>
      <c r="S280" s="57">
        <f t="shared" si="74"/>
        <v>0</v>
      </c>
      <c r="T280" s="57">
        <f t="shared" si="74"/>
        <v>0</v>
      </c>
      <c r="U280" s="57">
        <f t="shared" si="74"/>
        <v>0</v>
      </c>
      <c r="V280" s="62">
        <f t="shared" si="74"/>
        <v>0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75">IFERROR(SUMPRODUCT($AE$73:$AE$87,Q$73:Q$87)/SUM(Q$73:Q$87)*Q$89,0)</f>
        <v>0</v>
      </c>
      <c r="R281" s="57">
        <f t="shared" si="75"/>
        <v>0</v>
      </c>
      <c r="S281" s="57">
        <f t="shared" si="75"/>
        <v>0</v>
      </c>
      <c r="T281" s="57">
        <f t="shared" si="75"/>
        <v>0</v>
      </c>
      <c r="U281" s="57">
        <f t="shared" si="75"/>
        <v>0</v>
      </c>
      <c r="V281" s="62">
        <f t="shared" si="75"/>
        <v>0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76">IFERROR(SUMPRODUCT($AF$73:$AF$87,Q$73:Q$87)/SUM(Q$73:Q$87)*Q$89,0)</f>
        <v>0</v>
      </c>
      <c r="R282" s="57">
        <f t="shared" si="76"/>
        <v>0</v>
      </c>
      <c r="S282" s="57">
        <f t="shared" si="76"/>
        <v>0</v>
      </c>
      <c r="T282" s="57">
        <f t="shared" si="76"/>
        <v>0</v>
      </c>
      <c r="U282" s="57">
        <f t="shared" si="76"/>
        <v>0</v>
      </c>
      <c r="V282" s="62">
        <f t="shared" si="76"/>
        <v>0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77">IFERROR(SUMPRODUCT($AG$73:$AG$87,Q$73:Q$87)/SUM(Q$73:Q$87)*Q$89,0)</f>
        <v>0</v>
      </c>
      <c r="R283" s="57">
        <f t="shared" si="77"/>
        <v>0</v>
      </c>
      <c r="S283" s="57">
        <f t="shared" si="77"/>
        <v>0</v>
      </c>
      <c r="T283" s="57">
        <f t="shared" si="77"/>
        <v>0</v>
      </c>
      <c r="U283" s="57">
        <f t="shared" si="77"/>
        <v>0</v>
      </c>
      <c r="V283" s="62">
        <f t="shared" si="77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78">IFERROR(SUMPRODUCT($AH$73:$AH$87,Q$73:Q$87)/SUM(Q$73:Q$87)*Q$89,0)</f>
        <v>0</v>
      </c>
      <c r="R284" s="57">
        <f t="shared" si="78"/>
        <v>0</v>
      </c>
      <c r="S284" s="57">
        <f t="shared" si="78"/>
        <v>0</v>
      </c>
      <c r="T284" s="57">
        <f t="shared" si="78"/>
        <v>0</v>
      </c>
      <c r="U284" s="57">
        <f t="shared" si="78"/>
        <v>0</v>
      </c>
      <c r="V284" s="62">
        <f t="shared" si="78"/>
        <v>0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79">IFERROR(SUMPRODUCT($AI$73:$AI$87,Q$73:Q$87)/SUM(Q$73:Q$87)*Q$89,0)</f>
        <v>0</v>
      </c>
      <c r="R285" s="57">
        <f t="shared" si="79"/>
        <v>0</v>
      </c>
      <c r="S285" s="57">
        <f t="shared" si="79"/>
        <v>0</v>
      </c>
      <c r="T285" s="57">
        <f t="shared" si="79"/>
        <v>0</v>
      </c>
      <c r="U285" s="57">
        <f t="shared" si="79"/>
        <v>0</v>
      </c>
      <c r="V285" s="62">
        <f t="shared" si="79"/>
        <v>0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80">IFERROR(SUMPRODUCT($AJ$73:$AJ$87,Q$73:Q$87)/SUM(Q$73:Q$87)*Q$89,0)</f>
        <v>0</v>
      </c>
      <c r="R286" s="57">
        <f t="shared" si="80"/>
        <v>0</v>
      </c>
      <c r="S286" s="57">
        <f t="shared" si="80"/>
        <v>0</v>
      </c>
      <c r="T286" s="57">
        <f t="shared" si="80"/>
        <v>0</v>
      </c>
      <c r="U286" s="57">
        <f t="shared" si="80"/>
        <v>0</v>
      </c>
      <c r="V286" s="62">
        <f t="shared" si="80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8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81">SUM(Q276:Q286)</f>
        <v>499130.23025149328</v>
      </c>
      <c r="R288" s="37">
        <f t="shared" si="81"/>
        <v>730852.26890403789</v>
      </c>
      <c r="S288" s="37">
        <f t="shared" si="81"/>
        <v>736234.01720847341</v>
      </c>
      <c r="T288" s="37">
        <f t="shared" si="81"/>
        <v>743181.98720925045</v>
      </c>
      <c r="U288" s="37">
        <f t="shared" si="81"/>
        <v>752351.8145906328</v>
      </c>
      <c r="V288" s="64">
        <f t="shared" si="81"/>
        <v>762321.21972529846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237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82">P276*(1+P$208)</f>
        <v>0</v>
      </c>
      <c r="Q297" s="57">
        <f t="shared" si="82"/>
        <v>0</v>
      </c>
      <c r="R297" s="57">
        <f t="shared" si="82"/>
        <v>0</v>
      </c>
      <c r="S297" s="57">
        <f t="shared" si="82"/>
        <v>0</v>
      </c>
      <c r="T297" s="57">
        <f t="shared" si="82"/>
        <v>0</v>
      </c>
      <c r="U297" s="57">
        <f t="shared" si="82"/>
        <v>0</v>
      </c>
      <c r="V297" s="62">
        <f t="shared" si="82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82"/>
        <v>0</v>
      </c>
      <c r="Q298" s="57">
        <f t="shared" si="82"/>
        <v>166996.96641004033</v>
      </c>
      <c r="R298" s="57">
        <f t="shared" si="82"/>
        <v>233620.78684227695</v>
      </c>
      <c r="S298" s="57">
        <f t="shared" si="82"/>
        <v>236239.34656529967</v>
      </c>
      <c r="T298" s="57">
        <f t="shared" si="82"/>
        <v>238726.59065681457</v>
      </c>
      <c r="U298" s="57">
        <f t="shared" si="82"/>
        <v>242634.19259345159</v>
      </c>
      <c r="V298" s="62">
        <f t="shared" si="82"/>
        <v>246457.73641202063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82"/>
        <v>0</v>
      </c>
      <c r="Q299" s="57">
        <f t="shared" si="82"/>
        <v>369489.0173362752</v>
      </c>
      <c r="R299" s="57">
        <f t="shared" si="82"/>
        <v>549977.68174863071</v>
      </c>
      <c r="S299" s="57">
        <f t="shared" si="82"/>
        <v>556142.15634634998</v>
      </c>
      <c r="T299" s="57">
        <f t="shared" si="82"/>
        <v>561997.49464001763</v>
      </c>
      <c r="U299" s="57">
        <f t="shared" si="82"/>
        <v>571196.5641378829</v>
      </c>
      <c r="V299" s="62">
        <f t="shared" si="82"/>
        <v>580197.74846665829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82"/>
        <v>0</v>
      </c>
      <c r="Q300" s="57">
        <f t="shared" si="82"/>
        <v>0</v>
      </c>
      <c r="R300" s="57">
        <f t="shared" si="82"/>
        <v>0</v>
      </c>
      <c r="S300" s="57">
        <f t="shared" si="82"/>
        <v>0</v>
      </c>
      <c r="T300" s="57">
        <f t="shared" si="82"/>
        <v>0</v>
      </c>
      <c r="U300" s="57">
        <f t="shared" si="82"/>
        <v>0</v>
      </c>
      <c r="V300" s="62">
        <f t="shared" si="82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82"/>
        <v>0</v>
      </c>
      <c r="Q301" s="57">
        <f t="shared" si="82"/>
        <v>0</v>
      </c>
      <c r="R301" s="57">
        <f t="shared" si="82"/>
        <v>0</v>
      </c>
      <c r="S301" s="57">
        <f t="shared" si="82"/>
        <v>0</v>
      </c>
      <c r="T301" s="57">
        <f t="shared" si="82"/>
        <v>0</v>
      </c>
      <c r="U301" s="57">
        <f t="shared" si="82"/>
        <v>0</v>
      </c>
      <c r="V301" s="62">
        <f t="shared" si="82"/>
        <v>0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82"/>
        <v>0</v>
      </c>
      <c r="Q302" s="57">
        <f t="shared" si="82"/>
        <v>0</v>
      </c>
      <c r="R302" s="57">
        <f t="shared" si="82"/>
        <v>0</v>
      </c>
      <c r="S302" s="57">
        <f t="shared" si="82"/>
        <v>0</v>
      </c>
      <c r="T302" s="57">
        <f t="shared" si="82"/>
        <v>0</v>
      </c>
      <c r="U302" s="57">
        <f t="shared" si="82"/>
        <v>0</v>
      </c>
      <c r="V302" s="62">
        <f t="shared" si="82"/>
        <v>0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82"/>
        <v>0</v>
      </c>
      <c r="Q303" s="57">
        <f t="shared" si="82"/>
        <v>0</v>
      </c>
      <c r="R303" s="57">
        <f t="shared" si="82"/>
        <v>0</v>
      </c>
      <c r="S303" s="57">
        <f t="shared" si="82"/>
        <v>0</v>
      </c>
      <c r="T303" s="57">
        <f t="shared" si="82"/>
        <v>0</v>
      </c>
      <c r="U303" s="57">
        <f t="shared" si="82"/>
        <v>0</v>
      </c>
      <c r="V303" s="62">
        <f t="shared" si="82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82"/>
        <v>0</v>
      </c>
      <c r="Q304" s="57">
        <f t="shared" si="82"/>
        <v>0</v>
      </c>
      <c r="R304" s="57">
        <f t="shared" si="82"/>
        <v>0</v>
      </c>
      <c r="S304" s="57">
        <f t="shared" si="82"/>
        <v>0</v>
      </c>
      <c r="T304" s="57">
        <f t="shared" si="82"/>
        <v>0</v>
      </c>
      <c r="U304" s="57">
        <f t="shared" si="82"/>
        <v>0</v>
      </c>
      <c r="V304" s="62">
        <f t="shared" si="82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82"/>
        <v>0</v>
      </c>
      <c r="Q305" s="57">
        <f t="shared" si="82"/>
        <v>0</v>
      </c>
      <c r="R305" s="57">
        <f t="shared" si="82"/>
        <v>0</v>
      </c>
      <c r="S305" s="57">
        <f t="shared" si="82"/>
        <v>0</v>
      </c>
      <c r="T305" s="57">
        <f t="shared" si="82"/>
        <v>0</v>
      </c>
      <c r="U305" s="57">
        <f t="shared" si="82"/>
        <v>0</v>
      </c>
      <c r="V305" s="62">
        <f t="shared" si="82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82"/>
        <v>0</v>
      </c>
      <c r="Q306" s="57">
        <f t="shared" si="82"/>
        <v>0</v>
      </c>
      <c r="R306" s="57">
        <f t="shared" si="82"/>
        <v>0</v>
      </c>
      <c r="S306" s="57">
        <f t="shared" si="82"/>
        <v>0</v>
      </c>
      <c r="T306" s="57">
        <f t="shared" si="82"/>
        <v>0</v>
      </c>
      <c r="U306" s="57">
        <f t="shared" si="82"/>
        <v>0</v>
      </c>
      <c r="V306" s="62">
        <f t="shared" si="82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82"/>
        <v>0</v>
      </c>
      <c r="Q307" s="57">
        <f t="shared" si="82"/>
        <v>0</v>
      </c>
      <c r="R307" s="57">
        <f t="shared" si="82"/>
        <v>0</v>
      </c>
      <c r="S307" s="57">
        <f t="shared" si="82"/>
        <v>0</v>
      </c>
      <c r="T307" s="57">
        <f t="shared" si="82"/>
        <v>0</v>
      </c>
      <c r="U307" s="57">
        <f t="shared" si="82"/>
        <v>0</v>
      </c>
      <c r="V307" s="62">
        <f t="shared" si="82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83">SUM(Q297:Q307)</f>
        <v>536485.98374631559</v>
      </c>
      <c r="R309" s="37">
        <f t="shared" si="83"/>
        <v>783598.46859090764</v>
      </c>
      <c r="S309" s="37">
        <f t="shared" si="83"/>
        <v>792381.50291164964</v>
      </c>
      <c r="T309" s="37">
        <f t="shared" si="83"/>
        <v>800724.08529683226</v>
      </c>
      <c r="U309" s="37">
        <f t="shared" si="83"/>
        <v>813830.75673133449</v>
      </c>
      <c r="V309" s="64">
        <f t="shared" si="83"/>
        <v>826655.48487867892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238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84">P297*(1-P$219)</f>
        <v>0</v>
      </c>
      <c r="Q318" s="57">
        <f t="shared" si="84"/>
        <v>0</v>
      </c>
      <c r="R318" s="57">
        <f t="shared" si="84"/>
        <v>0</v>
      </c>
      <c r="S318" s="57">
        <f t="shared" si="84"/>
        <v>0</v>
      </c>
      <c r="T318" s="57">
        <f t="shared" si="84"/>
        <v>0</v>
      </c>
      <c r="U318" s="57">
        <f t="shared" si="84"/>
        <v>0</v>
      </c>
      <c r="V318" s="62">
        <f t="shared" si="84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84"/>
        <v>0</v>
      </c>
      <c r="Q319" s="57">
        <f t="shared" si="84"/>
        <v>166996.96641004033</v>
      </c>
      <c r="R319" s="57">
        <f t="shared" si="84"/>
        <v>233620.78684227695</v>
      </c>
      <c r="S319" s="57">
        <f t="shared" si="84"/>
        <v>236239.34656529967</v>
      </c>
      <c r="T319" s="57">
        <f t="shared" si="84"/>
        <v>238726.59065681457</v>
      </c>
      <c r="U319" s="57">
        <f t="shared" si="84"/>
        <v>242634.19259345159</v>
      </c>
      <c r="V319" s="62">
        <f t="shared" si="84"/>
        <v>246457.73641202063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84"/>
        <v>0</v>
      </c>
      <c r="Q320" s="57">
        <f t="shared" si="84"/>
        <v>369489.0173362752</v>
      </c>
      <c r="R320" s="57">
        <f t="shared" si="84"/>
        <v>549977.68174863071</v>
      </c>
      <c r="S320" s="57">
        <f t="shared" si="84"/>
        <v>556142.15634634998</v>
      </c>
      <c r="T320" s="57">
        <f t="shared" si="84"/>
        <v>561997.49464001763</v>
      </c>
      <c r="U320" s="57">
        <f t="shared" si="84"/>
        <v>571196.5641378829</v>
      </c>
      <c r="V320" s="62">
        <f t="shared" si="84"/>
        <v>580197.74846665829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84"/>
        <v>0</v>
      </c>
      <c r="Q321" s="57">
        <f t="shared" si="84"/>
        <v>0</v>
      </c>
      <c r="R321" s="57">
        <f t="shared" si="84"/>
        <v>0</v>
      </c>
      <c r="S321" s="57">
        <f t="shared" si="84"/>
        <v>0</v>
      </c>
      <c r="T321" s="57">
        <f t="shared" si="84"/>
        <v>0</v>
      </c>
      <c r="U321" s="57">
        <f t="shared" si="84"/>
        <v>0</v>
      </c>
      <c r="V321" s="62">
        <f t="shared" si="84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84"/>
        <v>0</v>
      </c>
      <c r="Q322" s="57">
        <f t="shared" si="84"/>
        <v>0</v>
      </c>
      <c r="R322" s="57">
        <f t="shared" si="84"/>
        <v>0</v>
      </c>
      <c r="S322" s="57">
        <f t="shared" si="84"/>
        <v>0</v>
      </c>
      <c r="T322" s="57">
        <f t="shared" si="84"/>
        <v>0</v>
      </c>
      <c r="U322" s="57">
        <f t="shared" si="84"/>
        <v>0</v>
      </c>
      <c r="V322" s="62">
        <f t="shared" si="84"/>
        <v>0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84"/>
        <v>0</v>
      </c>
      <c r="Q323" s="57">
        <f t="shared" si="84"/>
        <v>0</v>
      </c>
      <c r="R323" s="57">
        <f t="shared" si="84"/>
        <v>0</v>
      </c>
      <c r="S323" s="57">
        <f t="shared" si="84"/>
        <v>0</v>
      </c>
      <c r="T323" s="57">
        <f t="shared" si="84"/>
        <v>0</v>
      </c>
      <c r="U323" s="57">
        <f t="shared" si="84"/>
        <v>0</v>
      </c>
      <c r="V323" s="62">
        <f t="shared" si="84"/>
        <v>0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84"/>
        <v>0</v>
      </c>
      <c r="Q324" s="57">
        <f t="shared" si="84"/>
        <v>0</v>
      </c>
      <c r="R324" s="57">
        <f t="shared" si="84"/>
        <v>0</v>
      </c>
      <c r="S324" s="57">
        <f t="shared" si="84"/>
        <v>0</v>
      </c>
      <c r="T324" s="57">
        <f t="shared" si="84"/>
        <v>0</v>
      </c>
      <c r="U324" s="57">
        <f t="shared" si="84"/>
        <v>0</v>
      </c>
      <c r="V324" s="62">
        <f t="shared" si="84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84"/>
        <v>0</v>
      </c>
      <c r="Q325" s="57">
        <f t="shared" si="84"/>
        <v>0</v>
      </c>
      <c r="R325" s="57">
        <f t="shared" si="84"/>
        <v>0</v>
      </c>
      <c r="S325" s="57">
        <f t="shared" si="84"/>
        <v>0</v>
      </c>
      <c r="T325" s="57">
        <f t="shared" si="84"/>
        <v>0</v>
      </c>
      <c r="U325" s="57">
        <f t="shared" si="84"/>
        <v>0</v>
      </c>
      <c r="V325" s="62">
        <f t="shared" si="84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84"/>
        <v>0</v>
      </c>
      <c r="Q326" s="57">
        <f t="shared" si="84"/>
        <v>0</v>
      </c>
      <c r="R326" s="57">
        <f t="shared" si="84"/>
        <v>0</v>
      </c>
      <c r="S326" s="57">
        <f t="shared" si="84"/>
        <v>0</v>
      </c>
      <c r="T326" s="57">
        <f t="shared" si="84"/>
        <v>0</v>
      </c>
      <c r="U326" s="57">
        <f t="shared" si="84"/>
        <v>0</v>
      </c>
      <c r="V326" s="62">
        <f t="shared" si="84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84"/>
        <v>0</v>
      </c>
      <c r="Q327" s="57">
        <f t="shared" si="84"/>
        <v>0</v>
      </c>
      <c r="R327" s="57">
        <f t="shared" si="84"/>
        <v>0</v>
      </c>
      <c r="S327" s="57">
        <f t="shared" si="84"/>
        <v>0</v>
      </c>
      <c r="T327" s="57">
        <f t="shared" si="84"/>
        <v>0</v>
      </c>
      <c r="U327" s="57">
        <f t="shared" si="84"/>
        <v>0</v>
      </c>
      <c r="V327" s="62">
        <f t="shared" si="84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84"/>
        <v>0</v>
      </c>
      <c r="Q328" s="57">
        <f t="shared" si="84"/>
        <v>0</v>
      </c>
      <c r="R328" s="57">
        <f t="shared" si="84"/>
        <v>0</v>
      </c>
      <c r="S328" s="57">
        <f t="shared" si="84"/>
        <v>0</v>
      </c>
      <c r="T328" s="57">
        <f t="shared" si="84"/>
        <v>0</v>
      </c>
      <c r="U328" s="57">
        <f t="shared" si="84"/>
        <v>0</v>
      </c>
      <c r="V328" s="62">
        <f t="shared" si="84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85">SUM(Q318:Q328)</f>
        <v>536485.98374631559</v>
      </c>
      <c r="R330" s="37">
        <f t="shared" si="85"/>
        <v>783598.46859090764</v>
      </c>
      <c r="S330" s="37">
        <f t="shared" si="85"/>
        <v>792381.50291164964</v>
      </c>
      <c r="T330" s="37">
        <f t="shared" si="85"/>
        <v>800724.08529683226</v>
      </c>
      <c r="U330" s="37">
        <f t="shared" si="85"/>
        <v>813830.75673133449</v>
      </c>
      <c r="V330" s="64">
        <f t="shared" si="85"/>
        <v>826655.48487867892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239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86">Q297*Q$219</f>
        <v>0</v>
      </c>
      <c r="R339" s="57">
        <f t="shared" si="86"/>
        <v>0</v>
      </c>
      <c r="S339" s="57">
        <f t="shared" si="86"/>
        <v>0</v>
      </c>
      <c r="T339" s="57">
        <f t="shared" si="86"/>
        <v>0</v>
      </c>
      <c r="U339" s="57">
        <f t="shared" si="86"/>
        <v>0</v>
      </c>
      <c r="V339" s="62">
        <f t="shared" si="86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87">P298*P$219</f>
        <v>0</v>
      </c>
      <c r="Q340" s="57">
        <f t="shared" si="86"/>
        <v>0</v>
      </c>
      <c r="R340" s="57">
        <f t="shared" si="86"/>
        <v>0</v>
      </c>
      <c r="S340" s="57">
        <f t="shared" si="86"/>
        <v>0</v>
      </c>
      <c r="T340" s="57">
        <f t="shared" si="86"/>
        <v>0</v>
      </c>
      <c r="U340" s="57">
        <f t="shared" si="86"/>
        <v>0</v>
      </c>
      <c r="V340" s="62">
        <f t="shared" si="86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87"/>
        <v>0</v>
      </c>
      <c r="Q341" s="57">
        <f t="shared" si="86"/>
        <v>0</v>
      </c>
      <c r="R341" s="57">
        <f t="shared" si="86"/>
        <v>0</v>
      </c>
      <c r="S341" s="57">
        <f t="shared" si="86"/>
        <v>0</v>
      </c>
      <c r="T341" s="57">
        <f t="shared" si="86"/>
        <v>0</v>
      </c>
      <c r="U341" s="57">
        <f t="shared" si="86"/>
        <v>0</v>
      </c>
      <c r="V341" s="62">
        <f t="shared" si="86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87"/>
        <v>0</v>
      </c>
      <c r="Q342" s="57">
        <f t="shared" si="86"/>
        <v>0</v>
      </c>
      <c r="R342" s="57">
        <f t="shared" si="86"/>
        <v>0</v>
      </c>
      <c r="S342" s="57">
        <f t="shared" si="86"/>
        <v>0</v>
      </c>
      <c r="T342" s="57">
        <f t="shared" si="86"/>
        <v>0</v>
      </c>
      <c r="U342" s="57">
        <f t="shared" si="86"/>
        <v>0</v>
      </c>
      <c r="V342" s="62">
        <f t="shared" si="86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87"/>
        <v>0</v>
      </c>
      <c r="Q343" s="57">
        <f t="shared" si="86"/>
        <v>0</v>
      </c>
      <c r="R343" s="57">
        <f t="shared" si="86"/>
        <v>0</v>
      </c>
      <c r="S343" s="57">
        <f t="shared" si="86"/>
        <v>0</v>
      </c>
      <c r="T343" s="57">
        <f t="shared" si="86"/>
        <v>0</v>
      </c>
      <c r="U343" s="57">
        <f t="shared" si="86"/>
        <v>0</v>
      </c>
      <c r="V343" s="62">
        <f t="shared" si="86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87"/>
        <v>0</v>
      </c>
      <c r="Q344" s="57">
        <f t="shared" si="86"/>
        <v>0</v>
      </c>
      <c r="R344" s="57">
        <f t="shared" si="86"/>
        <v>0</v>
      </c>
      <c r="S344" s="57">
        <f t="shared" si="86"/>
        <v>0</v>
      </c>
      <c r="T344" s="57">
        <f t="shared" si="86"/>
        <v>0</v>
      </c>
      <c r="U344" s="57">
        <f t="shared" si="86"/>
        <v>0</v>
      </c>
      <c r="V344" s="62">
        <f t="shared" si="86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87"/>
        <v>0</v>
      </c>
      <c r="Q345" s="57">
        <f t="shared" si="86"/>
        <v>0</v>
      </c>
      <c r="R345" s="57">
        <f t="shared" si="86"/>
        <v>0</v>
      </c>
      <c r="S345" s="57">
        <f t="shared" si="86"/>
        <v>0</v>
      </c>
      <c r="T345" s="57">
        <f t="shared" si="86"/>
        <v>0</v>
      </c>
      <c r="U345" s="57">
        <f t="shared" si="86"/>
        <v>0</v>
      </c>
      <c r="V345" s="62">
        <f t="shared" si="86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87"/>
        <v>0</v>
      </c>
      <c r="Q346" s="57">
        <f t="shared" si="86"/>
        <v>0</v>
      </c>
      <c r="R346" s="57">
        <f t="shared" si="86"/>
        <v>0</v>
      </c>
      <c r="S346" s="57">
        <f t="shared" si="86"/>
        <v>0</v>
      </c>
      <c r="T346" s="57">
        <f t="shared" si="86"/>
        <v>0</v>
      </c>
      <c r="U346" s="57">
        <f t="shared" si="86"/>
        <v>0</v>
      </c>
      <c r="V346" s="62">
        <f t="shared" si="86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87"/>
        <v>0</v>
      </c>
      <c r="Q347" s="57">
        <f t="shared" si="86"/>
        <v>0</v>
      </c>
      <c r="R347" s="57">
        <f t="shared" si="86"/>
        <v>0</v>
      </c>
      <c r="S347" s="57">
        <f t="shared" si="86"/>
        <v>0</v>
      </c>
      <c r="T347" s="57">
        <f t="shared" si="86"/>
        <v>0</v>
      </c>
      <c r="U347" s="57">
        <f t="shared" si="86"/>
        <v>0</v>
      </c>
      <c r="V347" s="62">
        <f t="shared" si="86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87"/>
        <v>0</v>
      </c>
      <c r="Q348" s="57">
        <f t="shared" si="86"/>
        <v>0</v>
      </c>
      <c r="R348" s="57">
        <f t="shared" si="86"/>
        <v>0</v>
      </c>
      <c r="S348" s="57">
        <f t="shared" si="86"/>
        <v>0</v>
      </c>
      <c r="T348" s="57">
        <f t="shared" si="86"/>
        <v>0</v>
      </c>
      <c r="U348" s="57">
        <f t="shared" si="86"/>
        <v>0</v>
      </c>
      <c r="V348" s="62">
        <f t="shared" si="86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87"/>
        <v>0</v>
      </c>
      <c r="Q349" s="57">
        <f t="shared" si="86"/>
        <v>0</v>
      </c>
      <c r="R349" s="57">
        <f t="shared" si="86"/>
        <v>0</v>
      </c>
      <c r="S349" s="57">
        <f t="shared" si="86"/>
        <v>0</v>
      </c>
      <c r="T349" s="57">
        <f t="shared" si="86"/>
        <v>0</v>
      </c>
      <c r="U349" s="57">
        <f t="shared" si="86"/>
        <v>0</v>
      </c>
      <c r="V349" s="62">
        <f t="shared" si="86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88">SUM(Q339:Q349)</f>
        <v>0</v>
      </c>
      <c r="R351" s="37">
        <f t="shared" si="88"/>
        <v>0</v>
      </c>
      <c r="S351" s="37">
        <f t="shared" si="88"/>
        <v>0</v>
      </c>
      <c r="T351" s="37">
        <f t="shared" si="88"/>
        <v>0</v>
      </c>
      <c r="U351" s="37">
        <f t="shared" si="88"/>
        <v>0</v>
      </c>
      <c r="V351" s="64">
        <f t="shared" si="88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237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9">IFERROR(SUMPRODUCT($AM$73:$AM$87,Q$73:Q$87)/SUM(Q$73:Q$87)*Q$89,0)</f>
        <v>499130.23025149328</v>
      </c>
      <c r="R362" s="57">
        <f t="shared" si="89"/>
        <v>730852.26890403777</v>
      </c>
      <c r="S362" s="57">
        <f t="shared" si="89"/>
        <v>736234.01720847329</v>
      </c>
      <c r="T362" s="57">
        <f t="shared" si="89"/>
        <v>743181.98720925045</v>
      </c>
      <c r="U362" s="57">
        <f t="shared" si="89"/>
        <v>752351.8145906328</v>
      </c>
      <c r="V362" s="84">
        <f t="shared" si="89"/>
        <v>762321.21972529846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90">IFERROR(SUMPRODUCT($AN$73:$AN$87,Q$73:Q$87)/SUM(Q$73:Q$87)*Q$89,0)</f>
        <v>0</v>
      </c>
      <c r="R363" s="57">
        <f t="shared" si="90"/>
        <v>0</v>
      </c>
      <c r="S363" s="57">
        <f t="shared" si="90"/>
        <v>0</v>
      </c>
      <c r="T363" s="57">
        <f t="shared" si="90"/>
        <v>0</v>
      </c>
      <c r="U363" s="57">
        <f t="shared" si="90"/>
        <v>0</v>
      </c>
      <c r="V363" s="62">
        <f t="shared" si="90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91">IFERROR(SUMPRODUCT($AO$73:$AO$87,Q$73:Q$87)/SUM(Q$73:Q$87)*Q$89,0)</f>
        <v>0</v>
      </c>
      <c r="R364" s="57">
        <f t="shared" si="91"/>
        <v>0</v>
      </c>
      <c r="S364" s="57">
        <f t="shared" si="91"/>
        <v>0</v>
      </c>
      <c r="T364" s="57">
        <f t="shared" si="91"/>
        <v>0</v>
      </c>
      <c r="U364" s="57">
        <f t="shared" si="91"/>
        <v>0</v>
      </c>
      <c r="V364" s="62">
        <f t="shared" si="91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92">IFERROR(SUMPRODUCT($AP$73:$AP$87,Q$73:Q$87)/SUM(Q$73:Q$87)*Q$89,0)</f>
        <v>0</v>
      </c>
      <c r="R365" s="57">
        <f t="shared" si="92"/>
        <v>0</v>
      </c>
      <c r="S365" s="57">
        <f t="shared" si="92"/>
        <v>0</v>
      </c>
      <c r="T365" s="57">
        <f t="shared" si="92"/>
        <v>0</v>
      </c>
      <c r="U365" s="57">
        <f t="shared" si="92"/>
        <v>0</v>
      </c>
      <c r="V365" s="62">
        <f t="shared" si="92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93">IFERROR(SUMPRODUCT($AQ$73:$AQ$87,Q$73:Q$87)/SUM(Q$73:Q$87)*Q$89,0)</f>
        <v>0</v>
      </c>
      <c r="R366" s="57">
        <f t="shared" si="93"/>
        <v>0</v>
      </c>
      <c r="S366" s="57">
        <f t="shared" si="93"/>
        <v>0</v>
      </c>
      <c r="T366" s="57">
        <f t="shared" si="93"/>
        <v>0</v>
      </c>
      <c r="U366" s="57">
        <f t="shared" si="93"/>
        <v>0</v>
      </c>
      <c r="V366" s="62">
        <f t="shared" si="93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94">IFERROR(SUMPRODUCT($AR$73:$AR$87,Q$73:Q$87)/SUM(Q$73:Q$87)*Q$89,0)</f>
        <v>0</v>
      </c>
      <c r="R367" s="57">
        <f t="shared" si="94"/>
        <v>0</v>
      </c>
      <c r="S367" s="57">
        <f t="shared" si="94"/>
        <v>0</v>
      </c>
      <c r="T367" s="57">
        <f t="shared" si="94"/>
        <v>0</v>
      </c>
      <c r="U367" s="57">
        <f t="shared" si="94"/>
        <v>0</v>
      </c>
      <c r="V367" s="62">
        <f t="shared" si="94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95">IFERROR(SUMPRODUCT($AS$73:$AS$87,Q$73:Q$87)/SUM(Q$73:Q$87)*Q$89,0)</f>
        <v>0</v>
      </c>
      <c r="R368" s="57">
        <f t="shared" si="95"/>
        <v>0</v>
      </c>
      <c r="S368" s="57">
        <f t="shared" si="95"/>
        <v>0</v>
      </c>
      <c r="T368" s="57">
        <f t="shared" si="95"/>
        <v>0</v>
      </c>
      <c r="U368" s="57">
        <f t="shared" si="95"/>
        <v>0</v>
      </c>
      <c r="V368" s="62">
        <f t="shared" si="95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96">IFERROR(SUMPRODUCT($AT$73:$AT$87,Q$73:Q$87)/SUM(Q$73:Q$87)*Q$89,0)</f>
        <v>0</v>
      </c>
      <c r="R369" s="57">
        <f t="shared" si="96"/>
        <v>0</v>
      </c>
      <c r="S369" s="57">
        <f t="shared" si="96"/>
        <v>0</v>
      </c>
      <c r="T369" s="57">
        <f t="shared" si="96"/>
        <v>0</v>
      </c>
      <c r="U369" s="57">
        <f t="shared" si="96"/>
        <v>0</v>
      </c>
      <c r="V369" s="62">
        <f t="shared" si="96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97">IFERROR(SUMPRODUCT($AU$73:$AU$87,Q$73:Q$87)/SUM(Q$73:Q$87)*Q$89,0)</f>
        <v>0</v>
      </c>
      <c r="R370" s="57">
        <f t="shared" si="97"/>
        <v>0</v>
      </c>
      <c r="S370" s="57">
        <f t="shared" si="97"/>
        <v>0</v>
      </c>
      <c r="T370" s="57">
        <f t="shared" si="97"/>
        <v>0</v>
      </c>
      <c r="U370" s="57">
        <f t="shared" si="97"/>
        <v>0</v>
      </c>
      <c r="V370" s="62">
        <f t="shared" si="97"/>
        <v>0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98">IFERROR(SUMPRODUCT($AV$73:$AV$87,Q$73:Q$87)/SUM(Q$73:Q$87)*Q$89,0)</f>
        <v>0</v>
      </c>
      <c r="R371" s="57">
        <f t="shared" si="98"/>
        <v>0</v>
      </c>
      <c r="S371" s="57">
        <f t="shared" si="98"/>
        <v>0</v>
      </c>
      <c r="T371" s="57">
        <f t="shared" si="98"/>
        <v>0</v>
      </c>
      <c r="U371" s="57">
        <f t="shared" si="98"/>
        <v>0</v>
      </c>
      <c r="V371" s="62">
        <f t="shared" si="98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9">IFERROR(SUMPRODUCT($AW$73:$AW$87,Q$73:Q$87)/SUM(Q$73:Q$87)*Q$89,0)</f>
        <v>0</v>
      </c>
      <c r="R372" s="57">
        <f t="shared" si="99"/>
        <v>0</v>
      </c>
      <c r="S372" s="57">
        <f t="shared" si="99"/>
        <v>0</v>
      </c>
      <c r="T372" s="57">
        <f t="shared" si="99"/>
        <v>0</v>
      </c>
      <c r="U372" s="57">
        <f t="shared" si="99"/>
        <v>0</v>
      </c>
      <c r="V372" s="62">
        <f t="shared" si="99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100">Q238</f>
        <v>0</v>
      </c>
      <c r="R373" s="57">
        <f t="shared" si="100"/>
        <v>0</v>
      </c>
      <c r="S373" s="57">
        <f t="shared" si="100"/>
        <v>0</v>
      </c>
      <c r="T373" s="57">
        <f t="shared" si="100"/>
        <v>0</v>
      </c>
      <c r="U373" s="57">
        <f t="shared" si="100"/>
        <v>0</v>
      </c>
      <c r="V373" s="62">
        <f t="shared" si="100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101">Q252</f>
        <v>0</v>
      </c>
      <c r="R374" s="57">
        <f t="shared" si="101"/>
        <v>0</v>
      </c>
      <c r="S374" s="57">
        <f t="shared" si="101"/>
        <v>0</v>
      </c>
      <c r="T374" s="57">
        <f t="shared" si="101"/>
        <v>0</v>
      </c>
      <c r="U374" s="57">
        <f t="shared" si="101"/>
        <v>0</v>
      </c>
      <c r="V374" s="62">
        <f t="shared" si="101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102">SUM(Q362:Q372)*Q208</f>
        <v>37355.753494822231</v>
      </c>
      <c r="R375" s="57">
        <f t="shared" si="102"/>
        <v>52746.199686869848</v>
      </c>
      <c r="S375" s="57">
        <f t="shared" si="102"/>
        <v>56147.485703176288</v>
      </c>
      <c r="T375" s="57">
        <f t="shared" si="102"/>
        <v>57542.098087581784</v>
      </c>
      <c r="U375" s="57">
        <f t="shared" si="102"/>
        <v>61478.942140701627</v>
      </c>
      <c r="V375" s="57">
        <f t="shared" si="102"/>
        <v>64334.265153380387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03">SUM(P362:P375)</f>
        <v>0</v>
      </c>
      <c r="Q377" s="37">
        <f t="shared" si="103"/>
        <v>536485.98374631547</v>
      </c>
      <c r="R377" s="37">
        <f t="shared" si="103"/>
        <v>783598.46859090764</v>
      </c>
      <c r="S377" s="37">
        <f t="shared" si="103"/>
        <v>792381.50291164953</v>
      </c>
      <c r="T377" s="37">
        <f t="shared" si="103"/>
        <v>800724.08529683226</v>
      </c>
      <c r="U377" s="37">
        <f t="shared" si="103"/>
        <v>813830.75673133438</v>
      </c>
      <c r="V377" s="64">
        <f t="shared" si="103"/>
        <v>826655.48487867881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237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104">IFERROR(SUMPRODUCT($BB$73:$BB$87,Q$73:Q$87)/SUM(Q$73:Q$87)*Q$89*(1+Q$208),0)</f>
        <v>536485.98374631559</v>
      </c>
      <c r="R388" s="57">
        <f t="shared" si="104"/>
        <v>783598.46859090752</v>
      </c>
      <c r="S388" s="57">
        <f t="shared" si="104"/>
        <v>792381.50291164953</v>
      </c>
      <c r="T388" s="57">
        <f t="shared" si="104"/>
        <v>800724.08529683226</v>
      </c>
      <c r="U388" s="57">
        <f t="shared" si="104"/>
        <v>813830.75673133449</v>
      </c>
      <c r="V388" s="62">
        <f t="shared" si="104"/>
        <v>826655.48487867881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105">IFERROR(SUMPRODUCT($BC$73:$BC$87,Q$73:Q$87)/SUM(Q$73:Q$87)*Q$89*(1+Q$208),0)</f>
        <v>0</v>
      </c>
      <c r="R389" s="57">
        <f t="shared" si="105"/>
        <v>0</v>
      </c>
      <c r="S389" s="57">
        <f t="shared" si="105"/>
        <v>0</v>
      </c>
      <c r="T389" s="57">
        <f t="shared" si="105"/>
        <v>0</v>
      </c>
      <c r="U389" s="57">
        <f t="shared" si="105"/>
        <v>0</v>
      </c>
      <c r="V389" s="62">
        <f t="shared" si="105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106">IFERROR(SUMPRODUCT($BD$73:$BD$87,Q$73:Q$87)/SUM(Q$73:Q$87)*Q$89*(1+Q$208),0)</f>
        <v>0</v>
      </c>
      <c r="R390" s="57">
        <f t="shared" si="106"/>
        <v>0</v>
      </c>
      <c r="S390" s="57">
        <f t="shared" si="106"/>
        <v>0</v>
      </c>
      <c r="T390" s="57">
        <f t="shared" si="106"/>
        <v>0</v>
      </c>
      <c r="U390" s="57">
        <f t="shared" si="106"/>
        <v>0</v>
      </c>
      <c r="V390" s="62">
        <f t="shared" si="106"/>
        <v>0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07">IFERROR(SUMPRODUCT($BE$73:$BE$87,Q$73:Q$87)/SUM(Q$73:Q$87)*Q$89*(1+Q$208),0)</f>
        <v>0</v>
      </c>
      <c r="R391" s="57">
        <f t="shared" si="107"/>
        <v>0</v>
      </c>
      <c r="S391" s="57">
        <f t="shared" si="107"/>
        <v>0</v>
      </c>
      <c r="T391" s="57">
        <f t="shared" si="107"/>
        <v>0</v>
      </c>
      <c r="U391" s="57">
        <f t="shared" si="107"/>
        <v>0</v>
      </c>
      <c r="V391" s="62">
        <f t="shared" si="107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08">IFERROR(SUMPRODUCT($BF$73:$BF$87,Q$73:Q$87)/SUM(Q$73:Q$87)*Q$89*(1+Q$208),0)</f>
        <v>0</v>
      </c>
      <c r="R392" s="57">
        <f t="shared" si="108"/>
        <v>0</v>
      </c>
      <c r="S392" s="57">
        <f t="shared" si="108"/>
        <v>0</v>
      </c>
      <c r="T392" s="57">
        <f t="shared" si="108"/>
        <v>0</v>
      </c>
      <c r="U392" s="57">
        <f t="shared" si="108"/>
        <v>0</v>
      </c>
      <c r="V392" s="62">
        <f t="shared" si="108"/>
        <v>0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9">IFERROR(SUMPRODUCT($BG$73:$BG$87,Q$73:Q$87)/SUM(Q$73:Q$87)*Q$89*(1+Q$208),0)</f>
        <v>0</v>
      </c>
      <c r="R393" s="57">
        <f t="shared" si="109"/>
        <v>0</v>
      </c>
      <c r="S393" s="57">
        <f t="shared" si="109"/>
        <v>0</v>
      </c>
      <c r="T393" s="57">
        <f t="shared" si="109"/>
        <v>0</v>
      </c>
      <c r="U393" s="57">
        <f t="shared" si="109"/>
        <v>0</v>
      </c>
      <c r="V393" s="62">
        <f t="shared" si="109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10">IFERROR(SUMPRODUCT($BH$73:$BH$87,Q$73:Q$87)/SUM(Q$73:Q$87)*Q$89*(1+Q$208),0)</f>
        <v>0</v>
      </c>
      <c r="R394" s="57">
        <f t="shared" si="110"/>
        <v>0</v>
      </c>
      <c r="S394" s="57">
        <f t="shared" si="110"/>
        <v>0</v>
      </c>
      <c r="T394" s="57">
        <f t="shared" si="110"/>
        <v>0</v>
      </c>
      <c r="U394" s="57">
        <f t="shared" si="110"/>
        <v>0</v>
      </c>
      <c r="V394" s="62">
        <f t="shared" si="110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11">SUM(P388:P394)</f>
        <v>0</v>
      </c>
      <c r="Q396" s="37">
        <f t="shared" si="111"/>
        <v>536485.98374631559</v>
      </c>
      <c r="R396" s="37">
        <f t="shared" si="111"/>
        <v>783598.46859090752</v>
      </c>
      <c r="S396" s="37">
        <f t="shared" si="111"/>
        <v>792381.50291164953</v>
      </c>
      <c r="T396" s="37">
        <f t="shared" si="111"/>
        <v>800724.08529683226</v>
      </c>
      <c r="U396" s="37">
        <f t="shared" si="111"/>
        <v>813830.75673133449</v>
      </c>
      <c r="V396" s="64">
        <f t="shared" si="111"/>
        <v>826655.48487867881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F0"/>
  </sheetPr>
  <dimension ref="A1:BI399"/>
  <sheetViews>
    <sheetView topLeftCell="E40" workbookViewId="0">
      <selection activeCell="Q97" sqref="Q97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2</v>
      </c>
    </row>
    <row r="2" spans="1:7" s="1" customFormat="1">
      <c r="A2" s="3" t="s">
        <v>150</v>
      </c>
    </row>
    <row r="3" spans="1:7" s="1" customFormat="1">
      <c r="A3" s="3" t="s">
        <v>95</v>
      </c>
    </row>
    <row r="4" spans="1:7" s="1" customFormat="1">
      <c r="A4" s="22" t="s">
        <v>43</v>
      </c>
    </row>
    <row r="6" spans="1:7" s="1" customFormat="1">
      <c r="A6" s="2">
        <v>2</v>
      </c>
      <c r="B6" s="2" t="s">
        <v>45</v>
      </c>
    </row>
    <row r="9" spans="1:7" ht="24">
      <c r="B9" s="5" t="s">
        <v>46</v>
      </c>
      <c r="D9" s="28" t="s">
        <v>47</v>
      </c>
      <c r="E9" s="28" t="s">
        <v>48</v>
      </c>
      <c r="F9" s="29" t="s">
        <v>49</v>
      </c>
      <c r="G9" s="29" t="s">
        <v>50</v>
      </c>
    </row>
    <row r="10" spans="1:7">
      <c r="B10" s="8" t="s">
        <v>149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7"/>
      <c r="G13" s="27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51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90" t="s">
        <v>52</v>
      </c>
      <c r="I28" s="190"/>
      <c r="J28" s="190"/>
      <c r="K28" s="190"/>
      <c r="L28" s="190"/>
      <c r="M28" s="190" t="s">
        <v>53</v>
      </c>
      <c r="N28" s="190"/>
      <c r="O28" s="190"/>
      <c r="P28" s="190"/>
      <c r="Q28" s="190"/>
      <c r="R28" s="190" t="s">
        <v>54</v>
      </c>
      <c r="S28" s="190"/>
      <c r="T28" s="190"/>
      <c r="U28" s="190"/>
      <c r="V28" s="190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46</v>
      </c>
      <c r="D30" s="29" t="s">
        <v>55</v>
      </c>
      <c r="E30" s="29"/>
      <c r="G30" s="30"/>
      <c r="H30" s="16" t="s">
        <v>12</v>
      </c>
      <c r="I30" s="16" t="s">
        <v>12</v>
      </c>
      <c r="J30" s="16" t="s">
        <v>12</v>
      </c>
      <c r="K30" s="16" t="s">
        <v>12</v>
      </c>
      <c r="L30" s="16" t="s">
        <v>12</v>
      </c>
      <c r="M30" s="16" t="s">
        <v>12</v>
      </c>
      <c r="N30" s="16" t="s">
        <v>12</v>
      </c>
      <c r="O30" s="16" t="s">
        <v>12</v>
      </c>
      <c r="P30" s="16" t="s">
        <v>13</v>
      </c>
      <c r="Q30" s="16" t="s">
        <v>13</v>
      </c>
      <c r="R30" s="16" t="s">
        <v>13</v>
      </c>
      <c r="S30" s="16" t="s">
        <v>13</v>
      </c>
      <c r="T30" s="16" t="s">
        <v>13</v>
      </c>
      <c r="U30" s="16" t="s">
        <v>13</v>
      </c>
      <c r="V30" s="16" t="s">
        <v>13</v>
      </c>
    </row>
    <row r="31" spans="1:24">
      <c r="B31" s="4" t="str">
        <f>IF(B10&lt;&gt;"",B10,"[blank]")</f>
        <v>Medium pressure mains replacement program</v>
      </c>
      <c r="D31" s="31" t="s">
        <v>58</v>
      </c>
      <c r="E31" s="31"/>
      <c r="P31" s="104"/>
      <c r="Q31" s="103">
        <f>'AMP inputs'!G15*'General assumptions'!$S$21*($D10*'General assumptions'!T$35+$E10*'General assumptions'!T$36+$G10*'General assumptions'!T$42)</f>
        <v>255.20514891680807</v>
      </c>
      <c r="R31" s="103">
        <f>'AMP inputs'!H15*'General assumptions'!$S$21*($D10*'General assumptions'!U$35+$E10*'General assumptions'!U$36+$G10*'General assumptions'!U$42)</f>
        <v>310.80346294608239</v>
      </c>
      <c r="S31" s="103">
        <f>'AMP inputs'!I15*'General assumptions'!$S$21*($D10*'General assumptions'!V$35+$E10*'General assumptions'!V$36+$G10*'General assumptions'!V$42)</f>
        <v>292.56962336107421</v>
      </c>
      <c r="T31" s="103">
        <f>'AMP inputs'!J15*'General assumptions'!$S$21*($D10*'General assumptions'!W$35+$E10*'General assumptions'!W$36+$G10*'General assumptions'!W$42)</f>
        <v>312.35048774678631</v>
      </c>
      <c r="U31" s="103">
        <f>'AMP inputs'!K15*'General assumptions'!$S$21*($D10*'General assumptions'!X$35+$E10*'General assumptions'!X$36+$G10*'General assumptions'!X$42)</f>
        <v>382.047792550042</v>
      </c>
      <c r="V31" s="103">
        <f>'AMP inputs'!L15*'General assumptions'!$S$21*($D10*'General assumptions'!Y$35+$E10*'General assumptions'!Y$36+$G10*'General assumptions'!Y$42)</f>
        <v>534.45491906276629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</row>
    <row r="33" spans="1:4">
      <c r="B33" s="4" t="str">
        <f t="shared" si="0"/>
        <v>[blank]</v>
      </c>
      <c r="D33" s="31"/>
    </row>
    <row r="34" spans="1:4">
      <c r="B34" s="4" t="str">
        <f t="shared" si="0"/>
        <v>[blank]</v>
      </c>
      <c r="D34" s="31"/>
    </row>
    <row r="35" spans="1:4">
      <c r="B35" s="4" t="str">
        <f t="shared" si="0"/>
        <v>[blank]</v>
      </c>
      <c r="D35" s="31"/>
    </row>
    <row r="36" spans="1:4">
      <c r="B36" s="4" t="str">
        <f t="shared" si="0"/>
        <v>[blank]</v>
      </c>
      <c r="D36" s="31"/>
    </row>
    <row r="37" spans="1:4">
      <c r="B37" s="4" t="str">
        <f t="shared" si="0"/>
        <v>[blank]</v>
      </c>
      <c r="D37" s="31"/>
    </row>
    <row r="38" spans="1:4">
      <c r="B38" s="4" t="str">
        <f t="shared" si="0"/>
        <v>[blank]</v>
      </c>
      <c r="D38" s="31"/>
    </row>
    <row r="39" spans="1:4">
      <c r="B39" s="4" t="str">
        <f t="shared" si="0"/>
        <v>[blank]</v>
      </c>
      <c r="D39" s="31"/>
    </row>
    <row r="40" spans="1:4">
      <c r="B40" s="4" t="str">
        <f t="shared" si="0"/>
        <v>[blank]</v>
      </c>
      <c r="D40" s="31"/>
    </row>
    <row r="41" spans="1:4">
      <c r="B41" s="4" t="str">
        <f t="shared" si="0"/>
        <v>[blank]</v>
      </c>
      <c r="D41" s="31"/>
    </row>
    <row r="42" spans="1:4">
      <c r="B42" s="4" t="str">
        <f t="shared" si="0"/>
        <v>[blank]</v>
      </c>
      <c r="D42" s="31"/>
    </row>
    <row r="43" spans="1:4">
      <c r="B43" s="4" t="str">
        <f t="shared" si="0"/>
        <v>[blank]</v>
      </c>
      <c r="D43" s="31"/>
    </row>
    <row r="44" spans="1:4">
      <c r="B44" s="4" t="str">
        <f t="shared" si="0"/>
        <v>[blank]</v>
      </c>
      <c r="D44" s="31"/>
    </row>
    <row r="45" spans="1:4">
      <c r="B45" s="4" t="str">
        <f t="shared" si="0"/>
        <v>[blank]</v>
      </c>
      <c r="D45" s="31"/>
    </row>
    <row r="47" spans="1:4" s="1" customFormat="1">
      <c r="A47" s="2">
        <v>4</v>
      </c>
      <c r="B47" s="2" t="s">
        <v>56</v>
      </c>
    </row>
    <row r="49" spans="2:24">
      <c r="H49" s="190" t="s">
        <v>52</v>
      </c>
      <c r="I49" s="190"/>
      <c r="J49" s="190"/>
      <c r="K49" s="190"/>
      <c r="L49" s="190"/>
      <c r="M49" s="190" t="s">
        <v>53</v>
      </c>
      <c r="N49" s="190"/>
      <c r="O49" s="190"/>
      <c r="P49" s="190"/>
      <c r="Q49" s="190"/>
      <c r="R49" s="190" t="s">
        <v>54</v>
      </c>
      <c r="S49" s="190"/>
      <c r="T49" s="190"/>
      <c r="U49" s="190"/>
      <c r="V49" s="190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46</v>
      </c>
      <c r="D51" s="29" t="s">
        <v>55</v>
      </c>
      <c r="H51" s="16" t="s">
        <v>12</v>
      </c>
      <c r="I51" s="16" t="s">
        <v>12</v>
      </c>
      <c r="J51" s="16" t="s">
        <v>12</v>
      </c>
      <c r="K51" s="16" t="s">
        <v>12</v>
      </c>
      <c r="L51" s="16" t="s">
        <v>12</v>
      </c>
      <c r="M51" s="16" t="s">
        <v>12</v>
      </c>
      <c r="N51" s="16" t="s">
        <v>12</v>
      </c>
      <c r="O51" s="16" t="s">
        <v>12</v>
      </c>
      <c r="P51" s="16" t="s">
        <v>13</v>
      </c>
      <c r="Q51" s="16" t="s">
        <v>13</v>
      </c>
      <c r="R51" s="16" t="s">
        <v>13</v>
      </c>
      <c r="S51" s="16" t="s">
        <v>13</v>
      </c>
      <c r="T51" s="16" t="s">
        <v>13</v>
      </c>
      <c r="U51" s="16" t="s">
        <v>13</v>
      </c>
      <c r="V51" s="16" t="s">
        <v>13</v>
      </c>
    </row>
    <row r="52" spans="2:24">
      <c r="B52" s="4" t="str">
        <f>IF(B10&lt;&gt;"",B10,"[blank]")</f>
        <v>Medium pressure mains replacement program</v>
      </c>
      <c r="D52" s="31" t="s">
        <v>57</v>
      </c>
      <c r="P52" s="77"/>
      <c r="Q52" s="33">
        <f>'AMP inputs'!N15</f>
        <v>20000</v>
      </c>
      <c r="R52" s="33">
        <f>'AMP inputs'!O15</f>
        <v>16839</v>
      </c>
      <c r="S52" s="33">
        <f>'AMP inputs'!P15</f>
        <v>14697</v>
      </c>
      <c r="T52" s="33">
        <f>'AMP inputs'!Q15</f>
        <v>16507</v>
      </c>
      <c r="U52" s="33">
        <f>'AMP inputs'!R15</f>
        <v>3364</v>
      </c>
      <c r="V52" s="33">
        <f>'AMP inputs'!S15</f>
        <v>3596</v>
      </c>
      <c r="X52" s="20"/>
    </row>
    <row r="53" spans="2:24">
      <c r="B53" s="4" t="str">
        <f t="shared" ref="B53:B66" si="1">IF(B11&lt;&gt;"",B11,"[blank]")</f>
        <v>[blank]</v>
      </c>
      <c r="D53" s="31"/>
    </row>
    <row r="54" spans="2:24">
      <c r="B54" s="4" t="str">
        <f t="shared" si="1"/>
        <v>[blank]</v>
      </c>
      <c r="D54" s="31"/>
    </row>
    <row r="55" spans="2:24">
      <c r="B55" s="4" t="str">
        <f t="shared" si="1"/>
        <v>[blank]</v>
      </c>
      <c r="D55" s="31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  <c r="R57" s="45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61</v>
      </c>
    </row>
    <row r="69" spans="1:61">
      <c r="Z69" s="5" t="s">
        <v>73</v>
      </c>
      <c r="AM69" s="5" t="s">
        <v>110</v>
      </c>
      <c r="BB69" s="5" t="s">
        <v>133</v>
      </c>
    </row>
    <row r="70" spans="1:61">
      <c r="H70" s="190" t="s">
        <v>52</v>
      </c>
      <c r="I70" s="190"/>
      <c r="J70" s="190"/>
      <c r="K70" s="190"/>
      <c r="L70" s="190"/>
      <c r="M70" s="190" t="s">
        <v>53</v>
      </c>
      <c r="N70" s="190"/>
      <c r="O70" s="190"/>
      <c r="P70" s="190"/>
      <c r="Q70" s="190"/>
      <c r="R70" s="190" t="s">
        <v>54</v>
      </c>
      <c r="S70" s="190"/>
      <c r="T70" s="190"/>
      <c r="U70" s="190"/>
      <c r="V70" s="190"/>
      <c r="X70" s="38"/>
      <c r="Z70" s="39" t="s">
        <v>69</v>
      </c>
      <c r="AA70" s="39" t="s">
        <v>70</v>
      </c>
      <c r="AB70" s="39" t="s">
        <v>71</v>
      </c>
      <c r="AC70" s="39" t="s">
        <v>72</v>
      </c>
      <c r="AD70" s="39" t="s">
        <v>64</v>
      </c>
      <c r="AE70" s="39" t="s">
        <v>65</v>
      </c>
      <c r="AF70" s="39" t="s">
        <v>66</v>
      </c>
      <c r="AG70" s="39" t="s">
        <v>107</v>
      </c>
      <c r="AH70" s="39" t="s">
        <v>67</v>
      </c>
      <c r="AI70" s="39" t="s">
        <v>68</v>
      </c>
      <c r="AJ70" s="39" t="s">
        <v>108</v>
      </c>
      <c r="AM70" s="39" t="s">
        <v>111</v>
      </c>
      <c r="AN70" s="39" t="s">
        <v>112</v>
      </c>
      <c r="AO70" s="39" t="s">
        <v>113</v>
      </c>
      <c r="AP70" s="39" t="s">
        <v>114</v>
      </c>
      <c r="AQ70" s="39" t="s">
        <v>115</v>
      </c>
      <c r="AR70" s="39" t="s">
        <v>36</v>
      </c>
      <c r="AS70" s="39" t="s">
        <v>116</v>
      </c>
      <c r="AT70" s="39" t="s">
        <v>35</v>
      </c>
      <c r="AU70" s="39" t="s">
        <v>117</v>
      </c>
      <c r="AV70" s="39" t="s">
        <v>118</v>
      </c>
      <c r="AW70" s="39" t="s">
        <v>119</v>
      </c>
      <c r="AX70" s="39" t="s">
        <v>74</v>
      </c>
      <c r="AY70" s="39" t="s">
        <v>75</v>
      </c>
      <c r="BB70" s="39" t="s">
        <v>134</v>
      </c>
      <c r="BC70" s="39" t="s">
        <v>135</v>
      </c>
      <c r="BD70" s="39" t="s">
        <v>136</v>
      </c>
      <c r="BE70" s="39" t="s">
        <v>107</v>
      </c>
      <c r="BF70" s="39" t="s">
        <v>137</v>
      </c>
      <c r="BG70" s="39" t="s">
        <v>138</v>
      </c>
      <c r="BH70" s="39" t="s">
        <v>108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63</v>
      </c>
    </row>
    <row r="72" spans="1:61">
      <c r="B72" s="5" t="s">
        <v>46</v>
      </c>
      <c r="D72" s="29" t="s">
        <v>55</v>
      </c>
      <c r="H72" s="16" t="s">
        <v>12</v>
      </c>
      <c r="I72" s="16" t="s">
        <v>12</v>
      </c>
      <c r="J72" s="16" t="s">
        <v>12</v>
      </c>
      <c r="K72" s="16" t="s">
        <v>12</v>
      </c>
      <c r="L72" s="16" t="s">
        <v>12</v>
      </c>
      <c r="M72" s="16" t="s">
        <v>12</v>
      </c>
      <c r="N72" s="16" t="s">
        <v>12</v>
      </c>
      <c r="O72" s="16" t="s">
        <v>12</v>
      </c>
      <c r="P72" s="16" t="s">
        <v>13</v>
      </c>
      <c r="Q72" s="16" t="s">
        <v>13</v>
      </c>
      <c r="R72" s="16" t="s">
        <v>13</v>
      </c>
      <c r="S72" s="16" t="s">
        <v>13</v>
      </c>
      <c r="T72" s="16" t="s">
        <v>13</v>
      </c>
      <c r="U72" s="16" t="s">
        <v>13</v>
      </c>
      <c r="V72" s="16" t="s">
        <v>13</v>
      </c>
      <c r="X72" s="34" t="s">
        <v>13</v>
      </c>
    </row>
    <row r="73" spans="1:61">
      <c r="B73" s="4" t="str">
        <f>IF(B10&lt;&gt;"",B10,"[blank]")</f>
        <v>Medium pressure mains replacement program</v>
      </c>
      <c r="D73" s="31" t="s">
        <v>60</v>
      </c>
      <c r="O73" s="35"/>
      <c r="P73" s="35">
        <f t="shared" ref="P73:V73" si="2">P31*P52</f>
        <v>0</v>
      </c>
      <c r="Q73" s="175">
        <v>3187922.1780000003</v>
      </c>
      <c r="R73" s="35">
        <f t="shared" si="2"/>
        <v>5233619.5125490818</v>
      </c>
      <c r="S73" s="35">
        <f t="shared" si="2"/>
        <v>4299895.7545377072</v>
      </c>
      <c r="T73" s="35">
        <f t="shared" si="2"/>
        <v>5155969.5012362013</v>
      </c>
      <c r="U73" s="35">
        <f t="shared" si="2"/>
        <v>1285208.7741383412</v>
      </c>
      <c r="V73" s="35">
        <f t="shared" si="2"/>
        <v>1921899.8889497076</v>
      </c>
      <c r="X73" s="40">
        <f>SUM(R73:V73)</f>
        <v>17896593.431411039</v>
      </c>
      <c r="Z73" s="10"/>
      <c r="AA73" s="10">
        <v>0.5</v>
      </c>
      <c r="AB73" s="10">
        <v>0.5</v>
      </c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3">SUM(Z73:AI73)</f>
        <v>1</v>
      </c>
      <c r="AM73" s="10">
        <v>1</v>
      </c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1</v>
      </c>
      <c r="BB73" s="10">
        <v>1</v>
      </c>
      <c r="BC73" s="10"/>
      <c r="BD73" s="10"/>
      <c r="BE73" s="10"/>
      <c r="BF73" s="10"/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/>
      <c r="O74" s="50"/>
      <c r="P74" s="35"/>
      <c r="Q74" s="50"/>
      <c r="R74" s="50"/>
      <c r="S74" s="50"/>
      <c r="T74" s="50"/>
      <c r="U74" s="50"/>
      <c r="V74" s="50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P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P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P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62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3187922.1780000003</v>
      </c>
      <c r="R89" s="37">
        <f t="shared" si="8"/>
        <v>5233619.5125490818</v>
      </c>
      <c r="S89" s="37">
        <f t="shared" si="8"/>
        <v>4299895.7545377072</v>
      </c>
      <c r="T89" s="37">
        <f t="shared" si="8"/>
        <v>5155969.5012362013</v>
      </c>
      <c r="U89" s="37">
        <f t="shared" si="8"/>
        <v>1285208.7741383412</v>
      </c>
      <c r="V89" s="37">
        <f t="shared" si="8"/>
        <v>1921899.8889497076</v>
      </c>
      <c r="X89" s="37">
        <f t="shared" si="7"/>
        <v>17896593.431411039</v>
      </c>
    </row>
    <row r="91" spans="1:61">
      <c r="B91" s="5" t="s">
        <v>76</v>
      </c>
    </row>
    <row r="92" spans="1:61" s="1" customFormat="1">
      <c r="A92" s="4"/>
      <c r="B92" s="2" t="s">
        <v>77</v>
      </c>
    </row>
    <row r="94" spans="1:61">
      <c r="H94" s="190" t="s">
        <v>52</v>
      </c>
      <c r="I94" s="190"/>
      <c r="J94" s="190"/>
      <c r="K94" s="190"/>
      <c r="L94" s="190"/>
      <c r="M94" s="190" t="s">
        <v>53</v>
      </c>
      <c r="N94" s="190"/>
      <c r="O94" s="190"/>
      <c r="P94" s="190"/>
      <c r="Q94" s="190"/>
      <c r="R94" s="190" t="s">
        <v>54</v>
      </c>
      <c r="S94" s="190"/>
      <c r="T94" s="190"/>
      <c r="U94" s="190"/>
      <c r="V94" s="190"/>
      <c r="X94" s="38"/>
    </row>
    <row r="95" spans="1:61">
      <c r="B95" s="42" t="s">
        <v>79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63</v>
      </c>
    </row>
    <row r="96" spans="1:61">
      <c r="B96" s="5" t="s">
        <v>46</v>
      </c>
      <c r="D96" s="29" t="s">
        <v>55</v>
      </c>
      <c r="H96" s="16" t="s">
        <v>12</v>
      </c>
      <c r="I96" s="16" t="s">
        <v>12</v>
      </c>
      <c r="J96" s="16" t="s">
        <v>12</v>
      </c>
      <c r="K96" s="16" t="s">
        <v>12</v>
      </c>
      <c r="L96" s="16" t="s">
        <v>12</v>
      </c>
      <c r="M96" s="16" t="s">
        <v>12</v>
      </c>
      <c r="N96" s="16" t="s">
        <v>12</v>
      </c>
      <c r="O96" s="16" t="s">
        <v>12</v>
      </c>
      <c r="P96" s="16" t="s">
        <v>13</v>
      </c>
      <c r="Q96" s="16" t="s">
        <v>13</v>
      </c>
      <c r="R96" s="16" t="s">
        <v>13</v>
      </c>
      <c r="S96" s="16" t="s">
        <v>13</v>
      </c>
      <c r="T96" s="16" t="s">
        <v>13</v>
      </c>
      <c r="U96" s="16" t="s">
        <v>13</v>
      </c>
      <c r="V96" s="16" t="s">
        <v>13</v>
      </c>
      <c r="X96" s="34" t="s">
        <v>13</v>
      </c>
    </row>
    <row r="97" spans="2:24">
      <c r="B97" s="4" t="str">
        <f>IF(B10&lt;&gt;"",B10,"[blank]")</f>
        <v>Medium pressure mains replacement program</v>
      </c>
      <c r="D97" s="31" t="s">
        <v>60</v>
      </c>
      <c r="O97" s="35"/>
      <c r="P97" s="35">
        <f>$D10*P73</f>
        <v>0</v>
      </c>
      <c r="Q97" s="35">
        <f t="shared" ref="Q97:V97" si="9">$D10*Q73</f>
        <v>127516.88712000001</v>
      </c>
      <c r="R97" s="35">
        <f t="shared" si="9"/>
        <v>209344.78050196328</v>
      </c>
      <c r="S97" s="35">
        <f t="shared" si="9"/>
        <v>171995.8301815083</v>
      </c>
      <c r="T97" s="35">
        <f t="shared" si="9"/>
        <v>206238.78004944805</v>
      </c>
      <c r="U97" s="35">
        <f t="shared" si="9"/>
        <v>51408.350965533646</v>
      </c>
      <c r="V97" s="35">
        <f t="shared" si="9"/>
        <v>76875.99555798831</v>
      </c>
      <c r="X97" s="40">
        <f>SUM(R97:V97)</f>
        <v>715863.7372564415</v>
      </c>
    </row>
    <row r="98" spans="2:24">
      <c r="B98" s="4" t="str">
        <f t="shared" ref="B98:B111" si="10">IF(B11&lt;&gt;"",B11,"[blank]")</f>
        <v>[blank]</v>
      </c>
      <c r="D98" s="31"/>
      <c r="O98" s="50"/>
      <c r="P98" s="50"/>
      <c r="Q98" s="50"/>
      <c r="R98" s="50"/>
      <c r="S98" s="50"/>
      <c r="T98" s="50"/>
      <c r="U98" s="50"/>
      <c r="V98" s="50"/>
      <c r="X98" s="40">
        <f t="shared" ref="X98:X111" si="11">SUM(R98:V98)</f>
        <v>0</v>
      </c>
    </row>
    <row r="99" spans="2:24">
      <c r="B99" s="4" t="str">
        <f t="shared" si="10"/>
        <v>[blank]</v>
      </c>
      <c r="X99" s="40">
        <f t="shared" si="11"/>
        <v>0</v>
      </c>
    </row>
    <row r="100" spans="2:24">
      <c r="B100" s="4" t="str">
        <f t="shared" si="10"/>
        <v>[blank]</v>
      </c>
      <c r="X100" s="40">
        <f t="shared" si="11"/>
        <v>0</v>
      </c>
    </row>
    <row r="101" spans="2:24">
      <c r="B101" s="4" t="str">
        <f t="shared" si="10"/>
        <v>[blank]</v>
      </c>
      <c r="X101" s="40">
        <f t="shared" si="11"/>
        <v>0</v>
      </c>
    </row>
    <row r="102" spans="2:24">
      <c r="B102" s="4" t="str">
        <f t="shared" si="10"/>
        <v>[blank]</v>
      </c>
      <c r="X102" s="40">
        <f t="shared" si="11"/>
        <v>0</v>
      </c>
    </row>
    <row r="103" spans="2:24">
      <c r="B103" s="4" t="str">
        <f t="shared" si="10"/>
        <v>[blank]</v>
      </c>
      <c r="X103" s="40">
        <f t="shared" si="11"/>
        <v>0</v>
      </c>
    </row>
    <row r="104" spans="2:24">
      <c r="B104" s="4" t="str">
        <f t="shared" si="10"/>
        <v>[blank]</v>
      </c>
      <c r="X104" s="40">
        <f t="shared" si="11"/>
        <v>0</v>
      </c>
    </row>
    <row r="105" spans="2:24">
      <c r="B105" s="4" t="str">
        <f t="shared" si="10"/>
        <v>[blank]</v>
      </c>
      <c r="X105" s="40">
        <f t="shared" si="11"/>
        <v>0</v>
      </c>
    </row>
    <row r="106" spans="2:24">
      <c r="B106" s="4" t="str">
        <f t="shared" si="10"/>
        <v>[blank]</v>
      </c>
      <c r="X106" s="40">
        <f t="shared" si="11"/>
        <v>0</v>
      </c>
    </row>
    <row r="107" spans="2:24">
      <c r="B107" s="4" t="str">
        <f t="shared" si="10"/>
        <v>[blank]</v>
      </c>
      <c r="X107" s="40">
        <f t="shared" si="11"/>
        <v>0</v>
      </c>
    </row>
    <row r="108" spans="2:24">
      <c r="B108" s="4" t="str">
        <f t="shared" si="10"/>
        <v>[blank]</v>
      </c>
      <c r="X108" s="40">
        <f t="shared" si="11"/>
        <v>0</v>
      </c>
    </row>
    <row r="109" spans="2:24">
      <c r="B109" s="4" t="str">
        <f t="shared" si="10"/>
        <v>[blank]</v>
      </c>
      <c r="X109" s="40">
        <f t="shared" si="11"/>
        <v>0</v>
      </c>
    </row>
    <row r="110" spans="2:24">
      <c r="B110" s="4" t="str">
        <f t="shared" si="10"/>
        <v>[blank]</v>
      </c>
      <c r="X110" s="40">
        <f t="shared" si="11"/>
        <v>0</v>
      </c>
    </row>
    <row r="111" spans="2:24">
      <c r="B111" s="4" t="str">
        <f t="shared" si="10"/>
        <v>[blank]</v>
      </c>
      <c r="X111" s="40">
        <f t="shared" si="11"/>
        <v>0</v>
      </c>
    </row>
    <row r="113" spans="1:24" ht="12.75" thickBot="1">
      <c r="B113" s="5" t="s">
        <v>78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2">SUM(P97:P111)</f>
        <v>0</v>
      </c>
      <c r="Q113" s="37">
        <f t="shared" si="12"/>
        <v>127516.88712000001</v>
      </c>
      <c r="R113" s="37">
        <f t="shared" si="12"/>
        <v>209344.78050196328</v>
      </c>
      <c r="S113" s="37">
        <f t="shared" si="12"/>
        <v>171995.8301815083</v>
      </c>
      <c r="T113" s="37">
        <f t="shared" si="12"/>
        <v>206238.78004944805</v>
      </c>
      <c r="U113" s="37">
        <f t="shared" si="12"/>
        <v>51408.350965533646</v>
      </c>
      <c r="V113" s="37">
        <f t="shared" si="12"/>
        <v>76875.99555798831</v>
      </c>
      <c r="X113" s="37">
        <f t="shared" ref="X113" si="13">SUM(R113:V113)</f>
        <v>715863.7372564415</v>
      </c>
    </row>
    <row r="115" spans="1:24" s="1" customFormat="1">
      <c r="A115" s="4"/>
      <c r="B115" s="2" t="s">
        <v>80</v>
      </c>
    </row>
    <row r="117" spans="1:24">
      <c r="H117" s="190" t="s">
        <v>52</v>
      </c>
      <c r="I117" s="190"/>
      <c r="J117" s="190"/>
      <c r="K117" s="190"/>
      <c r="L117" s="190"/>
      <c r="M117" s="190" t="s">
        <v>53</v>
      </c>
      <c r="N117" s="190"/>
      <c r="O117" s="190"/>
      <c r="P117" s="190"/>
      <c r="Q117" s="190"/>
      <c r="R117" s="190" t="s">
        <v>54</v>
      </c>
      <c r="S117" s="190"/>
      <c r="T117" s="190"/>
      <c r="U117" s="190"/>
      <c r="V117" s="190"/>
      <c r="X117" s="38"/>
    </row>
    <row r="118" spans="1:24">
      <c r="B118" s="43" t="s">
        <v>81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63</v>
      </c>
    </row>
    <row r="119" spans="1:24">
      <c r="B119" s="5" t="s">
        <v>46</v>
      </c>
      <c r="D119" s="29" t="s">
        <v>55</v>
      </c>
      <c r="H119" s="16" t="s">
        <v>12</v>
      </c>
      <c r="I119" s="16" t="s">
        <v>12</v>
      </c>
      <c r="J119" s="16" t="s">
        <v>12</v>
      </c>
      <c r="K119" s="16" t="s">
        <v>12</v>
      </c>
      <c r="L119" s="16" t="s">
        <v>12</v>
      </c>
      <c r="M119" s="16" t="s">
        <v>12</v>
      </c>
      <c r="N119" s="16" t="s">
        <v>12</v>
      </c>
      <c r="O119" s="16" t="s">
        <v>12</v>
      </c>
      <c r="P119" s="16" t="s">
        <v>13</v>
      </c>
      <c r="Q119" s="16" t="s">
        <v>13</v>
      </c>
      <c r="R119" s="16" t="s">
        <v>13</v>
      </c>
      <c r="S119" s="16" t="s">
        <v>13</v>
      </c>
      <c r="T119" s="16" t="s">
        <v>13</v>
      </c>
      <c r="U119" s="16" t="s">
        <v>13</v>
      </c>
      <c r="V119" s="16" t="s">
        <v>13</v>
      </c>
      <c r="X119" s="34" t="s">
        <v>13</v>
      </c>
    </row>
    <row r="120" spans="1:24">
      <c r="B120" s="4" t="str">
        <f>IF(B10&lt;&gt;"",B10,"[blank]")</f>
        <v>Medium pressure mains replacement program</v>
      </c>
      <c r="D120" s="31" t="s">
        <v>60</v>
      </c>
      <c r="O120" s="35"/>
      <c r="P120" s="35">
        <f>$E10*P73</f>
        <v>0</v>
      </c>
      <c r="Q120" s="35">
        <f t="shared" ref="Q120:V120" si="14">$E10*Q73</f>
        <v>2422820.8552800003</v>
      </c>
      <c r="R120" s="35">
        <f t="shared" si="14"/>
        <v>3977550.8295373023</v>
      </c>
      <c r="S120" s="35">
        <f t="shared" si="14"/>
        <v>3267920.7734486577</v>
      </c>
      <c r="T120" s="35">
        <f t="shared" si="14"/>
        <v>3918536.8209395129</v>
      </c>
      <c r="U120" s="35">
        <f t="shared" si="14"/>
        <v>976758.66834513936</v>
      </c>
      <c r="V120" s="35">
        <f t="shared" si="14"/>
        <v>1460643.9156017778</v>
      </c>
      <c r="X120" s="40">
        <f>SUM(R120:V120)</f>
        <v>13601411.007872391</v>
      </c>
    </row>
    <row r="121" spans="1:24">
      <c r="B121" s="4" t="str">
        <f t="shared" ref="B121:B134" si="15">IF(B11&lt;&gt;"",B11,"[blank]")</f>
        <v>[blank]</v>
      </c>
      <c r="D121" s="31"/>
      <c r="O121" s="50"/>
      <c r="P121" s="50"/>
      <c r="Q121" s="50"/>
      <c r="R121" s="50"/>
      <c r="S121" s="50"/>
      <c r="T121" s="50"/>
      <c r="U121" s="50"/>
      <c r="V121" s="50"/>
      <c r="X121" s="40">
        <f t="shared" ref="X121:X134" si="16">SUM(R121:V121)</f>
        <v>0</v>
      </c>
    </row>
    <row r="122" spans="1:24">
      <c r="B122" s="4" t="str">
        <f t="shared" si="15"/>
        <v>[blank]</v>
      </c>
      <c r="X122" s="40">
        <f t="shared" si="16"/>
        <v>0</v>
      </c>
    </row>
    <row r="123" spans="1:24">
      <c r="B123" s="4" t="str">
        <f t="shared" si="15"/>
        <v>[blank]</v>
      </c>
      <c r="X123" s="40">
        <f t="shared" si="16"/>
        <v>0</v>
      </c>
    </row>
    <row r="124" spans="1:24">
      <c r="B124" s="4" t="str">
        <f t="shared" si="15"/>
        <v>[blank]</v>
      </c>
      <c r="X124" s="40">
        <f t="shared" si="16"/>
        <v>0</v>
      </c>
    </row>
    <row r="125" spans="1:24">
      <c r="B125" s="4" t="str">
        <f t="shared" si="15"/>
        <v>[blank]</v>
      </c>
      <c r="X125" s="40">
        <f t="shared" si="16"/>
        <v>0</v>
      </c>
    </row>
    <row r="126" spans="1:24">
      <c r="B126" s="4" t="str">
        <f t="shared" si="15"/>
        <v>[blank]</v>
      </c>
      <c r="X126" s="40">
        <f t="shared" si="16"/>
        <v>0</v>
      </c>
    </row>
    <row r="127" spans="1:24">
      <c r="B127" s="4" t="str">
        <f t="shared" si="15"/>
        <v>[blank]</v>
      </c>
      <c r="X127" s="40">
        <f t="shared" si="16"/>
        <v>0</v>
      </c>
    </row>
    <row r="128" spans="1:24">
      <c r="B128" s="4" t="str">
        <f t="shared" si="15"/>
        <v>[blank]</v>
      </c>
      <c r="X128" s="40">
        <f t="shared" si="16"/>
        <v>0</v>
      </c>
    </row>
    <row r="129" spans="1:24">
      <c r="B129" s="4" t="str">
        <f t="shared" si="15"/>
        <v>[blank]</v>
      </c>
      <c r="X129" s="40">
        <f t="shared" si="16"/>
        <v>0</v>
      </c>
    </row>
    <row r="130" spans="1:24">
      <c r="B130" s="4" t="str">
        <f t="shared" si="15"/>
        <v>[blank]</v>
      </c>
      <c r="X130" s="40">
        <f t="shared" si="16"/>
        <v>0</v>
      </c>
    </row>
    <row r="131" spans="1:24">
      <c r="B131" s="4" t="str">
        <f t="shared" si="15"/>
        <v>[blank]</v>
      </c>
      <c r="X131" s="40">
        <f t="shared" si="16"/>
        <v>0</v>
      </c>
    </row>
    <row r="132" spans="1:24">
      <c r="B132" s="4" t="str">
        <f t="shared" si="15"/>
        <v>[blank]</v>
      </c>
      <c r="X132" s="40">
        <f t="shared" si="16"/>
        <v>0</v>
      </c>
    </row>
    <row r="133" spans="1:24">
      <c r="B133" s="4" t="str">
        <f t="shared" si="15"/>
        <v>[blank]</v>
      </c>
      <c r="X133" s="40">
        <f t="shared" si="16"/>
        <v>0</v>
      </c>
    </row>
    <row r="134" spans="1:24">
      <c r="B134" s="4" t="str">
        <f t="shared" si="15"/>
        <v>[blank]</v>
      </c>
      <c r="X134" s="40">
        <f t="shared" si="16"/>
        <v>0</v>
      </c>
    </row>
    <row r="136" spans="1:24" ht="12.75" thickBot="1">
      <c r="B136" s="5" t="s">
        <v>82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2422820.8552800003</v>
      </c>
      <c r="R136" s="37">
        <f t="shared" si="17"/>
        <v>3977550.8295373023</v>
      </c>
      <c r="S136" s="37">
        <f t="shared" si="17"/>
        <v>3267920.7734486577</v>
      </c>
      <c r="T136" s="37">
        <f t="shared" si="17"/>
        <v>3918536.8209395129</v>
      </c>
      <c r="U136" s="37">
        <f t="shared" si="17"/>
        <v>976758.66834513936</v>
      </c>
      <c r="V136" s="37">
        <f t="shared" si="17"/>
        <v>1460643.9156017778</v>
      </c>
      <c r="X136" s="37">
        <f t="shared" ref="X136" si="18">SUM(R136:V136)</f>
        <v>13601411.007872391</v>
      </c>
    </row>
    <row r="138" spans="1:24" s="1" customFormat="1">
      <c r="A138" s="4"/>
      <c r="B138" s="2" t="s">
        <v>83</v>
      </c>
    </row>
    <row r="140" spans="1:24">
      <c r="H140" s="190" t="s">
        <v>52</v>
      </c>
      <c r="I140" s="190"/>
      <c r="J140" s="190"/>
      <c r="K140" s="190"/>
      <c r="L140" s="190"/>
      <c r="M140" s="190" t="s">
        <v>53</v>
      </c>
      <c r="N140" s="190"/>
      <c r="O140" s="190"/>
      <c r="P140" s="190"/>
      <c r="Q140" s="190"/>
      <c r="R140" s="190" t="s">
        <v>54</v>
      </c>
      <c r="S140" s="190"/>
      <c r="T140" s="190"/>
      <c r="U140" s="190"/>
      <c r="V140" s="190"/>
      <c r="X140" s="38"/>
    </row>
    <row r="141" spans="1:24">
      <c r="B141" s="43" t="s">
        <v>84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63</v>
      </c>
    </row>
    <row r="142" spans="1:24">
      <c r="B142" s="5" t="s">
        <v>46</v>
      </c>
      <c r="D142" s="29" t="s">
        <v>55</v>
      </c>
      <c r="H142" s="16" t="s">
        <v>12</v>
      </c>
      <c r="I142" s="16" t="s">
        <v>12</v>
      </c>
      <c r="J142" s="16" t="s">
        <v>12</v>
      </c>
      <c r="K142" s="16" t="s">
        <v>12</v>
      </c>
      <c r="L142" s="16" t="s">
        <v>12</v>
      </c>
      <c r="M142" s="16" t="s">
        <v>12</v>
      </c>
      <c r="N142" s="16" t="s">
        <v>12</v>
      </c>
      <c r="O142" s="16" t="s">
        <v>12</v>
      </c>
      <c r="P142" s="16" t="s">
        <v>13</v>
      </c>
      <c r="Q142" s="16" t="s">
        <v>13</v>
      </c>
      <c r="R142" s="16" t="s">
        <v>13</v>
      </c>
      <c r="S142" s="16" t="s">
        <v>13</v>
      </c>
      <c r="T142" s="16" t="s">
        <v>13</v>
      </c>
      <c r="U142" s="16" t="s">
        <v>13</v>
      </c>
      <c r="V142" s="16" t="s">
        <v>13</v>
      </c>
      <c r="X142" s="34" t="s">
        <v>13</v>
      </c>
    </row>
    <row r="143" spans="1:24">
      <c r="B143" s="4" t="str">
        <f>IF(B10&lt;&gt;"",B10,"[blank]")</f>
        <v>Medium pressure mains replacement program</v>
      </c>
      <c r="D143" s="31" t="s">
        <v>60</v>
      </c>
      <c r="O143" s="35"/>
      <c r="P143" s="35">
        <f>P97+P120</f>
        <v>0</v>
      </c>
      <c r="Q143" s="35">
        <f t="shared" ref="Q143:V143" si="19">Q97+Q120</f>
        <v>2550337.7424000003</v>
      </c>
      <c r="R143" s="35">
        <f t="shared" si="19"/>
        <v>4186895.6100392654</v>
      </c>
      <c r="S143" s="35">
        <f t="shared" si="19"/>
        <v>3439916.603630166</v>
      </c>
      <c r="T143" s="35">
        <f t="shared" si="19"/>
        <v>4124775.6009889608</v>
      </c>
      <c r="U143" s="35">
        <f t="shared" si="19"/>
        <v>1028167.019310673</v>
      </c>
      <c r="V143" s="35">
        <f t="shared" si="19"/>
        <v>1537519.9111597661</v>
      </c>
      <c r="X143" s="40">
        <f>SUM(R143:V143)</f>
        <v>14317274.745128833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50"/>
      <c r="Q144" s="50"/>
      <c r="R144" s="50"/>
      <c r="S144" s="50"/>
      <c r="T144" s="50"/>
      <c r="U144" s="50"/>
      <c r="V144" s="50"/>
      <c r="X144" s="40">
        <f t="shared" ref="X144:X157" si="21">SUM(R144:V144)</f>
        <v>0</v>
      </c>
    </row>
    <row r="145" spans="2:24">
      <c r="B145" s="4" t="str">
        <f t="shared" si="20"/>
        <v>[blank]</v>
      </c>
      <c r="X145" s="40">
        <f t="shared" si="21"/>
        <v>0</v>
      </c>
    </row>
    <row r="146" spans="2:24">
      <c r="B146" s="4" t="str">
        <f t="shared" si="20"/>
        <v>[blank]</v>
      </c>
      <c r="X146" s="40">
        <f t="shared" si="21"/>
        <v>0</v>
      </c>
    </row>
    <row r="147" spans="2:24">
      <c r="B147" s="4" t="str">
        <f t="shared" si="20"/>
        <v>[blank]</v>
      </c>
      <c r="X147" s="40">
        <f t="shared" si="21"/>
        <v>0</v>
      </c>
    </row>
    <row r="148" spans="2:24">
      <c r="B148" s="4" t="str">
        <f t="shared" si="20"/>
        <v>[blank]</v>
      </c>
      <c r="X148" s="40">
        <f t="shared" si="21"/>
        <v>0</v>
      </c>
    </row>
    <row r="149" spans="2:24">
      <c r="B149" s="4" t="str">
        <f t="shared" si="20"/>
        <v>[blank]</v>
      </c>
      <c r="X149" s="40">
        <f t="shared" si="21"/>
        <v>0</v>
      </c>
    </row>
    <row r="150" spans="2:24">
      <c r="B150" s="4" t="str">
        <f t="shared" si="20"/>
        <v>[blank]</v>
      </c>
      <c r="X150" s="40">
        <f t="shared" si="21"/>
        <v>0</v>
      </c>
    </row>
    <row r="151" spans="2:24">
      <c r="B151" s="4" t="str">
        <f t="shared" si="20"/>
        <v>[blank]</v>
      </c>
      <c r="X151" s="40">
        <f t="shared" si="21"/>
        <v>0</v>
      </c>
    </row>
    <row r="152" spans="2:24">
      <c r="B152" s="4" t="str">
        <f t="shared" si="20"/>
        <v>[blank]</v>
      </c>
      <c r="X152" s="40">
        <f t="shared" si="21"/>
        <v>0</v>
      </c>
    </row>
    <row r="153" spans="2:24">
      <c r="B153" s="4" t="str">
        <f t="shared" si="20"/>
        <v>[blank]</v>
      </c>
      <c r="X153" s="40">
        <f t="shared" si="21"/>
        <v>0</v>
      </c>
    </row>
    <row r="154" spans="2:24">
      <c r="B154" s="4" t="str">
        <f t="shared" si="20"/>
        <v>[blank]</v>
      </c>
      <c r="X154" s="40">
        <f t="shared" si="21"/>
        <v>0</v>
      </c>
    </row>
    <row r="155" spans="2:24">
      <c r="B155" s="4" t="str">
        <f t="shared" si="20"/>
        <v>[blank]</v>
      </c>
      <c r="X155" s="40">
        <f t="shared" si="21"/>
        <v>0</v>
      </c>
    </row>
    <row r="156" spans="2:24">
      <c r="B156" s="4" t="str">
        <f t="shared" si="20"/>
        <v>[blank]</v>
      </c>
      <c r="X156" s="40">
        <f t="shared" si="21"/>
        <v>0</v>
      </c>
    </row>
    <row r="157" spans="2:24">
      <c r="B157" s="4" t="str">
        <f t="shared" si="20"/>
        <v>[blank]</v>
      </c>
      <c r="X157" s="40">
        <f t="shared" si="21"/>
        <v>0</v>
      </c>
    </row>
    <row r="159" spans="2:24" ht="12.75" thickBot="1">
      <c r="B159" s="5" t="s">
        <v>85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2">SUM(Q143:Q157)</f>
        <v>2550337.7424000003</v>
      </c>
      <c r="R159" s="37">
        <f t="shared" si="22"/>
        <v>4186895.6100392654</v>
      </c>
      <c r="S159" s="37">
        <f t="shared" si="22"/>
        <v>3439916.603630166</v>
      </c>
      <c r="T159" s="37">
        <f t="shared" si="22"/>
        <v>4124775.6009889608</v>
      </c>
      <c r="U159" s="37">
        <f t="shared" si="22"/>
        <v>1028167.019310673</v>
      </c>
      <c r="V159" s="37">
        <f t="shared" si="22"/>
        <v>1537519.9111597661</v>
      </c>
      <c r="X159" s="37">
        <f t="shared" ref="X159" si="23">SUM(R159:V159)</f>
        <v>14317274.745128833</v>
      </c>
    </row>
    <row r="161" spans="1:24" s="1" customFormat="1">
      <c r="A161" s="4"/>
      <c r="B161" s="2" t="s">
        <v>86</v>
      </c>
    </row>
    <row r="163" spans="1:24">
      <c r="H163" s="190" t="s">
        <v>52</v>
      </c>
      <c r="I163" s="190"/>
      <c r="J163" s="190"/>
      <c r="K163" s="190"/>
      <c r="L163" s="190"/>
      <c r="M163" s="190" t="s">
        <v>53</v>
      </c>
      <c r="N163" s="190"/>
      <c r="O163" s="190"/>
      <c r="P163" s="190"/>
      <c r="Q163" s="190"/>
      <c r="R163" s="190" t="s">
        <v>54</v>
      </c>
      <c r="S163" s="190"/>
      <c r="T163" s="190"/>
      <c r="U163" s="190"/>
      <c r="V163" s="190"/>
      <c r="X163" s="38"/>
    </row>
    <row r="164" spans="1:24">
      <c r="B164" s="44" t="s">
        <v>50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63</v>
      </c>
    </row>
    <row r="165" spans="1:24">
      <c r="B165" s="5" t="s">
        <v>46</v>
      </c>
      <c r="D165" s="29" t="s">
        <v>55</v>
      </c>
      <c r="H165" s="16" t="s">
        <v>12</v>
      </c>
      <c r="I165" s="16" t="s">
        <v>12</v>
      </c>
      <c r="J165" s="16" t="s">
        <v>12</v>
      </c>
      <c r="K165" s="16" t="s">
        <v>12</v>
      </c>
      <c r="L165" s="16" t="s">
        <v>12</v>
      </c>
      <c r="M165" s="16" t="s">
        <v>12</v>
      </c>
      <c r="N165" s="16" t="s">
        <v>12</v>
      </c>
      <c r="O165" s="16" t="s">
        <v>12</v>
      </c>
      <c r="P165" s="16" t="s">
        <v>13</v>
      </c>
      <c r="Q165" s="16" t="s">
        <v>13</v>
      </c>
      <c r="R165" s="16" t="s">
        <v>13</v>
      </c>
      <c r="S165" s="16" t="s">
        <v>13</v>
      </c>
      <c r="T165" s="16" t="s">
        <v>13</v>
      </c>
      <c r="U165" s="16" t="s">
        <v>13</v>
      </c>
      <c r="V165" s="16" t="s">
        <v>13</v>
      </c>
      <c r="X165" s="34" t="s">
        <v>13</v>
      </c>
    </row>
    <row r="166" spans="1:24">
      <c r="B166" s="4" t="str">
        <f>IF(B10&lt;&gt;"",B10,"[blank]")</f>
        <v>Medium pressure mains replacement program</v>
      </c>
      <c r="D166" s="31" t="s">
        <v>60</v>
      </c>
      <c r="O166" s="35"/>
      <c r="P166" s="35">
        <f>$G10*P73</f>
        <v>0</v>
      </c>
      <c r="Q166" s="35">
        <f t="shared" ref="Q166:V166" si="24">$G10*Q73</f>
        <v>637584.43559999997</v>
      </c>
      <c r="R166" s="35">
        <f t="shared" si="24"/>
        <v>1046723.9025098161</v>
      </c>
      <c r="S166" s="35">
        <f t="shared" si="24"/>
        <v>859979.15090754128</v>
      </c>
      <c r="T166" s="35">
        <f t="shared" si="24"/>
        <v>1031193.90024724</v>
      </c>
      <c r="U166" s="35">
        <f t="shared" si="24"/>
        <v>257041.75482766819</v>
      </c>
      <c r="V166" s="35">
        <f t="shared" si="24"/>
        <v>384379.97778994142</v>
      </c>
      <c r="X166" s="40">
        <f>SUM(R166:V166)</f>
        <v>3579318.6862822063</v>
      </c>
    </row>
    <row r="167" spans="1:24">
      <c r="B167" s="4" t="str">
        <f t="shared" ref="B167:B180" si="25">IF(B11&lt;&gt;"",B11,"[blank]")</f>
        <v>[blank]</v>
      </c>
      <c r="D167" s="31"/>
      <c r="O167" s="50"/>
      <c r="P167" s="50"/>
      <c r="Q167" s="50"/>
      <c r="R167" s="50"/>
      <c r="S167" s="50"/>
      <c r="T167" s="50"/>
      <c r="U167" s="50"/>
      <c r="V167" s="50"/>
      <c r="X167" s="40">
        <f t="shared" ref="X167:X180" si="26">SUM(R167:V167)</f>
        <v>0</v>
      </c>
    </row>
    <row r="168" spans="1:24">
      <c r="B168" s="4" t="str">
        <f t="shared" si="25"/>
        <v>[blank]</v>
      </c>
      <c r="X168" s="40">
        <f t="shared" si="26"/>
        <v>0</v>
      </c>
    </row>
    <row r="169" spans="1:24">
      <c r="B169" s="4" t="str">
        <f t="shared" si="25"/>
        <v>[blank]</v>
      </c>
      <c r="X169" s="40">
        <f t="shared" si="26"/>
        <v>0</v>
      </c>
    </row>
    <row r="170" spans="1:24">
      <c r="B170" s="4" t="str">
        <f t="shared" si="25"/>
        <v>[blank]</v>
      </c>
      <c r="X170" s="40">
        <f t="shared" si="26"/>
        <v>0</v>
      </c>
    </row>
    <row r="171" spans="1:24">
      <c r="B171" s="4" t="str">
        <f t="shared" si="25"/>
        <v>[blank]</v>
      </c>
      <c r="X171" s="40">
        <f t="shared" si="26"/>
        <v>0</v>
      </c>
    </row>
    <row r="172" spans="1:24">
      <c r="B172" s="4" t="str">
        <f t="shared" si="25"/>
        <v>[blank]</v>
      </c>
      <c r="X172" s="40">
        <f t="shared" si="26"/>
        <v>0</v>
      </c>
    </row>
    <row r="173" spans="1:24">
      <c r="B173" s="4" t="str">
        <f t="shared" si="25"/>
        <v>[blank]</v>
      </c>
      <c r="X173" s="40">
        <f t="shared" si="26"/>
        <v>0</v>
      </c>
    </row>
    <row r="174" spans="1:24">
      <c r="B174" s="4" t="str">
        <f t="shared" si="25"/>
        <v>[blank]</v>
      </c>
      <c r="X174" s="40">
        <f t="shared" si="26"/>
        <v>0</v>
      </c>
    </row>
    <row r="175" spans="1:24">
      <c r="B175" s="4" t="str">
        <f t="shared" si="25"/>
        <v>[blank]</v>
      </c>
      <c r="X175" s="40">
        <f t="shared" si="26"/>
        <v>0</v>
      </c>
    </row>
    <row r="176" spans="1:24">
      <c r="B176" s="4" t="str">
        <f t="shared" si="25"/>
        <v>[blank]</v>
      </c>
      <c r="X176" s="40">
        <f t="shared" si="26"/>
        <v>0</v>
      </c>
    </row>
    <row r="177" spans="1:24">
      <c r="B177" s="4" t="str">
        <f t="shared" si="25"/>
        <v>[blank]</v>
      </c>
      <c r="X177" s="40">
        <f t="shared" si="26"/>
        <v>0</v>
      </c>
    </row>
    <row r="178" spans="1:24">
      <c r="B178" s="4" t="str">
        <f t="shared" si="25"/>
        <v>[blank]</v>
      </c>
      <c r="X178" s="40">
        <f t="shared" si="26"/>
        <v>0</v>
      </c>
    </row>
    <row r="179" spans="1:24">
      <c r="B179" s="4" t="str">
        <f t="shared" si="25"/>
        <v>[blank]</v>
      </c>
      <c r="X179" s="40">
        <f t="shared" si="26"/>
        <v>0</v>
      </c>
    </row>
    <row r="180" spans="1:24">
      <c r="B180" s="4" t="str">
        <f t="shared" si="25"/>
        <v>[blank]</v>
      </c>
      <c r="X180" s="40">
        <f t="shared" si="26"/>
        <v>0</v>
      </c>
    </row>
    <row r="182" spans="1:24" ht="12.75" thickBot="1">
      <c r="B182" s="5" t="s">
        <v>87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7">SUM(Q166:Q180)</f>
        <v>637584.43559999997</v>
      </c>
      <c r="R182" s="37">
        <f t="shared" si="27"/>
        <v>1046723.9025098161</v>
      </c>
      <c r="S182" s="37">
        <f t="shared" si="27"/>
        <v>859979.15090754128</v>
      </c>
      <c r="T182" s="37">
        <f t="shared" si="27"/>
        <v>1031193.90024724</v>
      </c>
      <c r="U182" s="37">
        <f t="shared" si="27"/>
        <v>257041.75482766819</v>
      </c>
      <c r="V182" s="37">
        <f t="shared" si="27"/>
        <v>384379.97778994142</v>
      </c>
      <c r="X182" s="37">
        <f t="shared" ref="X182" si="28">SUM(R182:V182)</f>
        <v>3579318.6862822063</v>
      </c>
    </row>
    <row r="184" spans="1:24" s="1" customFormat="1">
      <c r="A184" s="2">
        <v>6</v>
      </c>
      <c r="B184" s="2" t="s">
        <v>89</v>
      </c>
    </row>
    <row r="186" spans="1:24">
      <c r="H186" s="190" t="s">
        <v>52</v>
      </c>
      <c r="I186" s="190"/>
      <c r="J186" s="190"/>
      <c r="K186" s="190"/>
      <c r="L186" s="190"/>
      <c r="M186" s="190" t="s">
        <v>53</v>
      </c>
      <c r="N186" s="190"/>
      <c r="O186" s="190"/>
      <c r="P186" s="190"/>
      <c r="Q186" s="190"/>
      <c r="R186" s="190" t="s">
        <v>54</v>
      </c>
      <c r="S186" s="190"/>
      <c r="T186" s="190"/>
      <c r="U186" s="190"/>
      <c r="V186" s="190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63</v>
      </c>
    </row>
    <row r="188" spans="1:24">
      <c r="B188" s="5" t="s">
        <v>46</v>
      </c>
      <c r="D188" s="29" t="s">
        <v>55</v>
      </c>
      <c r="H188" s="16" t="s">
        <v>12</v>
      </c>
      <c r="I188" s="16" t="s">
        <v>12</v>
      </c>
      <c r="J188" s="16" t="s">
        <v>12</v>
      </c>
      <c r="K188" s="16" t="s">
        <v>12</v>
      </c>
      <c r="L188" s="16" t="s">
        <v>12</v>
      </c>
      <c r="M188" s="16" t="s">
        <v>12</v>
      </c>
      <c r="N188" s="16" t="s">
        <v>12</v>
      </c>
      <c r="O188" s="16" t="s">
        <v>12</v>
      </c>
      <c r="P188" s="16" t="s">
        <v>13</v>
      </c>
      <c r="Q188" s="16" t="s">
        <v>13</v>
      </c>
      <c r="R188" s="16" t="s">
        <v>13</v>
      </c>
      <c r="S188" s="16" t="s">
        <v>13</v>
      </c>
      <c r="T188" s="16" t="s">
        <v>13</v>
      </c>
      <c r="U188" s="16" t="s">
        <v>13</v>
      </c>
      <c r="V188" s="16" t="s">
        <v>13</v>
      </c>
      <c r="X188" s="34" t="s">
        <v>13</v>
      </c>
    </row>
    <row r="189" spans="1:24">
      <c r="B189" s="4" t="str">
        <f>IF(B10&lt;&gt;"",B10,"[blank]")</f>
        <v>Medium pressure mains replacement program</v>
      </c>
      <c r="D189" s="31" t="s">
        <v>60</v>
      </c>
      <c r="O189" s="35"/>
      <c r="P189" s="35">
        <f>P73*P$208</f>
        <v>0</v>
      </c>
      <c r="Q189" s="35">
        <f t="shared" ref="Q189:V189" si="29">Q73*Q$208</f>
        <v>238589.50595326824</v>
      </c>
      <c r="R189" s="35">
        <f t="shared" si="29"/>
        <v>377714.55551198218</v>
      </c>
      <c r="S189" s="35">
        <f t="shared" si="29"/>
        <v>327923.36371315899</v>
      </c>
      <c r="T189" s="35">
        <f t="shared" si="29"/>
        <v>399209.49092268414</v>
      </c>
      <c r="U189" s="35">
        <f t="shared" si="29"/>
        <v>105021.71235802174</v>
      </c>
      <c r="V189" s="35">
        <f t="shared" si="29"/>
        <v>162194.11693471918</v>
      </c>
      <c r="X189" s="40">
        <f>SUM(R189:V189)</f>
        <v>1372063.2394405662</v>
      </c>
    </row>
    <row r="190" spans="1:24">
      <c r="B190" s="4" t="str">
        <f t="shared" ref="B190:B203" si="30">IF(B11&lt;&gt;"",B11,"[blank]")</f>
        <v>[blank]</v>
      </c>
      <c r="D190" s="31"/>
      <c r="O190" s="50"/>
      <c r="P190" s="50"/>
      <c r="Q190" s="50"/>
      <c r="R190" s="50"/>
      <c r="S190" s="50"/>
      <c r="T190" s="50"/>
      <c r="U190" s="50"/>
      <c r="V190" s="50"/>
      <c r="X190" s="40">
        <f t="shared" ref="X190:X203" si="31">SUM(R190:V190)</f>
        <v>0</v>
      </c>
    </row>
    <row r="191" spans="1:24">
      <c r="B191" s="4" t="str">
        <f t="shared" si="30"/>
        <v>[blank]</v>
      </c>
      <c r="X191" s="40">
        <f t="shared" si="31"/>
        <v>0</v>
      </c>
    </row>
    <row r="192" spans="1:24">
      <c r="B192" s="4" t="str">
        <f t="shared" si="30"/>
        <v>[blank]</v>
      </c>
      <c r="X192" s="40">
        <f t="shared" si="31"/>
        <v>0</v>
      </c>
    </row>
    <row r="193" spans="2:24">
      <c r="B193" s="4" t="str">
        <f t="shared" si="30"/>
        <v>[blank]</v>
      </c>
      <c r="X193" s="40">
        <f t="shared" si="31"/>
        <v>0</v>
      </c>
    </row>
    <row r="194" spans="2:24">
      <c r="B194" s="4" t="str">
        <f t="shared" si="30"/>
        <v>[blank]</v>
      </c>
      <c r="X194" s="40">
        <f t="shared" si="31"/>
        <v>0</v>
      </c>
    </row>
    <row r="195" spans="2:24">
      <c r="B195" s="4" t="str">
        <f t="shared" si="30"/>
        <v>[blank]</v>
      </c>
      <c r="X195" s="40">
        <f t="shared" si="31"/>
        <v>0</v>
      </c>
    </row>
    <row r="196" spans="2:24">
      <c r="B196" s="4" t="str">
        <f t="shared" si="30"/>
        <v>[blank]</v>
      </c>
      <c r="X196" s="40">
        <f t="shared" si="31"/>
        <v>0</v>
      </c>
    </row>
    <row r="197" spans="2:24">
      <c r="B197" s="4" t="str">
        <f t="shared" si="30"/>
        <v>[blank]</v>
      </c>
      <c r="X197" s="40">
        <f t="shared" si="31"/>
        <v>0</v>
      </c>
    </row>
    <row r="198" spans="2:24">
      <c r="B198" s="4" t="str">
        <f t="shared" si="30"/>
        <v>[blank]</v>
      </c>
      <c r="X198" s="40">
        <f t="shared" si="31"/>
        <v>0</v>
      </c>
    </row>
    <row r="199" spans="2:24">
      <c r="B199" s="4" t="str">
        <f t="shared" si="30"/>
        <v>[blank]</v>
      </c>
      <c r="X199" s="40">
        <f t="shared" si="31"/>
        <v>0</v>
      </c>
    </row>
    <row r="200" spans="2:24">
      <c r="B200" s="4" t="str">
        <f t="shared" si="30"/>
        <v>[blank]</v>
      </c>
      <c r="X200" s="40">
        <f t="shared" si="31"/>
        <v>0</v>
      </c>
    </row>
    <row r="201" spans="2:24">
      <c r="B201" s="4" t="str">
        <f t="shared" si="30"/>
        <v>[blank]</v>
      </c>
      <c r="X201" s="40">
        <f t="shared" si="31"/>
        <v>0</v>
      </c>
    </row>
    <row r="202" spans="2:24">
      <c r="B202" s="4" t="str">
        <f t="shared" si="30"/>
        <v>[blank]</v>
      </c>
      <c r="X202" s="40">
        <f t="shared" si="31"/>
        <v>0</v>
      </c>
    </row>
    <row r="203" spans="2:24">
      <c r="B203" s="4" t="str">
        <f t="shared" si="30"/>
        <v>[blank]</v>
      </c>
      <c r="X203" s="40">
        <f t="shared" si="31"/>
        <v>0</v>
      </c>
    </row>
    <row r="205" spans="2:24" ht="12.75" thickBot="1">
      <c r="B205" s="5" t="s">
        <v>88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2">SUM(Q189:Q203)</f>
        <v>238589.50595326824</v>
      </c>
      <c r="R205" s="37">
        <f t="shared" si="32"/>
        <v>377714.55551198218</v>
      </c>
      <c r="S205" s="37">
        <f t="shared" si="32"/>
        <v>327923.36371315899</v>
      </c>
      <c r="T205" s="37">
        <f t="shared" si="32"/>
        <v>399209.49092268414</v>
      </c>
      <c r="U205" s="37">
        <f t="shared" si="32"/>
        <v>105021.71235802174</v>
      </c>
      <c r="V205" s="37">
        <f t="shared" si="32"/>
        <v>162194.11693471918</v>
      </c>
      <c r="X205" s="37">
        <f t="shared" ref="X205" si="33">SUM(R205:V205)</f>
        <v>1372063.2394405662</v>
      </c>
    </row>
    <row r="207" spans="2:24">
      <c r="B207" s="4" t="s">
        <v>92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4">Q89</f>
        <v>3187922.1780000003</v>
      </c>
      <c r="R207" s="45">
        <f t="shared" si="34"/>
        <v>5233619.5125490818</v>
      </c>
      <c r="S207" s="45">
        <f t="shared" si="34"/>
        <v>4299895.7545377072</v>
      </c>
      <c r="T207" s="45">
        <f t="shared" si="34"/>
        <v>5155969.5012362013</v>
      </c>
      <c r="U207" s="45">
        <f t="shared" si="34"/>
        <v>1285208.7741383412</v>
      </c>
      <c r="V207" s="45">
        <f t="shared" si="34"/>
        <v>1921899.8889497076</v>
      </c>
      <c r="W207" s="45"/>
      <c r="X207" s="40">
        <f t="shared" si="34"/>
        <v>17896593.431411039</v>
      </c>
    </row>
    <row r="208" spans="2:24">
      <c r="B208" s="4" t="s">
        <v>90</v>
      </c>
      <c r="H208" s="21" t="str">
        <f>IFERROR(H212/H207,"")</f>
        <v/>
      </c>
      <c r="I208" s="21" t="str">
        <f t="shared" ref="I208:O208" si="35">IFERROR(I212/I207,"")</f>
        <v/>
      </c>
      <c r="J208" s="21" t="str">
        <f t="shared" si="35"/>
        <v/>
      </c>
      <c r="K208" s="21" t="str">
        <f t="shared" si="35"/>
        <v/>
      </c>
      <c r="L208" s="21" t="str">
        <f t="shared" si="35"/>
        <v/>
      </c>
      <c r="M208" s="21" t="str">
        <f t="shared" si="35"/>
        <v/>
      </c>
      <c r="N208" s="21" t="str">
        <f t="shared" si="35"/>
        <v/>
      </c>
      <c r="O208" s="21" t="str">
        <f t="shared" si="35"/>
        <v/>
      </c>
      <c r="P208" s="21">
        <f>'General assumptions'!S49</f>
        <v>0</v>
      </c>
      <c r="Q208" s="21">
        <f>'General assumptions'!T49</f>
        <v>7.4841697077734692E-2</v>
      </c>
      <c r="R208" s="21">
        <f>'General assumptions'!U49</f>
        <v>7.2170809247081261E-2</v>
      </c>
      <c r="S208" s="21">
        <f>'General assumptions'!V49</f>
        <v>7.6263096231367788E-2</v>
      </c>
      <c r="T208" s="21">
        <f>'General assumptions'!W49</f>
        <v>7.7426658716070601E-2</v>
      </c>
      <c r="U208" s="21">
        <f>'General assumptions'!X49</f>
        <v>8.1715682674538839E-2</v>
      </c>
      <c r="V208" s="21">
        <f>'General assumptions'!Y49</f>
        <v>8.4392593946897035E-2</v>
      </c>
      <c r="W208" s="21"/>
    </row>
    <row r="210" spans="1:22" ht="12.75" thickBot="1">
      <c r="B210" s="5" t="s">
        <v>91</v>
      </c>
      <c r="H210" s="37">
        <f t="shared" ref="H210:N210" si="36">IF(H188="forecast",H207*(1+H208),H207+H212)</f>
        <v>0</v>
      </c>
      <c r="I210" s="37">
        <f t="shared" si="36"/>
        <v>0</v>
      </c>
      <c r="J210" s="37">
        <f t="shared" si="36"/>
        <v>0</v>
      </c>
      <c r="K210" s="37">
        <f t="shared" si="36"/>
        <v>0</v>
      </c>
      <c r="L210" s="37">
        <f t="shared" si="36"/>
        <v>0</v>
      </c>
      <c r="M210" s="37">
        <f t="shared" si="36"/>
        <v>0</v>
      </c>
      <c r="N210" s="37">
        <f t="shared" si="36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37">IF(Q188="forecast",Q207*(1+Q208),Q207+Q212)</f>
        <v>3426511.6839532689</v>
      </c>
      <c r="R210" s="37">
        <f t="shared" si="37"/>
        <v>5611334.068061064</v>
      </c>
      <c r="S210" s="37">
        <f t="shared" si="37"/>
        <v>4627819.1182508655</v>
      </c>
      <c r="T210" s="37">
        <f t="shared" si="37"/>
        <v>5555178.9921588851</v>
      </c>
      <c r="U210" s="37">
        <f t="shared" si="37"/>
        <v>1390230.4864963631</v>
      </c>
      <c r="V210" s="37">
        <f t="shared" si="37"/>
        <v>2084094.0058844269</v>
      </c>
    </row>
    <row r="212" spans="1:22">
      <c r="B212" s="4" t="s">
        <v>18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38">Q210-Q207</f>
        <v>238589.50595326861</v>
      </c>
      <c r="R212" s="45">
        <f t="shared" si="38"/>
        <v>377714.55551198218</v>
      </c>
      <c r="S212" s="45">
        <f t="shared" si="38"/>
        <v>327923.36371315829</v>
      </c>
      <c r="T212" s="45">
        <f t="shared" si="38"/>
        <v>399209.49092268385</v>
      </c>
      <c r="U212" s="45">
        <f t="shared" si="38"/>
        <v>105021.71235802188</v>
      </c>
      <c r="V212" s="45">
        <f t="shared" si="38"/>
        <v>162194.11693471926</v>
      </c>
    </row>
    <row r="214" spans="1:22" s="1" customFormat="1">
      <c r="A214" s="2">
        <v>7</v>
      </c>
      <c r="B214" s="2" t="s">
        <v>74</v>
      </c>
    </row>
    <row r="216" spans="1:22">
      <c r="H216" s="190" t="s">
        <v>52</v>
      </c>
      <c r="I216" s="190"/>
      <c r="J216" s="190"/>
      <c r="K216" s="190"/>
      <c r="L216" s="190"/>
      <c r="M216" s="190" t="s">
        <v>53</v>
      </c>
      <c r="N216" s="190"/>
      <c r="O216" s="190"/>
      <c r="P216" s="190"/>
      <c r="Q216" s="190"/>
      <c r="R216" s="190" t="s">
        <v>54</v>
      </c>
      <c r="S216" s="190"/>
      <c r="T216" s="190"/>
      <c r="U216" s="190"/>
      <c r="V216" s="190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55</v>
      </c>
      <c r="H218" s="16" t="s">
        <v>12</v>
      </c>
      <c r="I218" s="16" t="s">
        <v>12</v>
      </c>
      <c r="J218" s="16" t="s">
        <v>12</v>
      </c>
      <c r="K218" s="16" t="s">
        <v>12</v>
      </c>
      <c r="L218" s="16" t="s">
        <v>12</v>
      </c>
      <c r="M218" s="16" t="s">
        <v>12</v>
      </c>
      <c r="N218" s="16" t="s">
        <v>12</v>
      </c>
      <c r="O218" s="16" t="s">
        <v>12</v>
      </c>
      <c r="P218" s="16" t="s">
        <v>13</v>
      </c>
      <c r="Q218" s="16" t="s">
        <v>13</v>
      </c>
      <c r="R218" s="16" t="s">
        <v>13</v>
      </c>
      <c r="S218" s="16" t="s">
        <v>13</v>
      </c>
      <c r="T218" s="16" t="s">
        <v>13</v>
      </c>
      <c r="U218" s="16" t="s">
        <v>13</v>
      </c>
      <c r="V218" s="16" t="s">
        <v>13</v>
      </c>
    </row>
    <row r="219" spans="1:22">
      <c r="B219" s="5" t="s">
        <v>94</v>
      </c>
      <c r="D219" s="31" t="s">
        <v>105</v>
      </c>
      <c r="H219" s="4" t="str">
        <f t="shared" ref="H219:O219" si="39">IFERROR(-H238/H210,"")</f>
        <v/>
      </c>
      <c r="I219" s="4" t="str">
        <f t="shared" si="39"/>
        <v/>
      </c>
      <c r="J219" s="4" t="str">
        <f t="shared" si="39"/>
        <v/>
      </c>
      <c r="K219" s="4" t="str">
        <f t="shared" si="39"/>
        <v/>
      </c>
      <c r="L219" s="4" t="str">
        <f t="shared" si="39"/>
        <v/>
      </c>
      <c r="M219" s="4" t="str">
        <f t="shared" si="39"/>
        <v/>
      </c>
      <c r="N219" s="4" t="str">
        <f t="shared" si="39"/>
        <v/>
      </c>
      <c r="O219" s="4" t="str">
        <f t="shared" si="39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46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Medium pressure mains replacement program</v>
      </c>
      <c r="D222" s="31" t="s">
        <v>60</v>
      </c>
      <c r="P222" s="45">
        <f>(-P73*(1+P$208))*P$219</f>
        <v>0</v>
      </c>
      <c r="Q222" s="45">
        <f t="shared" ref="Q222:V222" si="40">(-Q73*(1+Q$208))*Q$219</f>
        <v>0</v>
      </c>
      <c r="R222" s="45">
        <f t="shared" si="40"/>
        <v>0</v>
      </c>
      <c r="S222" s="45">
        <f t="shared" si="40"/>
        <v>0</v>
      </c>
      <c r="T222" s="45">
        <f t="shared" si="40"/>
        <v>0</v>
      </c>
      <c r="U222" s="45">
        <f t="shared" si="40"/>
        <v>0</v>
      </c>
      <c r="V222" s="45">
        <f t="shared" si="40"/>
        <v>0</v>
      </c>
    </row>
    <row r="223" spans="1:22">
      <c r="B223" s="4" t="str">
        <f t="shared" ref="B223:B236" si="41">IF(B11&lt;&gt;"",B11,"[blank]")</f>
        <v>[blank]</v>
      </c>
      <c r="D223" s="31"/>
      <c r="P223" s="45"/>
      <c r="Q223" s="45"/>
      <c r="R223" s="45"/>
      <c r="S223" s="45"/>
      <c r="T223" s="45"/>
      <c r="U223" s="45"/>
      <c r="V223" s="45"/>
    </row>
    <row r="224" spans="1:22">
      <c r="B224" s="4" t="str">
        <f t="shared" si="41"/>
        <v>[blank]</v>
      </c>
      <c r="P224" s="45"/>
      <c r="Q224" s="45"/>
      <c r="R224" s="45"/>
      <c r="S224" s="45"/>
      <c r="T224" s="45"/>
      <c r="U224" s="45"/>
      <c r="V224" s="45"/>
    </row>
    <row r="225" spans="1:22">
      <c r="B225" s="4" t="str">
        <f t="shared" si="41"/>
        <v>[blank]</v>
      </c>
      <c r="P225" s="45"/>
      <c r="Q225" s="45"/>
      <c r="R225" s="45"/>
      <c r="S225" s="45"/>
      <c r="T225" s="45"/>
      <c r="U225" s="45"/>
      <c r="V225" s="45"/>
    </row>
    <row r="226" spans="1:22">
      <c r="B226" s="4" t="str">
        <f t="shared" si="41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41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41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41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41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41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41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41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41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41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41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93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2">-P219*P210</f>
        <v>0</v>
      </c>
      <c r="Q238" s="37">
        <f t="shared" si="42"/>
        <v>0</v>
      </c>
      <c r="R238" s="37">
        <f t="shared" si="42"/>
        <v>0</v>
      </c>
      <c r="S238" s="37">
        <f t="shared" si="42"/>
        <v>0</v>
      </c>
      <c r="T238" s="37">
        <f t="shared" si="42"/>
        <v>0</v>
      </c>
      <c r="U238" s="37">
        <f t="shared" si="42"/>
        <v>0</v>
      </c>
      <c r="V238" s="37">
        <f t="shared" si="42"/>
        <v>0</v>
      </c>
    </row>
    <row r="240" spans="1:22" s="1" customFormat="1">
      <c r="A240" s="2">
        <v>8</v>
      </c>
      <c r="B240" s="2" t="s">
        <v>75</v>
      </c>
    </row>
    <row r="242" spans="1:22">
      <c r="H242" s="190" t="s">
        <v>52</v>
      </c>
      <c r="I242" s="190"/>
      <c r="J242" s="190"/>
      <c r="K242" s="190"/>
      <c r="L242" s="190"/>
      <c r="M242" s="190" t="s">
        <v>53</v>
      </c>
      <c r="N242" s="190"/>
      <c r="O242" s="190"/>
      <c r="P242" s="190"/>
      <c r="Q242" s="190"/>
      <c r="R242" s="190" t="s">
        <v>54</v>
      </c>
      <c r="S242" s="190"/>
      <c r="T242" s="190"/>
      <c r="U242" s="190"/>
      <c r="V242" s="190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55</v>
      </c>
      <c r="H244" s="16" t="s">
        <v>12</v>
      </c>
      <c r="I244" s="16" t="s">
        <v>12</v>
      </c>
      <c r="J244" s="16" t="s">
        <v>12</v>
      </c>
      <c r="K244" s="16" t="s">
        <v>12</v>
      </c>
      <c r="L244" s="16" t="s">
        <v>12</v>
      </c>
      <c r="M244" s="16" t="s">
        <v>12</v>
      </c>
      <c r="N244" s="16" t="s">
        <v>12</v>
      </c>
      <c r="O244" s="16" t="s">
        <v>12</v>
      </c>
      <c r="P244" s="16" t="s">
        <v>13</v>
      </c>
      <c r="Q244" s="16" t="s">
        <v>13</v>
      </c>
      <c r="R244" s="16" t="s">
        <v>13</v>
      </c>
      <c r="S244" s="16" t="s">
        <v>13</v>
      </c>
      <c r="T244" s="16" t="s">
        <v>13</v>
      </c>
      <c r="U244" s="16" t="s">
        <v>13</v>
      </c>
      <c r="V244" s="16" t="s">
        <v>13</v>
      </c>
    </row>
    <row r="245" spans="1:22">
      <c r="B245" s="38" t="s">
        <v>96</v>
      </c>
      <c r="D245" s="31"/>
    </row>
    <row r="246" spans="1:22">
      <c r="B246" s="47" t="s">
        <v>97</v>
      </c>
      <c r="D246" s="31" t="s">
        <v>60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98</v>
      </c>
      <c r="D247" s="31" t="s">
        <v>60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99</v>
      </c>
      <c r="D248" s="31" t="s">
        <v>60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100</v>
      </c>
      <c r="D249" s="31" t="s">
        <v>60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101</v>
      </c>
      <c r="D250" s="31" t="s">
        <v>60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102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3">SUM(Q246:Q250)</f>
        <v>0</v>
      </c>
      <c r="R252" s="49">
        <f t="shared" si="43"/>
        <v>0</v>
      </c>
      <c r="S252" s="49">
        <f t="shared" si="43"/>
        <v>0</v>
      </c>
      <c r="T252" s="49">
        <f t="shared" si="43"/>
        <v>0</v>
      </c>
      <c r="U252" s="49">
        <f t="shared" si="43"/>
        <v>0</v>
      </c>
      <c r="V252" s="49">
        <f t="shared" si="43"/>
        <v>0</v>
      </c>
    </row>
    <row r="254" spans="1:22" s="1" customFormat="1">
      <c r="A254" s="2">
        <v>9</v>
      </c>
      <c r="B254" s="2" t="s">
        <v>103</v>
      </c>
    </row>
    <row r="256" spans="1:22">
      <c r="H256" s="190" t="s">
        <v>52</v>
      </c>
      <c r="I256" s="190"/>
      <c r="J256" s="190"/>
      <c r="K256" s="190"/>
      <c r="L256" s="190"/>
      <c r="M256" s="190" t="s">
        <v>53</v>
      </c>
      <c r="N256" s="190"/>
      <c r="O256" s="190"/>
      <c r="P256" s="190"/>
      <c r="Q256" s="190"/>
      <c r="R256" s="190" t="s">
        <v>54</v>
      </c>
      <c r="S256" s="190"/>
      <c r="T256" s="190"/>
      <c r="U256" s="190"/>
      <c r="V256" s="190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55</v>
      </c>
      <c r="H258" s="16" t="s">
        <v>12</v>
      </c>
      <c r="I258" s="16" t="s">
        <v>12</v>
      </c>
      <c r="J258" s="16" t="s">
        <v>12</v>
      </c>
      <c r="K258" s="16" t="s">
        <v>12</v>
      </c>
      <c r="L258" s="16" t="s">
        <v>12</v>
      </c>
      <c r="M258" s="16" t="s">
        <v>12</v>
      </c>
      <c r="N258" s="16" t="s">
        <v>12</v>
      </c>
      <c r="O258" s="16" t="s">
        <v>12</v>
      </c>
      <c r="P258" s="16" t="s">
        <v>13</v>
      </c>
      <c r="Q258" s="16" t="s">
        <v>13</v>
      </c>
      <c r="R258" s="16" t="s">
        <v>13</v>
      </c>
      <c r="S258" s="16" t="s">
        <v>13</v>
      </c>
      <c r="T258" s="16" t="s">
        <v>13</v>
      </c>
      <c r="U258" s="16" t="s">
        <v>13</v>
      </c>
      <c r="V258" s="16" t="s">
        <v>13</v>
      </c>
    </row>
    <row r="259" spans="1:22">
      <c r="B259" s="4" t="s">
        <v>104</v>
      </c>
      <c r="D259" s="31" t="s">
        <v>60</v>
      </c>
      <c r="H259" s="45">
        <f t="shared" ref="H259:V259" si="44">H210</f>
        <v>0</v>
      </c>
      <c r="I259" s="45">
        <f t="shared" si="44"/>
        <v>0</v>
      </c>
      <c r="J259" s="45">
        <f t="shared" si="44"/>
        <v>0</v>
      </c>
      <c r="K259" s="45">
        <f t="shared" si="44"/>
        <v>0</v>
      </c>
      <c r="L259" s="45">
        <f t="shared" si="44"/>
        <v>0</v>
      </c>
      <c r="M259" s="45">
        <f t="shared" si="44"/>
        <v>0</v>
      </c>
      <c r="N259" s="45">
        <f t="shared" si="44"/>
        <v>0</v>
      </c>
      <c r="O259" s="45">
        <f t="shared" si="44"/>
        <v>0</v>
      </c>
      <c r="P259" s="45">
        <f t="shared" si="44"/>
        <v>0</v>
      </c>
      <c r="Q259" s="45">
        <f t="shared" si="44"/>
        <v>3426511.6839532689</v>
      </c>
      <c r="R259" s="45">
        <f t="shared" si="44"/>
        <v>5611334.068061064</v>
      </c>
      <c r="S259" s="45">
        <f t="shared" si="44"/>
        <v>4627819.1182508655</v>
      </c>
      <c r="T259" s="45">
        <f t="shared" si="44"/>
        <v>5555178.9921588851</v>
      </c>
      <c r="U259" s="45">
        <f t="shared" si="44"/>
        <v>1390230.4864963631</v>
      </c>
      <c r="V259" s="45">
        <f t="shared" si="44"/>
        <v>2084094.0058844269</v>
      </c>
    </row>
    <row r="260" spans="1:22">
      <c r="B260" s="4" t="s">
        <v>74</v>
      </c>
      <c r="D260" s="31" t="s">
        <v>60</v>
      </c>
      <c r="H260" s="45">
        <f>H238</f>
        <v>0</v>
      </c>
      <c r="I260" s="45">
        <f t="shared" ref="I260:V260" si="45">I238</f>
        <v>0</v>
      </c>
      <c r="J260" s="45">
        <f t="shared" si="45"/>
        <v>0</v>
      </c>
      <c r="K260" s="45">
        <f t="shared" si="45"/>
        <v>0</v>
      </c>
      <c r="L260" s="45">
        <f t="shared" si="45"/>
        <v>0</v>
      </c>
      <c r="M260" s="45">
        <f t="shared" si="45"/>
        <v>0</v>
      </c>
      <c r="N260" s="45">
        <f t="shared" si="45"/>
        <v>0</v>
      </c>
      <c r="O260" s="45">
        <f t="shared" si="45"/>
        <v>0</v>
      </c>
      <c r="P260" s="45">
        <f t="shared" si="45"/>
        <v>0</v>
      </c>
      <c r="Q260" s="45">
        <f t="shared" si="45"/>
        <v>0</v>
      </c>
      <c r="R260" s="45">
        <f t="shared" si="45"/>
        <v>0</v>
      </c>
      <c r="S260" s="45">
        <f t="shared" si="45"/>
        <v>0</v>
      </c>
      <c r="T260" s="45">
        <f t="shared" si="45"/>
        <v>0</v>
      </c>
      <c r="U260" s="45">
        <f t="shared" si="45"/>
        <v>0</v>
      </c>
      <c r="V260" s="45">
        <f t="shared" si="45"/>
        <v>0</v>
      </c>
    </row>
    <row r="261" spans="1:22">
      <c r="B261" s="4" t="s">
        <v>75</v>
      </c>
      <c r="D261" s="31" t="s">
        <v>60</v>
      </c>
      <c r="H261" s="45">
        <f>H252</f>
        <v>0</v>
      </c>
      <c r="I261" s="45">
        <f t="shared" ref="I261:V261" si="46">I252</f>
        <v>0</v>
      </c>
      <c r="J261" s="45">
        <f t="shared" si="46"/>
        <v>0</v>
      </c>
      <c r="K261" s="45">
        <f t="shared" si="46"/>
        <v>0</v>
      </c>
      <c r="L261" s="45">
        <f t="shared" si="46"/>
        <v>0</v>
      </c>
      <c r="M261" s="45">
        <f t="shared" si="46"/>
        <v>0</v>
      </c>
      <c r="N261" s="45">
        <f t="shared" si="46"/>
        <v>0</v>
      </c>
      <c r="O261" s="45">
        <f t="shared" si="46"/>
        <v>0</v>
      </c>
      <c r="P261" s="45">
        <f t="shared" si="46"/>
        <v>0</v>
      </c>
      <c r="Q261" s="45">
        <f t="shared" si="46"/>
        <v>0</v>
      </c>
      <c r="R261" s="45">
        <f t="shared" si="46"/>
        <v>0</v>
      </c>
      <c r="S261" s="45">
        <f t="shared" si="46"/>
        <v>0</v>
      </c>
      <c r="T261" s="45">
        <f t="shared" si="46"/>
        <v>0</v>
      </c>
      <c r="U261" s="45">
        <f t="shared" si="46"/>
        <v>0</v>
      </c>
      <c r="V261" s="45">
        <f t="shared" si="46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103</v>
      </c>
      <c r="D263" s="31" t="s">
        <v>60</v>
      </c>
      <c r="H263" s="37">
        <f>SUM(H259:H261)</f>
        <v>0</v>
      </c>
      <c r="I263" s="37">
        <f t="shared" ref="I263:V263" si="47">SUM(I259:I261)</f>
        <v>0</v>
      </c>
      <c r="J263" s="37">
        <f t="shared" si="47"/>
        <v>0</v>
      </c>
      <c r="K263" s="37">
        <f t="shared" si="47"/>
        <v>0</v>
      </c>
      <c r="L263" s="37">
        <f t="shared" si="47"/>
        <v>0</v>
      </c>
      <c r="M263" s="37">
        <f t="shared" si="47"/>
        <v>0</v>
      </c>
      <c r="N263" s="37">
        <f t="shared" si="47"/>
        <v>0</v>
      </c>
      <c r="O263" s="37">
        <f t="shared" si="47"/>
        <v>0</v>
      </c>
      <c r="P263" s="37">
        <f t="shared" si="47"/>
        <v>0</v>
      </c>
      <c r="Q263" s="37">
        <f t="shared" si="47"/>
        <v>3426511.6839532689</v>
      </c>
      <c r="R263" s="37">
        <f t="shared" si="47"/>
        <v>5611334.068061064</v>
      </c>
      <c r="S263" s="37">
        <f t="shared" si="47"/>
        <v>4627819.1182508655</v>
      </c>
      <c r="T263" s="37">
        <f t="shared" si="47"/>
        <v>5555178.9921588851</v>
      </c>
      <c r="U263" s="37">
        <f t="shared" si="47"/>
        <v>1390230.4864963631</v>
      </c>
      <c r="V263" s="37">
        <f t="shared" si="47"/>
        <v>2084094.0058844269</v>
      </c>
    </row>
    <row r="264" spans="1:22">
      <c r="D264" s="31"/>
    </row>
    <row r="266" spans="1:22" s="66" customFormat="1">
      <c r="A266" s="65">
        <v>10</v>
      </c>
      <c r="B266" s="65" t="s">
        <v>121</v>
      </c>
    </row>
    <row r="268" spans="1:22">
      <c r="B268" s="69" t="s">
        <v>120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315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90" t="s">
        <v>52</v>
      </c>
      <c r="I273" s="190"/>
      <c r="J273" s="190"/>
      <c r="K273" s="190"/>
      <c r="L273" s="190"/>
      <c r="M273" s="190" t="s">
        <v>53</v>
      </c>
      <c r="N273" s="190"/>
      <c r="O273" s="190"/>
      <c r="P273" s="190"/>
      <c r="Q273" s="190"/>
      <c r="R273" s="190" t="s">
        <v>54</v>
      </c>
      <c r="S273" s="190"/>
      <c r="T273" s="190"/>
      <c r="U273" s="190"/>
      <c r="V273" s="190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12</v>
      </c>
      <c r="I275" s="16" t="s">
        <v>12</v>
      </c>
      <c r="J275" s="16" t="s">
        <v>12</v>
      </c>
      <c r="K275" s="16" t="s">
        <v>12</v>
      </c>
      <c r="L275" s="16" t="s">
        <v>12</v>
      </c>
      <c r="M275" s="16" t="s">
        <v>12</v>
      </c>
      <c r="N275" s="16" t="s">
        <v>12</v>
      </c>
      <c r="O275" s="16" t="s">
        <v>12</v>
      </c>
      <c r="P275" s="16" t="s">
        <v>13</v>
      </c>
      <c r="Q275" s="16" t="s">
        <v>13</v>
      </c>
      <c r="R275" s="16" t="s">
        <v>13</v>
      </c>
      <c r="S275" s="16" t="s">
        <v>13</v>
      </c>
      <c r="T275" s="16" t="s">
        <v>13</v>
      </c>
      <c r="U275" s="16" t="s">
        <v>13</v>
      </c>
      <c r="V275" s="61" t="s">
        <v>13</v>
      </c>
    </row>
    <row r="276" spans="6:22">
      <c r="F276" s="54" t="s">
        <v>69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48">IFERROR(SUMPRODUCT($Z$73:$Z$87,Q$73:Q$87)/SUM(Q$73:Q$87)*Q$89,0)</f>
        <v>0</v>
      </c>
      <c r="R276" s="57">
        <f t="shared" si="48"/>
        <v>0</v>
      </c>
      <c r="S276" s="57">
        <f t="shared" si="48"/>
        <v>0</v>
      </c>
      <c r="T276" s="57">
        <f t="shared" si="48"/>
        <v>0</v>
      </c>
      <c r="U276" s="57">
        <f t="shared" si="48"/>
        <v>0</v>
      </c>
      <c r="V276" s="62">
        <f t="shared" si="48"/>
        <v>0</v>
      </c>
    </row>
    <row r="277" spans="6:22">
      <c r="F277" s="54" t="s">
        <v>70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49">IFERROR(SUMPRODUCT($AA$73:$AA$87,Q$73:Q$87)/SUM(Q$73:Q$87)*Q$89,0)</f>
        <v>1593961.0890000002</v>
      </c>
      <c r="R277" s="57">
        <f t="shared" si="49"/>
        <v>2616809.7562745409</v>
      </c>
      <c r="S277" s="57">
        <f t="shared" si="49"/>
        <v>2149947.8772688536</v>
      </c>
      <c r="T277" s="57">
        <f t="shared" si="49"/>
        <v>2577984.7506181006</v>
      </c>
      <c r="U277" s="57">
        <f t="shared" si="49"/>
        <v>642604.3870691706</v>
      </c>
      <c r="V277" s="62">
        <f t="shared" si="49"/>
        <v>960949.94447485381</v>
      </c>
    </row>
    <row r="278" spans="6:22">
      <c r="F278" s="54" t="s">
        <v>71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0">IFERROR(SUMPRODUCT($AB$73:$AB$87,Q$73:Q$87)/SUM(Q$73:Q$87)*Q$89,0)</f>
        <v>1593961.0890000002</v>
      </c>
      <c r="R278" s="57">
        <f t="shared" si="50"/>
        <v>2616809.7562745409</v>
      </c>
      <c r="S278" s="57">
        <f t="shared" si="50"/>
        <v>2149947.8772688536</v>
      </c>
      <c r="T278" s="57">
        <f t="shared" si="50"/>
        <v>2577984.7506181006</v>
      </c>
      <c r="U278" s="57">
        <f t="shared" si="50"/>
        <v>642604.3870691706</v>
      </c>
      <c r="V278" s="62">
        <f t="shared" si="50"/>
        <v>960949.94447485381</v>
      </c>
    </row>
    <row r="279" spans="6:22">
      <c r="F279" s="54" t="s">
        <v>72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1">IFERROR(SUMPRODUCT($AC$73:$AC$87,Q$73:Q$87)/SUM(Q$73:Q$87)*Q$89,0)</f>
        <v>0</v>
      </c>
      <c r="R279" s="57">
        <f t="shared" si="51"/>
        <v>0</v>
      </c>
      <c r="S279" s="57">
        <f t="shared" si="51"/>
        <v>0</v>
      </c>
      <c r="T279" s="57">
        <f t="shared" si="51"/>
        <v>0</v>
      </c>
      <c r="U279" s="57">
        <f t="shared" si="51"/>
        <v>0</v>
      </c>
      <c r="V279" s="62">
        <f t="shared" si="51"/>
        <v>0</v>
      </c>
    </row>
    <row r="280" spans="6:22">
      <c r="F280" s="54" t="s">
        <v>64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2">IFERROR(SUMPRODUCT($AD$73:$AD$87,Q$73:Q$87)/SUM(Q$73:Q$87)*Q$89,0)</f>
        <v>0</v>
      </c>
      <c r="R280" s="57">
        <f t="shared" si="52"/>
        <v>0</v>
      </c>
      <c r="S280" s="57">
        <f t="shared" si="52"/>
        <v>0</v>
      </c>
      <c r="T280" s="57">
        <f t="shared" si="52"/>
        <v>0</v>
      </c>
      <c r="U280" s="57">
        <f t="shared" si="52"/>
        <v>0</v>
      </c>
      <c r="V280" s="62">
        <f t="shared" si="52"/>
        <v>0</v>
      </c>
    </row>
    <row r="281" spans="6:22">
      <c r="F281" s="54" t="s">
        <v>65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53">IFERROR(SUMPRODUCT($AE$73:$AE$87,Q$73:Q$87)/SUM(Q$73:Q$87)*Q$89,0)</f>
        <v>0</v>
      </c>
      <c r="R281" s="57">
        <f t="shared" si="53"/>
        <v>0</v>
      </c>
      <c r="S281" s="57">
        <f t="shared" si="53"/>
        <v>0</v>
      </c>
      <c r="T281" s="57">
        <f t="shared" si="53"/>
        <v>0</v>
      </c>
      <c r="U281" s="57">
        <f t="shared" si="53"/>
        <v>0</v>
      </c>
      <c r="V281" s="62">
        <f t="shared" si="53"/>
        <v>0</v>
      </c>
    </row>
    <row r="282" spans="6:22">
      <c r="F282" s="54" t="s">
        <v>66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54">IFERROR(SUMPRODUCT($AF$73:$AF$87,Q$73:Q$87)/SUM(Q$73:Q$87)*Q$89,0)</f>
        <v>0</v>
      </c>
      <c r="R282" s="57">
        <f t="shared" si="54"/>
        <v>0</v>
      </c>
      <c r="S282" s="57">
        <f t="shared" si="54"/>
        <v>0</v>
      </c>
      <c r="T282" s="57">
        <f t="shared" si="54"/>
        <v>0</v>
      </c>
      <c r="U282" s="57">
        <f t="shared" si="54"/>
        <v>0</v>
      </c>
      <c r="V282" s="62">
        <f t="shared" si="54"/>
        <v>0</v>
      </c>
    </row>
    <row r="283" spans="6:22">
      <c r="F283" s="54" t="s">
        <v>107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55">IFERROR(SUMPRODUCT($AG$73:$AG$87,Q$73:Q$87)/SUM(Q$73:Q$87)*Q$89,0)</f>
        <v>0</v>
      </c>
      <c r="R283" s="57">
        <f t="shared" si="55"/>
        <v>0</v>
      </c>
      <c r="S283" s="57">
        <f t="shared" si="55"/>
        <v>0</v>
      </c>
      <c r="T283" s="57">
        <f t="shared" si="55"/>
        <v>0</v>
      </c>
      <c r="U283" s="57">
        <f t="shared" si="55"/>
        <v>0</v>
      </c>
      <c r="V283" s="62">
        <f t="shared" si="55"/>
        <v>0</v>
      </c>
    </row>
    <row r="284" spans="6:22">
      <c r="F284" s="54" t="s">
        <v>67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56">IFERROR(SUMPRODUCT($AH$73:$AH$87,Q$73:Q$87)/SUM(Q$73:Q$87)*Q$89,0)</f>
        <v>0</v>
      </c>
      <c r="R284" s="57">
        <f t="shared" si="56"/>
        <v>0</v>
      </c>
      <c r="S284" s="57">
        <f t="shared" si="56"/>
        <v>0</v>
      </c>
      <c r="T284" s="57">
        <f t="shared" si="56"/>
        <v>0</v>
      </c>
      <c r="U284" s="57">
        <f t="shared" si="56"/>
        <v>0</v>
      </c>
      <c r="V284" s="62">
        <f t="shared" si="56"/>
        <v>0</v>
      </c>
    </row>
    <row r="285" spans="6:22">
      <c r="F285" s="54" t="s">
        <v>68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57">IFERROR(SUMPRODUCT($AI$73:$AI$87,Q$73:Q$87)/SUM(Q$73:Q$87)*Q$89,0)</f>
        <v>0</v>
      </c>
      <c r="R285" s="57">
        <f t="shared" si="57"/>
        <v>0</v>
      </c>
      <c r="S285" s="57">
        <f t="shared" si="57"/>
        <v>0</v>
      </c>
      <c r="T285" s="57">
        <f t="shared" si="57"/>
        <v>0</v>
      </c>
      <c r="U285" s="57">
        <f t="shared" si="57"/>
        <v>0</v>
      </c>
      <c r="V285" s="62">
        <f t="shared" si="57"/>
        <v>0</v>
      </c>
    </row>
    <row r="286" spans="6:22">
      <c r="F286" s="54" t="s">
        <v>108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58">IFERROR(SUMPRODUCT($AJ$73:$AJ$87,Q$73:Q$87)/SUM(Q$73:Q$87)*Q$89,0)</f>
        <v>0</v>
      </c>
      <c r="R286" s="57">
        <f t="shared" si="58"/>
        <v>0</v>
      </c>
      <c r="S286" s="57">
        <f t="shared" si="58"/>
        <v>0</v>
      </c>
      <c r="T286" s="57">
        <f t="shared" si="58"/>
        <v>0</v>
      </c>
      <c r="U286" s="57">
        <f t="shared" si="58"/>
        <v>0</v>
      </c>
      <c r="V286" s="62">
        <f t="shared" si="58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109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59">SUM(Q276:Q286)</f>
        <v>3187922.1780000003</v>
      </c>
      <c r="R288" s="37">
        <f t="shared" si="59"/>
        <v>5233619.5125490818</v>
      </c>
      <c r="S288" s="37">
        <f t="shared" si="59"/>
        <v>4299895.7545377072</v>
      </c>
      <c r="T288" s="37">
        <f t="shared" si="59"/>
        <v>5155969.5012362013</v>
      </c>
      <c r="U288" s="37">
        <f t="shared" si="59"/>
        <v>1285208.7741383412</v>
      </c>
      <c r="V288" s="64">
        <f t="shared" si="59"/>
        <v>1921899.8889497076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240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90" t="s">
        <v>52</v>
      </c>
      <c r="I294" s="190"/>
      <c r="J294" s="190"/>
      <c r="K294" s="190"/>
      <c r="L294" s="190"/>
      <c r="M294" s="190" t="s">
        <v>53</v>
      </c>
      <c r="N294" s="190"/>
      <c r="O294" s="190"/>
      <c r="P294" s="190"/>
      <c r="Q294" s="190"/>
      <c r="R294" s="190" t="s">
        <v>54</v>
      </c>
      <c r="S294" s="190"/>
      <c r="T294" s="190"/>
      <c r="U294" s="190"/>
      <c r="V294" s="190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12</v>
      </c>
      <c r="I296" s="16" t="s">
        <v>12</v>
      </c>
      <c r="J296" s="16" t="s">
        <v>12</v>
      </c>
      <c r="K296" s="16" t="s">
        <v>12</v>
      </c>
      <c r="L296" s="16" t="s">
        <v>12</v>
      </c>
      <c r="M296" s="16" t="s">
        <v>12</v>
      </c>
      <c r="N296" s="16" t="s">
        <v>12</v>
      </c>
      <c r="O296" s="16" t="s">
        <v>12</v>
      </c>
      <c r="P296" s="16" t="s">
        <v>13</v>
      </c>
      <c r="Q296" s="16" t="s">
        <v>13</v>
      </c>
      <c r="R296" s="16" t="s">
        <v>13</v>
      </c>
      <c r="S296" s="16" t="s">
        <v>13</v>
      </c>
      <c r="T296" s="16" t="s">
        <v>13</v>
      </c>
      <c r="U296" s="16" t="s">
        <v>13</v>
      </c>
      <c r="V296" s="61" t="s">
        <v>13</v>
      </c>
    </row>
    <row r="297" spans="6:22">
      <c r="F297" s="54" t="s">
        <v>69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0">P276*(1+P$208)</f>
        <v>0</v>
      </c>
      <c r="Q297" s="57">
        <f t="shared" si="60"/>
        <v>0</v>
      </c>
      <c r="R297" s="57">
        <f t="shared" si="60"/>
        <v>0</v>
      </c>
      <c r="S297" s="57">
        <f t="shared" si="60"/>
        <v>0</v>
      </c>
      <c r="T297" s="57">
        <f t="shared" si="60"/>
        <v>0</v>
      </c>
      <c r="U297" s="57">
        <f t="shared" si="60"/>
        <v>0</v>
      </c>
      <c r="V297" s="62">
        <f t="shared" si="60"/>
        <v>0</v>
      </c>
    </row>
    <row r="298" spans="6:22">
      <c r="F298" s="54" t="s">
        <v>70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0"/>
        <v>0</v>
      </c>
      <c r="Q298" s="57">
        <f t="shared" si="60"/>
        <v>1713255.8419766345</v>
      </c>
      <c r="R298" s="57">
        <f t="shared" si="60"/>
        <v>2805667.034030532</v>
      </c>
      <c r="S298" s="57">
        <f t="shared" si="60"/>
        <v>2313909.5591254327</v>
      </c>
      <c r="T298" s="57">
        <f t="shared" si="60"/>
        <v>2777589.4960794426</v>
      </c>
      <c r="U298" s="57">
        <f t="shared" si="60"/>
        <v>695115.24324818153</v>
      </c>
      <c r="V298" s="62">
        <f t="shared" si="60"/>
        <v>1042047.0029422134</v>
      </c>
    </row>
    <row r="299" spans="6:22">
      <c r="F299" s="54" t="s">
        <v>71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0"/>
        <v>0</v>
      </c>
      <c r="Q299" s="57">
        <f t="shared" si="60"/>
        <v>1713255.8419766345</v>
      </c>
      <c r="R299" s="57">
        <f t="shared" si="60"/>
        <v>2805667.034030532</v>
      </c>
      <c r="S299" s="57">
        <f t="shared" si="60"/>
        <v>2313909.5591254327</v>
      </c>
      <c r="T299" s="57">
        <f t="shared" si="60"/>
        <v>2777589.4960794426</v>
      </c>
      <c r="U299" s="57">
        <f t="shared" si="60"/>
        <v>695115.24324818153</v>
      </c>
      <c r="V299" s="62">
        <f t="shared" si="60"/>
        <v>1042047.0029422134</v>
      </c>
    </row>
    <row r="300" spans="6:22">
      <c r="F300" s="54" t="s">
        <v>72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0"/>
        <v>0</v>
      </c>
      <c r="Q300" s="57">
        <f t="shared" si="60"/>
        <v>0</v>
      </c>
      <c r="R300" s="57">
        <f t="shared" si="60"/>
        <v>0</v>
      </c>
      <c r="S300" s="57">
        <f t="shared" si="60"/>
        <v>0</v>
      </c>
      <c r="T300" s="57">
        <f t="shared" si="60"/>
        <v>0</v>
      </c>
      <c r="U300" s="57">
        <f t="shared" si="60"/>
        <v>0</v>
      </c>
      <c r="V300" s="62">
        <f t="shared" si="60"/>
        <v>0</v>
      </c>
    </row>
    <row r="301" spans="6:22">
      <c r="F301" s="54" t="s">
        <v>64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0"/>
        <v>0</v>
      </c>
      <c r="Q301" s="57">
        <f t="shared" si="60"/>
        <v>0</v>
      </c>
      <c r="R301" s="57">
        <f t="shared" si="60"/>
        <v>0</v>
      </c>
      <c r="S301" s="57">
        <f t="shared" si="60"/>
        <v>0</v>
      </c>
      <c r="T301" s="57">
        <f t="shared" si="60"/>
        <v>0</v>
      </c>
      <c r="U301" s="57">
        <f t="shared" si="60"/>
        <v>0</v>
      </c>
      <c r="V301" s="62">
        <f t="shared" si="60"/>
        <v>0</v>
      </c>
    </row>
    <row r="302" spans="6:22">
      <c r="F302" s="54" t="s">
        <v>65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0"/>
        <v>0</v>
      </c>
      <c r="Q302" s="57">
        <f t="shared" si="60"/>
        <v>0</v>
      </c>
      <c r="R302" s="57">
        <f t="shared" si="60"/>
        <v>0</v>
      </c>
      <c r="S302" s="57">
        <f t="shared" si="60"/>
        <v>0</v>
      </c>
      <c r="T302" s="57">
        <f t="shared" si="60"/>
        <v>0</v>
      </c>
      <c r="U302" s="57">
        <f t="shared" si="60"/>
        <v>0</v>
      </c>
      <c r="V302" s="62">
        <f t="shared" si="60"/>
        <v>0</v>
      </c>
    </row>
    <row r="303" spans="6:22">
      <c r="F303" s="54" t="s">
        <v>66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0"/>
        <v>0</v>
      </c>
      <c r="Q303" s="57">
        <f t="shared" si="60"/>
        <v>0</v>
      </c>
      <c r="R303" s="57">
        <f t="shared" si="60"/>
        <v>0</v>
      </c>
      <c r="S303" s="57">
        <f t="shared" si="60"/>
        <v>0</v>
      </c>
      <c r="T303" s="57">
        <f t="shared" si="60"/>
        <v>0</v>
      </c>
      <c r="U303" s="57">
        <f t="shared" si="60"/>
        <v>0</v>
      </c>
      <c r="V303" s="62">
        <f t="shared" si="60"/>
        <v>0</v>
      </c>
    </row>
    <row r="304" spans="6:22">
      <c r="F304" s="54" t="s">
        <v>107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0"/>
        <v>0</v>
      </c>
      <c r="Q304" s="57">
        <f t="shared" si="60"/>
        <v>0</v>
      </c>
      <c r="R304" s="57">
        <f t="shared" si="60"/>
        <v>0</v>
      </c>
      <c r="S304" s="57">
        <f t="shared" si="60"/>
        <v>0</v>
      </c>
      <c r="T304" s="57">
        <f t="shared" si="60"/>
        <v>0</v>
      </c>
      <c r="U304" s="57">
        <f t="shared" si="60"/>
        <v>0</v>
      </c>
      <c r="V304" s="62">
        <f t="shared" si="60"/>
        <v>0</v>
      </c>
    </row>
    <row r="305" spans="6:22">
      <c r="F305" s="54" t="s">
        <v>67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0"/>
        <v>0</v>
      </c>
      <c r="Q305" s="57">
        <f t="shared" si="60"/>
        <v>0</v>
      </c>
      <c r="R305" s="57">
        <f t="shared" si="60"/>
        <v>0</v>
      </c>
      <c r="S305" s="57">
        <f t="shared" si="60"/>
        <v>0</v>
      </c>
      <c r="T305" s="57">
        <f t="shared" si="60"/>
        <v>0</v>
      </c>
      <c r="U305" s="57">
        <f t="shared" si="60"/>
        <v>0</v>
      </c>
      <c r="V305" s="62">
        <f t="shared" si="60"/>
        <v>0</v>
      </c>
    </row>
    <row r="306" spans="6:22">
      <c r="F306" s="54" t="s">
        <v>68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0"/>
        <v>0</v>
      </c>
      <c r="Q306" s="57">
        <f t="shared" si="60"/>
        <v>0</v>
      </c>
      <c r="R306" s="57">
        <f t="shared" si="60"/>
        <v>0</v>
      </c>
      <c r="S306" s="57">
        <f t="shared" si="60"/>
        <v>0</v>
      </c>
      <c r="T306" s="57">
        <f t="shared" si="60"/>
        <v>0</v>
      </c>
      <c r="U306" s="57">
        <f t="shared" si="60"/>
        <v>0</v>
      </c>
      <c r="V306" s="62">
        <f t="shared" si="60"/>
        <v>0</v>
      </c>
    </row>
    <row r="307" spans="6:22">
      <c r="F307" s="54" t="s">
        <v>108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0"/>
        <v>0</v>
      </c>
      <c r="Q307" s="57">
        <f t="shared" si="60"/>
        <v>0</v>
      </c>
      <c r="R307" s="57">
        <f t="shared" si="60"/>
        <v>0</v>
      </c>
      <c r="S307" s="57">
        <f t="shared" si="60"/>
        <v>0</v>
      </c>
      <c r="T307" s="57">
        <f t="shared" si="60"/>
        <v>0</v>
      </c>
      <c r="U307" s="57">
        <f t="shared" si="60"/>
        <v>0</v>
      </c>
      <c r="V307" s="62">
        <f t="shared" si="60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109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1">SUM(Q297:Q307)</f>
        <v>3426511.6839532689</v>
      </c>
      <c r="R309" s="37">
        <f t="shared" si="61"/>
        <v>5611334.068061064</v>
      </c>
      <c r="S309" s="37">
        <f t="shared" si="61"/>
        <v>4627819.1182508655</v>
      </c>
      <c r="T309" s="37">
        <f t="shared" si="61"/>
        <v>5555178.9921588851</v>
      </c>
      <c r="U309" s="37">
        <f t="shared" si="61"/>
        <v>1390230.4864963631</v>
      </c>
      <c r="V309" s="64">
        <f t="shared" si="61"/>
        <v>2084094.0058844269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241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90" t="s">
        <v>52</v>
      </c>
      <c r="I315" s="190"/>
      <c r="J315" s="190"/>
      <c r="K315" s="190"/>
      <c r="L315" s="190"/>
      <c r="M315" s="190" t="s">
        <v>53</v>
      </c>
      <c r="N315" s="190"/>
      <c r="O315" s="190"/>
      <c r="P315" s="190"/>
      <c r="Q315" s="190"/>
      <c r="R315" s="190" t="s">
        <v>54</v>
      </c>
      <c r="S315" s="190"/>
      <c r="T315" s="190"/>
      <c r="U315" s="190"/>
      <c r="V315" s="190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12</v>
      </c>
      <c r="I317" s="16" t="s">
        <v>12</v>
      </c>
      <c r="J317" s="16" t="s">
        <v>12</v>
      </c>
      <c r="K317" s="16" t="s">
        <v>12</v>
      </c>
      <c r="L317" s="16" t="s">
        <v>12</v>
      </c>
      <c r="M317" s="16" t="s">
        <v>12</v>
      </c>
      <c r="N317" s="16" t="s">
        <v>12</v>
      </c>
      <c r="O317" s="16" t="s">
        <v>12</v>
      </c>
      <c r="P317" s="16" t="s">
        <v>13</v>
      </c>
      <c r="Q317" s="16" t="s">
        <v>13</v>
      </c>
      <c r="R317" s="16" t="s">
        <v>13</v>
      </c>
      <c r="S317" s="16" t="s">
        <v>13</v>
      </c>
      <c r="T317" s="16" t="s">
        <v>13</v>
      </c>
      <c r="U317" s="16" t="s">
        <v>13</v>
      </c>
      <c r="V317" s="61" t="s">
        <v>13</v>
      </c>
    </row>
    <row r="318" spans="6:22">
      <c r="F318" s="54" t="s">
        <v>69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2">P297*(1-P$219)</f>
        <v>0</v>
      </c>
      <c r="Q318" s="57">
        <f t="shared" si="62"/>
        <v>0</v>
      </c>
      <c r="R318" s="57">
        <f t="shared" si="62"/>
        <v>0</v>
      </c>
      <c r="S318" s="57">
        <f t="shared" si="62"/>
        <v>0</v>
      </c>
      <c r="T318" s="57">
        <f t="shared" si="62"/>
        <v>0</v>
      </c>
      <c r="U318" s="57">
        <f t="shared" si="62"/>
        <v>0</v>
      </c>
      <c r="V318" s="62">
        <f t="shared" si="62"/>
        <v>0</v>
      </c>
    </row>
    <row r="319" spans="6:22">
      <c r="F319" s="54" t="s">
        <v>70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2"/>
        <v>0</v>
      </c>
      <c r="Q319" s="57">
        <f t="shared" si="62"/>
        <v>1713255.8419766345</v>
      </c>
      <c r="R319" s="57">
        <f t="shared" si="62"/>
        <v>2805667.034030532</v>
      </c>
      <c r="S319" s="57">
        <f t="shared" si="62"/>
        <v>2313909.5591254327</v>
      </c>
      <c r="T319" s="57">
        <f t="shared" si="62"/>
        <v>2777589.4960794426</v>
      </c>
      <c r="U319" s="57">
        <f t="shared" si="62"/>
        <v>695115.24324818153</v>
      </c>
      <c r="V319" s="62">
        <f t="shared" si="62"/>
        <v>1042047.0029422134</v>
      </c>
    </row>
    <row r="320" spans="6:22">
      <c r="F320" s="54" t="s">
        <v>71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2"/>
        <v>0</v>
      </c>
      <c r="Q320" s="57">
        <f t="shared" si="62"/>
        <v>1713255.8419766345</v>
      </c>
      <c r="R320" s="57">
        <f t="shared" si="62"/>
        <v>2805667.034030532</v>
      </c>
      <c r="S320" s="57">
        <f t="shared" si="62"/>
        <v>2313909.5591254327</v>
      </c>
      <c r="T320" s="57">
        <f t="shared" si="62"/>
        <v>2777589.4960794426</v>
      </c>
      <c r="U320" s="57">
        <f t="shared" si="62"/>
        <v>695115.24324818153</v>
      </c>
      <c r="V320" s="62">
        <f t="shared" si="62"/>
        <v>1042047.0029422134</v>
      </c>
    </row>
    <row r="321" spans="6:22">
      <c r="F321" s="54" t="s">
        <v>72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2"/>
        <v>0</v>
      </c>
      <c r="Q321" s="57">
        <f t="shared" si="62"/>
        <v>0</v>
      </c>
      <c r="R321" s="57">
        <f t="shared" si="62"/>
        <v>0</v>
      </c>
      <c r="S321" s="57">
        <f t="shared" si="62"/>
        <v>0</v>
      </c>
      <c r="T321" s="57">
        <f t="shared" si="62"/>
        <v>0</v>
      </c>
      <c r="U321" s="57">
        <f t="shared" si="62"/>
        <v>0</v>
      </c>
      <c r="V321" s="62">
        <f t="shared" si="62"/>
        <v>0</v>
      </c>
    </row>
    <row r="322" spans="6:22">
      <c r="F322" s="54" t="s">
        <v>64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2"/>
        <v>0</v>
      </c>
      <c r="Q322" s="57">
        <f t="shared" si="62"/>
        <v>0</v>
      </c>
      <c r="R322" s="57">
        <f t="shared" si="62"/>
        <v>0</v>
      </c>
      <c r="S322" s="57">
        <f t="shared" si="62"/>
        <v>0</v>
      </c>
      <c r="T322" s="57">
        <f t="shared" si="62"/>
        <v>0</v>
      </c>
      <c r="U322" s="57">
        <f t="shared" si="62"/>
        <v>0</v>
      </c>
      <c r="V322" s="62">
        <f t="shared" si="62"/>
        <v>0</v>
      </c>
    </row>
    <row r="323" spans="6:22">
      <c r="F323" s="54" t="s">
        <v>65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2"/>
        <v>0</v>
      </c>
      <c r="Q323" s="57">
        <f t="shared" si="62"/>
        <v>0</v>
      </c>
      <c r="R323" s="57">
        <f t="shared" si="62"/>
        <v>0</v>
      </c>
      <c r="S323" s="57">
        <f t="shared" si="62"/>
        <v>0</v>
      </c>
      <c r="T323" s="57">
        <f t="shared" si="62"/>
        <v>0</v>
      </c>
      <c r="U323" s="57">
        <f t="shared" si="62"/>
        <v>0</v>
      </c>
      <c r="V323" s="62">
        <f t="shared" si="62"/>
        <v>0</v>
      </c>
    </row>
    <row r="324" spans="6:22">
      <c r="F324" s="54" t="s">
        <v>66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2"/>
        <v>0</v>
      </c>
      <c r="Q324" s="57">
        <f t="shared" si="62"/>
        <v>0</v>
      </c>
      <c r="R324" s="57">
        <f t="shared" si="62"/>
        <v>0</v>
      </c>
      <c r="S324" s="57">
        <f t="shared" si="62"/>
        <v>0</v>
      </c>
      <c r="T324" s="57">
        <f t="shared" si="62"/>
        <v>0</v>
      </c>
      <c r="U324" s="57">
        <f t="shared" si="62"/>
        <v>0</v>
      </c>
      <c r="V324" s="62">
        <f t="shared" si="62"/>
        <v>0</v>
      </c>
    </row>
    <row r="325" spans="6:22">
      <c r="F325" s="54" t="s">
        <v>107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2"/>
        <v>0</v>
      </c>
      <c r="Q325" s="57">
        <f t="shared" si="62"/>
        <v>0</v>
      </c>
      <c r="R325" s="57">
        <f t="shared" si="62"/>
        <v>0</v>
      </c>
      <c r="S325" s="57">
        <f t="shared" si="62"/>
        <v>0</v>
      </c>
      <c r="T325" s="57">
        <f t="shared" si="62"/>
        <v>0</v>
      </c>
      <c r="U325" s="57">
        <f t="shared" si="62"/>
        <v>0</v>
      </c>
      <c r="V325" s="62">
        <f t="shared" si="62"/>
        <v>0</v>
      </c>
    </row>
    <row r="326" spans="6:22">
      <c r="F326" s="54" t="s">
        <v>67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2"/>
        <v>0</v>
      </c>
      <c r="Q326" s="57">
        <f t="shared" si="62"/>
        <v>0</v>
      </c>
      <c r="R326" s="57">
        <f t="shared" si="62"/>
        <v>0</v>
      </c>
      <c r="S326" s="57">
        <f t="shared" si="62"/>
        <v>0</v>
      </c>
      <c r="T326" s="57">
        <f t="shared" si="62"/>
        <v>0</v>
      </c>
      <c r="U326" s="57">
        <f t="shared" si="62"/>
        <v>0</v>
      </c>
      <c r="V326" s="62">
        <f t="shared" si="62"/>
        <v>0</v>
      </c>
    </row>
    <row r="327" spans="6:22">
      <c r="F327" s="54" t="s">
        <v>68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2"/>
        <v>0</v>
      </c>
      <c r="Q327" s="57">
        <f t="shared" si="62"/>
        <v>0</v>
      </c>
      <c r="R327" s="57">
        <f t="shared" si="62"/>
        <v>0</v>
      </c>
      <c r="S327" s="57">
        <f t="shared" si="62"/>
        <v>0</v>
      </c>
      <c r="T327" s="57">
        <f t="shared" si="62"/>
        <v>0</v>
      </c>
      <c r="U327" s="57">
        <f t="shared" si="62"/>
        <v>0</v>
      </c>
      <c r="V327" s="62">
        <f t="shared" si="62"/>
        <v>0</v>
      </c>
    </row>
    <row r="328" spans="6:22">
      <c r="F328" s="54" t="s">
        <v>108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2"/>
        <v>0</v>
      </c>
      <c r="Q328" s="57">
        <f t="shared" si="62"/>
        <v>0</v>
      </c>
      <c r="R328" s="57">
        <f t="shared" si="62"/>
        <v>0</v>
      </c>
      <c r="S328" s="57">
        <f t="shared" si="62"/>
        <v>0</v>
      </c>
      <c r="T328" s="57">
        <f t="shared" si="62"/>
        <v>0</v>
      </c>
      <c r="U328" s="57">
        <f t="shared" si="62"/>
        <v>0</v>
      </c>
      <c r="V328" s="62">
        <f t="shared" si="62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109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3">SUM(Q318:Q328)</f>
        <v>3426511.6839532689</v>
      </c>
      <c r="R330" s="37">
        <f t="shared" si="63"/>
        <v>5611334.068061064</v>
      </c>
      <c r="S330" s="37">
        <f t="shared" si="63"/>
        <v>4627819.1182508655</v>
      </c>
      <c r="T330" s="37">
        <f t="shared" si="63"/>
        <v>5555178.9921588851</v>
      </c>
      <c r="U330" s="37">
        <f t="shared" si="63"/>
        <v>1390230.4864963631</v>
      </c>
      <c r="V330" s="64">
        <f t="shared" si="63"/>
        <v>2084094.0058844269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242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90" t="s">
        <v>52</v>
      </c>
      <c r="I336" s="190"/>
      <c r="J336" s="190"/>
      <c r="K336" s="190"/>
      <c r="L336" s="190"/>
      <c r="M336" s="190" t="s">
        <v>53</v>
      </c>
      <c r="N336" s="190"/>
      <c r="O336" s="190"/>
      <c r="P336" s="190"/>
      <c r="Q336" s="190"/>
      <c r="R336" s="190" t="s">
        <v>54</v>
      </c>
      <c r="S336" s="190"/>
      <c r="T336" s="190"/>
      <c r="U336" s="190"/>
      <c r="V336" s="190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12</v>
      </c>
      <c r="I338" s="16" t="s">
        <v>12</v>
      </c>
      <c r="J338" s="16" t="s">
        <v>12</v>
      </c>
      <c r="K338" s="16" t="s">
        <v>12</v>
      </c>
      <c r="L338" s="16" t="s">
        <v>12</v>
      </c>
      <c r="M338" s="16" t="s">
        <v>12</v>
      </c>
      <c r="N338" s="16" t="s">
        <v>12</v>
      </c>
      <c r="O338" s="16" t="s">
        <v>12</v>
      </c>
      <c r="P338" s="16" t="s">
        <v>13</v>
      </c>
      <c r="Q338" s="16" t="s">
        <v>13</v>
      </c>
      <c r="R338" s="16" t="s">
        <v>13</v>
      </c>
      <c r="S338" s="16" t="s">
        <v>13</v>
      </c>
      <c r="T338" s="16" t="s">
        <v>13</v>
      </c>
      <c r="U338" s="16" t="s">
        <v>13</v>
      </c>
      <c r="V338" s="61" t="s">
        <v>13</v>
      </c>
    </row>
    <row r="339" spans="6:22" ht="12.75" customHeight="1">
      <c r="F339" s="54" t="s">
        <v>69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64">Q297*Q$219</f>
        <v>0</v>
      </c>
      <c r="R339" s="57">
        <f t="shared" si="64"/>
        <v>0</v>
      </c>
      <c r="S339" s="57">
        <f t="shared" si="64"/>
        <v>0</v>
      </c>
      <c r="T339" s="57">
        <f t="shared" si="64"/>
        <v>0</v>
      </c>
      <c r="U339" s="57">
        <f t="shared" si="64"/>
        <v>0</v>
      </c>
      <c r="V339" s="62">
        <f t="shared" si="64"/>
        <v>0</v>
      </c>
    </row>
    <row r="340" spans="6:22" ht="12.75" customHeight="1">
      <c r="F340" s="54" t="s">
        <v>70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65">P298*P$219</f>
        <v>0</v>
      </c>
      <c r="Q340" s="57">
        <f t="shared" si="64"/>
        <v>0</v>
      </c>
      <c r="R340" s="57">
        <f t="shared" si="64"/>
        <v>0</v>
      </c>
      <c r="S340" s="57">
        <f t="shared" si="64"/>
        <v>0</v>
      </c>
      <c r="T340" s="57">
        <f t="shared" si="64"/>
        <v>0</v>
      </c>
      <c r="U340" s="57">
        <f t="shared" si="64"/>
        <v>0</v>
      </c>
      <c r="V340" s="62">
        <f t="shared" si="64"/>
        <v>0</v>
      </c>
    </row>
    <row r="341" spans="6:22" ht="12.75" customHeight="1">
      <c r="F341" s="54" t="s">
        <v>71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65"/>
        <v>0</v>
      </c>
      <c r="Q341" s="57">
        <f t="shared" si="64"/>
        <v>0</v>
      </c>
      <c r="R341" s="57">
        <f t="shared" si="64"/>
        <v>0</v>
      </c>
      <c r="S341" s="57">
        <f t="shared" si="64"/>
        <v>0</v>
      </c>
      <c r="T341" s="57">
        <f t="shared" si="64"/>
        <v>0</v>
      </c>
      <c r="U341" s="57">
        <f t="shared" si="64"/>
        <v>0</v>
      </c>
      <c r="V341" s="62">
        <f t="shared" si="64"/>
        <v>0</v>
      </c>
    </row>
    <row r="342" spans="6:22" ht="12.75" customHeight="1">
      <c r="F342" s="54" t="s">
        <v>72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65"/>
        <v>0</v>
      </c>
      <c r="Q342" s="57">
        <f t="shared" si="64"/>
        <v>0</v>
      </c>
      <c r="R342" s="57">
        <f t="shared" si="64"/>
        <v>0</v>
      </c>
      <c r="S342" s="57">
        <f t="shared" si="64"/>
        <v>0</v>
      </c>
      <c r="T342" s="57">
        <f t="shared" si="64"/>
        <v>0</v>
      </c>
      <c r="U342" s="57">
        <f t="shared" si="64"/>
        <v>0</v>
      </c>
      <c r="V342" s="62">
        <f t="shared" si="64"/>
        <v>0</v>
      </c>
    </row>
    <row r="343" spans="6:22" ht="12.75" customHeight="1">
      <c r="F343" s="54" t="s">
        <v>64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65"/>
        <v>0</v>
      </c>
      <c r="Q343" s="57">
        <f t="shared" si="64"/>
        <v>0</v>
      </c>
      <c r="R343" s="57">
        <f t="shared" si="64"/>
        <v>0</v>
      </c>
      <c r="S343" s="57">
        <f t="shared" si="64"/>
        <v>0</v>
      </c>
      <c r="T343" s="57">
        <f t="shared" si="64"/>
        <v>0</v>
      </c>
      <c r="U343" s="57">
        <f t="shared" si="64"/>
        <v>0</v>
      </c>
      <c r="V343" s="62">
        <f t="shared" si="64"/>
        <v>0</v>
      </c>
    </row>
    <row r="344" spans="6:22" ht="12.75" customHeight="1">
      <c r="F344" s="54" t="s">
        <v>65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65"/>
        <v>0</v>
      </c>
      <c r="Q344" s="57">
        <f t="shared" si="64"/>
        <v>0</v>
      </c>
      <c r="R344" s="57">
        <f t="shared" si="64"/>
        <v>0</v>
      </c>
      <c r="S344" s="57">
        <f t="shared" si="64"/>
        <v>0</v>
      </c>
      <c r="T344" s="57">
        <f t="shared" si="64"/>
        <v>0</v>
      </c>
      <c r="U344" s="57">
        <f t="shared" si="64"/>
        <v>0</v>
      </c>
      <c r="V344" s="62">
        <f t="shared" si="64"/>
        <v>0</v>
      </c>
    </row>
    <row r="345" spans="6:22" ht="12.75" customHeight="1">
      <c r="F345" s="54" t="s">
        <v>66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65"/>
        <v>0</v>
      </c>
      <c r="Q345" s="57">
        <f t="shared" si="64"/>
        <v>0</v>
      </c>
      <c r="R345" s="57">
        <f t="shared" si="64"/>
        <v>0</v>
      </c>
      <c r="S345" s="57">
        <f t="shared" si="64"/>
        <v>0</v>
      </c>
      <c r="T345" s="57">
        <f t="shared" si="64"/>
        <v>0</v>
      </c>
      <c r="U345" s="57">
        <f t="shared" si="64"/>
        <v>0</v>
      </c>
      <c r="V345" s="62">
        <f t="shared" si="64"/>
        <v>0</v>
      </c>
    </row>
    <row r="346" spans="6:22" ht="12.75" customHeight="1">
      <c r="F346" s="54" t="s">
        <v>107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65"/>
        <v>0</v>
      </c>
      <c r="Q346" s="57">
        <f t="shared" si="64"/>
        <v>0</v>
      </c>
      <c r="R346" s="57">
        <f t="shared" si="64"/>
        <v>0</v>
      </c>
      <c r="S346" s="57">
        <f t="shared" si="64"/>
        <v>0</v>
      </c>
      <c r="T346" s="57">
        <f t="shared" si="64"/>
        <v>0</v>
      </c>
      <c r="U346" s="57">
        <f t="shared" si="64"/>
        <v>0</v>
      </c>
      <c r="V346" s="62">
        <f t="shared" si="64"/>
        <v>0</v>
      </c>
    </row>
    <row r="347" spans="6:22" ht="12.75" customHeight="1">
      <c r="F347" s="54" t="s">
        <v>67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65"/>
        <v>0</v>
      </c>
      <c r="Q347" s="57">
        <f t="shared" si="64"/>
        <v>0</v>
      </c>
      <c r="R347" s="57">
        <f t="shared" si="64"/>
        <v>0</v>
      </c>
      <c r="S347" s="57">
        <f t="shared" si="64"/>
        <v>0</v>
      </c>
      <c r="T347" s="57">
        <f t="shared" si="64"/>
        <v>0</v>
      </c>
      <c r="U347" s="57">
        <f t="shared" si="64"/>
        <v>0</v>
      </c>
      <c r="V347" s="62">
        <f t="shared" si="64"/>
        <v>0</v>
      </c>
    </row>
    <row r="348" spans="6:22" ht="12.75" customHeight="1">
      <c r="F348" s="54" t="s">
        <v>68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65"/>
        <v>0</v>
      </c>
      <c r="Q348" s="57">
        <f t="shared" si="64"/>
        <v>0</v>
      </c>
      <c r="R348" s="57">
        <f t="shared" si="64"/>
        <v>0</v>
      </c>
      <c r="S348" s="57">
        <f t="shared" si="64"/>
        <v>0</v>
      </c>
      <c r="T348" s="57">
        <f t="shared" si="64"/>
        <v>0</v>
      </c>
      <c r="U348" s="57">
        <f t="shared" si="64"/>
        <v>0</v>
      </c>
      <c r="V348" s="62">
        <f t="shared" si="64"/>
        <v>0</v>
      </c>
    </row>
    <row r="349" spans="6:22" ht="12.75" customHeight="1">
      <c r="F349" s="54" t="s">
        <v>108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65"/>
        <v>0</v>
      </c>
      <c r="Q349" s="57">
        <f t="shared" si="64"/>
        <v>0</v>
      </c>
      <c r="R349" s="57">
        <f t="shared" si="64"/>
        <v>0</v>
      </c>
      <c r="S349" s="57">
        <f t="shared" si="64"/>
        <v>0</v>
      </c>
      <c r="T349" s="57">
        <f t="shared" si="64"/>
        <v>0</v>
      </c>
      <c r="U349" s="57">
        <f t="shared" si="64"/>
        <v>0</v>
      </c>
      <c r="V349" s="62">
        <f t="shared" si="64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109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66">SUM(Q339:Q349)</f>
        <v>0</v>
      </c>
      <c r="R351" s="37">
        <f t="shared" si="66"/>
        <v>0</v>
      </c>
      <c r="S351" s="37">
        <f t="shared" si="66"/>
        <v>0</v>
      </c>
      <c r="T351" s="37">
        <f t="shared" si="66"/>
        <v>0</v>
      </c>
      <c r="U351" s="37">
        <f t="shared" si="66"/>
        <v>0</v>
      </c>
      <c r="V351" s="64">
        <f t="shared" si="66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122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240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90" t="s">
        <v>52</v>
      </c>
      <c r="I359" s="190"/>
      <c r="J359" s="190"/>
      <c r="K359" s="190"/>
      <c r="L359" s="190"/>
      <c r="M359" s="190" t="s">
        <v>53</v>
      </c>
      <c r="N359" s="190"/>
      <c r="O359" s="190"/>
      <c r="P359" s="190"/>
      <c r="Q359" s="190"/>
      <c r="R359" s="190" t="s">
        <v>54</v>
      </c>
      <c r="S359" s="190"/>
      <c r="T359" s="190"/>
      <c r="U359" s="190"/>
      <c r="V359" s="190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12</v>
      </c>
      <c r="I361" s="16" t="s">
        <v>12</v>
      </c>
      <c r="J361" s="16" t="s">
        <v>12</v>
      </c>
      <c r="K361" s="16" t="s">
        <v>12</v>
      </c>
      <c r="L361" s="16" t="s">
        <v>12</v>
      </c>
      <c r="M361" s="16" t="s">
        <v>12</v>
      </c>
      <c r="N361" s="16" t="s">
        <v>12</v>
      </c>
      <c r="O361" s="16" t="s">
        <v>12</v>
      </c>
      <c r="P361" s="16" t="s">
        <v>13</v>
      </c>
      <c r="Q361" s="16" t="s">
        <v>13</v>
      </c>
      <c r="R361" s="16" t="s">
        <v>13</v>
      </c>
      <c r="S361" s="16" t="s">
        <v>13</v>
      </c>
      <c r="T361" s="16" t="s">
        <v>13</v>
      </c>
      <c r="U361" s="16" t="s">
        <v>13</v>
      </c>
      <c r="V361" s="61" t="s">
        <v>13</v>
      </c>
    </row>
    <row r="362" spans="2:22">
      <c r="F362" s="54" t="s">
        <v>111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67">IFERROR(SUMPRODUCT($AM$73:$AM$87,Q$73:Q$87)/SUM(Q$73:Q$87)*Q$89,0)</f>
        <v>3187922.1780000003</v>
      </c>
      <c r="R362" s="57">
        <f t="shared" si="67"/>
        <v>5233619.5125490818</v>
      </c>
      <c r="S362" s="57">
        <f t="shared" si="67"/>
        <v>4299895.7545377072</v>
      </c>
      <c r="T362" s="57">
        <f t="shared" si="67"/>
        <v>5155969.5012362013</v>
      </c>
      <c r="U362" s="57">
        <f t="shared" si="67"/>
        <v>1285208.7741383412</v>
      </c>
      <c r="V362" s="62">
        <f t="shared" si="67"/>
        <v>1921899.8889497076</v>
      </c>
    </row>
    <row r="363" spans="2:22">
      <c r="F363" s="54" t="s">
        <v>112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68">IFERROR(SUMPRODUCT($AN$73:$AN$87,Q$73:Q$87)/SUM(Q$73:Q$87)*Q$89,0)</f>
        <v>0</v>
      </c>
      <c r="R363" s="57">
        <f t="shared" si="68"/>
        <v>0</v>
      </c>
      <c r="S363" s="57">
        <f t="shared" si="68"/>
        <v>0</v>
      </c>
      <c r="T363" s="57">
        <f t="shared" si="68"/>
        <v>0</v>
      </c>
      <c r="U363" s="57">
        <f t="shared" si="68"/>
        <v>0</v>
      </c>
      <c r="V363" s="62">
        <f t="shared" si="68"/>
        <v>0</v>
      </c>
    </row>
    <row r="364" spans="2:22">
      <c r="F364" s="54" t="s">
        <v>113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69">IFERROR(SUMPRODUCT($AO$73:$AO$87,Q$73:Q$87)/SUM(Q$73:Q$87)*Q$89,0)</f>
        <v>0</v>
      </c>
      <c r="R364" s="57">
        <f t="shared" si="69"/>
        <v>0</v>
      </c>
      <c r="S364" s="57">
        <f t="shared" si="69"/>
        <v>0</v>
      </c>
      <c r="T364" s="57">
        <f t="shared" si="69"/>
        <v>0</v>
      </c>
      <c r="U364" s="57">
        <f t="shared" si="69"/>
        <v>0</v>
      </c>
      <c r="V364" s="62">
        <f t="shared" si="69"/>
        <v>0</v>
      </c>
    </row>
    <row r="365" spans="2:22">
      <c r="F365" s="54" t="s">
        <v>114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0">IFERROR(SUMPRODUCT($AP$73:$AP$87,Q$73:Q$87)/SUM(Q$73:Q$87)*Q$89,0)</f>
        <v>0</v>
      </c>
      <c r="R365" s="57">
        <f t="shared" si="70"/>
        <v>0</v>
      </c>
      <c r="S365" s="57">
        <f t="shared" si="70"/>
        <v>0</v>
      </c>
      <c r="T365" s="57">
        <f t="shared" si="70"/>
        <v>0</v>
      </c>
      <c r="U365" s="57">
        <f t="shared" si="70"/>
        <v>0</v>
      </c>
      <c r="V365" s="62">
        <f t="shared" si="70"/>
        <v>0</v>
      </c>
    </row>
    <row r="366" spans="2:22">
      <c r="F366" s="54" t="s">
        <v>115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1">IFERROR(SUMPRODUCT($AQ$73:$AQ$87,Q$73:Q$87)/SUM(Q$73:Q$87)*Q$89,0)</f>
        <v>0</v>
      </c>
      <c r="R366" s="57">
        <f t="shared" si="71"/>
        <v>0</v>
      </c>
      <c r="S366" s="57">
        <f t="shared" si="71"/>
        <v>0</v>
      </c>
      <c r="T366" s="57">
        <f t="shared" si="71"/>
        <v>0</v>
      </c>
      <c r="U366" s="57">
        <f t="shared" si="71"/>
        <v>0</v>
      </c>
      <c r="V366" s="62">
        <f t="shared" si="71"/>
        <v>0</v>
      </c>
    </row>
    <row r="367" spans="2:22">
      <c r="F367" s="54" t="s">
        <v>36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2">IFERROR(SUMPRODUCT($AR$73:$AR$87,Q$73:Q$87)/SUM(Q$73:Q$87)*Q$89,0)</f>
        <v>0</v>
      </c>
      <c r="R367" s="57">
        <f t="shared" si="72"/>
        <v>0</v>
      </c>
      <c r="S367" s="57">
        <f t="shared" si="72"/>
        <v>0</v>
      </c>
      <c r="T367" s="57">
        <f t="shared" si="72"/>
        <v>0</v>
      </c>
      <c r="U367" s="57">
        <f t="shared" si="72"/>
        <v>0</v>
      </c>
      <c r="V367" s="62">
        <f t="shared" si="72"/>
        <v>0</v>
      </c>
    </row>
    <row r="368" spans="2:22">
      <c r="F368" s="54" t="s">
        <v>116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73">IFERROR(SUMPRODUCT($AS$73:$AS$87,Q$73:Q$87)/SUM(Q$73:Q$87)*Q$89,0)</f>
        <v>0</v>
      </c>
      <c r="R368" s="57">
        <f t="shared" si="73"/>
        <v>0</v>
      </c>
      <c r="S368" s="57">
        <f t="shared" si="73"/>
        <v>0</v>
      </c>
      <c r="T368" s="57">
        <f t="shared" si="73"/>
        <v>0</v>
      </c>
      <c r="U368" s="57">
        <f t="shared" si="73"/>
        <v>0</v>
      </c>
      <c r="V368" s="62">
        <f t="shared" si="73"/>
        <v>0</v>
      </c>
    </row>
    <row r="369" spans="2:22">
      <c r="F369" s="54" t="s">
        <v>35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74">IFERROR(SUMPRODUCT($AT$73:$AT$87,Q$73:Q$87)/SUM(Q$73:Q$87)*Q$89,0)</f>
        <v>0</v>
      </c>
      <c r="R369" s="57">
        <f t="shared" si="74"/>
        <v>0</v>
      </c>
      <c r="S369" s="57">
        <f t="shared" si="74"/>
        <v>0</v>
      </c>
      <c r="T369" s="57">
        <f t="shared" si="74"/>
        <v>0</v>
      </c>
      <c r="U369" s="57">
        <f t="shared" si="74"/>
        <v>0</v>
      </c>
      <c r="V369" s="62">
        <f t="shared" si="74"/>
        <v>0</v>
      </c>
    </row>
    <row r="370" spans="2:22">
      <c r="F370" s="54" t="s">
        <v>117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75">IFERROR(SUMPRODUCT($AU$73:$AU$87,Q$73:Q$87)/SUM(Q$73:Q$87)*Q$89,0)</f>
        <v>0</v>
      </c>
      <c r="R370" s="57">
        <f t="shared" si="75"/>
        <v>0</v>
      </c>
      <c r="S370" s="57">
        <f t="shared" si="75"/>
        <v>0</v>
      </c>
      <c r="T370" s="57">
        <f t="shared" si="75"/>
        <v>0</v>
      </c>
      <c r="U370" s="57">
        <f t="shared" si="75"/>
        <v>0</v>
      </c>
      <c r="V370" s="62">
        <f t="shared" si="75"/>
        <v>0</v>
      </c>
    </row>
    <row r="371" spans="2:22">
      <c r="F371" s="54" t="s">
        <v>118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76">IFERROR(SUMPRODUCT($AV$73:$AV$87,Q$73:Q$87)/SUM(Q$73:Q$87)*Q$89,0)</f>
        <v>0</v>
      </c>
      <c r="R371" s="57">
        <f t="shared" si="76"/>
        <v>0</v>
      </c>
      <c r="S371" s="57">
        <f t="shared" si="76"/>
        <v>0</v>
      </c>
      <c r="T371" s="57">
        <f t="shared" si="76"/>
        <v>0</v>
      </c>
      <c r="U371" s="57">
        <f t="shared" si="76"/>
        <v>0</v>
      </c>
      <c r="V371" s="62">
        <f t="shared" si="76"/>
        <v>0</v>
      </c>
    </row>
    <row r="372" spans="2:22">
      <c r="F372" s="54" t="s">
        <v>119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77">IFERROR(SUMPRODUCT($AW$73:$AW$87,Q$73:Q$87)/SUM(Q$73:Q$87)*Q$89,0)</f>
        <v>0</v>
      </c>
      <c r="R372" s="57">
        <f t="shared" si="77"/>
        <v>0</v>
      </c>
      <c r="S372" s="57">
        <f t="shared" si="77"/>
        <v>0</v>
      </c>
      <c r="T372" s="57">
        <f t="shared" si="77"/>
        <v>0</v>
      </c>
      <c r="U372" s="57">
        <f t="shared" si="77"/>
        <v>0</v>
      </c>
      <c r="V372" s="62">
        <f t="shared" si="77"/>
        <v>0</v>
      </c>
    </row>
    <row r="373" spans="2:22">
      <c r="F373" s="54" t="s">
        <v>74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78">Q238</f>
        <v>0</v>
      </c>
      <c r="R373" s="57">
        <f t="shared" si="78"/>
        <v>0</v>
      </c>
      <c r="S373" s="57">
        <f t="shared" si="78"/>
        <v>0</v>
      </c>
      <c r="T373" s="57">
        <f t="shared" si="78"/>
        <v>0</v>
      </c>
      <c r="U373" s="57">
        <f t="shared" si="78"/>
        <v>0</v>
      </c>
      <c r="V373" s="62">
        <f t="shared" si="78"/>
        <v>0</v>
      </c>
    </row>
    <row r="374" spans="2:22">
      <c r="F374" s="54" t="s">
        <v>75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79">Q252</f>
        <v>0</v>
      </c>
      <c r="R374" s="57">
        <f t="shared" si="79"/>
        <v>0</v>
      </c>
      <c r="S374" s="57">
        <f t="shared" si="79"/>
        <v>0</v>
      </c>
      <c r="T374" s="57">
        <f t="shared" si="79"/>
        <v>0</v>
      </c>
      <c r="U374" s="57">
        <f t="shared" si="79"/>
        <v>0</v>
      </c>
      <c r="V374" s="62">
        <f t="shared" si="79"/>
        <v>0</v>
      </c>
    </row>
    <row r="375" spans="2:22">
      <c r="F375" s="54" t="s">
        <v>18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80">SUM(Q362:Q372)*Q208</f>
        <v>238589.50595326824</v>
      </c>
      <c r="R375" s="57">
        <f t="shared" si="80"/>
        <v>377714.55551198218</v>
      </c>
      <c r="S375" s="57">
        <f t="shared" si="80"/>
        <v>327923.36371315899</v>
      </c>
      <c r="T375" s="57">
        <f t="shared" si="80"/>
        <v>399209.49092268414</v>
      </c>
      <c r="U375" s="57">
        <f t="shared" si="80"/>
        <v>105021.71235802174</v>
      </c>
      <c r="V375" s="57">
        <f t="shared" si="80"/>
        <v>162194.11693471918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109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1">SUM(P362:P375)</f>
        <v>0</v>
      </c>
      <c r="Q377" s="37">
        <f t="shared" si="81"/>
        <v>3426511.6839532685</v>
      </c>
      <c r="R377" s="37">
        <f t="shared" si="81"/>
        <v>5611334.068061064</v>
      </c>
      <c r="S377" s="37">
        <f t="shared" si="81"/>
        <v>4627819.1182508664</v>
      </c>
      <c r="T377" s="37">
        <f t="shared" si="81"/>
        <v>5555178.9921588851</v>
      </c>
      <c r="U377" s="37">
        <f t="shared" si="81"/>
        <v>1390230.4864963628</v>
      </c>
      <c r="V377" s="64">
        <f t="shared" si="81"/>
        <v>2084094.0058844269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140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240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90" t="s">
        <v>52</v>
      </c>
      <c r="I385" s="190"/>
      <c r="J385" s="190"/>
      <c r="K385" s="190"/>
      <c r="L385" s="190"/>
      <c r="M385" s="190" t="s">
        <v>53</v>
      </c>
      <c r="N385" s="190"/>
      <c r="O385" s="190"/>
      <c r="P385" s="190"/>
      <c r="Q385" s="190"/>
      <c r="R385" s="190" t="s">
        <v>54</v>
      </c>
      <c r="S385" s="190"/>
      <c r="T385" s="190"/>
      <c r="U385" s="190"/>
      <c r="V385" s="190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12</v>
      </c>
      <c r="I387" s="16" t="s">
        <v>12</v>
      </c>
      <c r="J387" s="16" t="s">
        <v>12</v>
      </c>
      <c r="K387" s="16" t="s">
        <v>12</v>
      </c>
      <c r="L387" s="16" t="s">
        <v>12</v>
      </c>
      <c r="M387" s="16" t="s">
        <v>12</v>
      </c>
      <c r="N387" s="16" t="s">
        <v>12</v>
      </c>
      <c r="O387" s="16" t="s">
        <v>12</v>
      </c>
      <c r="P387" s="16" t="s">
        <v>13</v>
      </c>
      <c r="Q387" s="16" t="s">
        <v>13</v>
      </c>
      <c r="R387" s="16" t="s">
        <v>13</v>
      </c>
      <c r="S387" s="16" t="s">
        <v>13</v>
      </c>
      <c r="T387" s="16" t="s">
        <v>13</v>
      </c>
      <c r="U387" s="16" t="s">
        <v>13</v>
      </c>
      <c r="V387" s="61" t="s">
        <v>13</v>
      </c>
    </row>
    <row r="388" spans="1:22">
      <c r="F388" s="54" t="s">
        <v>134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2">IFERROR(SUMPRODUCT($BB$73:$BB$87,Q$73:Q$87)/SUM(Q$73:Q$87)*Q$89*(1+Q$208),0)</f>
        <v>3426511.6839532689</v>
      </c>
      <c r="R388" s="57">
        <f t="shared" si="82"/>
        <v>5611334.068061064</v>
      </c>
      <c r="S388" s="57">
        <f t="shared" si="82"/>
        <v>4627819.1182508655</v>
      </c>
      <c r="T388" s="57">
        <f t="shared" si="82"/>
        <v>5555178.9921588851</v>
      </c>
      <c r="U388" s="57">
        <f t="shared" si="82"/>
        <v>1390230.4864963631</v>
      </c>
      <c r="V388" s="62">
        <f t="shared" si="82"/>
        <v>2084094.0058844269</v>
      </c>
    </row>
    <row r="389" spans="1:22">
      <c r="F389" s="54" t="s">
        <v>135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83">IFERROR(SUMPRODUCT($BC$73:$BC$87,Q$73:Q$87)/SUM(Q$73:Q$87)*Q$89*(1+Q$208),0)</f>
        <v>0</v>
      </c>
      <c r="R389" s="57">
        <f t="shared" si="83"/>
        <v>0</v>
      </c>
      <c r="S389" s="57">
        <f t="shared" si="83"/>
        <v>0</v>
      </c>
      <c r="T389" s="57">
        <f t="shared" si="83"/>
        <v>0</v>
      </c>
      <c r="U389" s="57">
        <f t="shared" si="83"/>
        <v>0</v>
      </c>
      <c r="V389" s="62">
        <f t="shared" si="83"/>
        <v>0</v>
      </c>
    </row>
    <row r="390" spans="1:22">
      <c r="F390" s="54" t="s">
        <v>136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84">IFERROR(SUMPRODUCT($BD$73:$BD$87,Q$73:Q$87)/SUM(Q$73:Q$87)*Q$89*(1+Q$208),0)</f>
        <v>0</v>
      </c>
      <c r="R390" s="57">
        <f t="shared" si="84"/>
        <v>0</v>
      </c>
      <c r="S390" s="57">
        <f t="shared" si="84"/>
        <v>0</v>
      </c>
      <c r="T390" s="57">
        <f t="shared" si="84"/>
        <v>0</v>
      </c>
      <c r="U390" s="57">
        <f t="shared" si="84"/>
        <v>0</v>
      </c>
      <c r="V390" s="62">
        <f t="shared" si="84"/>
        <v>0</v>
      </c>
    </row>
    <row r="391" spans="1:22">
      <c r="F391" s="54" t="s">
        <v>107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85">IFERROR(SUMPRODUCT($BE$73:$BE$87,Q$73:Q$87)/SUM(Q$73:Q$87)*Q$89*(1+Q$208),0)</f>
        <v>0</v>
      </c>
      <c r="R391" s="57">
        <f t="shared" si="85"/>
        <v>0</v>
      </c>
      <c r="S391" s="57">
        <f t="shared" si="85"/>
        <v>0</v>
      </c>
      <c r="T391" s="57">
        <f t="shared" si="85"/>
        <v>0</v>
      </c>
      <c r="U391" s="57">
        <f t="shared" si="85"/>
        <v>0</v>
      </c>
      <c r="V391" s="62">
        <f t="shared" si="85"/>
        <v>0</v>
      </c>
    </row>
    <row r="392" spans="1:22">
      <c r="F392" s="54" t="s">
        <v>137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86">IFERROR(SUMPRODUCT($BF$73:$BF$87,Q$73:Q$87)/SUM(Q$73:Q$87)*Q$89*(1+Q$208),0)</f>
        <v>0</v>
      </c>
      <c r="R392" s="57">
        <f t="shared" si="86"/>
        <v>0</v>
      </c>
      <c r="S392" s="57">
        <f t="shared" si="86"/>
        <v>0</v>
      </c>
      <c r="T392" s="57">
        <f t="shared" si="86"/>
        <v>0</v>
      </c>
      <c r="U392" s="57">
        <f t="shared" si="86"/>
        <v>0</v>
      </c>
      <c r="V392" s="62">
        <f t="shared" si="86"/>
        <v>0</v>
      </c>
    </row>
    <row r="393" spans="1:22">
      <c r="F393" s="54" t="s">
        <v>138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87">IFERROR(SUMPRODUCT($BG$73:$BG$87,Q$73:Q$87)/SUM(Q$73:Q$87)*Q$89*(1+Q$208),0)</f>
        <v>0</v>
      </c>
      <c r="R393" s="57">
        <f t="shared" si="87"/>
        <v>0</v>
      </c>
      <c r="S393" s="57">
        <f t="shared" si="87"/>
        <v>0</v>
      </c>
      <c r="T393" s="57">
        <f t="shared" si="87"/>
        <v>0</v>
      </c>
      <c r="U393" s="57">
        <f t="shared" si="87"/>
        <v>0</v>
      </c>
      <c r="V393" s="62">
        <f t="shared" si="87"/>
        <v>0</v>
      </c>
    </row>
    <row r="394" spans="1:22">
      <c r="F394" s="54" t="s">
        <v>108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88">IFERROR(SUMPRODUCT($BH$73:$BH$87,Q$73:Q$87)/SUM(Q$73:Q$87)*Q$89*(1+Q$208),0)</f>
        <v>0</v>
      </c>
      <c r="R394" s="57">
        <f t="shared" si="88"/>
        <v>0</v>
      </c>
      <c r="S394" s="57">
        <f t="shared" si="88"/>
        <v>0</v>
      </c>
      <c r="T394" s="57">
        <f t="shared" si="88"/>
        <v>0</v>
      </c>
      <c r="U394" s="57">
        <f t="shared" si="88"/>
        <v>0</v>
      </c>
      <c r="V394" s="62">
        <f t="shared" si="88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109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89">SUM(P388:P394)</f>
        <v>0</v>
      </c>
      <c r="Q396" s="37">
        <f t="shared" si="89"/>
        <v>3426511.6839532689</v>
      </c>
      <c r="R396" s="37">
        <f t="shared" si="89"/>
        <v>5611334.068061064</v>
      </c>
      <c r="S396" s="37">
        <f t="shared" si="89"/>
        <v>4627819.1182508655</v>
      </c>
      <c r="T396" s="37">
        <f t="shared" si="89"/>
        <v>5555178.9921588851</v>
      </c>
      <c r="U396" s="37">
        <f t="shared" si="89"/>
        <v>1390230.4864963631</v>
      </c>
      <c r="V396" s="64">
        <f t="shared" si="89"/>
        <v>2084094.0058844269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42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Cover page</vt:lpstr>
      <vt:lpstr>Contents</vt:lpstr>
      <vt:lpstr>PTRM &amp; RFM input</vt:lpstr>
      <vt:lpstr>Forecast summary</vt:lpstr>
      <vt:lpstr>General assumptions</vt:lpstr>
      <vt:lpstr>AMP inputs</vt:lpstr>
      <vt:lpstr>Capex forecast - 3001</vt:lpstr>
      <vt:lpstr>Capex forecast - 3002</vt:lpstr>
      <vt:lpstr>Capex forecast - 3003</vt:lpstr>
      <vt:lpstr>Capex forecast - 3004</vt:lpstr>
      <vt:lpstr>Capex forecast - 3005</vt:lpstr>
      <vt:lpstr>Capex forecast - 3006</vt:lpstr>
      <vt:lpstr>Capex forecast - 3007</vt:lpstr>
      <vt:lpstr>Capex forecast - 3008</vt:lpstr>
      <vt:lpstr>Capex forecast - 3009</vt:lpstr>
      <vt:lpstr>Capex forecast - 3010</vt:lpstr>
      <vt:lpstr>Capex forecast - 3011</vt:lpstr>
      <vt:lpstr>Capex forecast - 3012</vt:lpstr>
      <vt:lpstr>Capex forecast - 3013</vt:lpstr>
      <vt:lpstr>Capex forecast - 3014</vt:lpstr>
      <vt:lpstr>Capex forecast - 3015</vt:lpstr>
      <vt:lpstr>Capex forecast - 3016</vt:lpstr>
      <vt:lpstr>Capex forecast - 3017</vt:lpstr>
      <vt:lpstr>Capex forecast - 3018</vt:lpstr>
      <vt:lpstr>Capex forecast - 3019</vt:lpstr>
      <vt:lpstr>Capex forecast - 3020</vt:lpstr>
      <vt:lpstr>Capex forecast - 3021</vt:lpstr>
      <vt:lpstr>Capex forecast - 3022</vt:lpstr>
      <vt:lpstr>Capex forecast - 3023</vt:lpstr>
      <vt:lpstr>Capex forecast - 3024</vt:lpstr>
      <vt:lpstr>Capex forecast - 3025</vt:lpstr>
      <vt:lpstr>Capex forecast - IT</vt:lpstr>
      <vt:lpstr>Capex forecast - other non-IT</vt:lpstr>
      <vt:lpstr>Capex forecast - work code</vt:lpstr>
      <vt:lpstr>Capex forecast - RAB</vt:lpstr>
      <vt:lpstr>Capex forecast - driver</vt:lpstr>
      <vt:lpstr>Capex forecast - tax</vt:lpstr>
      <vt:lpstr>Capex forecast - input type</vt:lpstr>
      <vt:lpstr>Overheads forecast</vt:lpstr>
      <vt:lpstr>Labour price forecast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2017-07-03T01:42:31Z</dcterms:created>
  <dcterms:modified xsi:type="dcterms:W3CDTF">2017-11-27T01:41:46Z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